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F4DCA19-ABDC-4381-88A0-DCA30DA1C2CC}" xr6:coauthVersionLast="44" xr6:coauthVersionMax="44" xr10:uidLastSave="{00000000-0000-0000-0000-000000000000}"/>
  <bookViews>
    <workbookView xWindow="-25335" yWindow="3570" windowWidth="21600" windowHeight="11385" firstSheet="13" activeTab="23" xr2:uid="{00000000-000D-0000-FFFF-FFFF00000000}"/>
  </bookViews>
  <sheets>
    <sheet name="S17_1" sheetId="1" r:id="rId1"/>
    <sheet name="S17_10" sheetId="2" r:id="rId2"/>
    <sheet name="S17_11" sheetId="3" r:id="rId3"/>
    <sheet name="S17_12" sheetId="4" r:id="rId4"/>
    <sheet name="S17_13" sheetId="5" r:id="rId5"/>
    <sheet name="S17_14" sheetId="6" r:id="rId6"/>
    <sheet name="S17_15" sheetId="7" r:id="rId7"/>
    <sheet name="S17_16" sheetId="8" r:id="rId8"/>
    <sheet name="S17_17" sheetId="9" r:id="rId9"/>
    <sheet name="S17_18" sheetId="10" r:id="rId10"/>
    <sheet name="S17_19" sheetId="11" r:id="rId11"/>
    <sheet name="S17_2" sheetId="12" r:id="rId12"/>
    <sheet name="S17_20" sheetId="13" r:id="rId13"/>
    <sheet name="S17_21" sheetId="14" r:id="rId14"/>
    <sheet name="S17_22" sheetId="15" r:id="rId15"/>
    <sheet name="S17_3" sheetId="16" r:id="rId16"/>
    <sheet name="S17_4" sheetId="17" r:id="rId17"/>
    <sheet name="S17_5" sheetId="18" r:id="rId18"/>
    <sheet name="S17_6" sheetId="19" r:id="rId19"/>
    <sheet name="S17_7-1" sheetId="20" r:id="rId20"/>
    <sheet name="S17_7-2" sheetId="21" r:id="rId21"/>
    <sheet name="S17_8" sheetId="22" r:id="rId22"/>
    <sheet name="S17_9-1" sheetId="23" r:id="rId23"/>
    <sheet name="S17_9-2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dvertising">S17_2!$D$5</definedName>
    <definedName name="Amt_Borrowed">S17_4!$D$2</definedName>
    <definedName name="annual_cont.">S17_6!$D$4</definedName>
    <definedName name="Annual_int_rate">S17_4!$D$4</definedName>
    <definedName name="bakedcroissants">'[1]Sim 2'!$D$18</definedName>
    <definedName name="catcost" localSheetId="13">S17_21!$G$11</definedName>
    <definedName name="catcost">[2]Sim1!$G$11</definedName>
    <definedName name="costperperformance">S17_19!$F$21</definedName>
    <definedName name="current_price" localSheetId="21">S17_8!$C$7</definedName>
    <definedName name="current_price">S17_5!$D$4</definedName>
    <definedName name="current_sales">S17_5!$D$3</definedName>
    <definedName name="current_units">S17_8!$C$6</definedName>
    <definedName name="date1">'[3]time dependent price'!$D$5</definedName>
    <definedName name="date2">'[3]time dependent price'!$D$6</definedName>
    <definedName name="date3">'[3]time dependent price'!$D$7</definedName>
    <definedName name="daysopen">S17_18!$C$21</definedName>
    <definedName name="demand" localSheetId="12">'[1]Sim 2'!$D$20</definedName>
    <definedName name="demand">S17_2!$D$3</definedName>
    <definedName name="dinnerseatings">S17_18!$C$20</definedName>
    <definedName name="disposalcost">'[1]Sim 2'!$D$25</definedName>
    <definedName name="exprice">S17_3!$B$4</definedName>
    <definedName name="fchard">S17_1!$C$3</definedName>
    <definedName name="fcpaper">S17_1!$C$5</definedName>
    <definedName name="fixed_cost">S17_2!$D$6</definedName>
    <definedName name="fixed_costs">S17_1!$C$15</definedName>
    <definedName name="fixedcost" localSheetId="10">S17_19!$F$15</definedName>
    <definedName name="fixedcost">S17_18!$C$15</definedName>
    <definedName name="fractionseatsfilled">S17_18!$C$18</definedName>
    <definedName name="growth" localSheetId="20">'[4]S17_7-1'!$E$2</definedName>
    <definedName name="growth">'S17_7-1'!$E$2</definedName>
    <definedName name="hard_vc">S17_1!$C$16</definedName>
    <definedName name="hardemand">S17_1!$C$9</definedName>
    <definedName name="hardprice">S17_1!$C$7</definedName>
    <definedName name="hardrev">S17_1!$C$13</definedName>
    <definedName name="INITIAL_AMT" localSheetId="4">'[5]YEARS MONEY LASTS'!$H$3</definedName>
    <definedName name="INITIAL_AMT" localSheetId="5">'[5]YEARS MONEY LASTS'!$H$3</definedName>
    <definedName name="INITIAL_AMT">S17_12!$H$3</definedName>
    <definedName name="interest_rate">S17_6!$D$5</definedName>
    <definedName name="leftoverunits">'[1]Sim 2'!$D$22</definedName>
    <definedName name="lookup" localSheetId="23">'[6]S17_9-1'!$B$5:$D$26</definedName>
    <definedName name="lookup">'S17_9-1'!$B$5:$D$26</definedName>
    <definedName name="lunchseatings">S17_18!$C$19</definedName>
    <definedName name="mean">'[1]Sim 2'!$D$11</definedName>
    <definedName name="Nputs">S17_3!$B$2</definedName>
    <definedName name="Nshares">S17_3!$B$3</definedName>
    <definedName name="Number_of_Months">S17_4!$D$3</definedName>
    <definedName name="numbermailed" localSheetId="13">S17_21!$G$13</definedName>
    <definedName name="numbermailed">[2]Sim1!$G$13</definedName>
    <definedName name="occupancy">S17_19!$F$18</definedName>
    <definedName name="paper_vc">S17_1!$C$17</definedName>
    <definedName name="paperdemand">S17_1!$C$10</definedName>
    <definedName name="paperprice">S17_1!$C$8</definedName>
    <definedName name="paperratiotohard">S17_1!$C$11</definedName>
    <definedName name="paperrev">S17_1!$C$14</definedName>
    <definedName name="percentage_increase">S17_8!$C$9</definedName>
    <definedName name="performancesperyear">S17_19!$F$19</definedName>
    <definedName name="price">S17_2!$D$4</definedName>
    <definedName name="pricecutpercentage">S17_5!$D$6</definedName>
    <definedName name="pricenow">S17_3!$B$5</definedName>
    <definedName name="productioncost">'[1]Sim 2'!$D$24</definedName>
    <definedName name="profit" localSheetId="11">S17_2!$D$8</definedName>
    <definedName name="profit">S17_1!$C$19</definedName>
    <definedName name="profitperdinnerccheck">S17_18!$C$17</definedName>
    <definedName name="profitperlunchcheck">S17_18!$C$16</definedName>
    <definedName name="profitperorder" localSheetId="13">S17_21!$G$12</definedName>
    <definedName name="profitperorder">[2]Sim1!$G$12</definedName>
    <definedName name="putcost">S17_3!$B$6</definedName>
    <definedName name="RATE" localSheetId="4">'[5]YEARS MONEY LASTS'!$H$2</definedName>
    <definedName name="RATE" localSheetId="5">'[5]YEARS MONEY LASTS'!$H$2</definedName>
    <definedName name="RATE">S17_12!$H$2</definedName>
    <definedName name="responserate" localSheetId="13">S17_21!$G$14</definedName>
    <definedName name="responserate">[2]Sim1!$G$14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localSheetId="19" hidden="1">0</definedName>
    <definedName name="RiskCollectDistributionSamples" localSheetId="20" hidden="1">0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 localSheetId="19" hidden="1">5</definedName>
    <definedName name="RiskHasSettings" localSheetId="20" hidden="1">5</definedName>
    <definedName name="RiskHasSettings">TRUE</definedName>
    <definedName name="RiskMinimizeOnStart">FALSE</definedName>
    <definedName name="RiskMonitorConvergence">FALSE</definedName>
    <definedName name="RiskMultipleCPUSupportEnabled" hidden="1">TRUE</definedName>
    <definedName name="RiskNumIterations" localSheetId="19" hidden="1">1000</definedName>
    <definedName name="RiskNumIterations" localSheetId="20" hidden="1">1000</definedName>
    <definedName name="RiskNumIterations">1600</definedName>
    <definedName name="RiskNumSimulations" localSheetId="19" hidden="1">1</definedName>
    <definedName name="RiskNumSimulations" localSheetId="20" hidden="1">1</definedName>
    <definedName name="RiskNumSimulations">5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 localSheetId="19" hidden="1">2</definedName>
    <definedName name="RiskStandardRecalc" localSheetId="20" hidden="1">2</definedName>
    <definedName name="RiskStandardRecalc">0</definedName>
    <definedName name="RiskTemplateSheetName">"myTemplate"</definedName>
    <definedName name="RiskUpdateDisplay" localSheetId="19" hidden="1">TRUE</definedName>
    <definedName name="RiskUpdateDisplay" localSheetId="20" hidden="1">TRUE</definedName>
    <definedName name="RiskUpdateDisplay">FALSE</definedName>
    <definedName name="RiskUseDifferentSeedForEachSim">FALSE</definedName>
    <definedName name="RiskUseFixedSeed">FALSE</definedName>
    <definedName name="RiskUseMultipleCPUs" localSheetId="19" hidden="1">TRUE</definedName>
    <definedName name="RiskUseMultipleCPUs" localSheetId="20" hidden="1">TRUE</definedName>
    <definedName name="RiskUseMultipleCPUs">FALSE</definedName>
    <definedName name="royalty">S17_1!$C$2</definedName>
    <definedName name="royalty_exp">S17_1!$C$18</definedName>
    <definedName name="sales_increase">S17_5!$D$7</definedName>
    <definedName name="salesprice">'[1]Sim 2'!$D$14</definedName>
    <definedName name="salesrevenue">'[1]Sim 2'!$D$23</definedName>
    <definedName name="seats" localSheetId="10">S17_19!$F$16</definedName>
    <definedName name="seats">S17_18!$C$14</definedName>
    <definedName name="solver_adj" localSheetId="6" hidden="1">S17_15!$D$2</definedName>
    <definedName name="solver_cir1" localSheetId="6" hidden="1">1</definedName>
    <definedName name="solver_cvg" localSheetId="6" hidden="1">0.0001</definedName>
    <definedName name="solver_dia" localSheetId="6" hidden="1">4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ao" localSheetId="6" hidden="1">0</definedName>
    <definedName name="solver_ibd" localSheetId="6" hidden="1">2</definedName>
    <definedName name="solver_ifs" localSheetId="6" hidden="1">0</definedName>
    <definedName name="solver_irs" localSheetId="6" hidden="1">0</definedName>
    <definedName name="solver_ism" localSheetId="6" hidden="1">0</definedName>
    <definedName name="solver_itr" localSheetId="6" hidden="1">1000</definedName>
    <definedName name="solver_lhs1" localSheetId="6" hidden="1">S17_15!$D$4</definedName>
    <definedName name="solver_lin" localSheetId="6" hidden="1">2</definedName>
    <definedName name="solver_loc" localSheetId="6" hidden="1">1</definedName>
    <definedName name="solver_lva" localSheetId="6" hidden="1">2</definedName>
    <definedName name="solver_mip" localSheetId="6" hidden="1">5000</definedName>
    <definedName name="solver_mni" localSheetId="6" hidden="1">30</definedName>
    <definedName name="solver_mod" localSheetId="6" hidden="1">4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5000</definedName>
    <definedName name="solver_num" localSheetId="6" hidden="1">1</definedName>
    <definedName name="solver_nwt" localSheetId="6" hidden="1">1</definedName>
    <definedName name="solver_ofx" localSheetId="6" hidden="1">2</definedName>
    <definedName name="solver_piv" localSheetId="6" hidden="1">0.000001</definedName>
    <definedName name="solver_pre" localSheetId="6" hidden="1">0.000001</definedName>
    <definedName name="solver_pro" localSheetId="6" hidden="1">2</definedName>
    <definedName name="solver_rbv" localSheetId="6" hidden="1">1</definedName>
    <definedName name="solver_rdp" localSheetId="6" hidden="1">0</definedName>
    <definedName name="solver_red" localSheetId="6" hidden="1">0.000001</definedName>
    <definedName name="solver_rel1" localSheetId="6" hidden="1">2</definedName>
    <definedName name="solver_reo" localSheetId="6" hidden="1">2</definedName>
    <definedName name="solver_rep" localSheetId="6" hidden="1">2</definedName>
    <definedName name="solver_rhs1" localSheetId="6" hidden="1">100000</definedName>
    <definedName name="solver_rlx" localSheetId="6" hidden="1">2</definedName>
    <definedName name="solver_rsp" localSheetId="6" hidden="1">0</definedName>
    <definedName name="solver_scl" localSheetId="6" hidden="1">2</definedName>
    <definedName name="solver_sel" localSheetId="6" hidden="1">1</definedName>
    <definedName name="solver_sho" localSheetId="6" hidden="1">2</definedName>
    <definedName name="solver_ssz" localSheetId="6" hidden="1">100</definedName>
    <definedName name="solver_tim" localSheetId="6" hidden="1">100</definedName>
    <definedName name="solver_tms" localSheetId="6" hidden="1">2</definedName>
    <definedName name="solver_tol" localSheetId="6" hidden="1">0.05</definedName>
    <definedName name="solver_typ" localSheetId="6" hidden="1">3</definedName>
    <definedName name="solver_val" localSheetId="6" hidden="1">0</definedName>
    <definedName name="solver_ver" localSheetId="6" hidden="1">2</definedName>
    <definedName name="solver_vir" localSheetId="6" hidden="1">1</definedName>
    <definedName name="startvalue">S17_3!$B$7</definedName>
    <definedName name="stdev">'[1]Sim 2'!$D$12</definedName>
    <definedName name="ticketprice">S17_19!$F$17</definedName>
    <definedName name="totalprofit">'[1]Sim 2'!$D$26</definedName>
    <definedName name="translation_cost">S17_8!$C$5</definedName>
    <definedName name="uchard">S17_1!$C$4</definedName>
    <definedName name="ucpaper">S17_1!$C$6</definedName>
    <definedName name="unit_cost">S17_5!$D$5</definedName>
    <definedName name="unit_variable_cost">S17_2!$D$7</definedName>
    <definedName name="unit_vc">S17_8!$C$8</definedName>
    <definedName name="unitcost">'[1]Sim 2'!$D$13</definedName>
    <definedName name="unitdisposalcost">'[1]Sim 2'!$D$15</definedName>
    <definedName name="unitssold">'[1]Sim 2'!$D$21</definedName>
    <definedName name="WITHDRAWN" localSheetId="4">'[5]YEARS MONEY LASTS'!$H$1</definedName>
    <definedName name="WITHDRAWN" localSheetId="5">'[5]YEARS MONEY LASTS'!$H$1</definedName>
    <definedName name="WITHDRAWN">S17_12!$H$1</definedName>
    <definedName name="year1" localSheetId="20">'[4]S17_7-1'!$E$1</definedName>
    <definedName name="year1">'S17_7-1'!$E$1</definedName>
    <definedName name="years" localSheetId="18">S17_6!$D$3</definedName>
    <definedName name="years">S17_19!$F$20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" i="24" l="1"/>
  <c r="R8" i="24" s="1"/>
  <c r="Q7" i="24"/>
  <c r="R7" i="24" s="1"/>
  <c r="Q6" i="24"/>
  <c r="R6" i="24" s="1"/>
  <c r="Q5" i="24"/>
  <c r="R5" i="24" s="1"/>
  <c r="F7" i="22"/>
  <c r="C12" i="22" s="1"/>
  <c r="F6" i="22"/>
  <c r="Q10" i="24" l="1"/>
  <c r="P16" i="24" s="1"/>
  <c r="E6" i="20"/>
  <c r="F5" i="20"/>
  <c r="F6" i="20" l="1"/>
  <c r="E7" i="20"/>
  <c r="E8" i="20" s="1"/>
  <c r="E9" i="20" s="1"/>
  <c r="E10" i="20" s="1"/>
  <c r="E11" i="20" s="1"/>
  <c r="E12" i="20" s="1"/>
  <c r="E13" i="20" s="1"/>
  <c r="E14" i="20" s="1"/>
  <c r="E15" i="20" s="1"/>
  <c r="F10" i="20" l="1"/>
  <c r="F7" i="20"/>
  <c r="F8" i="20"/>
  <c r="F13" i="20"/>
  <c r="F11" i="20"/>
  <c r="F14" i="20"/>
  <c r="F9" i="20"/>
  <c r="F12" i="20"/>
  <c r="F15" i="20"/>
  <c r="I3" i="20" l="1"/>
  <c r="D18" i="20" s="1"/>
  <c r="C7" i="19" l="1"/>
  <c r="D9" i="19" s="1"/>
  <c r="D9" i="18" l="1"/>
  <c r="D12" i="18" s="1"/>
  <c r="D5" i="17" l="1"/>
  <c r="C7" i="17" s="1"/>
  <c r="C18" i="16" l="1"/>
  <c r="E18" i="16" s="1"/>
  <c r="B18" i="16"/>
  <c r="C17" i="16"/>
  <c r="E17" i="16" s="1"/>
  <c r="B17" i="16"/>
  <c r="C16" i="16"/>
  <c r="E16" i="16" s="1"/>
  <c r="B16" i="16"/>
  <c r="C15" i="16"/>
  <c r="E15" i="16" s="1"/>
  <c r="B15" i="16"/>
  <c r="C14" i="16"/>
  <c r="E14" i="16" s="1"/>
  <c r="B14" i="16"/>
  <c r="C13" i="16"/>
  <c r="E13" i="16" s="1"/>
  <c r="B13" i="16"/>
  <c r="C12" i="16"/>
  <c r="E12" i="16" s="1"/>
  <c r="B12" i="16"/>
  <c r="C11" i="16"/>
  <c r="E11" i="16" s="1"/>
  <c r="B11" i="16"/>
  <c r="C10" i="16"/>
  <c r="E10" i="16" s="1"/>
  <c r="B10" i="16"/>
  <c r="C9" i="16"/>
  <c r="E9" i="16" s="1"/>
  <c r="B9" i="16"/>
  <c r="B7" i="16"/>
  <c r="D15" i="15"/>
  <c r="D14" i="15"/>
  <c r="D16" i="15" s="1"/>
  <c r="H11" i="15" s="1"/>
  <c r="D10" i="16" l="1"/>
  <c r="D12" i="16"/>
  <c r="D13" i="16"/>
  <c r="D14" i="16"/>
  <c r="D15" i="16"/>
  <c r="D16" i="16"/>
  <c r="D17" i="16"/>
  <c r="D18" i="16"/>
  <c r="D9" i="16"/>
  <c r="I7" i="16" s="1"/>
  <c r="D11" i="16"/>
  <c r="G16" i="14"/>
  <c r="C12" i="14" s="1"/>
  <c r="H16" i="14"/>
  <c r="D17" i="13" l="1"/>
  <c r="D16" i="13"/>
  <c r="D15" i="13"/>
  <c r="D14" i="13"/>
  <c r="D13" i="13"/>
  <c r="D12" i="13"/>
  <c r="E12" i="13" s="1"/>
  <c r="C13" i="13" s="1"/>
  <c r="E13" i="13" s="1"/>
  <c r="C14" i="13" s="1"/>
  <c r="E14" i="13" s="1"/>
  <c r="C15" i="13" s="1"/>
  <c r="E15" i="13" s="1"/>
  <c r="C16" i="13" s="1"/>
  <c r="E16" i="13" s="1"/>
  <c r="C17" i="13" s="1"/>
  <c r="E17" i="13" s="1"/>
  <c r="H12" i="13" s="1"/>
  <c r="AQ10" i="12" l="1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G8" i="12" s="1"/>
  <c r="D3" i="12"/>
  <c r="D8" i="12" s="1"/>
  <c r="C11" i="12" s="1"/>
  <c r="F25" i="11"/>
  <c r="F24" i="11"/>
  <c r="F23" i="11"/>
  <c r="F26" i="11" l="1"/>
  <c r="J18" i="11" s="1"/>
  <c r="C28" i="10"/>
  <c r="C24" i="10"/>
  <c r="C27" i="10" s="1"/>
  <c r="C23" i="10"/>
  <c r="C26" i="10" s="1"/>
  <c r="D29" i="10"/>
  <c r="D26" i="10"/>
  <c r="D23" i="10"/>
  <c r="D24" i="10"/>
  <c r="D27" i="10"/>
  <c r="D28" i="10"/>
  <c r="C29" i="10" l="1"/>
  <c r="K19" i="10" s="1"/>
  <c r="G12" i="9"/>
  <c r="E12" i="9"/>
  <c r="E15" i="9" s="1"/>
  <c r="E562" i="8" l="1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" i="8" s="1"/>
  <c r="H4" i="8" s="1"/>
  <c r="D7" i="7"/>
  <c r="C13" i="7" s="1"/>
  <c r="D4" i="7"/>
  <c r="F11" i="6"/>
  <c r="F13" i="6" s="1"/>
  <c r="E17" i="5"/>
  <c r="G6" i="4"/>
  <c r="F8" i="4" s="1"/>
  <c r="E6" i="3"/>
  <c r="E10" i="2" l="1"/>
  <c r="C13" i="1" l="1"/>
  <c r="C10" i="1"/>
  <c r="C14" i="1" s="1"/>
  <c r="C16" i="1"/>
  <c r="C18" i="1"/>
  <c r="C15" i="1"/>
  <c r="C17" i="1" l="1"/>
  <c r="C19" i="1" s="1"/>
  <c r="G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Tech. Services</author>
  </authors>
  <commentList>
    <comment ref="N15" authorId="0" shapeId="0" xr:uid="{23846CA9-DE6A-493F-B915-8B8DAC35EEE0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 xr:uid="{ACDD1CD3-CC4B-443D-96C8-3A049A687DA1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" authorId="0" shapeId="0" xr:uid="{BA584E2C-6EB9-482B-BFD3-A7A6D3CF022E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" authorId="0" shapeId="0" xr:uid="{E486638D-2C7F-4D1D-8078-53DC3CCFE921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 xr:uid="{DA9045FC-B68D-4016-B99E-60F0DCE61E6E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 xr:uid="{E04FBC70-988C-419E-82C5-7C0A4494A347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 xr:uid="{4E10D1CF-6415-4F5B-9C72-0B100B5599BD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 xr:uid="{7303568A-D522-43E0-A23D-8409541D7D01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 xr:uid="{23F6DE03-5C60-494F-9197-2DD1C761E0A8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 xr:uid="{5BB7CFEE-EF46-4360-AE98-F103779CC4C3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 xr:uid="{D7A765A1-7A96-4F32-8296-87337D395E35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 xr:uid="{4A33C0CF-61AF-4D4B-9FC3-9F7FB092C36F}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<sst xmlns="http://schemas.openxmlformats.org/spreadsheetml/2006/main" count="278" uniqueCount="205">
  <si>
    <t>royalty</t>
  </si>
  <si>
    <t>uchard</t>
  </si>
  <si>
    <t>fchard</t>
  </si>
  <si>
    <t>fcpaper</t>
  </si>
  <si>
    <t>ucpaper</t>
  </si>
  <si>
    <t>hardprice</t>
  </si>
  <si>
    <t>paperprice</t>
  </si>
  <si>
    <t>hardemand</t>
  </si>
  <si>
    <t>paperdemand</t>
  </si>
  <si>
    <t>profit</t>
  </si>
  <si>
    <t>paperratiotohard</t>
  </si>
  <si>
    <t>hardrev</t>
  </si>
  <si>
    <t>paperrev</t>
  </si>
  <si>
    <t>fixed costs</t>
  </si>
  <si>
    <t>hard vc</t>
  </si>
  <si>
    <t>paper vc</t>
  </si>
  <si>
    <t>royalty exp</t>
  </si>
  <si>
    <t>HC sales</t>
  </si>
  <si>
    <t>Profit</t>
  </si>
  <si>
    <t>amt</t>
  </si>
  <si>
    <t>return</t>
  </si>
  <si>
    <t>years</t>
  </si>
  <si>
    <t>times compounded</t>
  </si>
  <si>
    <t>per year</t>
  </si>
  <si>
    <t>Note 7 years doubles our money at 10%</t>
  </si>
  <si>
    <t>with instantaneous compounding</t>
  </si>
  <si>
    <t>WITHDRAWN</t>
  </si>
  <si>
    <t>RATE</t>
  </si>
  <si>
    <t>INITIAL AMT</t>
  </si>
  <si>
    <t>YEARS</t>
  </si>
  <si>
    <t>ANN RATE RETURN</t>
  </si>
  <si>
    <t>ANNWITHDRAW</t>
  </si>
  <si>
    <t>`</t>
  </si>
  <si>
    <t>(1+RATE)^N=2</t>
  </si>
  <si>
    <t>N*LN(1+Rate)=LN(2)</t>
  </si>
  <si>
    <t>N=LN(2)/Ln(1+rate)</t>
  </si>
  <si>
    <t>rate</t>
  </si>
  <si>
    <t>years to double</t>
  </si>
  <si>
    <t>size</t>
  </si>
  <si>
    <t>annrate</t>
  </si>
  <si>
    <t>total interest</t>
  </si>
  <si>
    <t>Years</t>
  </si>
  <si>
    <t>annual amount</t>
  </si>
  <si>
    <t>final value</t>
  </si>
  <si>
    <t>needed cont</t>
  </si>
  <si>
    <t>Consider 10 years at say 5%</t>
  </si>
  <si>
    <t xml:space="preserve">we need to contribute each year the mortgage </t>
  </si>
  <si>
    <t>payment on a loan of 100000/(1.05)^10</t>
  </si>
  <si>
    <t>Antitrust Cases</t>
  </si>
  <si>
    <t>Total active</t>
  </si>
  <si>
    <t>Year in question</t>
  </si>
  <si>
    <t>Active Cases</t>
  </si>
  <si>
    <t>Year case starts</t>
  </si>
  <si>
    <t>Year case ends</t>
  </si>
  <si>
    <t>Case Active?</t>
  </si>
  <si>
    <t>$8000 a year at 62</t>
  </si>
  <si>
    <t>$10000 at 65.</t>
  </si>
  <si>
    <t>How long to live</t>
  </si>
  <si>
    <t>before one deal is better 5%-10% value of money?</t>
  </si>
  <si>
    <t>live till</t>
  </si>
  <si>
    <t>payment</t>
  </si>
  <si>
    <t>value of 62</t>
  </si>
  <si>
    <t>value of 65</t>
  </si>
  <si>
    <t>seats</t>
  </si>
  <si>
    <t>fixedcost</t>
  </si>
  <si>
    <t>column input cell:fraction seats filled</t>
  </si>
  <si>
    <t>Need between 70% and 80% occupancy to</t>
  </si>
  <si>
    <t>profitperlunchcheck</t>
  </si>
  <si>
    <t>no row input cell</t>
  </si>
  <si>
    <t>make a profit</t>
  </si>
  <si>
    <t>profitperdinnerccheck</t>
  </si>
  <si>
    <t>one way data table</t>
  </si>
  <si>
    <t>fractionseatsfilled</t>
  </si>
  <si>
    <t>lunchseatings</t>
  </si>
  <si>
    <t>dinnerseatings</t>
  </si>
  <si>
    <t>daysopen</t>
  </si>
  <si>
    <t>lunchessoldperyear</t>
  </si>
  <si>
    <t>dinnerssoldperyear</t>
  </si>
  <si>
    <t>annuallunchprofit</t>
  </si>
  <si>
    <t>fraction seats</t>
  </si>
  <si>
    <t>annualdinnerprofit</t>
  </si>
  <si>
    <t>filled</t>
  </si>
  <si>
    <t>total profit</t>
  </si>
  <si>
    <t>ticketprice</t>
  </si>
  <si>
    <t>occupancyrate</t>
  </si>
  <si>
    <t>occupancy</t>
  </si>
  <si>
    <t>performancesperyear</t>
  </si>
  <si>
    <t>costperperformance</t>
  </si>
  <si>
    <t>ticketrevenue</t>
  </si>
  <si>
    <t>varcost</t>
  </si>
  <si>
    <t>Chapter 15</t>
  </si>
  <si>
    <t>demand</t>
  </si>
  <si>
    <t>Problem 2</t>
  </si>
  <si>
    <t>price</t>
  </si>
  <si>
    <t>hundreds</t>
  </si>
  <si>
    <t>advertising</t>
  </si>
  <si>
    <t>fixed cost</t>
  </si>
  <si>
    <t>unit variable cost</t>
  </si>
  <si>
    <t>overall max</t>
  </si>
  <si>
    <t>adv in hundreds</t>
  </si>
  <si>
    <t>max profit</t>
  </si>
  <si>
    <t>newsubs</t>
  </si>
  <si>
    <t>retentionrate</t>
  </si>
  <si>
    <t>Year</t>
  </si>
  <si>
    <t>Starting Subscribers</t>
  </si>
  <si>
    <t>New Subscribers</t>
  </si>
  <si>
    <t>Ending Subscribers</t>
  </si>
  <si>
    <t>new</t>
  </si>
  <si>
    <t>subscribers</t>
  </si>
  <si>
    <t>LL Bean is going to mail out 10,000</t>
  </si>
  <si>
    <t>catalogs.</t>
  </si>
  <si>
    <t>It costs $2  to mail out each catalog.</t>
  </si>
  <si>
    <t>vary G14</t>
  </si>
  <si>
    <t>catcost</t>
  </si>
  <si>
    <t>profitperorder</t>
  </si>
  <si>
    <t>numbermailed</t>
  </si>
  <si>
    <t>responserate</t>
  </si>
  <si>
    <t>totalprofit</t>
  </si>
  <si>
    <t>stock1change</t>
  </si>
  <si>
    <t>stock 2 change</t>
  </si>
  <si>
    <t>stock2change</t>
  </si>
  <si>
    <t>shares1</t>
  </si>
  <si>
    <t>shares2</t>
  </si>
  <si>
    <t>profitstock1</t>
  </si>
  <si>
    <t>profitstock2</t>
  </si>
  <si>
    <t>stock 1 change</t>
  </si>
  <si>
    <t>Nputs</t>
  </si>
  <si>
    <t>Nshares</t>
  </si>
  <si>
    <t>exprice</t>
  </si>
  <si>
    <t>pricenow</t>
  </si>
  <si>
    <t>putcost</t>
  </si>
  <si>
    <t>puts</t>
  </si>
  <si>
    <t>startvalue</t>
  </si>
  <si>
    <t>final stock price</t>
  </si>
  <si>
    <t>final put value</t>
  </si>
  <si>
    <t>final share value</t>
  </si>
  <si>
    <t>percentage return hedged</t>
  </si>
  <si>
    <t>percentage return unhedged</t>
  </si>
  <si>
    <t>Amt Borrowed</t>
  </si>
  <si>
    <t>Number of Months</t>
  </si>
  <si>
    <t>Annual int rate</t>
  </si>
  <si>
    <t>Monthly Payment</t>
  </si>
  <si>
    <t>months in mortgage</t>
  </si>
  <si>
    <t>Amount</t>
  </si>
  <si>
    <t>Borrowed</t>
  </si>
  <si>
    <t>current sales</t>
  </si>
  <si>
    <t>current price</t>
  </si>
  <si>
    <t>unit cost</t>
  </si>
  <si>
    <t>pricecutpercentage</t>
  </si>
  <si>
    <t>sales increase</t>
  </si>
  <si>
    <t>new profit</t>
  </si>
  <si>
    <t>annual cont.</t>
  </si>
  <si>
    <t>interest rate</t>
  </si>
  <si>
    <t>final amt.</t>
  </si>
  <si>
    <t>inv. Return</t>
  </si>
  <si>
    <t>cont.</t>
  </si>
  <si>
    <t>b</t>
  </si>
  <si>
    <t>year1</t>
  </si>
  <si>
    <t>Problem 17_7</t>
  </si>
  <si>
    <t>growth</t>
  </si>
  <si>
    <t>payback</t>
  </si>
  <si>
    <t>Time</t>
  </si>
  <si>
    <t>Cumulative Cash Flow</t>
  </si>
  <si>
    <t>annual growth</t>
  </si>
  <si>
    <t>year 1</t>
  </si>
  <si>
    <t>translation cost</t>
  </si>
  <si>
    <t>current units</t>
  </si>
  <si>
    <t>current profit</t>
  </si>
  <si>
    <t>unit vc</t>
  </si>
  <si>
    <t>percentage increase</t>
  </si>
  <si>
    <t>increased profit</t>
  </si>
  <si>
    <t>increase</t>
  </si>
  <si>
    <t>City</t>
  </si>
  <si>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</si>
  <si>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</si>
  <si>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</si>
  <si>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</si>
  <si>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</si>
  <si>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</si>
  <si>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</si>
  <si>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</si>
  <si>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</si>
  <si>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</si>
  <si>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</si>
  <si>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</si>
  <si>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</si>
  <si>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</si>
  <si>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</si>
  <si>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</si>
  <si>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</si>
  <si>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</si>
  <si>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</si>
  <si>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</si>
  <si>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</si>
  <si>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</si>
  <si>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</si>
  <si>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degrees</t>
  </si>
  <si>
    <t>radians</t>
  </si>
  <si>
    <t>lat1</t>
  </si>
  <si>
    <t>long1</t>
  </si>
  <si>
    <t>lat2</t>
  </si>
  <si>
    <t>long2</t>
  </si>
  <si>
    <t>distance</t>
  </si>
  <si>
    <t>City 1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</si>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</sst>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7" fillId="0" borderId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44" fontId="0" fillId="0" borderId="0" xfId="1" applyFont="1"/>
    <xf numFmtId="0" fontId="1" fillId="0" borderId="0" xfId="2"/>
    <xf numFmtId="8" fontId="1" fillId="0" borderId="0" xfId="2" applyNumberFormat="1"/>
    <xf numFmtId="0" fontId="2" fillId="0" borderId="0" xfId="3"/>
    <xf numFmtId="0" fontId="5" fillId="0" borderId="0" xfId="3" applyFont="1"/>
    <xf numFmtId="8" fontId="5" fillId="0" borderId="0" xfId="3" applyNumberFormat="1" applyFont="1"/>
    <xf numFmtId="0" fontId="5" fillId="0" borderId="0" xfId="3" applyFont="1" applyAlignment="1">
      <alignment horizontal="right"/>
    </xf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8" fillId="0" borderId="0" xfId="4" applyFont="1" applyAlignment="1">
      <alignment wrapText="1"/>
    </xf>
    <xf numFmtId="0" fontId="7" fillId="0" borderId="0" xfId="4" applyAlignment="1">
      <alignment wrapText="1"/>
    </xf>
    <xf numFmtId="0" fontId="9" fillId="0" borderId="0" xfId="2" applyFont="1"/>
    <xf numFmtId="164" fontId="9" fillId="0" borderId="0" xfId="2" applyNumberFormat="1" applyFont="1"/>
    <xf numFmtId="0" fontId="9" fillId="2" borderId="0" xfId="2" applyFont="1" applyFill="1"/>
    <xf numFmtId="0" fontId="4" fillId="0" borderId="0" xfId="2" applyFont="1"/>
    <xf numFmtId="44" fontId="4" fillId="0" borderId="0" xfId="5" applyFont="1"/>
    <xf numFmtId="164" fontId="4" fillId="0" borderId="0" xfId="2" applyNumberFormat="1" applyFont="1"/>
    <xf numFmtId="164" fontId="4" fillId="2" borderId="0" xfId="2" applyNumberFormat="1" applyFont="1" applyFill="1"/>
    <xf numFmtId="0" fontId="2" fillId="3" borderId="0" xfId="3" applyFill="1"/>
    <xf numFmtId="0" fontId="10" fillId="0" borderId="0" xfId="2" applyFont="1"/>
    <xf numFmtId="0" fontId="10" fillId="0" borderId="0" xfId="2" applyFont="1" applyAlignment="1">
      <alignment wrapText="1"/>
    </xf>
    <xf numFmtId="0" fontId="10" fillId="4" borderId="0" xfId="2" applyFont="1" applyFill="1"/>
    <xf numFmtId="164" fontId="1" fillId="0" borderId="0" xfId="2" applyNumberFormat="1"/>
    <xf numFmtId="0" fontId="1" fillId="2" borderId="0" xfId="2" applyFill="1"/>
    <xf numFmtId="44" fontId="5" fillId="0" borderId="0" xfId="1" applyFont="1"/>
    <xf numFmtId="165" fontId="5" fillId="0" borderId="0" xfId="3" applyNumberFormat="1" applyFont="1"/>
    <xf numFmtId="0" fontId="5" fillId="0" borderId="0" xfId="3" applyFont="1" applyAlignment="1">
      <alignment wrapText="1"/>
    </xf>
    <xf numFmtId="44" fontId="5" fillId="0" borderId="0" xfId="1" applyFont="1" applyAlignment="1">
      <alignment wrapText="1"/>
    </xf>
    <xf numFmtId="165" fontId="5" fillId="0" borderId="0" xfId="6" applyNumberFormat="1" applyFont="1"/>
    <xf numFmtId="165" fontId="0" fillId="0" borderId="0" xfId="6" applyNumberFormat="1" applyFont="1"/>
    <xf numFmtId="8" fontId="2" fillId="0" borderId="0" xfId="3" applyNumberFormat="1"/>
    <xf numFmtId="9" fontId="0" fillId="0" borderId="0" xfId="6" applyFont="1"/>
    <xf numFmtId="44" fontId="2" fillId="0" borderId="0" xfId="3" applyNumberFormat="1"/>
    <xf numFmtId="9" fontId="5" fillId="0" borderId="0" xfId="6" applyFont="1"/>
    <xf numFmtId="0" fontId="1" fillId="0" borderId="0" xfId="2" applyAlignment="1">
      <alignment wrapText="1"/>
    </xf>
    <xf numFmtId="0" fontId="8" fillId="0" borderId="9" xfId="4" applyFont="1" applyBorder="1"/>
    <xf numFmtId="0" fontId="7" fillId="0" borderId="0" xfId="4"/>
    <xf numFmtId="0" fontId="8" fillId="0" borderId="0" xfId="4" applyFont="1"/>
    <xf numFmtId="3" fontId="7" fillId="0" borderId="0" xfId="4" applyNumberFormat="1"/>
    <xf numFmtId="166" fontId="7" fillId="0" borderId="0" xfId="4" applyNumberFormat="1"/>
    <xf numFmtId="165" fontId="7" fillId="0" borderId="0" xfId="4" applyNumberFormat="1"/>
  </cellXfs>
  <cellStyles count="7">
    <cellStyle name="Currency" xfId="1" builtinId="4"/>
    <cellStyle name="Currency 2" xfId="5" xr:uid="{7CE8568C-AB30-427A-B231-40058ECAE734}"/>
    <cellStyle name="Normal" xfId="0" builtinId="0"/>
    <cellStyle name="Normal 2" xfId="2" xr:uid="{F07F13DD-B8CF-48A2-8B3B-12C1F2431339}"/>
    <cellStyle name="Normal 3" xfId="3" xr:uid="{CACB1531-9B2B-405B-A5CA-7B79AA809159}"/>
    <cellStyle name="Normal 4" xfId="4" xr:uid="{A6F26E01-832F-4796-BF75-0581F1C016A1}"/>
    <cellStyle name="Percent 2" xfId="6" xr:uid="{EC4972A7-C74D-4A98-92B6-68F7BADA27C0}"/>
  </cellStyles>
  <dxfs count="1">
    <dxf>
      <fill>
        <patternFill>
          <bgColor indexed="1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</xdr:row>
      <xdr:rowOff>85725</xdr:rowOff>
    </xdr:from>
    <xdr:to>
      <xdr:col>9</xdr:col>
      <xdr:colOff>85725</xdr:colOff>
      <xdr:row>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8D54E1-ECDE-4ADF-A446-18E3006743C2}"/>
            </a:ext>
          </a:extLst>
        </xdr:cNvPr>
        <xdr:cNvSpPr>
          <a:spLocks noChangeArrowheads="1"/>
        </xdr:cNvSpPr>
      </xdr:nvSpPr>
      <xdr:spPr bwMode="auto">
        <a:xfrm>
          <a:off x="5229225" y="571500"/>
          <a:ext cx="1038225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spend  $1900 on ads and charge $100.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BZAN630exams/Mondaysimansw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BZAN630exams/tuesdaydec16simansw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17/ch12probtimedeppric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17/S17_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uf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17/S17_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1"/>
      <sheetName val="Sim 2"/>
      <sheetName val="SIm 3"/>
    </sheetNames>
    <sheetDataSet>
      <sheetData sheetId="0"/>
      <sheetData sheetId="1">
        <row r="11">
          <cell r="D11">
            <v>100</v>
          </cell>
        </row>
        <row r="12">
          <cell r="D12">
            <v>25</v>
          </cell>
        </row>
        <row r="13">
          <cell r="D13">
            <v>1</v>
          </cell>
        </row>
        <row r="14">
          <cell r="D14">
            <v>4.5</v>
          </cell>
        </row>
        <row r="15">
          <cell r="D15">
            <v>0.4</v>
          </cell>
        </row>
        <row r="18">
          <cell r="D18">
            <v>100</v>
          </cell>
        </row>
        <row r="20">
          <cell r="D20">
            <v>134</v>
          </cell>
        </row>
        <row r="21">
          <cell r="D21">
            <v>100</v>
          </cell>
        </row>
        <row r="22">
          <cell r="D22">
            <v>0</v>
          </cell>
        </row>
        <row r="23">
          <cell r="D23">
            <v>450</v>
          </cell>
        </row>
        <row r="24">
          <cell r="D24">
            <v>100</v>
          </cell>
        </row>
        <row r="25">
          <cell r="D25">
            <v>0</v>
          </cell>
        </row>
        <row r="26">
          <cell r="D26">
            <v>350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1 (2)"/>
      <sheetName val="Cover"/>
      <sheetName val="Sim1"/>
      <sheetName val="Sim2"/>
      <sheetName val="Sim3"/>
    </sheetNames>
    <sheetDataSet>
      <sheetData sheetId="0"/>
      <sheetData sheetId="1"/>
      <sheetData sheetId="2">
        <row r="11">
          <cell r="G11">
            <v>2</v>
          </cell>
        </row>
        <row r="12">
          <cell r="G12">
            <v>50</v>
          </cell>
        </row>
        <row r="13">
          <cell r="G13">
            <v>10000</v>
          </cell>
        </row>
        <row r="14">
          <cell r="G14">
            <v>0.05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dependent price"/>
    </sheetNames>
    <sheetDataSet>
      <sheetData sheetId="0">
        <row r="5">
          <cell r="D5">
            <v>38353</v>
          </cell>
        </row>
        <row r="6">
          <cell r="D6">
            <v>38443</v>
          </cell>
        </row>
        <row r="7">
          <cell r="D7">
            <v>38534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7_7-1"/>
      <sheetName val="S17_7-2"/>
    </sheetNames>
    <sheetDataSet>
      <sheetData sheetId="0">
        <row r="1">
          <cell r="E1">
            <v>80</v>
          </cell>
        </row>
        <row r="2">
          <cell r="E2">
            <v>0.15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 MONEY LASTS"/>
      <sheetName val="YEARS TO DOUBLE"/>
      <sheetName val="interest on mortage"/>
    </sheetNames>
    <sheetDataSet>
      <sheetData sheetId="0">
        <row r="1">
          <cell r="H1">
            <v>4</v>
          </cell>
        </row>
        <row r="2">
          <cell r="H2">
            <v>0.1</v>
          </cell>
        </row>
        <row r="3">
          <cell r="H3">
            <v>100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7_9-1"/>
      <sheetName val="S17_9-2"/>
    </sheetNames>
    <sheetDataSet>
      <sheetData sheetId="0">
        <row r="5">
          <cell r="B5" t="str">
            <v>City</v>
          </cell>
          <cell r="C5" t="str">
            <v>Lat</v>
          </cell>
          <cell r="D5" t="str">
            <v>Long</v>
          </cell>
        </row>
        <row r="6">
          <cell r="B6" t="str">
            <v>New York</v>
          </cell>
          <cell r="C6">
            <v>40.700000000000003</v>
          </cell>
          <cell r="D6">
            <v>73.900000000000006</v>
          </cell>
        </row>
        <row r="7">
          <cell r="B7" t="str">
            <v>Boston</v>
          </cell>
          <cell r="C7">
            <v>42.3</v>
          </cell>
          <cell r="D7">
            <v>71</v>
          </cell>
        </row>
        <row r="8">
          <cell r="B8" t="str">
            <v>Philadelphia</v>
          </cell>
          <cell r="C8">
            <v>40</v>
          </cell>
          <cell r="D8">
            <v>75.099999999999994</v>
          </cell>
        </row>
        <row r="9">
          <cell r="B9" t="str">
            <v>Charlotte</v>
          </cell>
          <cell r="C9">
            <v>35.200000000000003</v>
          </cell>
          <cell r="D9">
            <v>80.8</v>
          </cell>
        </row>
        <row r="10">
          <cell r="B10" t="str">
            <v>Atlanta</v>
          </cell>
          <cell r="C10">
            <v>33.799999999999997</v>
          </cell>
          <cell r="D10">
            <v>84.4</v>
          </cell>
        </row>
        <row r="11">
          <cell r="B11" t="str">
            <v>New Orleans</v>
          </cell>
          <cell r="C11">
            <v>30</v>
          </cell>
          <cell r="D11">
            <v>89.9</v>
          </cell>
        </row>
        <row r="12">
          <cell r="B12" t="str">
            <v>Miami</v>
          </cell>
          <cell r="C12">
            <v>25.8</v>
          </cell>
          <cell r="D12">
            <v>80.2</v>
          </cell>
        </row>
        <row r="13">
          <cell r="B13" t="str">
            <v>Dallas</v>
          </cell>
          <cell r="C13">
            <v>32.799999999999997</v>
          </cell>
          <cell r="D13">
            <v>96.8</v>
          </cell>
        </row>
        <row r="14">
          <cell r="B14" t="str">
            <v>Houston</v>
          </cell>
          <cell r="C14">
            <v>29.8</v>
          </cell>
          <cell r="D14">
            <v>95.4</v>
          </cell>
        </row>
        <row r="15">
          <cell r="B15" t="str">
            <v>Chicago</v>
          </cell>
          <cell r="C15">
            <v>41.8</v>
          </cell>
          <cell r="D15">
            <v>87.7</v>
          </cell>
        </row>
        <row r="16">
          <cell r="B16" t="str">
            <v>Detroit</v>
          </cell>
          <cell r="C16">
            <v>42.4</v>
          </cell>
          <cell r="D16">
            <v>83.1</v>
          </cell>
        </row>
        <row r="17">
          <cell r="B17" t="str">
            <v>Cleveland</v>
          </cell>
          <cell r="C17">
            <v>41.5</v>
          </cell>
          <cell r="D17">
            <v>81.7</v>
          </cell>
        </row>
        <row r="18">
          <cell r="B18" t="str">
            <v>Indy</v>
          </cell>
          <cell r="C18">
            <v>39.799999999999997</v>
          </cell>
          <cell r="D18">
            <v>86.1</v>
          </cell>
        </row>
        <row r="19">
          <cell r="B19" t="str">
            <v>Denver</v>
          </cell>
          <cell r="C19">
            <v>39.799999999999997</v>
          </cell>
          <cell r="D19">
            <v>104.9</v>
          </cell>
        </row>
        <row r="20">
          <cell r="B20" t="str">
            <v>Minneapolis</v>
          </cell>
          <cell r="C20">
            <v>45</v>
          </cell>
          <cell r="D20">
            <v>93.3</v>
          </cell>
        </row>
        <row r="21">
          <cell r="B21" t="str">
            <v>Phoenix</v>
          </cell>
          <cell r="C21">
            <v>33.5</v>
          </cell>
          <cell r="D21">
            <v>112.1</v>
          </cell>
        </row>
        <row r="22">
          <cell r="B22" t="str">
            <v>Salt Lake City</v>
          </cell>
          <cell r="C22">
            <v>40.799999999999997</v>
          </cell>
          <cell r="D22">
            <v>111.9</v>
          </cell>
        </row>
        <row r="23">
          <cell r="B23" t="str">
            <v>LA</v>
          </cell>
          <cell r="C23">
            <v>34.1</v>
          </cell>
          <cell r="D23">
            <v>118.4</v>
          </cell>
        </row>
        <row r="24">
          <cell r="B24" t="str">
            <v>SF</v>
          </cell>
          <cell r="C24">
            <v>37.799999999999997</v>
          </cell>
          <cell r="D24">
            <v>122.6</v>
          </cell>
        </row>
        <row r="25">
          <cell r="B25" t="str">
            <v>SD</v>
          </cell>
          <cell r="C25">
            <v>32.799999999999997</v>
          </cell>
          <cell r="D25">
            <v>117.1</v>
          </cell>
        </row>
        <row r="26">
          <cell r="B26" t="str">
            <v>Seattle</v>
          </cell>
          <cell r="C26">
            <v>41.6</v>
          </cell>
          <cell r="D26">
            <v>122.4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2"/>
  <sheetViews>
    <sheetView topLeftCell="A6" workbookViewId="0">
      <selection activeCell="D21" sqref="D21"/>
    </sheetView>
  </sheetViews>
  <sheetFormatPr defaultRowHeight="12.75" x14ac:dyDescent="0.2"/>
  <cols>
    <col min="2" max="2" width="15.5703125" customWidth="1"/>
    <col min="3" max="3" width="15" bestFit="1" customWidth="1"/>
    <col min="7" max="7" width="15.5703125" bestFit="1" customWidth="1"/>
  </cols>
  <sheetData>
    <row r="2" spans="2:7" x14ac:dyDescent="0.2">
      <c r="B2" t="s">
        <v>0</v>
      </c>
      <c r="C2" s="1">
        <v>12000000</v>
      </c>
    </row>
    <row r="3" spans="2:7" x14ac:dyDescent="0.2">
      <c r="B3" t="s">
        <v>2</v>
      </c>
      <c r="C3" s="1">
        <v>1000000</v>
      </c>
    </row>
    <row r="4" spans="2:7" x14ac:dyDescent="0.2">
      <c r="B4" t="s">
        <v>1</v>
      </c>
      <c r="C4" s="1">
        <v>4</v>
      </c>
    </row>
    <row r="5" spans="2:7" x14ac:dyDescent="0.2">
      <c r="B5" t="s">
        <v>3</v>
      </c>
      <c r="C5" s="1">
        <v>100000</v>
      </c>
    </row>
    <row r="6" spans="2:7" x14ac:dyDescent="0.2">
      <c r="B6" t="s">
        <v>4</v>
      </c>
      <c r="C6" s="1">
        <v>1</v>
      </c>
    </row>
    <row r="7" spans="2:7" x14ac:dyDescent="0.2">
      <c r="B7" t="s">
        <v>5</v>
      </c>
      <c r="C7" s="1">
        <v>15</v>
      </c>
    </row>
    <row r="8" spans="2:7" x14ac:dyDescent="0.2">
      <c r="B8" t="s">
        <v>6</v>
      </c>
      <c r="C8" s="1">
        <v>4</v>
      </c>
    </row>
    <row r="9" spans="2:7" x14ac:dyDescent="0.2">
      <c r="B9" t="s">
        <v>7</v>
      </c>
      <c r="C9">
        <v>1000000</v>
      </c>
    </row>
    <row r="10" spans="2:7" x14ac:dyDescent="0.2">
      <c r="B10" t="s">
        <v>8</v>
      </c>
      <c r="C10">
        <f>paperratiotohard*hardemand</f>
        <v>2000000</v>
      </c>
    </row>
    <row r="11" spans="2:7" x14ac:dyDescent="0.2">
      <c r="B11" t="s">
        <v>10</v>
      </c>
      <c r="C11">
        <v>2</v>
      </c>
      <c r="G11" t="s">
        <v>18</v>
      </c>
    </row>
    <row r="12" spans="2:7" x14ac:dyDescent="0.2">
      <c r="G12">
        <f>profit</f>
        <v>3900000</v>
      </c>
    </row>
    <row r="13" spans="2:7" x14ac:dyDescent="0.2">
      <c r="B13" t="s">
        <v>11</v>
      </c>
      <c r="C13" s="1">
        <f>hardprice*hardemand</f>
        <v>15000000</v>
      </c>
      <c r="F13">
        <v>100000</v>
      </c>
      <c r="G13" s="1">
        <f t="dataTable" ref="G13:G22" dt2D="0" dtr="0" r1="C9"/>
        <v>-11400000</v>
      </c>
    </row>
    <row r="14" spans="2:7" x14ac:dyDescent="0.2">
      <c r="B14" t="s">
        <v>12</v>
      </c>
      <c r="C14" s="1">
        <f>paperprice*paperdemand</f>
        <v>8000000</v>
      </c>
      <c r="E14" t="s">
        <v>17</v>
      </c>
      <c r="F14">
        <v>200000</v>
      </c>
      <c r="G14" s="1">
        <v>-9700000</v>
      </c>
    </row>
    <row r="15" spans="2:7" x14ac:dyDescent="0.2">
      <c r="B15" t="s">
        <v>13</v>
      </c>
      <c r="C15" s="1">
        <f>fchard+fcpaper</f>
        <v>1100000</v>
      </c>
      <c r="F15">
        <v>300000</v>
      </c>
      <c r="G15" s="1">
        <v>-8000000</v>
      </c>
    </row>
    <row r="16" spans="2:7" x14ac:dyDescent="0.2">
      <c r="B16" t="s">
        <v>14</v>
      </c>
      <c r="C16" s="1">
        <f>uchard*hardemand</f>
        <v>4000000</v>
      </c>
      <c r="F16">
        <v>400000</v>
      </c>
      <c r="G16" s="1">
        <v>-6300000</v>
      </c>
    </row>
    <row r="17" spans="2:7" x14ac:dyDescent="0.2">
      <c r="B17" t="s">
        <v>15</v>
      </c>
      <c r="C17" s="1">
        <f>paperdemand*ucpaper</f>
        <v>2000000</v>
      </c>
      <c r="F17">
        <v>500000</v>
      </c>
      <c r="G17" s="1">
        <v>-4600000</v>
      </c>
    </row>
    <row r="18" spans="2:7" x14ac:dyDescent="0.2">
      <c r="B18" t="s">
        <v>16</v>
      </c>
      <c r="C18" s="1">
        <f>royalty</f>
        <v>12000000</v>
      </c>
      <c r="F18">
        <v>600000</v>
      </c>
      <c r="G18" s="1">
        <v>-2900000</v>
      </c>
    </row>
    <row r="19" spans="2:7" x14ac:dyDescent="0.2">
      <c r="B19" t="s">
        <v>9</v>
      </c>
      <c r="C19" s="1">
        <f>hardrev+paperrev-fixed_costs-paper_vc-hard_vc-royalty_exp</f>
        <v>3900000</v>
      </c>
      <c r="F19">
        <v>700000</v>
      </c>
      <c r="G19" s="1">
        <v>-1200000</v>
      </c>
    </row>
    <row r="20" spans="2:7" x14ac:dyDescent="0.2">
      <c r="F20">
        <v>800000</v>
      </c>
      <c r="G20" s="1">
        <v>500000</v>
      </c>
    </row>
    <row r="21" spans="2:7" x14ac:dyDescent="0.2">
      <c r="F21">
        <v>900000</v>
      </c>
      <c r="G21" s="1">
        <v>2200000</v>
      </c>
    </row>
    <row r="22" spans="2:7" x14ac:dyDescent="0.2">
      <c r="F22">
        <v>1000000</v>
      </c>
      <c r="G22" s="1">
        <v>3900000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7EC-ADC4-46B2-9F81-313B52943D88}">
  <sheetPr codeName="Sheet2"/>
  <dimension ref="D4:K19"/>
  <sheetViews>
    <sheetView workbookViewId="0">
      <selection activeCell="E10" sqref="E10:K19"/>
    </sheetView>
  </sheetViews>
  <sheetFormatPr defaultRowHeight="15" x14ac:dyDescent="0.25"/>
  <cols>
    <col min="1" max="4" width="9.140625" style="2"/>
    <col min="5" max="5" width="10.85546875" style="2" bestFit="1" customWidth="1"/>
    <col min="6" max="16384" width="9.140625" style="2"/>
  </cols>
  <sheetData>
    <row r="4" spans="4:11" x14ac:dyDescent="0.25">
      <c r="E4" s="2" t="s">
        <v>19</v>
      </c>
      <c r="F4" s="2">
        <v>5000</v>
      </c>
    </row>
    <row r="5" spans="4:11" x14ac:dyDescent="0.25">
      <c r="E5" s="2" t="s">
        <v>20</v>
      </c>
      <c r="F5" s="2">
        <v>0.04</v>
      </c>
    </row>
    <row r="6" spans="4:11" x14ac:dyDescent="0.25">
      <c r="E6" s="2" t="s">
        <v>21</v>
      </c>
      <c r="F6" s="2">
        <v>10</v>
      </c>
    </row>
    <row r="9" spans="4:11" x14ac:dyDescent="0.25">
      <c r="G9" s="2" t="s">
        <v>21</v>
      </c>
    </row>
    <row r="10" spans="4:11" x14ac:dyDescent="0.25">
      <c r="D10" s="2" t="s">
        <v>20</v>
      </c>
      <c r="E10" s="3">
        <f>FV(F5,F6,-F4,0,0)</f>
        <v>60030.535614793072</v>
      </c>
      <c r="F10" s="2">
        <v>10</v>
      </c>
      <c r="G10" s="2">
        <v>11</v>
      </c>
      <c r="H10" s="2">
        <v>12</v>
      </c>
      <c r="I10" s="2">
        <v>13</v>
      </c>
      <c r="J10" s="2">
        <v>14</v>
      </c>
      <c r="K10" s="2">
        <v>15</v>
      </c>
    </row>
    <row r="11" spans="4:11" x14ac:dyDescent="0.25">
      <c r="E11" s="2">
        <v>0.04</v>
      </c>
      <c r="F11" s="2">
        <f t="dataTable" ref="F11:K19" dt2D="1" dtr="0" r1="F6" r2="F5"/>
        <v>60030.535614793072</v>
      </c>
      <c r="G11" s="2">
        <v>67431.757039384785</v>
      </c>
      <c r="H11" s="2">
        <v>75129.027320960216</v>
      </c>
      <c r="I11" s="2">
        <v>83134.18841379862</v>
      </c>
      <c r="J11" s="2">
        <v>91459.555950350565</v>
      </c>
      <c r="K11" s="2">
        <v>100117.93818836458</v>
      </c>
    </row>
    <row r="12" spans="4:11" x14ac:dyDescent="0.25">
      <c r="E12" s="2">
        <v>0.05</v>
      </c>
      <c r="F12" s="2">
        <v>62889.462677744152</v>
      </c>
      <c r="G12" s="2">
        <v>71033.935811631382</v>
      </c>
      <c r="H12" s="2">
        <v>79585.632602212921</v>
      </c>
      <c r="I12" s="2">
        <v>88564.914232323601</v>
      </c>
      <c r="J12" s="2">
        <v>97993.15994393974</v>
      </c>
      <c r="K12" s="2">
        <v>107892.81794113679</v>
      </c>
    </row>
    <row r="13" spans="4:11" x14ac:dyDescent="0.25">
      <c r="E13" s="2">
        <v>0.06</v>
      </c>
      <c r="F13" s="2">
        <v>65903.97471190455</v>
      </c>
      <c r="G13" s="2">
        <v>74858.213194618846</v>
      </c>
      <c r="H13" s="2">
        <v>84349.705986295987</v>
      </c>
      <c r="I13" s="2">
        <v>94410.688345473769</v>
      </c>
      <c r="J13" s="2">
        <v>105075.32964620218</v>
      </c>
      <c r="K13" s="2">
        <v>116379.84942497438</v>
      </c>
    </row>
    <row r="14" spans="4:11" x14ac:dyDescent="0.25">
      <c r="E14" s="2">
        <v>7.0000000000000007E-2</v>
      </c>
      <c r="F14" s="2">
        <v>69082.239806397542</v>
      </c>
      <c r="G14" s="2">
        <v>78917.996592845375</v>
      </c>
      <c r="H14" s="2">
        <v>89442.256354344529</v>
      </c>
      <c r="I14" s="2">
        <v>100703.21429914866</v>
      </c>
      <c r="J14" s="2">
        <v>112752.43930008906</v>
      </c>
      <c r="K14" s="2">
        <v>125645.11005109533</v>
      </c>
    </row>
    <row r="15" spans="4:11" x14ac:dyDescent="0.25">
      <c r="E15" s="2">
        <v>0.08</v>
      </c>
      <c r="F15" s="2">
        <v>72432.812329549241</v>
      </c>
      <c r="G15" s="2">
        <v>83227.437315913165</v>
      </c>
      <c r="H15" s="2">
        <v>94885.632301186241</v>
      </c>
      <c r="I15" s="2">
        <v>107476.48288528113</v>
      </c>
      <c r="J15" s="2">
        <v>121074.60151610366</v>
      </c>
      <c r="K15" s="2">
        <v>135760.56963739195</v>
      </c>
    </row>
    <row r="16" spans="4:11" x14ac:dyDescent="0.25">
      <c r="E16" s="2">
        <v>0.09</v>
      </c>
      <c r="F16" s="2">
        <v>75964.648588451048</v>
      </c>
      <c r="G16" s="2">
        <v>87801.466961411628</v>
      </c>
      <c r="H16" s="2">
        <v>100703.59898793868</v>
      </c>
      <c r="I16" s="2">
        <v>114766.9228968532</v>
      </c>
      <c r="J16" s="2">
        <v>130095.94595756997</v>
      </c>
      <c r="K16" s="2">
        <v>146804.58109375127</v>
      </c>
    </row>
    <row r="17" spans="5:11" x14ac:dyDescent="0.25">
      <c r="E17" s="2">
        <v>0.1</v>
      </c>
      <c r="F17" s="2">
        <v>79687.123005000089</v>
      </c>
      <c r="G17" s="2">
        <v>92655.835305500121</v>
      </c>
      <c r="H17" s="2">
        <v>106921.41883605013</v>
      </c>
      <c r="I17" s="2">
        <v>122613.56071965514</v>
      </c>
      <c r="J17" s="2">
        <v>139874.91679162069</v>
      </c>
      <c r="K17" s="2">
        <v>158862.40847078277</v>
      </c>
    </row>
    <row r="18" spans="5:11" x14ac:dyDescent="0.25">
      <c r="E18" s="2">
        <v>0.11</v>
      </c>
      <c r="F18" s="2">
        <v>83610.044821318996</v>
      </c>
      <c r="G18" s="2">
        <v>97807.149751664096</v>
      </c>
      <c r="H18" s="2">
        <v>113565.93622434716</v>
      </c>
      <c r="I18" s="2">
        <v>131058.18920902535</v>
      </c>
      <c r="J18" s="2">
        <v>150474.59002201815</v>
      </c>
      <c r="K18" s="2">
        <v>172026.79492444012</v>
      </c>
    </row>
    <row r="19" spans="5:11" x14ac:dyDescent="0.25">
      <c r="E19" s="2">
        <v>0.12</v>
      </c>
      <c r="F19" s="2">
        <v>87743.675347675467</v>
      </c>
      <c r="G19" s="2">
        <v>103272.91638939656</v>
      </c>
      <c r="H19" s="2">
        <v>120665.66635612413</v>
      </c>
      <c r="I19" s="2">
        <v>140145.54631885904</v>
      </c>
      <c r="J19" s="2">
        <v>161963.01187712216</v>
      </c>
      <c r="K19" s="2">
        <v>186398.57330237678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2139-ED0B-4307-94E5-1F30165AD3DF}">
  <sheetPr codeName="Sheet3"/>
  <dimension ref="D2:I22"/>
  <sheetViews>
    <sheetView workbookViewId="0">
      <selection activeCell="E23" sqref="E23"/>
    </sheetView>
  </sheetViews>
  <sheetFormatPr defaultRowHeight="15" x14ac:dyDescent="0.25"/>
  <cols>
    <col min="1" max="4" width="9.140625" style="2"/>
    <col min="5" max="5" width="20.28515625" style="2" customWidth="1"/>
    <col min="6" max="16384" width="9.140625" style="2"/>
  </cols>
  <sheetData>
    <row r="2" spans="4:9" x14ac:dyDescent="0.25">
      <c r="E2" s="2" t="s">
        <v>22</v>
      </c>
      <c r="F2" s="2">
        <v>365</v>
      </c>
    </row>
    <row r="3" spans="4:9" x14ac:dyDescent="0.25">
      <c r="E3" s="2" t="s">
        <v>21</v>
      </c>
      <c r="F3" s="2">
        <v>5</v>
      </c>
    </row>
    <row r="5" spans="4:9" x14ac:dyDescent="0.25">
      <c r="G5" s="2" t="s">
        <v>22</v>
      </c>
      <c r="I5" s="2" t="s">
        <v>23</v>
      </c>
    </row>
    <row r="6" spans="4:9" x14ac:dyDescent="0.25">
      <c r="E6" s="2">
        <f>(1+(0.1/F2))^(F3*F2)</f>
        <v>1.6486083690727866</v>
      </c>
      <c r="F6" s="2">
        <v>365</v>
      </c>
      <c r="G6" s="2">
        <v>12</v>
      </c>
      <c r="H6" s="2">
        <v>4</v>
      </c>
      <c r="I6" s="2">
        <v>2</v>
      </c>
    </row>
    <row r="7" spans="4:9" x14ac:dyDescent="0.25">
      <c r="E7" s="2">
        <v>5</v>
      </c>
      <c r="F7" s="2">
        <f t="dataTable" ref="F7:I17" dt2D="1" dtr="0" r1="F2" r2="F3"/>
        <v>1.6486083690727866</v>
      </c>
      <c r="G7" s="2">
        <v>1.6453089347785848</v>
      </c>
      <c r="H7" s="2">
        <v>1.6386164402903955</v>
      </c>
      <c r="I7" s="2">
        <v>1.6288946267774416</v>
      </c>
    </row>
    <row r="8" spans="4:9" x14ac:dyDescent="0.25">
      <c r="E8" s="2">
        <v>6</v>
      </c>
      <c r="F8" s="2">
        <v>1.8219690707016885</v>
      </c>
      <c r="G8" s="2">
        <v>1.8175942802278227</v>
      </c>
      <c r="H8" s="2">
        <v>1.8087259495825889</v>
      </c>
      <c r="I8" s="2">
        <v>1.7958563260221292</v>
      </c>
    </row>
    <row r="9" spans="4:9" x14ac:dyDescent="0.25">
      <c r="E9" s="2">
        <v>7</v>
      </c>
      <c r="F9" s="2">
        <v>2.013559652411915</v>
      </c>
      <c r="G9" s="2">
        <v>2.0079201526742336</v>
      </c>
      <c r="H9" s="2">
        <v>1.9964950187572048</v>
      </c>
      <c r="I9" s="2">
        <v>1.9799315994393973</v>
      </c>
    </row>
    <row r="10" spans="4:9" x14ac:dyDescent="0.25">
      <c r="D10" s="2" t="s">
        <v>21</v>
      </c>
      <c r="E10" s="2">
        <v>8</v>
      </c>
      <c r="F10" s="2">
        <v>2.2252970914921888</v>
      </c>
      <c r="G10" s="2">
        <v>2.2181756310379499</v>
      </c>
      <c r="H10" s="2">
        <v>2.2037569377728037</v>
      </c>
      <c r="I10" s="2">
        <v>2.182874588381936</v>
      </c>
    </row>
    <row r="11" spans="4:9" x14ac:dyDescent="0.25">
      <c r="E11" s="2">
        <v>9</v>
      </c>
      <c r="F11" s="2">
        <v>2.4592999464763654</v>
      </c>
      <c r="G11" s="2">
        <v>2.4504476054874678</v>
      </c>
      <c r="H11" s="2">
        <v>2.4325353157178964</v>
      </c>
      <c r="I11" s="2">
        <v>2.4066192336910848</v>
      </c>
    </row>
    <row r="12" spans="4:9" x14ac:dyDescent="0.25">
      <c r="E12" s="2">
        <v>10</v>
      </c>
      <c r="F12" s="2">
        <v>2.717909554576833</v>
      </c>
      <c r="G12" s="2">
        <v>2.7070414908622409</v>
      </c>
      <c r="H12" s="2">
        <v>2.6850638383899672</v>
      </c>
      <c r="I12" s="2">
        <v>2.6532977051444209</v>
      </c>
    </row>
    <row r="13" spans="4:9" x14ac:dyDescent="0.25">
      <c r="E13" s="2">
        <v>11</v>
      </c>
      <c r="F13" s="2">
        <v>3.0037134581505711</v>
      </c>
      <c r="G13" s="2">
        <v>2.9905041090612867</v>
      </c>
      <c r="H13" s="2">
        <v>2.9638080769658868</v>
      </c>
      <c r="I13" s="2">
        <v>2.9252607199217238</v>
      </c>
    </row>
    <row r="14" spans="4:9" x14ac:dyDescent="0.25">
      <c r="E14" s="2">
        <v>12</v>
      </c>
      <c r="F14" s="2">
        <v>3.3195712945935743</v>
      </c>
      <c r="G14" s="2">
        <v>3.3036489675168963</v>
      </c>
      <c r="H14" s="2">
        <v>3.2714895606934378</v>
      </c>
      <c r="I14" s="2">
        <v>3.2250999437137007</v>
      </c>
    </row>
    <row r="15" spans="4:9" x14ac:dyDescent="0.25">
      <c r="E15" s="2">
        <v>13</v>
      </c>
      <c r="F15" s="2">
        <v>3.6686434087073523</v>
      </c>
      <c r="G15" s="2">
        <v>3.6495841846548638</v>
      </c>
      <c r="H15" s="2">
        <v>3.6111123486385344</v>
      </c>
      <c r="I15" s="2">
        <v>3.5556726879443552</v>
      </c>
    </row>
    <row r="16" spans="4:9" x14ac:dyDescent="0.25">
      <c r="E16" s="2">
        <v>14</v>
      </c>
      <c r="F16" s="2">
        <v>4.0544224738211927</v>
      </c>
      <c r="G16" s="2">
        <v>4.0317433395153177</v>
      </c>
      <c r="H16" s="2">
        <v>3.9859923599223328</v>
      </c>
      <c r="I16" s="2">
        <v>3.9201291384586514</v>
      </c>
    </row>
    <row r="17" spans="5:9" x14ac:dyDescent="0.25">
      <c r="E17" s="2">
        <v>15</v>
      </c>
      <c r="F17" s="2">
        <v>4.4807684380582566</v>
      </c>
      <c r="G17" s="2">
        <v>4.4539195517319845</v>
      </c>
      <c r="H17" s="2">
        <v>4.3997897488150342</v>
      </c>
      <c r="I17" s="2">
        <v>4.3219423751506625</v>
      </c>
    </row>
    <row r="21" spans="5:9" x14ac:dyDescent="0.25">
      <c r="E21" s="2" t="s">
        <v>24</v>
      </c>
    </row>
    <row r="22" spans="5:9" x14ac:dyDescent="0.25">
      <c r="E2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51C-4221-4D14-A0B5-958951FC2FDA}">
  <sheetPr codeName="Sheet4"/>
  <dimension ref="E1:M26"/>
  <sheetViews>
    <sheetView topLeftCell="B1" workbookViewId="0">
      <selection activeCell="G6" sqref="G6"/>
    </sheetView>
  </sheetViews>
  <sheetFormatPr defaultRowHeight="12.75" x14ac:dyDescent="0.2"/>
  <cols>
    <col min="1" max="4" width="9.140625" style="4"/>
    <col min="5" max="5" width="18.28515625" style="4" customWidth="1"/>
    <col min="6" max="6" width="9.140625" style="4"/>
    <col min="7" max="7" width="14" style="4" customWidth="1"/>
    <col min="8" max="16384" width="9.140625" style="4"/>
  </cols>
  <sheetData>
    <row r="1" spans="5:13" x14ac:dyDescent="0.2">
      <c r="G1" s="4" t="s">
        <v>26</v>
      </c>
      <c r="H1" s="4">
        <v>4</v>
      </c>
    </row>
    <row r="2" spans="5:13" x14ac:dyDescent="0.2">
      <c r="G2" s="4" t="s">
        <v>27</v>
      </c>
      <c r="H2" s="4">
        <v>0.1</v>
      </c>
    </row>
    <row r="3" spans="5:13" x14ac:dyDescent="0.2">
      <c r="G3" s="4" t="s">
        <v>28</v>
      </c>
      <c r="H3" s="4">
        <v>100</v>
      </c>
    </row>
    <row r="6" spans="5:13" x14ac:dyDescent="0.2">
      <c r="F6" s="4" t="s">
        <v>29</v>
      </c>
      <c r="G6" s="4" t="str">
        <f>IFERROR(NPER(RATE,-WITHDRAWN,INITIAL_AMT,0,0),"FOREVER")</f>
        <v>FOREVER</v>
      </c>
    </row>
    <row r="7" spans="5:13" x14ac:dyDescent="0.2">
      <c r="G7" s="4" t="s">
        <v>30</v>
      </c>
    </row>
    <row r="8" spans="5:13" x14ac:dyDescent="0.2">
      <c r="F8" s="4" t="str">
        <f>G6</f>
        <v>FOREVER</v>
      </c>
      <c r="G8" s="4">
        <v>0.03</v>
      </c>
      <c r="H8" s="4">
        <v>0.04</v>
      </c>
      <c r="I8" s="4">
        <v>0.05</v>
      </c>
      <c r="J8" s="4">
        <v>0.06</v>
      </c>
      <c r="K8" s="4">
        <v>7.0000000000000007E-2</v>
      </c>
      <c r="L8" s="4">
        <v>0.08</v>
      </c>
      <c r="M8" s="4">
        <v>0.09</v>
      </c>
    </row>
    <row r="9" spans="5:13" x14ac:dyDescent="0.2">
      <c r="F9" s="4">
        <v>4</v>
      </c>
      <c r="G9" s="4">
        <f t="dataTable" ref="G9:M15" dt2D="1" dtr="0" r1="H2" r2="H1"/>
        <v>46.899544500875471</v>
      </c>
      <c r="H9" s="4" t="str">
        <v>FOREVER</v>
      </c>
      <c r="I9" s="4" t="str">
        <v>FOREVER</v>
      </c>
      <c r="J9" s="4" t="str">
        <v>FOREVER</v>
      </c>
      <c r="K9" s="4" t="str">
        <v>FOREVER</v>
      </c>
      <c r="L9" s="4" t="str">
        <v>FOREVER</v>
      </c>
      <c r="M9" s="4" t="str">
        <v>FOREVER</v>
      </c>
    </row>
    <row r="10" spans="5:13" x14ac:dyDescent="0.2">
      <c r="F10" s="4">
        <v>5</v>
      </c>
      <c r="G10" s="4">
        <v>30.998912756563694</v>
      </c>
      <c r="H10" s="4">
        <v>41.035406626701011</v>
      </c>
      <c r="I10" s="4" t="str">
        <v>FOREVER</v>
      </c>
      <c r="J10" s="4" t="str">
        <v>FOREVER</v>
      </c>
      <c r="K10" s="4" t="str">
        <v>FOREVER</v>
      </c>
      <c r="L10" s="4" t="str">
        <v>FOREVER</v>
      </c>
      <c r="M10" s="4" t="str">
        <v>FOREVER</v>
      </c>
    </row>
    <row r="11" spans="5:13" x14ac:dyDescent="0.2">
      <c r="F11" s="4">
        <v>6</v>
      </c>
      <c r="G11" s="4">
        <v>23.449772250437736</v>
      </c>
      <c r="H11" s="4">
        <v>28.011022756637367</v>
      </c>
      <c r="I11" s="4">
        <v>36.723784388301482</v>
      </c>
      <c r="J11" s="4" t="str">
        <v>FOREVER</v>
      </c>
      <c r="K11" s="4" t="str">
        <v>FOREVER</v>
      </c>
      <c r="L11" s="4" t="str">
        <v>FOREVER</v>
      </c>
      <c r="M11" s="4" t="str">
        <v>FOREVER</v>
      </c>
    </row>
    <row r="12" spans="5:13" x14ac:dyDescent="0.2">
      <c r="E12" s="4" t="s">
        <v>31</v>
      </c>
      <c r="F12" s="4">
        <v>7</v>
      </c>
      <c r="G12" s="4">
        <v>18.932289047520726</v>
      </c>
      <c r="H12" s="4">
        <v>21.603326208674918</v>
      </c>
      <c r="I12" s="4">
        <v>25.676547513653325</v>
      </c>
      <c r="J12" s="4">
        <v>33.395342588453829</v>
      </c>
      <c r="K12" s="4" t="str">
        <v>FOREVER</v>
      </c>
      <c r="L12" s="4" t="str">
        <v>FOREVER</v>
      </c>
      <c r="M12" s="4" t="str">
        <v>FOREVER</v>
      </c>
    </row>
    <row r="13" spans="5:13" x14ac:dyDescent="0.2">
      <c r="F13" s="4">
        <v>8</v>
      </c>
      <c r="G13" s="4">
        <v>15.900631744311783</v>
      </c>
      <c r="H13" s="4">
        <v>17.672987685129698</v>
      </c>
      <c r="I13" s="4">
        <v>20.103011943260359</v>
      </c>
      <c r="J13" s="4">
        <v>23.79132209188375</v>
      </c>
      <c r="K13" s="4">
        <v>30.734305053176143</v>
      </c>
      <c r="L13" s="4" t="str">
        <v>FOREVER</v>
      </c>
      <c r="M13" s="4" t="str">
        <v>FOREVER</v>
      </c>
    </row>
    <row r="14" spans="5:13" x14ac:dyDescent="0.2">
      <c r="F14" s="4">
        <v>9</v>
      </c>
      <c r="G14" s="4">
        <v>13.717237416957632</v>
      </c>
      <c r="H14" s="4">
        <v>14.986638886573713</v>
      </c>
      <c r="I14" s="4">
        <v>16.620772445041119</v>
      </c>
      <c r="J14" s="4">
        <v>18.85417667910728</v>
      </c>
      <c r="K14" s="4">
        <v>22.230378978947236</v>
      </c>
      <c r="L14" s="4">
        <v>28.549829172006355</v>
      </c>
      <c r="M14" s="4" t="str">
        <v>FOREVER</v>
      </c>
    </row>
    <row r="15" spans="5:13" x14ac:dyDescent="0.2">
      <c r="F15" s="4">
        <v>10</v>
      </c>
      <c r="G15" s="4">
        <v>12.066623709042966</v>
      </c>
      <c r="H15" s="4">
        <v>13.024383870063653</v>
      </c>
      <c r="I15" s="4">
        <v>14.206699082890461</v>
      </c>
      <c r="J15" s="4">
        <v>15.725208543887753</v>
      </c>
      <c r="K15" s="4">
        <v>17.794810145991843</v>
      </c>
      <c r="L15" s="4">
        <v>20.912371879004763</v>
      </c>
      <c r="M15" s="4">
        <v>26.719037447384963</v>
      </c>
    </row>
    <row r="26" spans="8:8" x14ac:dyDescent="0.2">
      <c r="H26" s="4" t="s">
        <v>32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4127-A982-47EC-9F3C-9DA5AEBAD348}">
  <sheetPr codeName="Sheet5"/>
  <dimension ref="C7:E37"/>
  <sheetViews>
    <sheetView topLeftCell="A8" workbookViewId="0">
      <selection activeCell="D9" sqref="D9"/>
    </sheetView>
  </sheetViews>
  <sheetFormatPr defaultRowHeight="12.75" x14ac:dyDescent="0.2"/>
  <cols>
    <col min="1" max="16384" width="9.140625" style="4"/>
  </cols>
  <sheetData>
    <row r="7" spans="4:5" x14ac:dyDescent="0.2">
      <c r="D7" s="4" t="s">
        <v>33</v>
      </c>
    </row>
    <row r="10" spans="4:5" x14ac:dyDescent="0.2">
      <c r="D10" s="4" t="s">
        <v>34</v>
      </c>
    </row>
    <row r="12" spans="4:5" x14ac:dyDescent="0.2">
      <c r="E12" s="4" t="s">
        <v>35</v>
      </c>
    </row>
    <row r="14" spans="4:5" x14ac:dyDescent="0.2">
      <c r="E14" s="4" t="s">
        <v>36</v>
      </c>
    </row>
    <row r="15" spans="4:5" x14ac:dyDescent="0.2">
      <c r="E15" s="4">
        <v>0.01</v>
      </c>
    </row>
    <row r="16" spans="4:5" x14ac:dyDescent="0.2">
      <c r="E16" s="4" t="s">
        <v>37</v>
      </c>
    </row>
    <row r="17" spans="3:5" x14ac:dyDescent="0.2">
      <c r="E17" s="4">
        <f>LN(2)/LN(1+E15)</f>
        <v>69.660716893574829</v>
      </c>
    </row>
    <row r="18" spans="3:5" x14ac:dyDescent="0.2">
      <c r="D18" s="4">
        <v>0.01</v>
      </c>
      <c r="E18" s="4">
        <f t="dataTable" ref="E18:E37" dt2D="0" dtr="0" r1="E15"/>
        <v>69.660716893574829</v>
      </c>
    </row>
    <row r="19" spans="3:5" x14ac:dyDescent="0.2">
      <c r="D19" s="4">
        <v>0.02</v>
      </c>
      <c r="E19" s="4">
        <v>35.002788781146499</v>
      </c>
    </row>
    <row r="20" spans="3:5" x14ac:dyDescent="0.2">
      <c r="D20" s="4">
        <v>0.03</v>
      </c>
      <c r="E20" s="4">
        <v>23.449772250437736</v>
      </c>
    </row>
    <row r="21" spans="3:5" x14ac:dyDescent="0.2">
      <c r="D21" s="4">
        <v>0.04</v>
      </c>
      <c r="E21" s="4">
        <v>17.672987685129698</v>
      </c>
    </row>
    <row r="22" spans="3:5" x14ac:dyDescent="0.2">
      <c r="D22" s="4">
        <v>0.05</v>
      </c>
      <c r="E22" s="4">
        <v>14.206699082890461</v>
      </c>
    </row>
    <row r="23" spans="3:5" x14ac:dyDescent="0.2">
      <c r="D23" s="4">
        <v>0.06</v>
      </c>
      <c r="E23" s="4">
        <v>11.895661045941875</v>
      </c>
    </row>
    <row r="24" spans="3:5" x14ac:dyDescent="0.2">
      <c r="D24" s="4">
        <v>7.0000000000000007E-2</v>
      </c>
      <c r="E24" s="4">
        <v>10.244768351058712</v>
      </c>
    </row>
    <row r="25" spans="3:5" x14ac:dyDescent="0.2">
      <c r="D25" s="4">
        <v>0.08</v>
      </c>
      <c r="E25" s="4">
        <v>9.0064683420005878</v>
      </c>
    </row>
    <row r="26" spans="3:5" x14ac:dyDescent="0.2">
      <c r="D26" s="4">
        <v>0.09</v>
      </c>
      <c r="E26" s="4">
        <v>8.0432317269320457</v>
      </c>
    </row>
    <row r="27" spans="3:5" x14ac:dyDescent="0.2">
      <c r="D27" s="4">
        <v>0.1</v>
      </c>
      <c r="E27" s="4">
        <v>7.2725408973417132</v>
      </c>
    </row>
    <row r="28" spans="3:5" x14ac:dyDescent="0.2">
      <c r="D28" s="4">
        <v>0.11</v>
      </c>
      <c r="E28" s="4">
        <v>6.6418846184179028</v>
      </c>
    </row>
    <row r="29" spans="3:5" x14ac:dyDescent="0.2">
      <c r="C29" s="4" t="s">
        <v>36</v>
      </c>
      <c r="D29" s="4">
        <v>0.12</v>
      </c>
      <c r="E29" s="4">
        <v>6.1162553741996994</v>
      </c>
    </row>
    <row r="30" spans="3:5" x14ac:dyDescent="0.2">
      <c r="D30" s="4">
        <v>0.13</v>
      </c>
      <c r="E30" s="4">
        <v>5.6714171687799224</v>
      </c>
    </row>
    <row r="31" spans="3:5" x14ac:dyDescent="0.2">
      <c r="D31" s="4">
        <v>0.14000000000000001</v>
      </c>
      <c r="E31" s="4">
        <v>5.2900585555354711</v>
      </c>
    </row>
    <row r="32" spans="3:5" x14ac:dyDescent="0.2">
      <c r="D32" s="4">
        <v>0.15</v>
      </c>
      <c r="E32" s="4">
        <v>4.9594844546403909</v>
      </c>
    </row>
    <row r="33" spans="4:5" x14ac:dyDescent="0.2">
      <c r="D33" s="4">
        <v>0.16</v>
      </c>
      <c r="E33" s="4">
        <v>4.6701735389888235</v>
      </c>
    </row>
    <row r="34" spans="4:5" x14ac:dyDescent="0.2">
      <c r="D34" s="4">
        <v>0.17</v>
      </c>
      <c r="E34" s="4">
        <v>4.414844778007474</v>
      </c>
    </row>
    <row r="35" spans="4:5" x14ac:dyDescent="0.2">
      <c r="D35" s="4">
        <v>0.18</v>
      </c>
      <c r="E35" s="4">
        <v>4.1878351335123218</v>
      </c>
    </row>
    <row r="36" spans="4:5" x14ac:dyDescent="0.2">
      <c r="D36" s="4">
        <v>0.19</v>
      </c>
      <c r="E36" s="4">
        <v>3.9846737726468469</v>
      </c>
    </row>
    <row r="37" spans="4:5" x14ac:dyDescent="0.2">
      <c r="D37" s="4">
        <v>0.2</v>
      </c>
      <c r="E37" s="4">
        <v>3.8017840169239308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A958-576A-4084-B479-00947E9B0358}">
  <sheetPr codeName="Sheet6"/>
  <dimension ref="E6:L18"/>
  <sheetViews>
    <sheetView workbookViewId="0">
      <selection activeCell="D9" sqref="D9"/>
    </sheetView>
  </sheetViews>
  <sheetFormatPr defaultRowHeight="12.75" x14ac:dyDescent="0.2"/>
  <cols>
    <col min="1" max="16384" width="9.140625" style="4"/>
  </cols>
  <sheetData>
    <row r="6" spans="5:12" x14ac:dyDescent="0.2">
      <c r="F6" s="4" t="s">
        <v>38</v>
      </c>
      <c r="G6" s="4">
        <v>200000</v>
      </c>
    </row>
    <row r="7" spans="5:12" x14ac:dyDescent="0.2">
      <c r="F7" s="4" t="s">
        <v>21</v>
      </c>
      <c r="G7" s="4">
        <v>10</v>
      </c>
    </row>
    <row r="8" spans="5:12" x14ac:dyDescent="0.2">
      <c r="F8" s="4" t="s">
        <v>39</v>
      </c>
      <c r="G8" s="4">
        <v>0.06</v>
      </c>
    </row>
    <row r="10" spans="5:12" x14ac:dyDescent="0.2">
      <c r="F10" s="4" t="s">
        <v>40</v>
      </c>
    </row>
    <row r="11" spans="5:12" x14ac:dyDescent="0.2">
      <c r="F11" s="4">
        <f>CUMIPMT(G8/12,12*G7,G6,1,12*G7,0)</f>
        <v>-66449.20465995869</v>
      </c>
    </row>
    <row r="12" spans="5:12" x14ac:dyDescent="0.2">
      <c r="G12" s="4" t="s">
        <v>36</v>
      </c>
    </row>
    <row r="13" spans="5:12" x14ac:dyDescent="0.2">
      <c r="F13" s="4">
        <f>-F11</f>
        <v>66449.20465995869</v>
      </c>
      <c r="G13" s="4">
        <v>0.05</v>
      </c>
      <c r="H13" s="4">
        <v>0.06</v>
      </c>
      <c r="I13" s="4">
        <v>7.0000000000000007E-2</v>
      </c>
      <c r="J13" s="4">
        <v>0.08</v>
      </c>
      <c r="K13" s="4">
        <v>0.09</v>
      </c>
      <c r="L13" s="4">
        <v>0.1</v>
      </c>
    </row>
    <row r="14" spans="5:12" x14ac:dyDescent="0.2">
      <c r="E14" s="4" t="s">
        <v>41</v>
      </c>
      <c r="F14" s="4">
        <v>10</v>
      </c>
      <c r="G14" s="4">
        <f t="dataTable" ref="G14:L18" dt2D="1" dtr="0" r1="G8" r2="G7"/>
        <v>54557.236573780567</v>
      </c>
      <c r="H14" s="4">
        <v>66449.20465995869</v>
      </c>
      <c r="I14" s="4">
        <v>78660.350124697754</v>
      </c>
      <c r="J14" s="4">
        <v>91186.226452856616</v>
      </c>
      <c r="K14" s="4">
        <v>104021.85700059871</v>
      </c>
      <c r="L14" s="4">
        <v>117161.76851622798</v>
      </c>
    </row>
    <row r="15" spans="5:12" x14ac:dyDescent="0.2">
      <c r="F15" s="4">
        <v>15</v>
      </c>
      <c r="G15" s="4">
        <v>84685.705626956071</v>
      </c>
      <c r="H15" s="4">
        <v>103788.45809744249</v>
      </c>
      <c r="I15" s="4">
        <v>123578.17750687368</v>
      </c>
      <c r="J15" s="4">
        <v>144034.75035892657</v>
      </c>
      <c r="K15" s="4">
        <v>165135.97029824249</v>
      </c>
      <c r="L15" s="4">
        <v>186857.84237492183</v>
      </c>
    </row>
    <row r="16" spans="5:12" x14ac:dyDescent="0.2">
      <c r="F16" s="4">
        <v>20</v>
      </c>
      <c r="G16" s="4">
        <v>116778.75482399558</v>
      </c>
      <c r="H16" s="4">
        <v>143886.90806951912</v>
      </c>
      <c r="I16" s="4">
        <v>172143.48909705979</v>
      </c>
      <c r="J16" s="4">
        <v>201491.23311686213</v>
      </c>
      <c r="K16" s="4">
        <v>231868.458808083</v>
      </c>
      <c r="L16" s="4">
        <v>263210.38963552378</v>
      </c>
    </row>
    <row r="17" spans="6:12" x14ac:dyDescent="0.2">
      <c r="F17" s="4">
        <v>25</v>
      </c>
      <c r="G17" s="4">
        <v>150754.02490478751</v>
      </c>
      <c r="H17" s="4">
        <v>186580.84089130515</v>
      </c>
      <c r="I17" s="4">
        <v>224067.518365055</v>
      </c>
      <c r="J17" s="4">
        <v>263089.73162380181</v>
      </c>
      <c r="K17" s="4">
        <v>303517.818180906</v>
      </c>
      <c r="L17" s="4">
        <v>345220.44732403627</v>
      </c>
    </row>
    <row r="18" spans="6:12" x14ac:dyDescent="0.2">
      <c r="F18" s="4">
        <v>30</v>
      </c>
      <c r="G18" s="4">
        <v>186511.56856874016</v>
      </c>
      <c r="H18" s="4">
        <v>231676.37810998174</v>
      </c>
      <c r="I18" s="4">
        <v>279017.79652901192</v>
      </c>
      <c r="J18" s="4">
        <v>328310.49319315085</v>
      </c>
      <c r="K18" s="4">
        <v>379328.28420024354</v>
      </c>
      <c r="L18" s="4">
        <v>431851.53046393511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4498-0662-43D0-9128-EE1257B1AADC}">
  <sheetPr codeName="Sheet7">
    <pageSetUpPr fitToPage="1"/>
  </sheetPr>
  <dimension ref="B2:N26"/>
  <sheetViews>
    <sheetView topLeftCell="A7" zoomScale="90" workbookViewId="0">
      <selection sqref="A1:IV65536"/>
    </sheetView>
  </sheetViews>
  <sheetFormatPr defaultRowHeight="12.75" x14ac:dyDescent="0.2"/>
  <cols>
    <col min="1" max="2" width="9.140625" style="5"/>
    <col min="3" max="3" width="15.5703125" style="5" customWidth="1"/>
    <col min="4" max="4" width="14" style="5" customWidth="1"/>
    <col min="5" max="16384" width="9.140625" style="5"/>
  </cols>
  <sheetData>
    <row r="2" spans="3:14" x14ac:dyDescent="0.2">
      <c r="C2" s="5" t="s">
        <v>42</v>
      </c>
      <c r="D2" s="5">
        <v>7950.45751953125</v>
      </c>
    </row>
    <row r="3" spans="3:14" x14ac:dyDescent="0.2">
      <c r="C3" s="5" t="s">
        <v>36</v>
      </c>
      <c r="D3" s="5">
        <v>5.000000074505806E-2</v>
      </c>
    </row>
    <row r="4" spans="3:14" x14ac:dyDescent="0.2">
      <c r="C4" s="5" t="s">
        <v>43</v>
      </c>
      <c r="D4" s="6">
        <f>FV(D3,D5,-D2,0,0)</f>
        <v>100000.00063686896</v>
      </c>
    </row>
    <row r="5" spans="3:14" x14ac:dyDescent="0.2">
      <c r="C5" s="5" t="s">
        <v>21</v>
      </c>
      <c r="D5" s="5">
        <v>10</v>
      </c>
    </row>
    <row r="7" spans="3:14" x14ac:dyDescent="0.2">
      <c r="C7" s="5" t="s">
        <v>44</v>
      </c>
      <c r="D7" s="6">
        <f>-PMT(D3,D5,100000/(1+D3)^D5,0,0)</f>
        <v>7950.4574688972607</v>
      </c>
    </row>
    <row r="9" spans="3:14" x14ac:dyDescent="0.2">
      <c r="C9" s="5" t="s">
        <v>45</v>
      </c>
    </row>
    <row r="10" spans="3:14" x14ac:dyDescent="0.2">
      <c r="C10" s="5" t="s">
        <v>46</v>
      </c>
    </row>
    <row r="11" spans="3:14" x14ac:dyDescent="0.2">
      <c r="C11" s="5" t="s">
        <v>47</v>
      </c>
    </row>
    <row r="13" spans="3:14" x14ac:dyDescent="0.2">
      <c r="C13" s="6">
        <f>D7</f>
        <v>7950.4574688972607</v>
      </c>
      <c r="D13" s="5">
        <v>5</v>
      </c>
      <c r="E13" s="5">
        <v>6</v>
      </c>
      <c r="F13" s="5">
        <v>7</v>
      </c>
      <c r="G13" s="5">
        <v>8</v>
      </c>
      <c r="H13" s="5">
        <v>9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15</v>
      </c>
    </row>
    <row r="14" spans="3:14" x14ac:dyDescent="0.2">
      <c r="C14" s="7">
        <v>0.05</v>
      </c>
      <c r="D14" s="5">
        <f t="dataTable" ref="D14:N24" dt2D="1" dtr="0" r1="D5" r2="D3"/>
        <v>18097.479812826812</v>
      </c>
      <c r="E14" s="5">
        <v>14701.746811018829</v>
      </c>
      <c r="F14" s="5">
        <v>12281.981844617072</v>
      </c>
      <c r="G14" s="5">
        <v>10472.181362768115</v>
      </c>
      <c r="H14" s="5">
        <v>9069.0079975787794</v>
      </c>
      <c r="I14" s="5">
        <v>7950.4574965456668</v>
      </c>
      <c r="J14" s="5">
        <v>7038.8891490668047</v>
      </c>
      <c r="K14" s="5">
        <v>6282.5410020815407</v>
      </c>
      <c r="L14" s="5">
        <v>5645.5765167727641</v>
      </c>
      <c r="M14" s="5">
        <v>5102.3969457260246</v>
      </c>
      <c r="N14" s="5">
        <v>4634.2287609244358</v>
      </c>
    </row>
    <row r="15" spans="3:14" x14ac:dyDescent="0.2">
      <c r="C15" s="5">
        <v>0.06</v>
      </c>
      <c r="D15" s="8">
        <v>17739.640043118954</v>
      </c>
      <c r="E15" s="9">
        <v>14336.262847489545</v>
      </c>
      <c r="F15" s="9">
        <v>11913.501805901084</v>
      </c>
      <c r="G15" s="9">
        <v>10103.594264812908</v>
      </c>
      <c r="H15" s="9">
        <v>8702.2235003063688</v>
      </c>
      <c r="I15" s="9">
        <v>7586.7958220383798</v>
      </c>
      <c r="J15" s="9">
        <v>6679.293809753166</v>
      </c>
      <c r="K15" s="9">
        <v>5927.7029380663607</v>
      </c>
      <c r="L15" s="9">
        <v>5296.0105340019099</v>
      </c>
      <c r="M15" s="9">
        <v>4758.4909006095349</v>
      </c>
      <c r="N15" s="10">
        <v>4296.2763955312657</v>
      </c>
    </row>
    <row r="16" spans="3:14" x14ac:dyDescent="0.2">
      <c r="C16" s="5">
        <v>7.0000000000000007E-2</v>
      </c>
      <c r="D16" s="11">
        <v>17389.069444137407</v>
      </c>
      <c r="E16" s="5">
        <v>13979.579975832812</v>
      </c>
      <c r="F16" s="5">
        <v>11555.321963115934</v>
      </c>
      <c r="G16" s="5">
        <v>9746.7762490754631</v>
      </c>
      <c r="H16" s="5">
        <v>8348.6470138421901</v>
      </c>
      <c r="I16" s="5">
        <v>7237.7502727364699</v>
      </c>
      <c r="J16" s="5">
        <v>6335.6904836244858</v>
      </c>
      <c r="K16" s="5">
        <v>5590.1988655020468</v>
      </c>
      <c r="L16" s="5">
        <v>4965.0848136257264</v>
      </c>
      <c r="M16" s="5">
        <v>4434.4938619842796</v>
      </c>
      <c r="N16" s="12">
        <v>3979.4624701006528</v>
      </c>
    </row>
    <row r="17" spans="2:14" x14ac:dyDescent="0.2">
      <c r="B17" s="5" t="s">
        <v>36</v>
      </c>
      <c r="C17" s="7">
        <v>0.08</v>
      </c>
      <c r="D17" s="11">
        <v>17045.645456683655</v>
      </c>
      <c r="E17" s="5">
        <v>13631.538622900978</v>
      </c>
      <c r="F17" s="5">
        <v>11207.240142841052</v>
      </c>
      <c r="G17" s="5">
        <v>9401.4760591822142</v>
      </c>
      <c r="H17" s="5">
        <v>8007.9709171994709</v>
      </c>
      <c r="I17" s="5">
        <v>6902.9488697075394</v>
      </c>
      <c r="J17" s="5">
        <v>6007.6342144491291</v>
      </c>
      <c r="K17" s="5">
        <v>5269.5016924469519</v>
      </c>
      <c r="L17" s="5">
        <v>4652.1805196555697</v>
      </c>
      <c r="M17" s="5">
        <v>4129.6852827840794</v>
      </c>
      <c r="N17" s="12">
        <v>3682.9544936020015</v>
      </c>
    </row>
    <row r="18" spans="2:14" x14ac:dyDescent="0.2">
      <c r="C18" s="5">
        <v>0.09</v>
      </c>
      <c r="D18" s="11">
        <v>16709.24569567449</v>
      </c>
      <c r="E18" s="5">
        <v>13291.978329203697</v>
      </c>
      <c r="F18" s="5">
        <v>10869.051683359296</v>
      </c>
      <c r="G18" s="5">
        <v>9067.4377837496304</v>
      </c>
      <c r="H18" s="5">
        <v>7679.8802057154844</v>
      </c>
      <c r="I18" s="5">
        <v>6582.0089909033759</v>
      </c>
      <c r="J18" s="5">
        <v>5694.6656736355899</v>
      </c>
      <c r="K18" s="5">
        <v>4965.0658469503696</v>
      </c>
      <c r="L18" s="5">
        <v>4356.6559717678883</v>
      </c>
      <c r="M18" s="5">
        <v>3843.3173018556022</v>
      </c>
      <c r="N18" s="12">
        <v>3405.8882650310056</v>
      </c>
    </row>
    <row r="19" spans="2:14" x14ac:dyDescent="0.2">
      <c r="C19" s="5">
        <v>0.1</v>
      </c>
      <c r="D19" s="11">
        <v>16379.748079474533</v>
      </c>
      <c r="E19" s="5">
        <v>12960.738036266734</v>
      </c>
      <c r="F19" s="5">
        <v>10540.549970059563</v>
      </c>
      <c r="G19" s="5">
        <v>8744.4017574813424</v>
      </c>
      <c r="H19" s="5">
        <v>7364.0539074343433</v>
      </c>
      <c r="I19" s="5">
        <v>6274.5394882511573</v>
      </c>
      <c r="J19" s="5">
        <v>5396.3142024614608</v>
      </c>
      <c r="K19" s="5">
        <v>4676.3315100287282</v>
      </c>
      <c r="L19" s="5">
        <v>4077.852376730214</v>
      </c>
      <c r="M19" s="5">
        <v>3574.6223230636665</v>
      </c>
      <c r="N19" s="12">
        <v>3147.3776887372187</v>
      </c>
    </row>
    <row r="20" spans="2:14" x14ac:dyDescent="0.2">
      <c r="C20" s="7">
        <v>0.11</v>
      </c>
      <c r="D20" s="11">
        <v>16057.030951473445</v>
      </c>
      <c r="E20" s="5">
        <v>12637.656358903951</v>
      </c>
      <c r="F20" s="5">
        <v>10221.526945009768</v>
      </c>
      <c r="G20" s="5">
        <v>8432.1054210500097</v>
      </c>
      <c r="H20" s="5">
        <v>7060.1664362552892</v>
      </c>
      <c r="I20" s="5">
        <v>5980.1427097490268</v>
      </c>
      <c r="J20" s="5">
        <v>5112.1007131842443</v>
      </c>
      <c r="K20" s="5">
        <v>4402.7286404988599</v>
      </c>
      <c r="L20" s="5">
        <v>3815.0992549007956</v>
      </c>
      <c r="M20" s="5">
        <v>3322.8201514078742</v>
      </c>
      <c r="N20" s="12">
        <v>2906.5239529668429</v>
      </c>
    </row>
    <row r="21" spans="2:14" x14ac:dyDescent="0.2">
      <c r="C21" s="5">
        <v>0.12</v>
      </c>
      <c r="D21" s="11">
        <v>15740.973194104885</v>
      </c>
      <c r="E21" s="5">
        <v>12322.571842462925</v>
      </c>
      <c r="F21" s="5">
        <v>9911.7735901390806</v>
      </c>
      <c r="G21" s="5">
        <v>8130.2841376600227</v>
      </c>
      <c r="H21" s="5">
        <v>6767.8888766660575</v>
      </c>
      <c r="I21" s="5">
        <v>5698.4164159844067</v>
      </c>
      <c r="J21" s="5">
        <v>4841.5404297746472</v>
      </c>
      <c r="K21" s="5">
        <v>4143.6807593995745</v>
      </c>
      <c r="L21" s="5">
        <v>3567.7195111316669</v>
      </c>
      <c r="M21" s="5">
        <v>3087.1246107681632</v>
      </c>
      <c r="N21" s="12">
        <v>2682.4239646346296</v>
      </c>
    </row>
    <row r="22" spans="2:14" x14ac:dyDescent="0.2">
      <c r="C22" s="5">
        <v>0.13</v>
      </c>
      <c r="D22" s="11">
        <v>15431.454335515788</v>
      </c>
      <c r="E22" s="5">
        <v>12015.323205172535</v>
      </c>
      <c r="F22" s="5">
        <v>9611.0803836848372</v>
      </c>
      <c r="G22" s="5">
        <v>7838.6719647270384</v>
      </c>
      <c r="H22" s="5">
        <v>6486.8901960583926</v>
      </c>
      <c r="I22" s="5">
        <v>5428.9555828379762</v>
      </c>
      <c r="J22" s="5">
        <v>4584.1454533815959</v>
      </c>
      <c r="K22" s="5">
        <v>3898.6084694548094</v>
      </c>
      <c r="L22" s="5">
        <v>3335.0341124663623</v>
      </c>
      <c r="M22" s="5">
        <v>2866.7495891583562</v>
      </c>
      <c r="N22" s="12">
        <v>2474.177966779348</v>
      </c>
    </row>
    <row r="23" spans="2:14" x14ac:dyDescent="0.2">
      <c r="C23" s="7">
        <v>0.14000000000000001</v>
      </c>
      <c r="D23" s="11">
        <v>15128.354649104338</v>
      </c>
      <c r="E23" s="5">
        <v>11715.749565782351</v>
      </c>
      <c r="F23" s="5">
        <v>9319.237729757906</v>
      </c>
      <c r="G23" s="5">
        <v>7557.0023796125834</v>
      </c>
      <c r="H23" s="5">
        <v>6216.8383817270205</v>
      </c>
      <c r="I23" s="5">
        <v>5171.3540843476221</v>
      </c>
      <c r="J23" s="5">
        <v>4339.4271417671544</v>
      </c>
      <c r="K23" s="5">
        <v>3666.9326923212561</v>
      </c>
      <c r="L23" s="5">
        <v>3116.3663472979724</v>
      </c>
      <c r="M23" s="5">
        <v>2660.9144771932815</v>
      </c>
      <c r="N23" s="12">
        <v>2280.8962960027875</v>
      </c>
    </row>
    <row r="24" spans="2:14" x14ac:dyDescent="0.2">
      <c r="C24" s="5">
        <v>0.15</v>
      </c>
      <c r="D24" s="11">
        <v>14831.555246152837</v>
      </c>
      <c r="E24" s="5">
        <v>11423.690656738343</v>
      </c>
      <c r="F24" s="5">
        <v>9036.036361061153</v>
      </c>
      <c r="G24" s="5">
        <v>7285.0089588140454</v>
      </c>
      <c r="H24" s="5">
        <v>5957.4015006759</v>
      </c>
      <c r="I24" s="5">
        <v>4925.2062517584845</v>
      </c>
      <c r="J24" s="5">
        <v>4106.8982957753014</v>
      </c>
      <c r="K24" s="5">
        <v>3448.0776130839549</v>
      </c>
      <c r="L24" s="5">
        <v>2911.0456518739443</v>
      </c>
      <c r="M24" s="5">
        <v>2468.8489833841782</v>
      </c>
      <c r="N24" s="12">
        <v>2101.7052646301104</v>
      </c>
    </row>
    <row r="25" spans="2:14" x14ac:dyDescent="0.2">
      <c r="D25" s="11"/>
      <c r="N25" s="12"/>
    </row>
    <row r="26" spans="2:14" x14ac:dyDescent="0.2"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5"/>
    </row>
  </sheetData>
  <conditionalFormatting sqref="D15:N26">
    <cfRule type="expression" dxfId="0" priority="1" stopIfTrue="1">
      <formula>AND(C15&gt;10000,D15&lt;10000)</formula>
    </cfRule>
  </conditionalFormatting>
  <printOptions headings="1" gridLines="1"/>
  <pageMargins left="0.75" right="0.75" top="1" bottom="1" header="0.5" footer="0.5"/>
  <pageSetup scale="63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6837-7E40-47C8-9300-B2A9331DDA11}">
  <sheetPr codeName="Sheet8"/>
  <dimension ref="B2:H562"/>
  <sheetViews>
    <sheetView workbookViewId="0">
      <selection activeCell="C3" sqref="C3"/>
    </sheetView>
  </sheetViews>
  <sheetFormatPr defaultRowHeight="12.75" x14ac:dyDescent="0.2"/>
  <cols>
    <col min="1" max="16384" width="9.140625" style="17"/>
  </cols>
  <sheetData>
    <row r="2" spans="2:8" ht="25.5" x14ac:dyDescent="0.2">
      <c r="B2" s="16" t="s">
        <v>48</v>
      </c>
      <c r="E2" s="17" t="s">
        <v>49</v>
      </c>
      <c r="F2" s="17" t="s">
        <v>50</v>
      </c>
    </row>
    <row r="3" spans="2:8" ht="25.5" x14ac:dyDescent="0.2">
      <c r="E3" s="17">
        <f>SUM(E5:E562)</f>
        <v>278</v>
      </c>
      <c r="F3" s="17">
        <v>1972</v>
      </c>
      <c r="H3" s="17" t="s">
        <v>51</v>
      </c>
    </row>
    <row r="4" spans="2:8" ht="25.5" x14ac:dyDescent="0.2">
      <c r="C4" s="17" t="s">
        <v>52</v>
      </c>
      <c r="D4" s="17" t="s">
        <v>53</v>
      </c>
      <c r="E4" s="17" t="s">
        <v>54</v>
      </c>
      <c r="H4" s="17">
        <f>E3</f>
        <v>278</v>
      </c>
    </row>
    <row r="5" spans="2:8" x14ac:dyDescent="0.2">
      <c r="C5" s="17">
        <v>1967</v>
      </c>
      <c r="D5" s="17">
        <v>1989</v>
      </c>
      <c r="E5" s="17">
        <f>IF(AND(C5&lt;=$F$3,D5&gt;=$F$3),1,0)</f>
        <v>1</v>
      </c>
      <c r="G5" s="17">
        <v>1950</v>
      </c>
      <c r="H5" s="17">
        <f t="dataTable" ref="H5:H63" dt2D="0" dtr="0" r1="F3"/>
        <v>22</v>
      </c>
    </row>
    <row r="6" spans="2:8" x14ac:dyDescent="0.2">
      <c r="C6" s="17">
        <v>1962</v>
      </c>
      <c r="D6" s="17">
        <v>1985</v>
      </c>
      <c r="E6" s="17">
        <f t="shared" ref="E6:E69" si="0">IF(AND(C6&lt;=$F$3,D6&gt;=$F$3),1,0)</f>
        <v>1</v>
      </c>
      <c r="G6" s="17">
        <v>1951</v>
      </c>
      <c r="H6" s="17">
        <v>35</v>
      </c>
    </row>
    <row r="7" spans="2:8" x14ac:dyDescent="0.2">
      <c r="C7" s="17">
        <v>1961</v>
      </c>
      <c r="D7" s="17">
        <v>1985</v>
      </c>
      <c r="E7" s="17">
        <f t="shared" si="0"/>
        <v>1</v>
      </c>
      <c r="G7" s="17">
        <v>1952</v>
      </c>
      <c r="H7" s="17">
        <v>52</v>
      </c>
    </row>
    <row r="8" spans="2:8" x14ac:dyDescent="0.2">
      <c r="C8" s="17">
        <v>1959</v>
      </c>
      <c r="D8" s="17">
        <v>1988</v>
      </c>
      <c r="E8" s="17">
        <f t="shared" si="0"/>
        <v>1</v>
      </c>
      <c r="G8" s="17">
        <v>1953</v>
      </c>
      <c r="H8" s="17">
        <v>70</v>
      </c>
    </row>
    <row r="9" spans="2:8" x14ac:dyDescent="0.2">
      <c r="C9" s="17">
        <v>1953</v>
      </c>
      <c r="D9" s="17">
        <v>1955</v>
      </c>
      <c r="E9" s="17">
        <f t="shared" si="0"/>
        <v>0</v>
      </c>
      <c r="G9" s="17">
        <v>1954</v>
      </c>
      <c r="H9" s="17">
        <v>86</v>
      </c>
    </row>
    <row r="10" spans="2:8" x14ac:dyDescent="0.2">
      <c r="C10" s="17">
        <v>1977</v>
      </c>
      <c r="D10" s="17">
        <v>1999</v>
      </c>
      <c r="E10" s="17">
        <f t="shared" si="0"/>
        <v>0</v>
      </c>
      <c r="G10" s="17">
        <v>1955</v>
      </c>
      <c r="H10" s="17">
        <v>95</v>
      </c>
    </row>
    <row r="11" spans="2:8" x14ac:dyDescent="0.2">
      <c r="C11" s="17">
        <v>1961</v>
      </c>
      <c r="D11" s="17">
        <v>1971</v>
      </c>
      <c r="E11" s="17">
        <f t="shared" si="0"/>
        <v>0</v>
      </c>
      <c r="G11" s="17">
        <v>1956</v>
      </c>
      <c r="H11" s="17">
        <v>107</v>
      </c>
    </row>
    <row r="12" spans="2:8" x14ac:dyDescent="0.2">
      <c r="C12" s="17">
        <v>1969</v>
      </c>
      <c r="D12" s="17">
        <v>1974</v>
      </c>
      <c r="E12" s="17">
        <f t="shared" si="0"/>
        <v>1</v>
      </c>
      <c r="G12" s="17">
        <v>1957</v>
      </c>
      <c r="H12" s="17">
        <v>116</v>
      </c>
    </row>
    <row r="13" spans="2:8" x14ac:dyDescent="0.2">
      <c r="C13" s="17">
        <v>1958</v>
      </c>
      <c r="D13" s="17">
        <v>1974</v>
      </c>
      <c r="E13" s="17">
        <f t="shared" si="0"/>
        <v>1</v>
      </c>
      <c r="G13" s="17">
        <v>1958</v>
      </c>
      <c r="H13" s="17">
        <v>136</v>
      </c>
    </row>
    <row r="14" spans="2:8" x14ac:dyDescent="0.2">
      <c r="C14" s="17">
        <v>1956</v>
      </c>
      <c r="D14" s="17">
        <v>1983</v>
      </c>
      <c r="E14" s="17">
        <f t="shared" si="0"/>
        <v>1</v>
      </c>
      <c r="G14" s="17">
        <v>1959</v>
      </c>
      <c r="H14" s="17">
        <v>153</v>
      </c>
    </row>
    <row r="15" spans="2:8" x14ac:dyDescent="0.2">
      <c r="C15" s="17">
        <v>1965</v>
      </c>
      <c r="D15" s="17">
        <v>1976</v>
      </c>
      <c r="E15" s="17">
        <f t="shared" si="0"/>
        <v>1</v>
      </c>
      <c r="G15" s="17">
        <v>1960</v>
      </c>
      <c r="H15" s="17">
        <v>168</v>
      </c>
    </row>
    <row r="16" spans="2:8" x14ac:dyDescent="0.2">
      <c r="C16" s="17">
        <v>1973</v>
      </c>
      <c r="D16" s="17">
        <v>1997</v>
      </c>
      <c r="E16" s="17">
        <f t="shared" si="0"/>
        <v>0</v>
      </c>
      <c r="G16" s="17">
        <v>1961</v>
      </c>
      <c r="H16" s="17">
        <v>182</v>
      </c>
    </row>
    <row r="17" spans="3:8" x14ac:dyDescent="0.2">
      <c r="C17" s="17">
        <v>1963</v>
      </c>
      <c r="D17" s="17">
        <v>1989</v>
      </c>
      <c r="E17" s="17">
        <f t="shared" si="0"/>
        <v>1</v>
      </c>
      <c r="G17" s="17">
        <v>1962</v>
      </c>
      <c r="H17" s="17">
        <v>191</v>
      </c>
    </row>
    <row r="18" spans="3:8" x14ac:dyDescent="0.2">
      <c r="C18" s="17">
        <v>1958</v>
      </c>
      <c r="D18" s="17">
        <v>1985</v>
      </c>
      <c r="E18" s="17">
        <f t="shared" si="0"/>
        <v>1</v>
      </c>
      <c r="G18" s="17">
        <v>1963</v>
      </c>
      <c r="H18" s="17">
        <v>205</v>
      </c>
    </row>
    <row r="19" spans="3:8" x14ac:dyDescent="0.2">
      <c r="C19" s="17">
        <v>1961</v>
      </c>
      <c r="D19" s="17">
        <v>1980</v>
      </c>
      <c r="E19" s="17">
        <f t="shared" si="0"/>
        <v>1</v>
      </c>
      <c r="G19" s="17">
        <v>1964</v>
      </c>
      <c r="H19" s="17">
        <v>225</v>
      </c>
    </row>
    <row r="20" spans="3:8" x14ac:dyDescent="0.2">
      <c r="C20" s="17">
        <v>1966</v>
      </c>
      <c r="D20" s="17">
        <v>1991</v>
      </c>
      <c r="E20" s="17">
        <f t="shared" si="0"/>
        <v>1</v>
      </c>
      <c r="G20" s="17">
        <v>1965</v>
      </c>
      <c r="H20" s="17">
        <v>236</v>
      </c>
    </row>
    <row r="21" spans="3:8" x14ac:dyDescent="0.2">
      <c r="C21" s="17">
        <v>1979</v>
      </c>
      <c r="D21" s="17">
        <v>1997</v>
      </c>
      <c r="E21" s="17">
        <f t="shared" si="0"/>
        <v>0</v>
      </c>
      <c r="G21" s="17">
        <v>1966</v>
      </c>
      <c r="H21" s="17">
        <v>257</v>
      </c>
    </row>
    <row r="22" spans="3:8" x14ac:dyDescent="0.2">
      <c r="C22" s="17">
        <v>1966</v>
      </c>
      <c r="D22" s="17">
        <v>1973</v>
      </c>
      <c r="E22" s="17">
        <f t="shared" si="0"/>
        <v>1</v>
      </c>
      <c r="G22" s="17">
        <v>1967</v>
      </c>
      <c r="H22" s="17">
        <v>258</v>
      </c>
    </row>
    <row r="23" spans="3:8" x14ac:dyDescent="0.2">
      <c r="C23" s="17">
        <v>1979</v>
      </c>
      <c r="D23" s="17">
        <v>1986</v>
      </c>
      <c r="E23" s="17">
        <f t="shared" si="0"/>
        <v>0</v>
      </c>
      <c r="G23" s="17">
        <v>1968</v>
      </c>
      <c r="H23" s="17">
        <v>265</v>
      </c>
    </row>
    <row r="24" spans="3:8" x14ac:dyDescent="0.2">
      <c r="C24" s="17">
        <v>1964</v>
      </c>
      <c r="D24" s="17">
        <v>1986</v>
      </c>
      <c r="E24" s="17">
        <f t="shared" si="0"/>
        <v>1</v>
      </c>
      <c r="G24" s="17">
        <v>1969</v>
      </c>
      <c r="H24" s="17">
        <v>262</v>
      </c>
    </row>
    <row r="25" spans="3:8" x14ac:dyDescent="0.2">
      <c r="C25" s="17">
        <v>1974</v>
      </c>
      <c r="D25" s="17">
        <v>1997</v>
      </c>
      <c r="E25" s="17">
        <f t="shared" si="0"/>
        <v>0</v>
      </c>
      <c r="G25" s="17">
        <v>1970</v>
      </c>
      <c r="H25" s="17">
        <v>276</v>
      </c>
    </row>
    <row r="26" spans="3:8" x14ac:dyDescent="0.2">
      <c r="C26" s="17">
        <v>1972</v>
      </c>
      <c r="D26" s="17">
        <v>1974</v>
      </c>
      <c r="E26" s="17">
        <f t="shared" si="0"/>
        <v>1</v>
      </c>
      <c r="G26" s="17">
        <v>1971</v>
      </c>
      <c r="H26" s="17">
        <v>277</v>
      </c>
    </row>
    <row r="27" spans="3:8" x14ac:dyDescent="0.2">
      <c r="C27" s="17">
        <v>1955</v>
      </c>
      <c r="D27" s="17">
        <v>1955</v>
      </c>
      <c r="E27" s="17">
        <f t="shared" si="0"/>
        <v>0</v>
      </c>
      <c r="G27" s="17">
        <v>1972</v>
      </c>
      <c r="H27" s="17">
        <v>278</v>
      </c>
    </row>
    <row r="28" spans="3:8" x14ac:dyDescent="0.2">
      <c r="C28" s="17">
        <v>1970</v>
      </c>
      <c r="D28" s="17">
        <v>1976</v>
      </c>
      <c r="E28" s="17">
        <f t="shared" si="0"/>
        <v>1</v>
      </c>
      <c r="G28" s="17">
        <v>1973</v>
      </c>
      <c r="H28" s="17">
        <v>279</v>
      </c>
    </row>
    <row r="29" spans="3:8" x14ac:dyDescent="0.2">
      <c r="C29" s="17">
        <v>1973</v>
      </c>
      <c r="D29" s="17">
        <v>1988</v>
      </c>
      <c r="E29" s="17">
        <f t="shared" si="0"/>
        <v>0</v>
      </c>
      <c r="G29" s="17">
        <v>1974</v>
      </c>
      <c r="H29" s="17">
        <v>278</v>
      </c>
    </row>
    <row r="30" spans="3:8" x14ac:dyDescent="0.2">
      <c r="C30" s="17">
        <v>1960</v>
      </c>
      <c r="D30" s="17">
        <v>1968</v>
      </c>
      <c r="E30" s="17">
        <f t="shared" si="0"/>
        <v>0</v>
      </c>
      <c r="G30" s="17">
        <v>1975</v>
      </c>
      <c r="H30" s="17">
        <v>280</v>
      </c>
    </row>
    <row r="31" spans="3:8" x14ac:dyDescent="0.2">
      <c r="C31" s="17">
        <v>1970</v>
      </c>
      <c r="D31" s="17">
        <v>1973</v>
      </c>
      <c r="E31" s="17">
        <f t="shared" si="0"/>
        <v>1</v>
      </c>
      <c r="G31" s="17">
        <v>1976</v>
      </c>
      <c r="H31" s="17">
        <v>277</v>
      </c>
    </row>
    <row r="32" spans="3:8" x14ac:dyDescent="0.2">
      <c r="C32" s="17">
        <v>1958</v>
      </c>
      <c r="D32" s="17">
        <v>1958</v>
      </c>
      <c r="E32" s="17">
        <f t="shared" si="0"/>
        <v>0</v>
      </c>
      <c r="G32" s="17">
        <v>1977</v>
      </c>
      <c r="H32" s="17">
        <v>271</v>
      </c>
    </row>
    <row r="33" spans="3:8" x14ac:dyDescent="0.2">
      <c r="C33" s="17">
        <v>1966</v>
      </c>
      <c r="D33" s="17">
        <v>1972</v>
      </c>
      <c r="E33" s="17">
        <f t="shared" si="0"/>
        <v>1</v>
      </c>
      <c r="G33" s="17">
        <v>1978</v>
      </c>
      <c r="H33" s="17">
        <v>276</v>
      </c>
    </row>
    <row r="34" spans="3:8" x14ac:dyDescent="0.2">
      <c r="C34" s="17">
        <v>1973</v>
      </c>
      <c r="D34" s="17">
        <v>1987</v>
      </c>
      <c r="E34" s="17">
        <f t="shared" si="0"/>
        <v>0</v>
      </c>
      <c r="G34" s="17">
        <v>1979</v>
      </c>
      <c r="H34" s="17">
        <v>288</v>
      </c>
    </row>
    <row r="35" spans="3:8" x14ac:dyDescent="0.2">
      <c r="C35" s="17">
        <v>1954</v>
      </c>
      <c r="D35" s="17">
        <v>1978</v>
      </c>
      <c r="E35" s="17">
        <f t="shared" si="0"/>
        <v>1</v>
      </c>
      <c r="G35" s="17">
        <v>1980</v>
      </c>
      <c r="H35" s="17">
        <v>268</v>
      </c>
    </row>
    <row r="36" spans="3:8" x14ac:dyDescent="0.2">
      <c r="C36" s="17">
        <v>1965</v>
      </c>
      <c r="D36" s="17">
        <v>1993</v>
      </c>
      <c r="E36" s="17">
        <f t="shared" si="0"/>
        <v>1</v>
      </c>
      <c r="G36" s="17">
        <v>1981</v>
      </c>
      <c r="H36" s="17">
        <v>257</v>
      </c>
    </row>
    <row r="37" spans="3:8" x14ac:dyDescent="0.2">
      <c r="C37" s="17">
        <v>1962</v>
      </c>
      <c r="D37" s="17">
        <v>1974</v>
      </c>
      <c r="E37" s="17">
        <f t="shared" si="0"/>
        <v>1</v>
      </c>
      <c r="G37" s="17">
        <v>1982</v>
      </c>
      <c r="H37" s="17">
        <v>234</v>
      </c>
    </row>
    <row r="38" spans="3:8" x14ac:dyDescent="0.2">
      <c r="C38" s="17">
        <v>1964</v>
      </c>
      <c r="D38" s="17">
        <v>1972</v>
      </c>
      <c r="E38" s="17">
        <f t="shared" si="0"/>
        <v>1</v>
      </c>
      <c r="G38" s="17">
        <v>1983</v>
      </c>
      <c r="H38" s="17">
        <v>213</v>
      </c>
    </row>
    <row r="39" spans="3:8" x14ac:dyDescent="0.2">
      <c r="C39" s="17">
        <v>1977</v>
      </c>
      <c r="D39" s="17">
        <v>1980</v>
      </c>
      <c r="E39" s="17">
        <f t="shared" si="0"/>
        <v>0</v>
      </c>
      <c r="G39" s="17">
        <v>1984</v>
      </c>
      <c r="H39" s="17">
        <v>198</v>
      </c>
    </row>
    <row r="40" spans="3:8" x14ac:dyDescent="0.2">
      <c r="C40" s="17">
        <v>1978</v>
      </c>
      <c r="D40" s="17">
        <v>1990</v>
      </c>
      <c r="E40" s="17">
        <f t="shared" si="0"/>
        <v>0</v>
      </c>
      <c r="G40" s="17">
        <v>1985</v>
      </c>
      <c r="H40" s="17">
        <v>187</v>
      </c>
    </row>
    <row r="41" spans="3:8" x14ac:dyDescent="0.2">
      <c r="C41" s="17">
        <v>1977</v>
      </c>
      <c r="D41" s="17">
        <v>1983</v>
      </c>
      <c r="E41" s="17">
        <f t="shared" si="0"/>
        <v>0</v>
      </c>
      <c r="G41" s="17">
        <v>1986</v>
      </c>
      <c r="H41" s="17">
        <v>175</v>
      </c>
    </row>
    <row r="42" spans="3:8" x14ac:dyDescent="0.2">
      <c r="C42" s="17">
        <v>1957</v>
      </c>
      <c r="D42" s="17">
        <v>1975</v>
      </c>
      <c r="E42" s="17">
        <f t="shared" si="0"/>
        <v>1</v>
      </c>
      <c r="G42" s="17">
        <v>1987</v>
      </c>
      <c r="H42" s="17">
        <v>165</v>
      </c>
    </row>
    <row r="43" spans="3:8" x14ac:dyDescent="0.2">
      <c r="C43" s="17">
        <v>1968</v>
      </c>
      <c r="D43" s="17">
        <v>1981</v>
      </c>
      <c r="E43" s="17">
        <f t="shared" si="0"/>
        <v>1</v>
      </c>
      <c r="G43" s="17">
        <v>1988</v>
      </c>
      <c r="H43" s="17">
        <v>153</v>
      </c>
    </row>
    <row r="44" spans="3:8" x14ac:dyDescent="0.2">
      <c r="C44" s="17">
        <v>1967</v>
      </c>
      <c r="D44" s="17">
        <v>1977</v>
      </c>
      <c r="E44" s="17">
        <f t="shared" si="0"/>
        <v>1</v>
      </c>
      <c r="G44" s="17">
        <v>1989</v>
      </c>
      <c r="H44" s="17">
        <v>136</v>
      </c>
    </row>
    <row r="45" spans="3:8" x14ac:dyDescent="0.2">
      <c r="C45" s="17">
        <v>1979</v>
      </c>
      <c r="D45" s="17">
        <v>1981</v>
      </c>
      <c r="E45" s="17">
        <f t="shared" si="0"/>
        <v>0</v>
      </c>
      <c r="G45" s="17">
        <v>1990</v>
      </c>
      <c r="H45" s="17">
        <v>117</v>
      </c>
    </row>
    <row r="46" spans="3:8" x14ac:dyDescent="0.2">
      <c r="C46" s="17">
        <v>1969</v>
      </c>
      <c r="D46" s="17">
        <v>1997</v>
      </c>
      <c r="E46" s="17">
        <f t="shared" si="0"/>
        <v>1</v>
      </c>
      <c r="G46" s="17">
        <v>1991</v>
      </c>
      <c r="H46" s="17">
        <v>107</v>
      </c>
    </row>
    <row r="47" spans="3:8" x14ac:dyDescent="0.2">
      <c r="C47" s="17">
        <v>1958</v>
      </c>
      <c r="D47" s="17">
        <v>1975</v>
      </c>
      <c r="E47" s="17">
        <f t="shared" si="0"/>
        <v>1</v>
      </c>
      <c r="G47" s="17">
        <v>1992</v>
      </c>
      <c r="H47" s="17">
        <v>92</v>
      </c>
    </row>
    <row r="48" spans="3:8" x14ac:dyDescent="0.2">
      <c r="C48" s="17">
        <v>1969</v>
      </c>
      <c r="D48" s="17">
        <v>1998</v>
      </c>
      <c r="E48" s="17">
        <f t="shared" si="0"/>
        <v>1</v>
      </c>
      <c r="G48" s="17">
        <v>1993</v>
      </c>
      <c r="H48" s="17">
        <v>79</v>
      </c>
    </row>
    <row r="49" spans="3:8" x14ac:dyDescent="0.2">
      <c r="C49" s="17">
        <v>1956</v>
      </c>
      <c r="D49" s="17">
        <v>1970</v>
      </c>
      <c r="E49" s="17">
        <f t="shared" si="0"/>
        <v>0</v>
      </c>
      <c r="G49" s="17">
        <v>1994</v>
      </c>
      <c r="H49" s="17">
        <v>65</v>
      </c>
    </row>
    <row r="50" spans="3:8" x14ac:dyDescent="0.2">
      <c r="C50" s="17">
        <v>1963</v>
      </c>
      <c r="D50" s="17">
        <v>1968</v>
      </c>
      <c r="E50" s="17">
        <f t="shared" si="0"/>
        <v>0</v>
      </c>
      <c r="G50" s="17">
        <v>1995</v>
      </c>
      <c r="H50" s="17">
        <v>53</v>
      </c>
    </row>
    <row r="51" spans="3:8" x14ac:dyDescent="0.2">
      <c r="C51" s="17">
        <v>1962</v>
      </c>
      <c r="D51" s="17">
        <v>1991</v>
      </c>
      <c r="E51" s="17">
        <f t="shared" si="0"/>
        <v>1</v>
      </c>
      <c r="G51" s="17">
        <v>1996</v>
      </c>
      <c r="H51" s="17">
        <v>43</v>
      </c>
    </row>
    <row r="52" spans="3:8" x14ac:dyDescent="0.2">
      <c r="C52" s="17">
        <v>1966</v>
      </c>
      <c r="D52" s="17">
        <v>1994</v>
      </c>
      <c r="E52" s="17">
        <f t="shared" si="0"/>
        <v>1</v>
      </c>
      <c r="G52" s="17">
        <v>1997</v>
      </c>
      <c r="H52" s="17">
        <v>40</v>
      </c>
    </row>
    <row r="53" spans="3:8" x14ac:dyDescent="0.2">
      <c r="C53" s="17">
        <v>1961</v>
      </c>
      <c r="D53" s="17">
        <v>1983</v>
      </c>
      <c r="E53" s="17">
        <f t="shared" si="0"/>
        <v>1</v>
      </c>
      <c r="G53" s="17">
        <v>1998</v>
      </c>
      <c r="H53" s="17">
        <v>31</v>
      </c>
    </row>
    <row r="54" spans="3:8" x14ac:dyDescent="0.2">
      <c r="C54" s="17">
        <v>1979</v>
      </c>
      <c r="D54" s="17">
        <v>1993</v>
      </c>
      <c r="E54" s="17">
        <f t="shared" si="0"/>
        <v>0</v>
      </c>
      <c r="G54" s="17">
        <v>1999</v>
      </c>
      <c r="H54" s="17">
        <v>28</v>
      </c>
    </row>
    <row r="55" spans="3:8" x14ac:dyDescent="0.2">
      <c r="C55" s="17">
        <v>1973</v>
      </c>
      <c r="D55" s="17">
        <v>1974</v>
      </c>
      <c r="E55" s="17">
        <f t="shared" si="0"/>
        <v>0</v>
      </c>
      <c r="G55" s="17">
        <v>2000</v>
      </c>
      <c r="H55" s="17">
        <v>22</v>
      </c>
    </row>
    <row r="56" spans="3:8" x14ac:dyDescent="0.2">
      <c r="C56" s="17">
        <v>1979</v>
      </c>
      <c r="D56" s="17">
        <v>2004</v>
      </c>
      <c r="E56" s="17">
        <f t="shared" si="0"/>
        <v>0</v>
      </c>
      <c r="G56" s="17">
        <v>2001</v>
      </c>
      <c r="H56" s="17">
        <v>18</v>
      </c>
    </row>
    <row r="57" spans="3:8" x14ac:dyDescent="0.2">
      <c r="C57" s="17">
        <v>1958</v>
      </c>
      <c r="D57" s="17">
        <v>1972</v>
      </c>
      <c r="E57" s="17">
        <f t="shared" si="0"/>
        <v>1</v>
      </c>
      <c r="G57" s="17">
        <v>2002</v>
      </c>
      <c r="H57" s="17">
        <v>16</v>
      </c>
    </row>
    <row r="58" spans="3:8" x14ac:dyDescent="0.2">
      <c r="C58" s="17">
        <v>1969</v>
      </c>
      <c r="D58" s="17">
        <v>1981</v>
      </c>
      <c r="E58" s="17">
        <f t="shared" si="0"/>
        <v>1</v>
      </c>
      <c r="G58" s="17">
        <v>2003</v>
      </c>
      <c r="H58" s="17">
        <v>16</v>
      </c>
    </row>
    <row r="59" spans="3:8" x14ac:dyDescent="0.2">
      <c r="C59" s="17">
        <v>1958</v>
      </c>
      <c r="D59" s="17">
        <v>1971</v>
      </c>
      <c r="E59" s="17">
        <f t="shared" si="0"/>
        <v>0</v>
      </c>
      <c r="G59" s="17">
        <v>2004</v>
      </c>
      <c r="H59" s="17">
        <v>9</v>
      </c>
    </row>
    <row r="60" spans="3:8" x14ac:dyDescent="0.2">
      <c r="C60" s="17">
        <v>1958</v>
      </c>
      <c r="D60" s="17">
        <v>1973</v>
      </c>
      <c r="E60" s="17">
        <f t="shared" si="0"/>
        <v>1</v>
      </c>
      <c r="G60" s="17">
        <v>2005</v>
      </c>
      <c r="H60" s="17">
        <v>6</v>
      </c>
    </row>
    <row r="61" spans="3:8" x14ac:dyDescent="0.2">
      <c r="C61" s="17">
        <v>1978</v>
      </c>
      <c r="D61" s="17">
        <v>1980</v>
      </c>
      <c r="E61" s="17">
        <f t="shared" si="0"/>
        <v>0</v>
      </c>
      <c r="G61" s="17">
        <v>2006</v>
      </c>
      <c r="H61" s="17">
        <v>4</v>
      </c>
    </row>
    <row r="62" spans="3:8" x14ac:dyDescent="0.2">
      <c r="C62" s="17">
        <v>1978</v>
      </c>
      <c r="D62" s="17">
        <v>1994</v>
      </c>
      <c r="E62" s="17">
        <f t="shared" si="0"/>
        <v>0</v>
      </c>
      <c r="G62" s="17">
        <v>2007</v>
      </c>
      <c r="H62" s="17">
        <v>3</v>
      </c>
    </row>
    <row r="63" spans="3:8" x14ac:dyDescent="0.2">
      <c r="C63" s="17">
        <v>1953</v>
      </c>
      <c r="D63" s="17">
        <v>1971</v>
      </c>
      <c r="E63" s="17">
        <f t="shared" si="0"/>
        <v>0</v>
      </c>
      <c r="G63" s="17">
        <v>2008</v>
      </c>
      <c r="H63" s="17">
        <v>1</v>
      </c>
    </row>
    <row r="64" spans="3:8" x14ac:dyDescent="0.2">
      <c r="C64" s="17">
        <v>1952</v>
      </c>
      <c r="D64" s="17">
        <v>1975</v>
      </c>
      <c r="E64" s="17">
        <f t="shared" si="0"/>
        <v>1</v>
      </c>
    </row>
    <row r="65" spans="3:5" x14ac:dyDescent="0.2">
      <c r="C65" s="17">
        <v>1959</v>
      </c>
      <c r="D65" s="17">
        <v>1966</v>
      </c>
      <c r="E65" s="17">
        <f t="shared" si="0"/>
        <v>0</v>
      </c>
    </row>
    <row r="66" spans="3:5" x14ac:dyDescent="0.2">
      <c r="C66" s="17">
        <v>1962</v>
      </c>
      <c r="D66" s="17">
        <v>1972</v>
      </c>
      <c r="E66" s="17">
        <f t="shared" si="0"/>
        <v>1</v>
      </c>
    </row>
    <row r="67" spans="3:5" x14ac:dyDescent="0.2">
      <c r="C67" s="17">
        <v>1970</v>
      </c>
      <c r="D67" s="17">
        <v>1972</v>
      </c>
      <c r="E67" s="17">
        <f t="shared" si="0"/>
        <v>1</v>
      </c>
    </row>
    <row r="68" spans="3:5" x14ac:dyDescent="0.2">
      <c r="C68" s="17">
        <v>1976</v>
      </c>
      <c r="D68" s="17">
        <v>1993</v>
      </c>
      <c r="E68" s="17">
        <f t="shared" si="0"/>
        <v>0</v>
      </c>
    </row>
    <row r="69" spans="3:5" x14ac:dyDescent="0.2">
      <c r="C69" s="17">
        <v>1955</v>
      </c>
      <c r="D69" s="17">
        <v>1964</v>
      </c>
      <c r="E69" s="17">
        <f t="shared" si="0"/>
        <v>0</v>
      </c>
    </row>
    <row r="70" spans="3:5" x14ac:dyDescent="0.2">
      <c r="C70" s="17">
        <v>1968</v>
      </c>
      <c r="D70" s="17">
        <v>1992</v>
      </c>
      <c r="E70" s="17">
        <f t="shared" ref="E70:E133" si="1">IF(AND(C70&lt;=$F$3,D70&gt;=$F$3),1,0)</f>
        <v>1</v>
      </c>
    </row>
    <row r="71" spans="3:5" x14ac:dyDescent="0.2">
      <c r="C71" s="17">
        <v>1973</v>
      </c>
      <c r="D71" s="17">
        <v>1993</v>
      </c>
      <c r="E71" s="17">
        <f t="shared" si="1"/>
        <v>0</v>
      </c>
    </row>
    <row r="72" spans="3:5" x14ac:dyDescent="0.2">
      <c r="C72" s="17">
        <v>1971</v>
      </c>
      <c r="D72" s="17">
        <v>1973</v>
      </c>
      <c r="E72" s="17">
        <f t="shared" si="1"/>
        <v>1</v>
      </c>
    </row>
    <row r="73" spans="3:5" x14ac:dyDescent="0.2">
      <c r="C73" s="17">
        <v>1953</v>
      </c>
      <c r="D73" s="17">
        <v>1982</v>
      </c>
      <c r="E73" s="17">
        <f t="shared" si="1"/>
        <v>1</v>
      </c>
    </row>
    <row r="74" spans="3:5" x14ac:dyDescent="0.2">
      <c r="C74" s="17">
        <v>1978</v>
      </c>
      <c r="D74" s="17">
        <v>1983</v>
      </c>
      <c r="E74" s="17">
        <f t="shared" si="1"/>
        <v>0</v>
      </c>
    </row>
    <row r="75" spans="3:5" x14ac:dyDescent="0.2">
      <c r="C75" s="17">
        <v>1961</v>
      </c>
      <c r="D75" s="17">
        <v>1984</v>
      </c>
      <c r="E75" s="17">
        <f t="shared" si="1"/>
        <v>1</v>
      </c>
    </row>
    <row r="76" spans="3:5" x14ac:dyDescent="0.2">
      <c r="C76" s="17">
        <v>1959</v>
      </c>
      <c r="D76" s="17">
        <v>1982</v>
      </c>
      <c r="E76" s="17">
        <f t="shared" si="1"/>
        <v>1</v>
      </c>
    </row>
    <row r="77" spans="3:5" x14ac:dyDescent="0.2">
      <c r="C77" s="17">
        <v>1953</v>
      </c>
      <c r="D77" s="17">
        <v>1972</v>
      </c>
      <c r="E77" s="17">
        <f t="shared" si="1"/>
        <v>1</v>
      </c>
    </row>
    <row r="78" spans="3:5" x14ac:dyDescent="0.2">
      <c r="C78" s="17">
        <v>1970</v>
      </c>
      <c r="D78" s="17">
        <v>1999</v>
      </c>
      <c r="E78" s="17">
        <f t="shared" si="1"/>
        <v>1</v>
      </c>
    </row>
    <row r="79" spans="3:5" x14ac:dyDescent="0.2">
      <c r="C79" s="17">
        <v>1969</v>
      </c>
      <c r="D79" s="17">
        <v>1970</v>
      </c>
      <c r="E79" s="17">
        <f t="shared" si="1"/>
        <v>0</v>
      </c>
    </row>
    <row r="80" spans="3:5" x14ac:dyDescent="0.2">
      <c r="C80" s="17">
        <v>1952</v>
      </c>
      <c r="D80" s="17">
        <v>1954</v>
      </c>
      <c r="E80" s="17">
        <f t="shared" si="1"/>
        <v>0</v>
      </c>
    </row>
    <row r="81" spans="3:5" x14ac:dyDescent="0.2">
      <c r="C81" s="17">
        <v>1957</v>
      </c>
      <c r="D81" s="17">
        <v>1960</v>
      </c>
      <c r="E81" s="17">
        <f t="shared" si="1"/>
        <v>0</v>
      </c>
    </row>
    <row r="82" spans="3:5" x14ac:dyDescent="0.2">
      <c r="C82" s="17">
        <v>1954</v>
      </c>
      <c r="D82" s="17">
        <v>1982</v>
      </c>
      <c r="E82" s="17">
        <f t="shared" si="1"/>
        <v>1</v>
      </c>
    </row>
    <row r="83" spans="3:5" x14ac:dyDescent="0.2">
      <c r="C83" s="17">
        <v>1955</v>
      </c>
      <c r="D83" s="17">
        <v>1968</v>
      </c>
      <c r="E83" s="17">
        <f t="shared" si="1"/>
        <v>0</v>
      </c>
    </row>
    <row r="84" spans="3:5" x14ac:dyDescent="0.2">
      <c r="C84" s="17">
        <v>1966</v>
      </c>
      <c r="D84" s="17">
        <v>1978</v>
      </c>
      <c r="E84" s="17">
        <f t="shared" si="1"/>
        <v>1</v>
      </c>
    </row>
    <row r="85" spans="3:5" x14ac:dyDescent="0.2">
      <c r="C85" s="17">
        <v>1954</v>
      </c>
      <c r="D85" s="17">
        <v>1959</v>
      </c>
      <c r="E85" s="17">
        <f t="shared" si="1"/>
        <v>0</v>
      </c>
    </row>
    <row r="86" spans="3:5" x14ac:dyDescent="0.2">
      <c r="C86" s="17">
        <v>1968</v>
      </c>
      <c r="D86" s="17">
        <v>1997</v>
      </c>
      <c r="E86" s="17">
        <f t="shared" si="1"/>
        <v>1</v>
      </c>
    </row>
    <row r="87" spans="3:5" x14ac:dyDescent="0.2">
      <c r="C87" s="17">
        <v>1956</v>
      </c>
      <c r="D87" s="17">
        <v>1975</v>
      </c>
      <c r="E87" s="17">
        <f t="shared" si="1"/>
        <v>1</v>
      </c>
    </row>
    <row r="88" spans="3:5" x14ac:dyDescent="0.2">
      <c r="C88" s="17">
        <v>1970</v>
      </c>
      <c r="D88" s="17">
        <v>1975</v>
      </c>
      <c r="E88" s="17">
        <f t="shared" si="1"/>
        <v>1</v>
      </c>
    </row>
    <row r="89" spans="3:5" x14ac:dyDescent="0.2">
      <c r="C89" s="17">
        <v>1972</v>
      </c>
      <c r="D89" s="17">
        <v>1992</v>
      </c>
      <c r="E89" s="17">
        <f t="shared" si="1"/>
        <v>1</v>
      </c>
    </row>
    <row r="90" spans="3:5" x14ac:dyDescent="0.2">
      <c r="C90" s="17">
        <v>1977</v>
      </c>
      <c r="D90" s="17">
        <v>1995</v>
      </c>
      <c r="E90" s="17">
        <f t="shared" si="1"/>
        <v>0</v>
      </c>
    </row>
    <row r="91" spans="3:5" x14ac:dyDescent="0.2">
      <c r="C91" s="17">
        <v>1979</v>
      </c>
      <c r="D91" s="17">
        <v>2007</v>
      </c>
      <c r="E91" s="17">
        <f t="shared" si="1"/>
        <v>0</v>
      </c>
    </row>
    <row r="92" spans="3:5" x14ac:dyDescent="0.2">
      <c r="C92" s="17">
        <v>1956</v>
      </c>
      <c r="D92" s="17">
        <v>1983</v>
      </c>
      <c r="E92" s="17">
        <f t="shared" si="1"/>
        <v>1</v>
      </c>
    </row>
    <row r="93" spans="3:5" x14ac:dyDescent="0.2">
      <c r="C93" s="17">
        <v>1978</v>
      </c>
      <c r="D93" s="17">
        <v>1996</v>
      </c>
      <c r="E93" s="17">
        <f t="shared" si="1"/>
        <v>0</v>
      </c>
    </row>
    <row r="94" spans="3:5" x14ac:dyDescent="0.2">
      <c r="C94" s="17">
        <v>1955</v>
      </c>
      <c r="D94" s="17">
        <v>1957</v>
      </c>
      <c r="E94" s="17">
        <f t="shared" si="1"/>
        <v>0</v>
      </c>
    </row>
    <row r="95" spans="3:5" x14ac:dyDescent="0.2">
      <c r="C95" s="17">
        <v>1966</v>
      </c>
      <c r="D95" s="17">
        <v>1975</v>
      </c>
      <c r="E95" s="17">
        <f t="shared" si="1"/>
        <v>1</v>
      </c>
    </row>
    <row r="96" spans="3:5" x14ac:dyDescent="0.2">
      <c r="C96" s="17">
        <v>1978</v>
      </c>
      <c r="D96" s="17">
        <v>1998</v>
      </c>
      <c r="E96" s="17">
        <f t="shared" si="1"/>
        <v>0</v>
      </c>
    </row>
    <row r="97" spans="3:5" x14ac:dyDescent="0.2">
      <c r="C97" s="17">
        <v>1951</v>
      </c>
      <c r="D97" s="17">
        <v>1966</v>
      </c>
      <c r="E97" s="17">
        <f t="shared" si="1"/>
        <v>0</v>
      </c>
    </row>
    <row r="98" spans="3:5" x14ac:dyDescent="0.2">
      <c r="C98" s="17">
        <v>1958</v>
      </c>
      <c r="D98" s="17">
        <v>1968</v>
      </c>
      <c r="E98" s="17">
        <f t="shared" si="1"/>
        <v>0</v>
      </c>
    </row>
    <row r="99" spans="3:5" x14ac:dyDescent="0.2">
      <c r="C99" s="17">
        <v>1958</v>
      </c>
      <c r="D99" s="17">
        <v>1976</v>
      </c>
      <c r="E99" s="17">
        <f t="shared" si="1"/>
        <v>1</v>
      </c>
    </row>
    <row r="100" spans="3:5" x14ac:dyDescent="0.2">
      <c r="C100" s="17">
        <v>1972</v>
      </c>
      <c r="D100" s="17">
        <v>1985</v>
      </c>
      <c r="E100" s="17">
        <f t="shared" si="1"/>
        <v>1</v>
      </c>
    </row>
    <row r="101" spans="3:5" x14ac:dyDescent="0.2">
      <c r="C101" s="17">
        <v>1958</v>
      </c>
      <c r="D101" s="17">
        <v>1963</v>
      </c>
      <c r="E101" s="17">
        <f t="shared" si="1"/>
        <v>0</v>
      </c>
    </row>
    <row r="102" spans="3:5" x14ac:dyDescent="0.2">
      <c r="C102" s="17">
        <v>1952</v>
      </c>
      <c r="D102" s="17">
        <v>1971</v>
      </c>
      <c r="E102" s="17">
        <f t="shared" si="1"/>
        <v>0</v>
      </c>
    </row>
    <row r="103" spans="3:5" x14ac:dyDescent="0.2">
      <c r="C103" s="17">
        <v>1953</v>
      </c>
      <c r="D103" s="17">
        <v>1981</v>
      </c>
      <c r="E103" s="17">
        <f t="shared" si="1"/>
        <v>1</v>
      </c>
    </row>
    <row r="104" spans="3:5" x14ac:dyDescent="0.2">
      <c r="C104" s="17">
        <v>1969</v>
      </c>
      <c r="D104" s="17">
        <v>1993</v>
      </c>
      <c r="E104" s="17">
        <f t="shared" si="1"/>
        <v>1</v>
      </c>
    </row>
    <row r="105" spans="3:5" x14ac:dyDescent="0.2">
      <c r="C105" s="17">
        <v>1979</v>
      </c>
      <c r="D105" s="17">
        <v>1991</v>
      </c>
      <c r="E105" s="17">
        <f t="shared" si="1"/>
        <v>0</v>
      </c>
    </row>
    <row r="106" spans="3:5" x14ac:dyDescent="0.2">
      <c r="C106" s="17">
        <v>1978</v>
      </c>
      <c r="D106" s="17">
        <v>2003</v>
      </c>
      <c r="E106" s="17">
        <f t="shared" si="1"/>
        <v>0</v>
      </c>
    </row>
    <row r="107" spans="3:5" x14ac:dyDescent="0.2">
      <c r="C107" s="17">
        <v>1973</v>
      </c>
      <c r="D107" s="17">
        <v>1995</v>
      </c>
      <c r="E107" s="17">
        <f t="shared" si="1"/>
        <v>0</v>
      </c>
    </row>
    <row r="108" spans="3:5" x14ac:dyDescent="0.2">
      <c r="C108" s="17">
        <v>1976</v>
      </c>
      <c r="D108" s="17">
        <v>2004</v>
      </c>
      <c r="E108" s="17">
        <f t="shared" si="1"/>
        <v>0</v>
      </c>
    </row>
    <row r="109" spans="3:5" x14ac:dyDescent="0.2">
      <c r="C109" s="17">
        <v>1956</v>
      </c>
      <c r="D109" s="17">
        <v>1984</v>
      </c>
      <c r="E109" s="17">
        <f t="shared" si="1"/>
        <v>1</v>
      </c>
    </row>
    <row r="110" spans="3:5" x14ac:dyDescent="0.2">
      <c r="C110" s="17">
        <v>1965</v>
      </c>
      <c r="D110" s="17">
        <v>1994</v>
      </c>
      <c r="E110" s="17">
        <f t="shared" si="1"/>
        <v>1</v>
      </c>
    </row>
    <row r="111" spans="3:5" x14ac:dyDescent="0.2">
      <c r="C111" s="17">
        <v>1958</v>
      </c>
      <c r="D111" s="17">
        <v>1970</v>
      </c>
      <c r="E111" s="17">
        <f t="shared" si="1"/>
        <v>0</v>
      </c>
    </row>
    <row r="112" spans="3:5" x14ac:dyDescent="0.2">
      <c r="C112" s="17">
        <v>1970</v>
      </c>
      <c r="D112" s="17">
        <v>1970</v>
      </c>
      <c r="E112" s="17">
        <f t="shared" si="1"/>
        <v>0</v>
      </c>
    </row>
    <row r="113" spans="3:5" x14ac:dyDescent="0.2">
      <c r="C113" s="17">
        <v>1967</v>
      </c>
      <c r="D113" s="17">
        <v>1976</v>
      </c>
      <c r="E113" s="17">
        <f t="shared" si="1"/>
        <v>1</v>
      </c>
    </row>
    <row r="114" spans="3:5" x14ac:dyDescent="0.2">
      <c r="C114" s="17">
        <v>1979</v>
      </c>
      <c r="D114" s="17">
        <v>2008</v>
      </c>
      <c r="E114" s="17">
        <f t="shared" si="1"/>
        <v>0</v>
      </c>
    </row>
    <row r="115" spans="3:5" x14ac:dyDescent="0.2">
      <c r="C115" s="17">
        <v>1978</v>
      </c>
      <c r="D115" s="17">
        <v>1995</v>
      </c>
      <c r="E115" s="17">
        <f t="shared" si="1"/>
        <v>0</v>
      </c>
    </row>
    <row r="116" spans="3:5" x14ac:dyDescent="0.2">
      <c r="C116" s="17">
        <v>1958</v>
      </c>
      <c r="D116" s="17">
        <v>1961</v>
      </c>
      <c r="E116" s="17">
        <f t="shared" si="1"/>
        <v>0</v>
      </c>
    </row>
    <row r="117" spans="3:5" x14ac:dyDescent="0.2">
      <c r="C117" s="17">
        <v>1979</v>
      </c>
      <c r="D117" s="17">
        <v>2003</v>
      </c>
      <c r="E117" s="17">
        <f t="shared" si="1"/>
        <v>0</v>
      </c>
    </row>
    <row r="118" spans="3:5" x14ac:dyDescent="0.2">
      <c r="C118" s="17">
        <v>1965</v>
      </c>
      <c r="D118" s="17">
        <v>1985</v>
      </c>
      <c r="E118" s="17">
        <f t="shared" si="1"/>
        <v>1</v>
      </c>
    </row>
    <row r="119" spans="3:5" x14ac:dyDescent="0.2">
      <c r="C119" s="17">
        <v>1951</v>
      </c>
      <c r="D119" s="17">
        <v>1963</v>
      </c>
      <c r="E119" s="17">
        <f t="shared" si="1"/>
        <v>0</v>
      </c>
    </row>
    <row r="120" spans="3:5" x14ac:dyDescent="0.2">
      <c r="C120" s="17">
        <v>1952</v>
      </c>
      <c r="D120" s="17">
        <v>1978</v>
      </c>
      <c r="E120" s="17">
        <f t="shared" si="1"/>
        <v>1</v>
      </c>
    </row>
    <row r="121" spans="3:5" x14ac:dyDescent="0.2">
      <c r="C121" s="17">
        <v>1970</v>
      </c>
      <c r="D121" s="17">
        <v>1999</v>
      </c>
      <c r="E121" s="17">
        <f t="shared" si="1"/>
        <v>1</v>
      </c>
    </row>
    <row r="122" spans="3:5" x14ac:dyDescent="0.2">
      <c r="C122" s="17">
        <v>1957</v>
      </c>
      <c r="D122" s="17">
        <v>1966</v>
      </c>
      <c r="E122" s="17">
        <f t="shared" si="1"/>
        <v>0</v>
      </c>
    </row>
    <row r="123" spans="3:5" x14ac:dyDescent="0.2">
      <c r="C123" s="17">
        <v>1955</v>
      </c>
      <c r="D123" s="17">
        <v>1970</v>
      </c>
      <c r="E123" s="17">
        <f t="shared" si="1"/>
        <v>0</v>
      </c>
    </row>
    <row r="124" spans="3:5" x14ac:dyDescent="0.2">
      <c r="C124" s="17">
        <v>1960</v>
      </c>
      <c r="D124" s="17">
        <v>1982</v>
      </c>
      <c r="E124" s="17">
        <f t="shared" si="1"/>
        <v>1</v>
      </c>
    </row>
    <row r="125" spans="3:5" x14ac:dyDescent="0.2">
      <c r="C125" s="17">
        <v>1963</v>
      </c>
      <c r="D125" s="17">
        <v>1971</v>
      </c>
      <c r="E125" s="17">
        <f t="shared" si="1"/>
        <v>0</v>
      </c>
    </row>
    <row r="126" spans="3:5" x14ac:dyDescent="0.2">
      <c r="C126" s="17">
        <v>1957</v>
      </c>
      <c r="D126" s="17">
        <v>1976</v>
      </c>
      <c r="E126" s="17">
        <f t="shared" si="1"/>
        <v>1</v>
      </c>
    </row>
    <row r="127" spans="3:5" x14ac:dyDescent="0.2">
      <c r="C127" s="17">
        <v>1969</v>
      </c>
      <c r="D127" s="17">
        <v>1976</v>
      </c>
      <c r="E127" s="17">
        <f t="shared" si="1"/>
        <v>1</v>
      </c>
    </row>
    <row r="128" spans="3:5" x14ac:dyDescent="0.2">
      <c r="C128" s="17">
        <v>1973</v>
      </c>
      <c r="D128" s="17">
        <v>2000</v>
      </c>
      <c r="E128" s="17">
        <f t="shared" si="1"/>
        <v>0</v>
      </c>
    </row>
    <row r="129" spans="3:5" x14ac:dyDescent="0.2">
      <c r="C129" s="17">
        <v>1950</v>
      </c>
      <c r="D129" s="17">
        <v>1967</v>
      </c>
      <c r="E129" s="17">
        <f t="shared" si="1"/>
        <v>0</v>
      </c>
    </row>
    <row r="130" spans="3:5" x14ac:dyDescent="0.2">
      <c r="C130" s="17">
        <v>1973</v>
      </c>
      <c r="D130" s="17">
        <v>2000</v>
      </c>
      <c r="E130" s="17">
        <f t="shared" si="1"/>
        <v>0</v>
      </c>
    </row>
    <row r="131" spans="3:5" x14ac:dyDescent="0.2">
      <c r="C131" s="17">
        <v>1955</v>
      </c>
      <c r="D131" s="17">
        <v>1956</v>
      </c>
      <c r="E131" s="17">
        <f t="shared" si="1"/>
        <v>0</v>
      </c>
    </row>
    <row r="132" spans="3:5" x14ac:dyDescent="0.2">
      <c r="C132" s="17">
        <v>1959</v>
      </c>
      <c r="D132" s="17">
        <v>1982</v>
      </c>
      <c r="E132" s="17">
        <f t="shared" si="1"/>
        <v>1</v>
      </c>
    </row>
    <row r="133" spans="3:5" x14ac:dyDescent="0.2">
      <c r="C133" s="17">
        <v>1966</v>
      </c>
      <c r="D133" s="17">
        <v>1975</v>
      </c>
      <c r="E133" s="17">
        <f t="shared" si="1"/>
        <v>1</v>
      </c>
    </row>
    <row r="134" spans="3:5" x14ac:dyDescent="0.2">
      <c r="C134" s="17">
        <v>1955</v>
      </c>
      <c r="D134" s="17">
        <v>1955</v>
      </c>
      <c r="E134" s="17">
        <f t="shared" ref="E134:E197" si="2">IF(AND(C134&lt;=$F$3,D134&gt;=$F$3),1,0)</f>
        <v>0</v>
      </c>
    </row>
    <row r="135" spans="3:5" x14ac:dyDescent="0.2">
      <c r="C135" s="17">
        <v>1968</v>
      </c>
      <c r="D135" s="17">
        <v>1988</v>
      </c>
      <c r="E135" s="17">
        <f t="shared" si="2"/>
        <v>1</v>
      </c>
    </row>
    <row r="136" spans="3:5" x14ac:dyDescent="0.2">
      <c r="C136" s="17">
        <v>1969</v>
      </c>
      <c r="D136" s="17">
        <v>1975</v>
      </c>
      <c r="E136" s="17">
        <f t="shared" si="2"/>
        <v>1</v>
      </c>
    </row>
    <row r="137" spans="3:5" x14ac:dyDescent="0.2">
      <c r="C137" s="17">
        <v>1970</v>
      </c>
      <c r="D137" s="17">
        <v>1983</v>
      </c>
      <c r="E137" s="17">
        <f t="shared" si="2"/>
        <v>1</v>
      </c>
    </row>
    <row r="138" spans="3:5" x14ac:dyDescent="0.2">
      <c r="C138" s="17">
        <v>1975</v>
      </c>
      <c r="D138" s="17">
        <v>1982</v>
      </c>
      <c r="E138" s="17">
        <f t="shared" si="2"/>
        <v>0</v>
      </c>
    </row>
    <row r="139" spans="3:5" x14ac:dyDescent="0.2">
      <c r="C139" s="17">
        <v>1960</v>
      </c>
      <c r="D139" s="17">
        <v>1985</v>
      </c>
      <c r="E139" s="17">
        <f t="shared" si="2"/>
        <v>1</v>
      </c>
    </row>
    <row r="140" spans="3:5" x14ac:dyDescent="0.2">
      <c r="C140" s="17">
        <v>1963</v>
      </c>
      <c r="D140" s="17">
        <v>1966</v>
      </c>
      <c r="E140" s="17">
        <f t="shared" si="2"/>
        <v>0</v>
      </c>
    </row>
    <row r="141" spans="3:5" x14ac:dyDescent="0.2">
      <c r="C141" s="17">
        <v>1960</v>
      </c>
      <c r="D141" s="17">
        <v>1988</v>
      </c>
      <c r="E141" s="17">
        <f t="shared" si="2"/>
        <v>1</v>
      </c>
    </row>
    <row r="142" spans="3:5" x14ac:dyDescent="0.2">
      <c r="C142" s="17">
        <v>1963</v>
      </c>
      <c r="D142" s="17">
        <v>1978</v>
      </c>
      <c r="E142" s="17">
        <f t="shared" si="2"/>
        <v>1</v>
      </c>
    </row>
    <row r="143" spans="3:5" x14ac:dyDescent="0.2">
      <c r="C143" s="17">
        <v>1978</v>
      </c>
      <c r="D143" s="17">
        <v>1993</v>
      </c>
      <c r="E143" s="17">
        <f t="shared" si="2"/>
        <v>0</v>
      </c>
    </row>
    <row r="144" spans="3:5" x14ac:dyDescent="0.2">
      <c r="C144" s="17">
        <v>1964</v>
      </c>
      <c r="D144" s="17">
        <v>1981</v>
      </c>
      <c r="E144" s="17">
        <f t="shared" si="2"/>
        <v>1</v>
      </c>
    </row>
    <row r="145" spans="3:5" x14ac:dyDescent="0.2">
      <c r="C145" s="17">
        <v>1977</v>
      </c>
      <c r="D145" s="17">
        <v>1994</v>
      </c>
      <c r="E145" s="17">
        <f t="shared" si="2"/>
        <v>0</v>
      </c>
    </row>
    <row r="146" spans="3:5" x14ac:dyDescent="0.2">
      <c r="C146" s="17">
        <v>1967</v>
      </c>
      <c r="D146" s="17">
        <v>1981</v>
      </c>
      <c r="E146" s="17">
        <f t="shared" si="2"/>
        <v>1</v>
      </c>
    </row>
    <row r="147" spans="3:5" x14ac:dyDescent="0.2">
      <c r="C147" s="17">
        <v>1968</v>
      </c>
      <c r="D147" s="17">
        <v>1991</v>
      </c>
      <c r="E147" s="17">
        <f t="shared" si="2"/>
        <v>1</v>
      </c>
    </row>
    <row r="148" spans="3:5" x14ac:dyDescent="0.2">
      <c r="C148" s="17">
        <v>1963</v>
      </c>
      <c r="D148" s="17">
        <v>1979</v>
      </c>
      <c r="E148" s="17">
        <f t="shared" si="2"/>
        <v>1</v>
      </c>
    </row>
    <row r="149" spans="3:5" x14ac:dyDescent="0.2">
      <c r="C149" s="17">
        <v>1968</v>
      </c>
      <c r="D149" s="17">
        <v>1972</v>
      </c>
      <c r="E149" s="17">
        <f t="shared" si="2"/>
        <v>1</v>
      </c>
    </row>
    <row r="150" spans="3:5" x14ac:dyDescent="0.2">
      <c r="C150" s="17">
        <v>1970</v>
      </c>
      <c r="D150" s="17">
        <v>1972</v>
      </c>
      <c r="E150" s="17">
        <f t="shared" si="2"/>
        <v>1</v>
      </c>
    </row>
    <row r="151" spans="3:5" x14ac:dyDescent="0.2">
      <c r="C151" s="17">
        <v>1956</v>
      </c>
      <c r="D151" s="17">
        <v>1962</v>
      </c>
      <c r="E151" s="17">
        <f t="shared" si="2"/>
        <v>0</v>
      </c>
    </row>
    <row r="152" spans="3:5" x14ac:dyDescent="0.2">
      <c r="C152" s="17">
        <v>1977</v>
      </c>
      <c r="D152" s="17">
        <v>1982</v>
      </c>
      <c r="E152" s="17">
        <f t="shared" si="2"/>
        <v>0</v>
      </c>
    </row>
    <row r="153" spans="3:5" x14ac:dyDescent="0.2">
      <c r="C153" s="17">
        <v>1969</v>
      </c>
      <c r="D153" s="17">
        <v>1970</v>
      </c>
      <c r="E153" s="17">
        <f t="shared" si="2"/>
        <v>0</v>
      </c>
    </row>
    <row r="154" spans="3:5" x14ac:dyDescent="0.2">
      <c r="C154" s="17">
        <v>1955</v>
      </c>
      <c r="D154" s="17">
        <v>1973</v>
      </c>
      <c r="E154" s="17">
        <f t="shared" si="2"/>
        <v>1</v>
      </c>
    </row>
    <row r="155" spans="3:5" x14ac:dyDescent="0.2">
      <c r="C155" s="17">
        <v>1959</v>
      </c>
      <c r="D155" s="17">
        <v>1984</v>
      </c>
      <c r="E155" s="17">
        <f t="shared" si="2"/>
        <v>1</v>
      </c>
    </row>
    <row r="156" spans="3:5" x14ac:dyDescent="0.2">
      <c r="C156" s="17">
        <v>1950</v>
      </c>
      <c r="D156" s="17">
        <v>1960</v>
      </c>
      <c r="E156" s="17">
        <f t="shared" si="2"/>
        <v>0</v>
      </c>
    </row>
    <row r="157" spans="3:5" x14ac:dyDescent="0.2">
      <c r="C157" s="17">
        <v>1954</v>
      </c>
      <c r="D157" s="17">
        <v>1971</v>
      </c>
      <c r="E157" s="17">
        <f t="shared" si="2"/>
        <v>0</v>
      </c>
    </row>
    <row r="158" spans="3:5" x14ac:dyDescent="0.2">
      <c r="C158" s="17">
        <v>1974</v>
      </c>
      <c r="D158" s="17">
        <v>1992</v>
      </c>
      <c r="E158" s="17">
        <f t="shared" si="2"/>
        <v>0</v>
      </c>
    </row>
    <row r="159" spans="3:5" x14ac:dyDescent="0.2">
      <c r="C159" s="17">
        <v>1975</v>
      </c>
      <c r="D159" s="17">
        <v>2003</v>
      </c>
      <c r="E159" s="17">
        <f t="shared" si="2"/>
        <v>0</v>
      </c>
    </row>
    <row r="160" spans="3:5" x14ac:dyDescent="0.2">
      <c r="C160" s="17">
        <v>1960</v>
      </c>
      <c r="D160" s="17">
        <v>1968</v>
      </c>
      <c r="E160" s="17">
        <f t="shared" si="2"/>
        <v>0</v>
      </c>
    </row>
    <row r="161" spans="3:5" x14ac:dyDescent="0.2">
      <c r="C161" s="17">
        <v>1961</v>
      </c>
      <c r="D161" s="17">
        <v>1976</v>
      </c>
      <c r="E161" s="17">
        <f t="shared" si="2"/>
        <v>1</v>
      </c>
    </row>
    <row r="162" spans="3:5" x14ac:dyDescent="0.2">
      <c r="C162" s="17">
        <v>1978</v>
      </c>
      <c r="D162" s="17">
        <v>1999</v>
      </c>
      <c r="E162" s="17">
        <f t="shared" si="2"/>
        <v>0</v>
      </c>
    </row>
    <row r="163" spans="3:5" x14ac:dyDescent="0.2">
      <c r="C163" s="17">
        <v>1971</v>
      </c>
      <c r="D163" s="17">
        <v>1992</v>
      </c>
      <c r="E163" s="17">
        <f t="shared" si="2"/>
        <v>1</v>
      </c>
    </row>
    <row r="164" spans="3:5" x14ac:dyDescent="0.2">
      <c r="C164" s="17">
        <v>1952</v>
      </c>
      <c r="D164" s="17">
        <v>1959</v>
      </c>
      <c r="E164" s="17">
        <f t="shared" si="2"/>
        <v>0</v>
      </c>
    </row>
    <row r="165" spans="3:5" x14ac:dyDescent="0.2">
      <c r="C165" s="17">
        <v>1966</v>
      </c>
      <c r="D165" s="17">
        <v>1991</v>
      </c>
      <c r="E165" s="17">
        <f t="shared" si="2"/>
        <v>1</v>
      </c>
    </row>
    <row r="166" spans="3:5" x14ac:dyDescent="0.2">
      <c r="C166" s="17">
        <v>1953</v>
      </c>
      <c r="D166" s="17">
        <v>1976</v>
      </c>
      <c r="E166" s="17">
        <f t="shared" si="2"/>
        <v>1</v>
      </c>
    </row>
    <row r="167" spans="3:5" x14ac:dyDescent="0.2">
      <c r="C167" s="17">
        <v>1957</v>
      </c>
      <c r="D167" s="17">
        <v>1968</v>
      </c>
      <c r="E167" s="17">
        <f t="shared" si="2"/>
        <v>0</v>
      </c>
    </row>
    <row r="168" spans="3:5" x14ac:dyDescent="0.2">
      <c r="C168" s="17">
        <v>1956</v>
      </c>
      <c r="D168" s="17">
        <v>1976</v>
      </c>
      <c r="E168" s="17">
        <f t="shared" si="2"/>
        <v>1</v>
      </c>
    </row>
    <row r="169" spans="3:5" x14ac:dyDescent="0.2">
      <c r="C169" s="17">
        <v>1978</v>
      </c>
      <c r="D169" s="17">
        <v>1990</v>
      </c>
      <c r="E169" s="17">
        <f t="shared" si="2"/>
        <v>0</v>
      </c>
    </row>
    <row r="170" spans="3:5" x14ac:dyDescent="0.2">
      <c r="C170" s="17">
        <v>1966</v>
      </c>
      <c r="D170" s="17">
        <v>1989</v>
      </c>
      <c r="E170" s="17">
        <f t="shared" si="2"/>
        <v>1</v>
      </c>
    </row>
    <row r="171" spans="3:5" x14ac:dyDescent="0.2">
      <c r="C171" s="17">
        <v>1976</v>
      </c>
      <c r="D171" s="17">
        <v>1990</v>
      </c>
      <c r="E171" s="17">
        <f t="shared" si="2"/>
        <v>0</v>
      </c>
    </row>
    <row r="172" spans="3:5" x14ac:dyDescent="0.2">
      <c r="C172" s="17">
        <v>1977</v>
      </c>
      <c r="D172" s="17">
        <v>1990</v>
      </c>
      <c r="E172" s="17">
        <f t="shared" si="2"/>
        <v>0</v>
      </c>
    </row>
    <row r="173" spans="3:5" x14ac:dyDescent="0.2">
      <c r="C173" s="17">
        <v>1954</v>
      </c>
      <c r="D173" s="17">
        <v>1955</v>
      </c>
      <c r="E173" s="17">
        <f t="shared" si="2"/>
        <v>0</v>
      </c>
    </row>
    <row r="174" spans="3:5" x14ac:dyDescent="0.2">
      <c r="C174" s="17">
        <v>1973</v>
      </c>
      <c r="D174" s="17">
        <v>1992</v>
      </c>
      <c r="E174" s="17">
        <f t="shared" si="2"/>
        <v>0</v>
      </c>
    </row>
    <row r="175" spans="3:5" x14ac:dyDescent="0.2">
      <c r="C175" s="17">
        <v>1976</v>
      </c>
      <c r="D175" s="17">
        <v>2005</v>
      </c>
      <c r="E175" s="17">
        <f t="shared" si="2"/>
        <v>0</v>
      </c>
    </row>
    <row r="176" spans="3:5" x14ac:dyDescent="0.2">
      <c r="C176" s="17">
        <v>1979</v>
      </c>
      <c r="D176" s="17">
        <v>2007</v>
      </c>
      <c r="E176" s="17">
        <f t="shared" si="2"/>
        <v>0</v>
      </c>
    </row>
    <row r="177" spans="3:5" x14ac:dyDescent="0.2">
      <c r="C177" s="17">
        <v>1959</v>
      </c>
      <c r="D177" s="17">
        <v>1969</v>
      </c>
      <c r="E177" s="17">
        <f t="shared" si="2"/>
        <v>0</v>
      </c>
    </row>
    <row r="178" spans="3:5" x14ac:dyDescent="0.2">
      <c r="C178" s="17">
        <v>1961</v>
      </c>
      <c r="D178" s="17">
        <v>1963</v>
      </c>
      <c r="E178" s="17">
        <f t="shared" si="2"/>
        <v>0</v>
      </c>
    </row>
    <row r="179" spans="3:5" x14ac:dyDescent="0.2">
      <c r="C179" s="17">
        <v>1951</v>
      </c>
      <c r="D179" s="17">
        <v>1977</v>
      </c>
      <c r="E179" s="17">
        <f t="shared" si="2"/>
        <v>1</v>
      </c>
    </row>
    <row r="180" spans="3:5" x14ac:dyDescent="0.2">
      <c r="C180" s="17">
        <v>1960</v>
      </c>
      <c r="D180" s="17">
        <v>1973</v>
      </c>
      <c r="E180" s="17">
        <f t="shared" si="2"/>
        <v>1</v>
      </c>
    </row>
    <row r="181" spans="3:5" x14ac:dyDescent="0.2">
      <c r="C181" s="17">
        <v>1959</v>
      </c>
      <c r="D181" s="17">
        <v>1972</v>
      </c>
      <c r="E181" s="17">
        <f t="shared" si="2"/>
        <v>1</v>
      </c>
    </row>
    <row r="182" spans="3:5" x14ac:dyDescent="0.2">
      <c r="C182" s="17">
        <v>1958</v>
      </c>
      <c r="D182" s="17">
        <v>1987</v>
      </c>
      <c r="E182" s="17">
        <f t="shared" si="2"/>
        <v>1</v>
      </c>
    </row>
    <row r="183" spans="3:5" x14ac:dyDescent="0.2">
      <c r="C183" s="17">
        <v>1962</v>
      </c>
      <c r="D183" s="17">
        <v>1979</v>
      </c>
      <c r="E183" s="17">
        <f t="shared" si="2"/>
        <v>1</v>
      </c>
    </row>
    <row r="184" spans="3:5" x14ac:dyDescent="0.2">
      <c r="C184" s="17">
        <v>1954</v>
      </c>
      <c r="D184" s="17">
        <v>1982</v>
      </c>
      <c r="E184" s="17">
        <f t="shared" si="2"/>
        <v>1</v>
      </c>
    </row>
    <row r="185" spans="3:5" x14ac:dyDescent="0.2">
      <c r="C185" s="17">
        <v>1974</v>
      </c>
      <c r="D185" s="17">
        <v>1978</v>
      </c>
      <c r="E185" s="17">
        <f t="shared" si="2"/>
        <v>0</v>
      </c>
    </row>
    <row r="186" spans="3:5" x14ac:dyDescent="0.2">
      <c r="C186" s="17">
        <v>1966</v>
      </c>
      <c r="D186" s="17">
        <v>1984</v>
      </c>
      <c r="E186" s="17">
        <f t="shared" si="2"/>
        <v>1</v>
      </c>
    </row>
    <row r="187" spans="3:5" x14ac:dyDescent="0.2">
      <c r="C187" s="17">
        <v>1961</v>
      </c>
      <c r="D187" s="17">
        <v>1973</v>
      </c>
      <c r="E187" s="17">
        <f t="shared" si="2"/>
        <v>1</v>
      </c>
    </row>
    <row r="188" spans="3:5" x14ac:dyDescent="0.2">
      <c r="C188" s="17">
        <v>1963</v>
      </c>
      <c r="D188" s="17">
        <v>1991</v>
      </c>
      <c r="E188" s="17">
        <f t="shared" si="2"/>
        <v>1</v>
      </c>
    </row>
    <row r="189" spans="3:5" x14ac:dyDescent="0.2">
      <c r="C189" s="17">
        <v>1970</v>
      </c>
      <c r="D189" s="17">
        <v>1987</v>
      </c>
      <c r="E189" s="17">
        <f t="shared" si="2"/>
        <v>1</v>
      </c>
    </row>
    <row r="190" spans="3:5" x14ac:dyDescent="0.2">
      <c r="C190" s="17">
        <v>1973</v>
      </c>
      <c r="D190" s="17">
        <v>1994</v>
      </c>
      <c r="E190" s="17">
        <f t="shared" si="2"/>
        <v>0</v>
      </c>
    </row>
    <row r="191" spans="3:5" x14ac:dyDescent="0.2">
      <c r="C191" s="17">
        <v>1964</v>
      </c>
      <c r="D191" s="17">
        <v>1983</v>
      </c>
      <c r="E191" s="17">
        <f t="shared" si="2"/>
        <v>1</v>
      </c>
    </row>
    <row r="192" spans="3:5" x14ac:dyDescent="0.2">
      <c r="C192" s="17">
        <v>1965</v>
      </c>
      <c r="D192" s="17">
        <v>1988</v>
      </c>
      <c r="E192" s="17">
        <f t="shared" si="2"/>
        <v>1</v>
      </c>
    </row>
    <row r="193" spans="3:5" x14ac:dyDescent="0.2">
      <c r="C193" s="17">
        <v>1965</v>
      </c>
      <c r="D193" s="17">
        <v>1981</v>
      </c>
      <c r="E193" s="17">
        <f t="shared" si="2"/>
        <v>1</v>
      </c>
    </row>
    <row r="194" spans="3:5" x14ac:dyDescent="0.2">
      <c r="C194" s="17">
        <v>1968</v>
      </c>
      <c r="D194" s="17">
        <v>1984</v>
      </c>
      <c r="E194" s="17">
        <f t="shared" si="2"/>
        <v>1</v>
      </c>
    </row>
    <row r="195" spans="3:5" x14ac:dyDescent="0.2">
      <c r="C195" s="17">
        <v>1972</v>
      </c>
      <c r="D195" s="17">
        <v>1981</v>
      </c>
      <c r="E195" s="17">
        <f t="shared" si="2"/>
        <v>1</v>
      </c>
    </row>
    <row r="196" spans="3:5" x14ac:dyDescent="0.2">
      <c r="C196" s="17">
        <v>1966</v>
      </c>
      <c r="D196" s="17">
        <v>1987</v>
      </c>
      <c r="E196" s="17">
        <f t="shared" si="2"/>
        <v>1</v>
      </c>
    </row>
    <row r="197" spans="3:5" x14ac:dyDescent="0.2">
      <c r="C197" s="17">
        <v>1974</v>
      </c>
      <c r="D197" s="17">
        <v>1983</v>
      </c>
      <c r="E197" s="17">
        <f t="shared" si="2"/>
        <v>0</v>
      </c>
    </row>
    <row r="198" spans="3:5" x14ac:dyDescent="0.2">
      <c r="C198" s="17">
        <v>1977</v>
      </c>
      <c r="D198" s="17">
        <v>1988</v>
      </c>
      <c r="E198" s="17">
        <f t="shared" ref="E198:E261" si="3">IF(AND(C198&lt;=$F$3,D198&gt;=$F$3),1,0)</f>
        <v>0</v>
      </c>
    </row>
    <row r="199" spans="3:5" x14ac:dyDescent="0.2">
      <c r="C199" s="17">
        <v>1952</v>
      </c>
      <c r="D199" s="17">
        <v>1966</v>
      </c>
      <c r="E199" s="17">
        <f t="shared" si="3"/>
        <v>0</v>
      </c>
    </row>
    <row r="200" spans="3:5" x14ac:dyDescent="0.2">
      <c r="C200" s="17">
        <v>1969</v>
      </c>
      <c r="D200" s="17">
        <v>1970</v>
      </c>
      <c r="E200" s="17">
        <f t="shared" si="3"/>
        <v>0</v>
      </c>
    </row>
    <row r="201" spans="3:5" x14ac:dyDescent="0.2">
      <c r="C201" s="17">
        <v>1950</v>
      </c>
      <c r="D201" s="17">
        <v>1966</v>
      </c>
      <c r="E201" s="17">
        <f t="shared" si="3"/>
        <v>0</v>
      </c>
    </row>
    <row r="202" spans="3:5" x14ac:dyDescent="0.2">
      <c r="C202" s="17">
        <v>1979</v>
      </c>
      <c r="D202" s="17">
        <v>2001</v>
      </c>
      <c r="E202" s="17">
        <f t="shared" si="3"/>
        <v>0</v>
      </c>
    </row>
    <row r="203" spans="3:5" x14ac:dyDescent="0.2">
      <c r="C203" s="17">
        <v>1953</v>
      </c>
      <c r="D203" s="17">
        <v>1979</v>
      </c>
      <c r="E203" s="17">
        <f t="shared" si="3"/>
        <v>1</v>
      </c>
    </row>
    <row r="204" spans="3:5" x14ac:dyDescent="0.2">
      <c r="C204" s="17">
        <v>1959</v>
      </c>
      <c r="D204" s="17">
        <v>1965</v>
      </c>
      <c r="E204" s="17">
        <f t="shared" si="3"/>
        <v>0</v>
      </c>
    </row>
    <row r="205" spans="3:5" x14ac:dyDescent="0.2">
      <c r="C205" s="17">
        <v>1960</v>
      </c>
      <c r="D205" s="17">
        <v>1985</v>
      </c>
      <c r="E205" s="17">
        <f t="shared" si="3"/>
        <v>1</v>
      </c>
    </row>
    <row r="206" spans="3:5" x14ac:dyDescent="0.2">
      <c r="C206" s="17">
        <v>1968</v>
      </c>
      <c r="D206" s="17">
        <v>1981</v>
      </c>
      <c r="E206" s="17">
        <f t="shared" si="3"/>
        <v>1</v>
      </c>
    </row>
    <row r="207" spans="3:5" x14ac:dyDescent="0.2">
      <c r="C207" s="17">
        <v>1968</v>
      </c>
      <c r="D207" s="17">
        <v>1969</v>
      </c>
      <c r="E207" s="17">
        <f t="shared" si="3"/>
        <v>0</v>
      </c>
    </row>
    <row r="208" spans="3:5" x14ac:dyDescent="0.2">
      <c r="C208" s="17">
        <v>1953</v>
      </c>
      <c r="D208" s="17">
        <v>1976</v>
      </c>
      <c r="E208" s="17">
        <f t="shared" si="3"/>
        <v>1</v>
      </c>
    </row>
    <row r="209" spans="3:5" x14ac:dyDescent="0.2">
      <c r="C209" s="17">
        <v>1976</v>
      </c>
      <c r="D209" s="17">
        <v>1976</v>
      </c>
      <c r="E209" s="17">
        <f t="shared" si="3"/>
        <v>0</v>
      </c>
    </row>
    <row r="210" spans="3:5" x14ac:dyDescent="0.2">
      <c r="C210" s="17">
        <v>1968</v>
      </c>
      <c r="D210" s="17">
        <v>1969</v>
      </c>
      <c r="E210" s="17">
        <f t="shared" si="3"/>
        <v>0</v>
      </c>
    </row>
    <row r="211" spans="3:5" x14ac:dyDescent="0.2">
      <c r="C211" s="17">
        <v>1977</v>
      </c>
      <c r="D211" s="17">
        <v>1983</v>
      </c>
      <c r="E211" s="17">
        <f t="shared" si="3"/>
        <v>0</v>
      </c>
    </row>
    <row r="212" spans="3:5" x14ac:dyDescent="0.2">
      <c r="C212" s="17">
        <v>1967</v>
      </c>
      <c r="D212" s="17">
        <v>1974</v>
      </c>
      <c r="E212" s="17">
        <f t="shared" si="3"/>
        <v>1</v>
      </c>
    </row>
    <row r="213" spans="3:5" x14ac:dyDescent="0.2">
      <c r="C213" s="17">
        <v>1975</v>
      </c>
      <c r="D213" s="17">
        <v>1989</v>
      </c>
      <c r="E213" s="17">
        <f t="shared" si="3"/>
        <v>0</v>
      </c>
    </row>
    <row r="214" spans="3:5" x14ac:dyDescent="0.2">
      <c r="C214" s="17">
        <v>1951</v>
      </c>
      <c r="D214" s="17">
        <v>1954</v>
      </c>
      <c r="E214" s="17">
        <f t="shared" si="3"/>
        <v>0</v>
      </c>
    </row>
    <row r="215" spans="3:5" x14ac:dyDescent="0.2">
      <c r="C215" s="17">
        <v>1951</v>
      </c>
      <c r="D215" s="17">
        <v>1969</v>
      </c>
      <c r="E215" s="17">
        <f t="shared" si="3"/>
        <v>0</v>
      </c>
    </row>
    <row r="216" spans="3:5" x14ac:dyDescent="0.2">
      <c r="C216" s="17">
        <v>1959</v>
      </c>
      <c r="D216" s="17">
        <v>1963</v>
      </c>
      <c r="E216" s="17">
        <f t="shared" si="3"/>
        <v>0</v>
      </c>
    </row>
    <row r="217" spans="3:5" x14ac:dyDescent="0.2">
      <c r="C217" s="17">
        <v>1971</v>
      </c>
      <c r="D217" s="17">
        <v>1982</v>
      </c>
      <c r="E217" s="17">
        <f t="shared" si="3"/>
        <v>1</v>
      </c>
    </row>
    <row r="218" spans="3:5" x14ac:dyDescent="0.2">
      <c r="C218" s="17">
        <v>1950</v>
      </c>
      <c r="D218" s="17">
        <v>1979</v>
      </c>
      <c r="E218" s="17">
        <f t="shared" si="3"/>
        <v>1</v>
      </c>
    </row>
    <row r="219" spans="3:5" x14ac:dyDescent="0.2">
      <c r="C219" s="17">
        <v>1969</v>
      </c>
      <c r="D219" s="17">
        <v>1969</v>
      </c>
      <c r="E219" s="17">
        <f t="shared" si="3"/>
        <v>0</v>
      </c>
    </row>
    <row r="220" spans="3:5" x14ac:dyDescent="0.2">
      <c r="C220" s="17">
        <v>1979</v>
      </c>
      <c r="D220" s="17">
        <v>1985</v>
      </c>
      <c r="E220" s="17">
        <f t="shared" si="3"/>
        <v>0</v>
      </c>
    </row>
    <row r="221" spans="3:5" x14ac:dyDescent="0.2">
      <c r="C221" s="17">
        <v>1963</v>
      </c>
      <c r="D221" s="17">
        <v>1992</v>
      </c>
      <c r="E221" s="17">
        <f t="shared" si="3"/>
        <v>1</v>
      </c>
    </row>
    <row r="222" spans="3:5" x14ac:dyDescent="0.2">
      <c r="C222" s="17">
        <v>1967</v>
      </c>
      <c r="D222" s="17">
        <v>1971</v>
      </c>
      <c r="E222" s="17">
        <f t="shared" si="3"/>
        <v>0</v>
      </c>
    </row>
    <row r="223" spans="3:5" x14ac:dyDescent="0.2">
      <c r="C223" s="17">
        <v>1958</v>
      </c>
      <c r="D223" s="17">
        <v>1967</v>
      </c>
      <c r="E223" s="17">
        <f t="shared" si="3"/>
        <v>0</v>
      </c>
    </row>
    <row r="224" spans="3:5" x14ac:dyDescent="0.2">
      <c r="C224" s="17">
        <v>1967</v>
      </c>
      <c r="D224" s="17">
        <v>1974</v>
      </c>
      <c r="E224" s="17">
        <f t="shared" si="3"/>
        <v>1</v>
      </c>
    </row>
    <row r="225" spans="3:5" x14ac:dyDescent="0.2">
      <c r="C225" s="17">
        <v>1972</v>
      </c>
      <c r="D225" s="17">
        <v>1986</v>
      </c>
      <c r="E225" s="17">
        <f t="shared" si="3"/>
        <v>1</v>
      </c>
    </row>
    <row r="226" spans="3:5" x14ac:dyDescent="0.2">
      <c r="C226" s="17">
        <v>1972</v>
      </c>
      <c r="D226" s="17">
        <v>1980</v>
      </c>
      <c r="E226" s="17">
        <f t="shared" si="3"/>
        <v>1</v>
      </c>
    </row>
    <row r="227" spans="3:5" x14ac:dyDescent="0.2">
      <c r="C227" s="17">
        <v>1966</v>
      </c>
      <c r="D227" s="17">
        <v>1991</v>
      </c>
      <c r="E227" s="17">
        <f t="shared" si="3"/>
        <v>1</v>
      </c>
    </row>
    <row r="228" spans="3:5" x14ac:dyDescent="0.2">
      <c r="C228" s="17">
        <v>1968</v>
      </c>
      <c r="D228" s="17">
        <v>1974</v>
      </c>
      <c r="E228" s="17">
        <f t="shared" si="3"/>
        <v>1</v>
      </c>
    </row>
    <row r="229" spans="3:5" x14ac:dyDescent="0.2">
      <c r="C229" s="17">
        <v>1976</v>
      </c>
      <c r="D229" s="17">
        <v>1994</v>
      </c>
      <c r="E229" s="17">
        <f t="shared" si="3"/>
        <v>0</v>
      </c>
    </row>
    <row r="230" spans="3:5" x14ac:dyDescent="0.2">
      <c r="C230" s="17">
        <v>1952</v>
      </c>
      <c r="D230" s="17">
        <v>1972</v>
      </c>
      <c r="E230" s="17">
        <f t="shared" si="3"/>
        <v>1</v>
      </c>
    </row>
    <row r="231" spans="3:5" x14ac:dyDescent="0.2">
      <c r="C231" s="17">
        <v>1965</v>
      </c>
      <c r="D231" s="17">
        <v>1980</v>
      </c>
      <c r="E231" s="17">
        <f t="shared" si="3"/>
        <v>1</v>
      </c>
    </row>
    <row r="232" spans="3:5" x14ac:dyDescent="0.2">
      <c r="C232" s="17">
        <v>1971</v>
      </c>
      <c r="D232" s="17">
        <v>1995</v>
      </c>
      <c r="E232" s="17">
        <f t="shared" si="3"/>
        <v>1</v>
      </c>
    </row>
    <row r="233" spans="3:5" x14ac:dyDescent="0.2">
      <c r="C233" s="17">
        <v>1955</v>
      </c>
      <c r="D233" s="17">
        <v>1979</v>
      </c>
      <c r="E233" s="17">
        <f t="shared" si="3"/>
        <v>1</v>
      </c>
    </row>
    <row r="234" spans="3:5" x14ac:dyDescent="0.2">
      <c r="C234" s="17">
        <v>1963</v>
      </c>
      <c r="D234" s="17">
        <v>1979</v>
      </c>
      <c r="E234" s="17">
        <f t="shared" si="3"/>
        <v>1</v>
      </c>
    </row>
    <row r="235" spans="3:5" x14ac:dyDescent="0.2">
      <c r="C235" s="17">
        <v>1950</v>
      </c>
      <c r="D235" s="17">
        <v>1970</v>
      </c>
      <c r="E235" s="17">
        <f t="shared" si="3"/>
        <v>0</v>
      </c>
    </row>
    <row r="236" spans="3:5" x14ac:dyDescent="0.2">
      <c r="C236" s="17">
        <v>1964</v>
      </c>
      <c r="D236" s="17">
        <v>1975</v>
      </c>
      <c r="E236" s="17">
        <f t="shared" si="3"/>
        <v>1</v>
      </c>
    </row>
    <row r="237" spans="3:5" x14ac:dyDescent="0.2">
      <c r="C237" s="17">
        <v>1972</v>
      </c>
      <c r="D237" s="17">
        <v>1979</v>
      </c>
      <c r="E237" s="17">
        <f t="shared" si="3"/>
        <v>1</v>
      </c>
    </row>
    <row r="238" spans="3:5" x14ac:dyDescent="0.2">
      <c r="C238" s="17">
        <v>1968</v>
      </c>
      <c r="D238" s="17">
        <v>1971</v>
      </c>
      <c r="E238" s="17">
        <f t="shared" si="3"/>
        <v>0</v>
      </c>
    </row>
    <row r="239" spans="3:5" x14ac:dyDescent="0.2">
      <c r="C239" s="17">
        <v>1957</v>
      </c>
      <c r="D239" s="17">
        <v>1975</v>
      </c>
      <c r="E239" s="17">
        <f t="shared" si="3"/>
        <v>1</v>
      </c>
    </row>
    <row r="240" spans="3:5" x14ac:dyDescent="0.2">
      <c r="C240" s="17">
        <v>1950</v>
      </c>
      <c r="D240" s="17">
        <v>1969</v>
      </c>
      <c r="E240" s="17">
        <f t="shared" si="3"/>
        <v>0</v>
      </c>
    </row>
    <row r="241" spans="3:5" x14ac:dyDescent="0.2">
      <c r="C241" s="17">
        <v>1964</v>
      </c>
      <c r="D241" s="17">
        <v>1980</v>
      </c>
      <c r="E241" s="17">
        <f t="shared" si="3"/>
        <v>1</v>
      </c>
    </row>
    <row r="242" spans="3:5" x14ac:dyDescent="0.2">
      <c r="C242" s="17">
        <v>1967</v>
      </c>
      <c r="D242" s="17">
        <v>1971</v>
      </c>
      <c r="E242" s="17">
        <f t="shared" si="3"/>
        <v>0</v>
      </c>
    </row>
    <row r="243" spans="3:5" x14ac:dyDescent="0.2">
      <c r="C243" s="17">
        <v>1976</v>
      </c>
      <c r="D243" s="17">
        <v>1976</v>
      </c>
      <c r="E243" s="17">
        <f t="shared" si="3"/>
        <v>0</v>
      </c>
    </row>
    <row r="244" spans="3:5" x14ac:dyDescent="0.2">
      <c r="C244" s="17">
        <v>1954</v>
      </c>
      <c r="D244" s="17">
        <v>1981</v>
      </c>
      <c r="E244" s="17">
        <f t="shared" si="3"/>
        <v>1</v>
      </c>
    </row>
    <row r="245" spans="3:5" x14ac:dyDescent="0.2">
      <c r="C245" s="17">
        <v>1952</v>
      </c>
      <c r="D245" s="17">
        <v>1966</v>
      </c>
      <c r="E245" s="17">
        <f t="shared" si="3"/>
        <v>0</v>
      </c>
    </row>
    <row r="246" spans="3:5" x14ac:dyDescent="0.2">
      <c r="C246" s="17">
        <v>1954</v>
      </c>
      <c r="D246" s="17">
        <v>1979</v>
      </c>
      <c r="E246" s="17">
        <f t="shared" si="3"/>
        <v>1</v>
      </c>
    </row>
    <row r="247" spans="3:5" x14ac:dyDescent="0.2">
      <c r="C247" s="17">
        <v>1976</v>
      </c>
      <c r="D247" s="17">
        <v>2000</v>
      </c>
      <c r="E247" s="17">
        <f t="shared" si="3"/>
        <v>0</v>
      </c>
    </row>
    <row r="248" spans="3:5" x14ac:dyDescent="0.2">
      <c r="C248" s="17">
        <v>1958</v>
      </c>
      <c r="D248" s="17">
        <v>1980</v>
      </c>
      <c r="E248" s="17">
        <f t="shared" si="3"/>
        <v>1</v>
      </c>
    </row>
    <row r="249" spans="3:5" x14ac:dyDescent="0.2">
      <c r="C249" s="17">
        <v>1965</v>
      </c>
      <c r="D249" s="17">
        <v>1977</v>
      </c>
      <c r="E249" s="17">
        <f t="shared" si="3"/>
        <v>1</v>
      </c>
    </row>
    <row r="250" spans="3:5" x14ac:dyDescent="0.2">
      <c r="C250" s="17">
        <v>1956</v>
      </c>
      <c r="D250" s="17">
        <v>1969</v>
      </c>
      <c r="E250" s="17">
        <f t="shared" si="3"/>
        <v>0</v>
      </c>
    </row>
    <row r="251" spans="3:5" x14ac:dyDescent="0.2">
      <c r="C251" s="17">
        <v>1959</v>
      </c>
      <c r="D251" s="17">
        <v>1982</v>
      </c>
      <c r="E251" s="17">
        <f t="shared" si="3"/>
        <v>1</v>
      </c>
    </row>
    <row r="252" spans="3:5" x14ac:dyDescent="0.2">
      <c r="C252" s="17">
        <v>1950</v>
      </c>
      <c r="D252" s="17">
        <v>1976</v>
      </c>
      <c r="E252" s="17">
        <f t="shared" si="3"/>
        <v>1</v>
      </c>
    </row>
    <row r="253" spans="3:5" x14ac:dyDescent="0.2">
      <c r="C253" s="17">
        <v>1952</v>
      </c>
      <c r="D253" s="17">
        <v>1957</v>
      </c>
      <c r="E253" s="17">
        <f t="shared" si="3"/>
        <v>0</v>
      </c>
    </row>
    <row r="254" spans="3:5" x14ac:dyDescent="0.2">
      <c r="C254" s="17">
        <v>1974</v>
      </c>
      <c r="D254" s="17">
        <v>1991</v>
      </c>
      <c r="E254" s="17">
        <f t="shared" si="3"/>
        <v>0</v>
      </c>
    </row>
    <row r="255" spans="3:5" x14ac:dyDescent="0.2">
      <c r="C255" s="17">
        <v>1972</v>
      </c>
      <c r="D255" s="17">
        <v>1991</v>
      </c>
      <c r="E255" s="17">
        <f t="shared" si="3"/>
        <v>1</v>
      </c>
    </row>
    <row r="256" spans="3:5" x14ac:dyDescent="0.2">
      <c r="C256" s="17">
        <v>1972</v>
      </c>
      <c r="D256" s="17">
        <v>1995</v>
      </c>
      <c r="E256" s="17">
        <f t="shared" si="3"/>
        <v>1</v>
      </c>
    </row>
    <row r="257" spans="3:5" x14ac:dyDescent="0.2">
      <c r="C257" s="17">
        <v>1974</v>
      </c>
      <c r="D257" s="17">
        <v>1981</v>
      </c>
      <c r="E257" s="17">
        <f t="shared" si="3"/>
        <v>0</v>
      </c>
    </row>
    <row r="258" spans="3:5" x14ac:dyDescent="0.2">
      <c r="C258" s="17">
        <v>1952</v>
      </c>
      <c r="D258" s="17">
        <v>1959</v>
      </c>
      <c r="E258" s="17">
        <f t="shared" si="3"/>
        <v>0</v>
      </c>
    </row>
    <row r="259" spans="3:5" x14ac:dyDescent="0.2">
      <c r="C259" s="17">
        <v>1972</v>
      </c>
      <c r="D259" s="17">
        <v>1977</v>
      </c>
      <c r="E259" s="17">
        <f t="shared" si="3"/>
        <v>1</v>
      </c>
    </row>
    <row r="260" spans="3:5" x14ac:dyDescent="0.2">
      <c r="C260" s="17">
        <v>1960</v>
      </c>
      <c r="D260" s="17">
        <v>1988</v>
      </c>
      <c r="E260" s="17">
        <f t="shared" si="3"/>
        <v>1</v>
      </c>
    </row>
    <row r="261" spans="3:5" x14ac:dyDescent="0.2">
      <c r="C261" s="17">
        <v>1964</v>
      </c>
      <c r="D261" s="17">
        <v>1990</v>
      </c>
      <c r="E261" s="17">
        <f t="shared" si="3"/>
        <v>1</v>
      </c>
    </row>
    <row r="262" spans="3:5" x14ac:dyDescent="0.2">
      <c r="C262" s="17">
        <v>1972</v>
      </c>
      <c r="D262" s="17">
        <v>1988</v>
      </c>
      <c r="E262" s="17">
        <f t="shared" ref="E262:E325" si="4">IF(AND(C262&lt;=$F$3,D262&gt;=$F$3),1,0)</f>
        <v>1</v>
      </c>
    </row>
    <row r="263" spans="3:5" x14ac:dyDescent="0.2">
      <c r="C263" s="17">
        <v>1973</v>
      </c>
      <c r="D263" s="17">
        <v>1986</v>
      </c>
      <c r="E263" s="17">
        <f t="shared" si="4"/>
        <v>0</v>
      </c>
    </row>
    <row r="264" spans="3:5" x14ac:dyDescent="0.2">
      <c r="C264" s="17">
        <v>1976</v>
      </c>
      <c r="D264" s="17">
        <v>1994</v>
      </c>
      <c r="E264" s="17">
        <f t="shared" si="4"/>
        <v>0</v>
      </c>
    </row>
    <row r="265" spans="3:5" x14ac:dyDescent="0.2">
      <c r="C265" s="17">
        <v>1973</v>
      </c>
      <c r="D265" s="17">
        <v>1995</v>
      </c>
      <c r="E265" s="17">
        <f t="shared" si="4"/>
        <v>0</v>
      </c>
    </row>
    <row r="266" spans="3:5" x14ac:dyDescent="0.2">
      <c r="C266" s="17">
        <v>1958</v>
      </c>
      <c r="D266" s="17">
        <v>1982</v>
      </c>
      <c r="E266" s="17">
        <f t="shared" si="4"/>
        <v>1</v>
      </c>
    </row>
    <row r="267" spans="3:5" x14ac:dyDescent="0.2">
      <c r="C267" s="17">
        <v>1972</v>
      </c>
      <c r="D267" s="17">
        <v>1981</v>
      </c>
      <c r="E267" s="17">
        <f t="shared" si="4"/>
        <v>1</v>
      </c>
    </row>
    <row r="268" spans="3:5" x14ac:dyDescent="0.2">
      <c r="C268" s="17">
        <v>1973</v>
      </c>
      <c r="D268" s="17">
        <v>1998</v>
      </c>
      <c r="E268" s="17">
        <f t="shared" si="4"/>
        <v>0</v>
      </c>
    </row>
    <row r="269" spans="3:5" x14ac:dyDescent="0.2">
      <c r="C269" s="17">
        <v>1970</v>
      </c>
      <c r="D269" s="17">
        <v>1995</v>
      </c>
      <c r="E269" s="17">
        <f t="shared" si="4"/>
        <v>1</v>
      </c>
    </row>
    <row r="270" spans="3:5" x14ac:dyDescent="0.2">
      <c r="C270" s="17">
        <v>1963</v>
      </c>
      <c r="D270" s="17">
        <v>1982</v>
      </c>
      <c r="E270" s="17">
        <f t="shared" si="4"/>
        <v>1</v>
      </c>
    </row>
    <row r="271" spans="3:5" x14ac:dyDescent="0.2">
      <c r="C271" s="17">
        <v>1960</v>
      </c>
      <c r="D271" s="17">
        <v>1968</v>
      </c>
      <c r="E271" s="17">
        <f t="shared" si="4"/>
        <v>0</v>
      </c>
    </row>
    <row r="272" spans="3:5" x14ac:dyDescent="0.2">
      <c r="C272" s="17">
        <v>1954</v>
      </c>
      <c r="D272" s="17">
        <v>1966</v>
      </c>
      <c r="E272" s="17">
        <f t="shared" si="4"/>
        <v>0</v>
      </c>
    </row>
    <row r="273" spans="3:5" x14ac:dyDescent="0.2">
      <c r="C273" s="17">
        <v>1966</v>
      </c>
      <c r="D273" s="17">
        <v>1975</v>
      </c>
      <c r="E273" s="17">
        <f t="shared" si="4"/>
        <v>1</v>
      </c>
    </row>
    <row r="274" spans="3:5" x14ac:dyDescent="0.2">
      <c r="C274" s="17">
        <v>1950</v>
      </c>
      <c r="D274" s="17">
        <v>1971</v>
      </c>
      <c r="E274" s="17">
        <f t="shared" si="4"/>
        <v>0</v>
      </c>
    </row>
    <row r="275" spans="3:5" x14ac:dyDescent="0.2">
      <c r="C275" s="17">
        <v>1968</v>
      </c>
      <c r="D275" s="17">
        <v>1994</v>
      </c>
      <c r="E275" s="17">
        <f t="shared" si="4"/>
        <v>1</v>
      </c>
    </row>
    <row r="276" spans="3:5" x14ac:dyDescent="0.2">
      <c r="C276" s="17">
        <v>1977</v>
      </c>
      <c r="D276" s="17">
        <v>1981</v>
      </c>
      <c r="E276" s="17">
        <f t="shared" si="4"/>
        <v>0</v>
      </c>
    </row>
    <row r="277" spans="3:5" x14ac:dyDescent="0.2">
      <c r="C277" s="17">
        <v>1961</v>
      </c>
      <c r="D277" s="17">
        <v>1962</v>
      </c>
      <c r="E277" s="17">
        <f t="shared" si="4"/>
        <v>0</v>
      </c>
    </row>
    <row r="278" spans="3:5" x14ac:dyDescent="0.2">
      <c r="C278" s="17">
        <v>1950</v>
      </c>
      <c r="D278" s="17">
        <v>1951</v>
      </c>
      <c r="E278" s="17">
        <f t="shared" si="4"/>
        <v>0</v>
      </c>
    </row>
    <row r="279" spans="3:5" x14ac:dyDescent="0.2">
      <c r="C279" s="17">
        <v>1979</v>
      </c>
      <c r="D279" s="17">
        <v>2006</v>
      </c>
      <c r="E279" s="17">
        <f t="shared" si="4"/>
        <v>0</v>
      </c>
    </row>
    <row r="280" spans="3:5" x14ac:dyDescent="0.2">
      <c r="C280" s="17">
        <v>1956</v>
      </c>
      <c r="D280" s="17">
        <v>1958</v>
      </c>
      <c r="E280" s="17">
        <f t="shared" si="4"/>
        <v>0</v>
      </c>
    </row>
    <row r="281" spans="3:5" x14ac:dyDescent="0.2">
      <c r="C281" s="17">
        <v>1960</v>
      </c>
      <c r="D281" s="17">
        <v>1979</v>
      </c>
      <c r="E281" s="17">
        <f t="shared" si="4"/>
        <v>1</v>
      </c>
    </row>
    <row r="282" spans="3:5" x14ac:dyDescent="0.2">
      <c r="C282" s="17">
        <v>1966</v>
      </c>
      <c r="D282" s="17">
        <v>1966</v>
      </c>
      <c r="E282" s="17">
        <f t="shared" si="4"/>
        <v>0</v>
      </c>
    </row>
    <row r="283" spans="3:5" x14ac:dyDescent="0.2">
      <c r="C283" s="17">
        <v>1962</v>
      </c>
      <c r="D283" s="17">
        <v>1983</v>
      </c>
      <c r="E283" s="17">
        <f t="shared" si="4"/>
        <v>1</v>
      </c>
    </row>
    <row r="284" spans="3:5" x14ac:dyDescent="0.2">
      <c r="C284" s="17">
        <v>1964</v>
      </c>
      <c r="D284" s="17">
        <v>1973</v>
      </c>
      <c r="E284" s="17">
        <f t="shared" si="4"/>
        <v>1</v>
      </c>
    </row>
    <row r="285" spans="3:5" x14ac:dyDescent="0.2">
      <c r="C285" s="17">
        <v>1968</v>
      </c>
      <c r="D285" s="17">
        <v>1970</v>
      </c>
      <c r="E285" s="17">
        <f t="shared" si="4"/>
        <v>0</v>
      </c>
    </row>
    <row r="286" spans="3:5" x14ac:dyDescent="0.2">
      <c r="C286" s="17">
        <v>1951</v>
      </c>
      <c r="D286" s="17">
        <v>1973</v>
      </c>
      <c r="E286" s="17">
        <f t="shared" si="4"/>
        <v>1</v>
      </c>
    </row>
    <row r="287" spans="3:5" x14ac:dyDescent="0.2">
      <c r="C287" s="17">
        <v>1958</v>
      </c>
      <c r="D287" s="17">
        <v>1966</v>
      </c>
      <c r="E287" s="17">
        <f t="shared" si="4"/>
        <v>0</v>
      </c>
    </row>
    <row r="288" spans="3:5" x14ac:dyDescent="0.2">
      <c r="C288" s="17">
        <v>1974</v>
      </c>
      <c r="D288" s="17">
        <v>1993</v>
      </c>
      <c r="E288" s="17">
        <f t="shared" si="4"/>
        <v>0</v>
      </c>
    </row>
    <row r="289" spans="3:5" x14ac:dyDescent="0.2">
      <c r="C289" s="17">
        <v>1979</v>
      </c>
      <c r="D289" s="17">
        <v>2003</v>
      </c>
      <c r="E289" s="17">
        <f t="shared" si="4"/>
        <v>0</v>
      </c>
    </row>
    <row r="290" spans="3:5" x14ac:dyDescent="0.2">
      <c r="C290" s="17">
        <v>1960</v>
      </c>
      <c r="D290" s="17">
        <v>1977</v>
      </c>
      <c r="E290" s="17">
        <f t="shared" si="4"/>
        <v>1</v>
      </c>
    </row>
    <row r="291" spans="3:5" x14ac:dyDescent="0.2">
      <c r="C291" s="17">
        <v>1954</v>
      </c>
      <c r="D291" s="17">
        <v>1975</v>
      </c>
      <c r="E291" s="17">
        <f t="shared" si="4"/>
        <v>1</v>
      </c>
    </row>
    <row r="292" spans="3:5" x14ac:dyDescent="0.2">
      <c r="C292" s="17">
        <v>1969</v>
      </c>
      <c r="D292" s="17">
        <v>1988</v>
      </c>
      <c r="E292" s="17">
        <f t="shared" si="4"/>
        <v>1</v>
      </c>
    </row>
    <row r="293" spans="3:5" x14ac:dyDescent="0.2">
      <c r="C293" s="17">
        <v>1961</v>
      </c>
      <c r="D293" s="17">
        <v>1990</v>
      </c>
      <c r="E293" s="17">
        <f t="shared" si="4"/>
        <v>1</v>
      </c>
    </row>
    <row r="294" spans="3:5" x14ac:dyDescent="0.2">
      <c r="C294" s="17">
        <v>1966</v>
      </c>
      <c r="D294" s="17">
        <v>1970</v>
      </c>
      <c r="E294" s="17">
        <f t="shared" si="4"/>
        <v>0</v>
      </c>
    </row>
    <row r="295" spans="3:5" x14ac:dyDescent="0.2">
      <c r="C295" s="17">
        <v>1956</v>
      </c>
      <c r="D295" s="17">
        <v>1971</v>
      </c>
      <c r="E295" s="17">
        <f t="shared" si="4"/>
        <v>0</v>
      </c>
    </row>
    <row r="296" spans="3:5" x14ac:dyDescent="0.2">
      <c r="C296" s="17">
        <v>1979</v>
      </c>
      <c r="D296" s="17">
        <v>1982</v>
      </c>
      <c r="E296" s="17">
        <f t="shared" si="4"/>
        <v>0</v>
      </c>
    </row>
    <row r="297" spans="3:5" x14ac:dyDescent="0.2">
      <c r="C297" s="17">
        <v>1976</v>
      </c>
      <c r="D297" s="17">
        <v>2003</v>
      </c>
      <c r="E297" s="17">
        <f t="shared" si="4"/>
        <v>0</v>
      </c>
    </row>
    <row r="298" spans="3:5" x14ac:dyDescent="0.2">
      <c r="C298" s="17">
        <v>1967</v>
      </c>
      <c r="D298" s="17">
        <v>1976</v>
      </c>
      <c r="E298" s="17">
        <f t="shared" si="4"/>
        <v>1</v>
      </c>
    </row>
    <row r="299" spans="3:5" x14ac:dyDescent="0.2">
      <c r="C299" s="17">
        <v>1970</v>
      </c>
      <c r="D299" s="17">
        <v>1989</v>
      </c>
      <c r="E299" s="17">
        <f t="shared" si="4"/>
        <v>1</v>
      </c>
    </row>
    <row r="300" spans="3:5" x14ac:dyDescent="0.2">
      <c r="C300" s="17">
        <v>1970</v>
      </c>
      <c r="D300" s="17">
        <v>1993</v>
      </c>
      <c r="E300" s="17">
        <f t="shared" si="4"/>
        <v>1</v>
      </c>
    </row>
    <row r="301" spans="3:5" x14ac:dyDescent="0.2">
      <c r="C301" s="17">
        <v>1960</v>
      </c>
      <c r="D301" s="17">
        <v>1971</v>
      </c>
      <c r="E301" s="17">
        <f t="shared" si="4"/>
        <v>0</v>
      </c>
    </row>
    <row r="302" spans="3:5" x14ac:dyDescent="0.2">
      <c r="C302" s="17">
        <v>1958</v>
      </c>
      <c r="D302" s="17">
        <v>1962</v>
      </c>
      <c r="E302" s="17">
        <f t="shared" si="4"/>
        <v>0</v>
      </c>
    </row>
    <row r="303" spans="3:5" x14ac:dyDescent="0.2">
      <c r="C303" s="17">
        <v>1952</v>
      </c>
      <c r="D303" s="17">
        <v>1976</v>
      </c>
      <c r="E303" s="17">
        <f t="shared" si="4"/>
        <v>1</v>
      </c>
    </row>
    <row r="304" spans="3:5" x14ac:dyDescent="0.2">
      <c r="C304" s="17">
        <v>1957</v>
      </c>
      <c r="D304" s="17">
        <v>1984</v>
      </c>
      <c r="E304" s="17">
        <f t="shared" si="4"/>
        <v>1</v>
      </c>
    </row>
    <row r="305" spans="3:5" x14ac:dyDescent="0.2">
      <c r="C305" s="17">
        <v>1972</v>
      </c>
      <c r="D305" s="17">
        <v>2000</v>
      </c>
      <c r="E305" s="17">
        <f t="shared" si="4"/>
        <v>1</v>
      </c>
    </row>
    <row r="306" spans="3:5" x14ac:dyDescent="0.2">
      <c r="C306" s="17">
        <v>1972</v>
      </c>
      <c r="D306" s="17">
        <v>1997</v>
      </c>
      <c r="E306" s="17">
        <f t="shared" si="4"/>
        <v>1</v>
      </c>
    </row>
    <row r="307" spans="3:5" x14ac:dyDescent="0.2">
      <c r="C307" s="17">
        <v>1977</v>
      </c>
      <c r="D307" s="17">
        <v>1997</v>
      </c>
      <c r="E307" s="17">
        <f t="shared" si="4"/>
        <v>0</v>
      </c>
    </row>
    <row r="308" spans="3:5" x14ac:dyDescent="0.2">
      <c r="C308" s="17">
        <v>1962</v>
      </c>
      <c r="D308" s="17">
        <v>1971</v>
      </c>
      <c r="E308" s="17">
        <f t="shared" si="4"/>
        <v>0</v>
      </c>
    </row>
    <row r="309" spans="3:5" x14ac:dyDescent="0.2">
      <c r="C309" s="17">
        <v>1965</v>
      </c>
      <c r="D309" s="17">
        <v>1981</v>
      </c>
      <c r="E309" s="17">
        <f t="shared" si="4"/>
        <v>1</v>
      </c>
    </row>
    <row r="310" spans="3:5" x14ac:dyDescent="0.2">
      <c r="C310" s="17">
        <v>1965</v>
      </c>
      <c r="D310" s="17">
        <v>1972</v>
      </c>
      <c r="E310" s="17">
        <f t="shared" si="4"/>
        <v>1</v>
      </c>
    </row>
    <row r="311" spans="3:5" x14ac:dyDescent="0.2">
      <c r="C311" s="17">
        <v>1962</v>
      </c>
      <c r="D311" s="17">
        <v>1990</v>
      </c>
      <c r="E311" s="17">
        <f t="shared" si="4"/>
        <v>1</v>
      </c>
    </row>
    <row r="312" spans="3:5" x14ac:dyDescent="0.2">
      <c r="C312" s="17">
        <v>1963</v>
      </c>
      <c r="D312" s="17">
        <v>1976</v>
      </c>
      <c r="E312" s="17">
        <f t="shared" si="4"/>
        <v>1</v>
      </c>
    </row>
    <row r="313" spans="3:5" x14ac:dyDescent="0.2">
      <c r="C313" s="17">
        <v>1977</v>
      </c>
      <c r="D313" s="17">
        <v>1984</v>
      </c>
      <c r="E313" s="17">
        <f t="shared" si="4"/>
        <v>0</v>
      </c>
    </row>
    <row r="314" spans="3:5" x14ac:dyDescent="0.2">
      <c r="C314" s="17">
        <v>1967</v>
      </c>
      <c r="D314" s="17">
        <v>1990</v>
      </c>
      <c r="E314" s="17">
        <f t="shared" si="4"/>
        <v>1</v>
      </c>
    </row>
    <row r="315" spans="3:5" x14ac:dyDescent="0.2">
      <c r="C315" s="17">
        <v>1970</v>
      </c>
      <c r="D315" s="17">
        <v>1975</v>
      </c>
      <c r="E315" s="17">
        <f t="shared" si="4"/>
        <v>1</v>
      </c>
    </row>
    <row r="316" spans="3:5" x14ac:dyDescent="0.2">
      <c r="C316" s="17">
        <v>1955</v>
      </c>
      <c r="D316" s="17">
        <v>1968</v>
      </c>
      <c r="E316" s="17">
        <f t="shared" si="4"/>
        <v>0</v>
      </c>
    </row>
    <row r="317" spans="3:5" x14ac:dyDescent="0.2">
      <c r="C317" s="17">
        <v>1950</v>
      </c>
      <c r="D317" s="17">
        <v>1977</v>
      </c>
      <c r="E317" s="17">
        <f t="shared" si="4"/>
        <v>1</v>
      </c>
    </row>
    <row r="318" spans="3:5" x14ac:dyDescent="0.2">
      <c r="C318" s="17">
        <v>1970</v>
      </c>
      <c r="D318" s="17">
        <v>1990</v>
      </c>
      <c r="E318" s="17">
        <f t="shared" si="4"/>
        <v>1</v>
      </c>
    </row>
    <row r="319" spans="3:5" x14ac:dyDescent="0.2">
      <c r="C319" s="17">
        <v>1952</v>
      </c>
      <c r="D319" s="17">
        <v>1956</v>
      </c>
      <c r="E319" s="17">
        <f t="shared" si="4"/>
        <v>0</v>
      </c>
    </row>
    <row r="320" spans="3:5" x14ac:dyDescent="0.2">
      <c r="C320" s="17">
        <v>1953</v>
      </c>
      <c r="D320" s="17">
        <v>1961</v>
      </c>
      <c r="E320" s="17">
        <f t="shared" si="4"/>
        <v>0</v>
      </c>
    </row>
    <row r="321" spans="3:5" x14ac:dyDescent="0.2">
      <c r="C321" s="17">
        <v>1978</v>
      </c>
      <c r="D321" s="17">
        <v>1981</v>
      </c>
      <c r="E321" s="17">
        <f t="shared" si="4"/>
        <v>0</v>
      </c>
    </row>
    <row r="322" spans="3:5" x14ac:dyDescent="0.2">
      <c r="C322" s="17">
        <v>1979</v>
      </c>
      <c r="D322" s="17">
        <v>2003</v>
      </c>
      <c r="E322" s="17">
        <f t="shared" si="4"/>
        <v>0</v>
      </c>
    </row>
    <row r="323" spans="3:5" x14ac:dyDescent="0.2">
      <c r="C323" s="17">
        <v>1976</v>
      </c>
      <c r="D323" s="17">
        <v>1977</v>
      </c>
      <c r="E323" s="17">
        <f t="shared" si="4"/>
        <v>0</v>
      </c>
    </row>
    <row r="324" spans="3:5" x14ac:dyDescent="0.2">
      <c r="C324" s="17">
        <v>1973</v>
      </c>
      <c r="D324" s="17">
        <v>1975</v>
      </c>
      <c r="E324" s="17">
        <f t="shared" si="4"/>
        <v>0</v>
      </c>
    </row>
    <row r="325" spans="3:5" x14ac:dyDescent="0.2">
      <c r="C325" s="17">
        <v>1961</v>
      </c>
      <c r="D325" s="17">
        <v>1971</v>
      </c>
      <c r="E325" s="17">
        <f t="shared" si="4"/>
        <v>0</v>
      </c>
    </row>
    <row r="326" spans="3:5" x14ac:dyDescent="0.2">
      <c r="C326" s="17">
        <v>1952</v>
      </c>
      <c r="D326" s="17">
        <v>1964</v>
      </c>
      <c r="E326" s="17">
        <f t="shared" ref="E326:E389" si="5">IF(AND(C326&lt;=$F$3,D326&gt;=$F$3),1,0)</f>
        <v>0</v>
      </c>
    </row>
    <row r="327" spans="3:5" x14ac:dyDescent="0.2">
      <c r="C327" s="17">
        <v>1961</v>
      </c>
      <c r="D327" s="17">
        <v>1973</v>
      </c>
      <c r="E327" s="17">
        <f t="shared" si="5"/>
        <v>1</v>
      </c>
    </row>
    <row r="328" spans="3:5" x14ac:dyDescent="0.2">
      <c r="C328" s="17">
        <v>1961</v>
      </c>
      <c r="D328" s="17">
        <v>1970</v>
      </c>
      <c r="E328" s="17">
        <f t="shared" si="5"/>
        <v>0</v>
      </c>
    </row>
    <row r="329" spans="3:5" x14ac:dyDescent="0.2">
      <c r="C329" s="17">
        <v>1960</v>
      </c>
      <c r="D329" s="17">
        <v>1968</v>
      </c>
      <c r="E329" s="17">
        <f t="shared" si="5"/>
        <v>0</v>
      </c>
    </row>
    <row r="330" spans="3:5" x14ac:dyDescent="0.2">
      <c r="C330" s="17">
        <v>1971</v>
      </c>
      <c r="D330" s="17">
        <v>1975</v>
      </c>
      <c r="E330" s="17">
        <f t="shared" si="5"/>
        <v>1</v>
      </c>
    </row>
    <row r="331" spans="3:5" x14ac:dyDescent="0.2">
      <c r="C331" s="17">
        <v>1960</v>
      </c>
      <c r="D331" s="17">
        <v>1983</v>
      </c>
      <c r="E331" s="17">
        <f t="shared" si="5"/>
        <v>1</v>
      </c>
    </row>
    <row r="332" spans="3:5" x14ac:dyDescent="0.2">
      <c r="C332" s="17">
        <v>1956</v>
      </c>
      <c r="D332" s="17">
        <v>1972</v>
      </c>
      <c r="E332" s="17">
        <f t="shared" si="5"/>
        <v>1</v>
      </c>
    </row>
    <row r="333" spans="3:5" x14ac:dyDescent="0.2">
      <c r="C333" s="17">
        <v>1978</v>
      </c>
      <c r="D333" s="17">
        <v>2001</v>
      </c>
      <c r="E333" s="17">
        <f t="shared" si="5"/>
        <v>0</v>
      </c>
    </row>
    <row r="334" spans="3:5" x14ac:dyDescent="0.2">
      <c r="C334" s="17">
        <v>1970</v>
      </c>
      <c r="D334" s="17">
        <v>1975</v>
      </c>
      <c r="E334" s="17">
        <f t="shared" si="5"/>
        <v>1</v>
      </c>
    </row>
    <row r="335" spans="3:5" x14ac:dyDescent="0.2">
      <c r="C335" s="17">
        <v>1950</v>
      </c>
      <c r="D335" s="17">
        <v>1977</v>
      </c>
      <c r="E335" s="17">
        <f t="shared" si="5"/>
        <v>1</v>
      </c>
    </row>
    <row r="336" spans="3:5" x14ac:dyDescent="0.2">
      <c r="C336" s="17">
        <v>1950</v>
      </c>
      <c r="D336" s="17">
        <v>1968</v>
      </c>
      <c r="E336" s="17">
        <f t="shared" si="5"/>
        <v>0</v>
      </c>
    </row>
    <row r="337" spans="3:5" x14ac:dyDescent="0.2">
      <c r="C337" s="17">
        <v>1970</v>
      </c>
      <c r="D337" s="17">
        <v>1993</v>
      </c>
      <c r="E337" s="17">
        <f t="shared" si="5"/>
        <v>1</v>
      </c>
    </row>
    <row r="338" spans="3:5" x14ac:dyDescent="0.2">
      <c r="C338" s="17">
        <v>1954</v>
      </c>
      <c r="D338" s="17">
        <v>1970</v>
      </c>
      <c r="E338" s="17">
        <f t="shared" si="5"/>
        <v>0</v>
      </c>
    </row>
    <row r="339" spans="3:5" x14ac:dyDescent="0.2">
      <c r="C339" s="17">
        <v>1958</v>
      </c>
      <c r="D339" s="17">
        <v>1987</v>
      </c>
      <c r="E339" s="17">
        <f t="shared" si="5"/>
        <v>1</v>
      </c>
    </row>
    <row r="340" spans="3:5" x14ac:dyDescent="0.2">
      <c r="C340" s="17">
        <v>1966</v>
      </c>
      <c r="D340" s="17">
        <v>1988</v>
      </c>
      <c r="E340" s="17">
        <f t="shared" si="5"/>
        <v>1</v>
      </c>
    </row>
    <row r="341" spans="3:5" x14ac:dyDescent="0.2">
      <c r="C341" s="17">
        <v>1957</v>
      </c>
      <c r="D341" s="17">
        <v>1982</v>
      </c>
      <c r="E341" s="17">
        <f t="shared" si="5"/>
        <v>1</v>
      </c>
    </row>
    <row r="342" spans="3:5" x14ac:dyDescent="0.2">
      <c r="C342" s="17">
        <v>1974</v>
      </c>
      <c r="D342" s="17">
        <v>1986</v>
      </c>
      <c r="E342" s="17">
        <f t="shared" si="5"/>
        <v>0</v>
      </c>
    </row>
    <row r="343" spans="3:5" x14ac:dyDescent="0.2">
      <c r="C343" s="17">
        <v>1976</v>
      </c>
      <c r="D343" s="17">
        <v>1997</v>
      </c>
      <c r="E343" s="17">
        <f t="shared" si="5"/>
        <v>0</v>
      </c>
    </row>
    <row r="344" spans="3:5" x14ac:dyDescent="0.2">
      <c r="C344" s="17">
        <v>1956</v>
      </c>
      <c r="D344" s="17">
        <v>1956</v>
      </c>
      <c r="E344" s="17">
        <f t="shared" si="5"/>
        <v>0</v>
      </c>
    </row>
    <row r="345" spans="3:5" x14ac:dyDescent="0.2">
      <c r="C345" s="17">
        <v>1950</v>
      </c>
      <c r="D345" s="17">
        <v>1966</v>
      </c>
      <c r="E345" s="17">
        <f t="shared" si="5"/>
        <v>0</v>
      </c>
    </row>
    <row r="346" spans="3:5" x14ac:dyDescent="0.2">
      <c r="C346" s="17">
        <v>1974</v>
      </c>
      <c r="D346" s="17">
        <v>1990</v>
      </c>
      <c r="E346" s="17">
        <f t="shared" si="5"/>
        <v>0</v>
      </c>
    </row>
    <row r="347" spans="3:5" x14ac:dyDescent="0.2">
      <c r="C347" s="17">
        <v>1962</v>
      </c>
      <c r="D347" s="17">
        <v>1987</v>
      </c>
      <c r="E347" s="17">
        <f t="shared" si="5"/>
        <v>1</v>
      </c>
    </row>
    <row r="348" spans="3:5" x14ac:dyDescent="0.2">
      <c r="C348" s="17">
        <v>1961</v>
      </c>
      <c r="D348" s="17">
        <v>1984</v>
      </c>
      <c r="E348" s="17">
        <f t="shared" si="5"/>
        <v>1</v>
      </c>
    </row>
    <row r="349" spans="3:5" x14ac:dyDescent="0.2">
      <c r="C349" s="17">
        <v>1962</v>
      </c>
      <c r="D349" s="17">
        <v>1979</v>
      </c>
      <c r="E349" s="17">
        <f t="shared" si="5"/>
        <v>1</v>
      </c>
    </row>
    <row r="350" spans="3:5" x14ac:dyDescent="0.2">
      <c r="C350" s="17">
        <v>1972</v>
      </c>
      <c r="D350" s="17">
        <v>1975</v>
      </c>
      <c r="E350" s="17">
        <f t="shared" si="5"/>
        <v>1</v>
      </c>
    </row>
    <row r="351" spans="3:5" x14ac:dyDescent="0.2">
      <c r="C351" s="17">
        <v>1960</v>
      </c>
      <c r="D351" s="17">
        <v>1976</v>
      </c>
      <c r="E351" s="17">
        <f t="shared" si="5"/>
        <v>1</v>
      </c>
    </row>
    <row r="352" spans="3:5" x14ac:dyDescent="0.2">
      <c r="C352" s="17">
        <v>1976</v>
      </c>
      <c r="D352" s="17">
        <v>1978</v>
      </c>
      <c r="E352" s="17">
        <f t="shared" si="5"/>
        <v>0</v>
      </c>
    </row>
    <row r="353" spans="3:5" x14ac:dyDescent="0.2">
      <c r="C353" s="17">
        <v>1966</v>
      </c>
      <c r="D353" s="17">
        <v>1972</v>
      </c>
      <c r="E353" s="17">
        <f t="shared" si="5"/>
        <v>1</v>
      </c>
    </row>
    <row r="354" spans="3:5" x14ac:dyDescent="0.2">
      <c r="C354" s="17">
        <v>1956</v>
      </c>
      <c r="D354" s="17">
        <v>1983</v>
      </c>
      <c r="E354" s="17">
        <f t="shared" si="5"/>
        <v>1</v>
      </c>
    </row>
    <row r="355" spans="3:5" x14ac:dyDescent="0.2">
      <c r="C355" s="17">
        <v>1974</v>
      </c>
      <c r="D355" s="17">
        <v>1981</v>
      </c>
      <c r="E355" s="17">
        <f t="shared" si="5"/>
        <v>0</v>
      </c>
    </row>
    <row r="356" spans="3:5" x14ac:dyDescent="0.2">
      <c r="C356" s="17">
        <v>1951</v>
      </c>
      <c r="D356" s="17">
        <v>1951</v>
      </c>
      <c r="E356" s="17">
        <f t="shared" si="5"/>
        <v>0</v>
      </c>
    </row>
    <row r="357" spans="3:5" x14ac:dyDescent="0.2">
      <c r="C357" s="17">
        <v>1963</v>
      </c>
      <c r="D357" s="17">
        <v>1965</v>
      </c>
      <c r="E357" s="17">
        <f t="shared" si="5"/>
        <v>0</v>
      </c>
    </row>
    <row r="358" spans="3:5" x14ac:dyDescent="0.2">
      <c r="C358" s="17">
        <v>1978</v>
      </c>
      <c r="D358" s="17">
        <v>2004</v>
      </c>
      <c r="E358" s="17">
        <f t="shared" si="5"/>
        <v>0</v>
      </c>
    </row>
    <row r="359" spans="3:5" x14ac:dyDescent="0.2">
      <c r="C359" s="17">
        <v>1958</v>
      </c>
      <c r="D359" s="17">
        <v>1975</v>
      </c>
      <c r="E359" s="17">
        <f t="shared" si="5"/>
        <v>1</v>
      </c>
    </row>
    <row r="360" spans="3:5" x14ac:dyDescent="0.2">
      <c r="C360" s="17">
        <v>1959</v>
      </c>
      <c r="D360" s="17">
        <v>1960</v>
      </c>
      <c r="E360" s="17">
        <f t="shared" si="5"/>
        <v>0</v>
      </c>
    </row>
    <row r="361" spans="3:5" x14ac:dyDescent="0.2">
      <c r="C361" s="17">
        <v>1957</v>
      </c>
      <c r="D361" s="17">
        <v>1968</v>
      </c>
      <c r="E361" s="17">
        <f t="shared" si="5"/>
        <v>0</v>
      </c>
    </row>
    <row r="362" spans="3:5" x14ac:dyDescent="0.2">
      <c r="C362" s="17">
        <v>1958</v>
      </c>
      <c r="D362" s="17">
        <v>1964</v>
      </c>
      <c r="E362" s="17">
        <f t="shared" si="5"/>
        <v>0</v>
      </c>
    </row>
    <row r="363" spans="3:5" x14ac:dyDescent="0.2">
      <c r="C363" s="17">
        <v>1959</v>
      </c>
      <c r="D363" s="17">
        <v>1972</v>
      </c>
      <c r="E363" s="17">
        <f t="shared" si="5"/>
        <v>1</v>
      </c>
    </row>
    <row r="364" spans="3:5" x14ac:dyDescent="0.2">
      <c r="C364" s="17">
        <v>1959</v>
      </c>
      <c r="D364" s="17">
        <v>1967</v>
      </c>
      <c r="E364" s="17">
        <f t="shared" si="5"/>
        <v>0</v>
      </c>
    </row>
    <row r="365" spans="3:5" x14ac:dyDescent="0.2">
      <c r="C365" s="17">
        <v>1951</v>
      </c>
      <c r="D365" s="17">
        <v>1966</v>
      </c>
      <c r="E365" s="17">
        <f t="shared" si="5"/>
        <v>0</v>
      </c>
    </row>
    <row r="366" spans="3:5" x14ac:dyDescent="0.2">
      <c r="C366" s="17">
        <v>1961</v>
      </c>
      <c r="D366" s="17">
        <v>1966</v>
      </c>
      <c r="E366" s="17">
        <f t="shared" si="5"/>
        <v>0</v>
      </c>
    </row>
    <row r="367" spans="3:5" x14ac:dyDescent="0.2">
      <c r="C367" s="17">
        <v>1951</v>
      </c>
      <c r="D367" s="17">
        <v>1963</v>
      </c>
      <c r="E367" s="17">
        <f t="shared" si="5"/>
        <v>0</v>
      </c>
    </row>
    <row r="368" spans="3:5" x14ac:dyDescent="0.2">
      <c r="C368" s="17">
        <v>1975</v>
      </c>
      <c r="D368" s="17">
        <v>1976</v>
      </c>
      <c r="E368" s="17">
        <f t="shared" si="5"/>
        <v>0</v>
      </c>
    </row>
    <row r="369" spans="3:5" x14ac:dyDescent="0.2">
      <c r="C369" s="17">
        <v>1963</v>
      </c>
      <c r="D369" s="17">
        <v>1983</v>
      </c>
      <c r="E369" s="17">
        <f t="shared" si="5"/>
        <v>1</v>
      </c>
    </row>
    <row r="370" spans="3:5" x14ac:dyDescent="0.2">
      <c r="C370" s="17">
        <v>1963</v>
      </c>
      <c r="D370" s="17">
        <v>1992</v>
      </c>
      <c r="E370" s="17">
        <f t="shared" si="5"/>
        <v>1</v>
      </c>
    </row>
    <row r="371" spans="3:5" x14ac:dyDescent="0.2">
      <c r="C371" s="17">
        <v>1956</v>
      </c>
      <c r="D371" s="17">
        <v>1968</v>
      </c>
      <c r="E371" s="17">
        <f t="shared" si="5"/>
        <v>0</v>
      </c>
    </row>
    <row r="372" spans="3:5" x14ac:dyDescent="0.2">
      <c r="C372" s="17">
        <v>1961</v>
      </c>
      <c r="D372" s="17">
        <v>1985</v>
      </c>
      <c r="E372" s="17">
        <f t="shared" si="5"/>
        <v>1</v>
      </c>
    </row>
    <row r="373" spans="3:5" x14ac:dyDescent="0.2">
      <c r="C373" s="17">
        <v>1963</v>
      </c>
      <c r="D373" s="17">
        <v>1964</v>
      </c>
      <c r="E373" s="17">
        <f t="shared" si="5"/>
        <v>0</v>
      </c>
    </row>
    <row r="374" spans="3:5" x14ac:dyDescent="0.2">
      <c r="C374" s="17">
        <v>1960</v>
      </c>
      <c r="D374" s="17">
        <v>1965</v>
      </c>
      <c r="E374" s="17">
        <f t="shared" si="5"/>
        <v>0</v>
      </c>
    </row>
    <row r="375" spans="3:5" x14ac:dyDescent="0.2">
      <c r="C375" s="17">
        <v>1966</v>
      </c>
      <c r="D375" s="17">
        <v>1979</v>
      </c>
      <c r="E375" s="17">
        <f t="shared" si="5"/>
        <v>1</v>
      </c>
    </row>
    <row r="376" spans="3:5" x14ac:dyDescent="0.2">
      <c r="C376" s="17">
        <v>1960</v>
      </c>
      <c r="D376" s="17">
        <v>1982</v>
      </c>
      <c r="E376" s="17">
        <f t="shared" si="5"/>
        <v>1</v>
      </c>
    </row>
    <row r="377" spans="3:5" x14ac:dyDescent="0.2">
      <c r="C377" s="17">
        <v>1958</v>
      </c>
      <c r="D377" s="17">
        <v>1984</v>
      </c>
      <c r="E377" s="17">
        <f t="shared" si="5"/>
        <v>1</v>
      </c>
    </row>
    <row r="378" spans="3:5" x14ac:dyDescent="0.2">
      <c r="C378" s="17">
        <v>1958</v>
      </c>
      <c r="D378" s="17">
        <v>1960</v>
      </c>
      <c r="E378" s="17">
        <f t="shared" si="5"/>
        <v>0</v>
      </c>
    </row>
    <row r="379" spans="3:5" x14ac:dyDescent="0.2">
      <c r="C379" s="17">
        <v>1971</v>
      </c>
      <c r="D379" s="17">
        <v>1987</v>
      </c>
      <c r="E379" s="17">
        <f t="shared" si="5"/>
        <v>1</v>
      </c>
    </row>
    <row r="380" spans="3:5" x14ac:dyDescent="0.2">
      <c r="C380" s="17">
        <v>1964</v>
      </c>
      <c r="D380" s="17">
        <v>1989</v>
      </c>
      <c r="E380" s="17">
        <f t="shared" si="5"/>
        <v>1</v>
      </c>
    </row>
    <row r="381" spans="3:5" x14ac:dyDescent="0.2">
      <c r="C381" s="17">
        <v>1967</v>
      </c>
      <c r="D381" s="17">
        <v>1982</v>
      </c>
      <c r="E381" s="17">
        <f t="shared" si="5"/>
        <v>1</v>
      </c>
    </row>
    <row r="382" spans="3:5" x14ac:dyDescent="0.2">
      <c r="C382" s="17">
        <v>1975</v>
      </c>
      <c r="D382" s="17">
        <v>1975</v>
      </c>
      <c r="E382" s="17">
        <f t="shared" si="5"/>
        <v>0</v>
      </c>
    </row>
    <row r="383" spans="3:5" x14ac:dyDescent="0.2">
      <c r="C383" s="17">
        <v>1964</v>
      </c>
      <c r="D383" s="17">
        <v>1982</v>
      </c>
      <c r="E383" s="17">
        <f t="shared" si="5"/>
        <v>1</v>
      </c>
    </row>
    <row r="384" spans="3:5" x14ac:dyDescent="0.2">
      <c r="C384" s="17">
        <v>1953</v>
      </c>
      <c r="D384" s="17">
        <v>1969</v>
      </c>
      <c r="E384" s="17">
        <f t="shared" si="5"/>
        <v>0</v>
      </c>
    </row>
    <row r="385" spans="3:5" x14ac:dyDescent="0.2">
      <c r="C385" s="17">
        <v>1952</v>
      </c>
      <c r="D385" s="17">
        <v>1971</v>
      </c>
      <c r="E385" s="17">
        <f t="shared" si="5"/>
        <v>0</v>
      </c>
    </row>
    <row r="386" spans="3:5" x14ac:dyDescent="0.2">
      <c r="C386" s="17">
        <v>1966</v>
      </c>
      <c r="D386" s="17">
        <v>1977</v>
      </c>
      <c r="E386" s="17">
        <f t="shared" si="5"/>
        <v>1</v>
      </c>
    </row>
    <row r="387" spans="3:5" x14ac:dyDescent="0.2">
      <c r="C387" s="17">
        <v>1968</v>
      </c>
      <c r="D387" s="17">
        <v>1991</v>
      </c>
      <c r="E387" s="17">
        <f t="shared" si="5"/>
        <v>1</v>
      </c>
    </row>
    <row r="388" spans="3:5" x14ac:dyDescent="0.2">
      <c r="C388" s="17">
        <v>1975</v>
      </c>
      <c r="D388" s="17">
        <v>1993</v>
      </c>
      <c r="E388" s="17">
        <f t="shared" si="5"/>
        <v>0</v>
      </c>
    </row>
    <row r="389" spans="3:5" x14ac:dyDescent="0.2">
      <c r="C389" s="17">
        <v>1951</v>
      </c>
      <c r="D389" s="17">
        <v>1953</v>
      </c>
      <c r="E389" s="17">
        <f t="shared" si="5"/>
        <v>0</v>
      </c>
    </row>
    <row r="390" spans="3:5" x14ac:dyDescent="0.2">
      <c r="C390" s="17">
        <v>1966</v>
      </c>
      <c r="D390" s="17">
        <v>1994</v>
      </c>
      <c r="E390" s="17">
        <f t="shared" ref="E390:E453" si="6">IF(AND(C390&lt;=$F$3,D390&gt;=$F$3),1,0)</f>
        <v>1</v>
      </c>
    </row>
    <row r="391" spans="3:5" x14ac:dyDescent="0.2">
      <c r="C391" s="17">
        <v>1975</v>
      </c>
      <c r="D391" s="17">
        <v>1992</v>
      </c>
      <c r="E391" s="17">
        <f t="shared" si="6"/>
        <v>0</v>
      </c>
    </row>
    <row r="392" spans="3:5" x14ac:dyDescent="0.2">
      <c r="C392" s="17">
        <v>1964</v>
      </c>
      <c r="D392" s="17">
        <v>1974</v>
      </c>
      <c r="E392" s="17">
        <f t="shared" si="6"/>
        <v>1</v>
      </c>
    </row>
    <row r="393" spans="3:5" x14ac:dyDescent="0.2">
      <c r="C393" s="17">
        <v>1960</v>
      </c>
      <c r="D393" s="17">
        <v>1979</v>
      </c>
      <c r="E393" s="17">
        <f t="shared" si="6"/>
        <v>1</v>
      </c>
    </row>
    <row r="394" spans="3:5" x14ac:dyDescent="0.2">
      <c r="C394" s="17">
        <v>1956</v>
      </c>
      <c r="D394" s="17">
        <v>1961</v>
      </c>
      <c r="E394" s="17">
        <f t="shared" si="6"/>
        <v>0</v>
      </c>
    </row>
    <row r="395" spans="3:5" x14ac:dyDescent="0.2">
      <c r="C395" s="17">
        <v>1972</v>
      </c>
      <c r="D395" s="17">
        <v>1981</v>
      </c>
      <c r="E395" s="17">
        <f t="shared" si="6"/>
        <v>1</v>
      </c>
    </row>
    <row r="396" spans="3:5" x14ac:dyDescent="0.2">
      <c r="C396" s="17">
        <v>1964</v>
      </c>
      <c r="D396" s="17">
        <v>1989</v>
      </c>
      <c r="E396" s="17">
        <f t="shared" si="6"/>
        <v>1</v>
      </c>
    </row>
    <row r="397" spans="3:5" x14ac:dyDescent="0.2">
      <c r="C397" s="17">
        <v>1967</v>
      </c>
      <c r="D397" s="17">
        <v>1978</v>
      </c>
      <c r="E397" s="17">
        <f t="shared" si="6"/>
        <v>1</v>
      </c>
    </row>
    <row r="398" spans="3:5" x14ac:dyDescent="0.2">
      <c r="C398" s="17">
        <v>1970</v>
      </c>
      <c r="D398" s="17">
        <v>1987</v>
      </c>
      <c r="E398" s="17">
        <f t="shared" si="6"/>
        <v>1</v>
      </c>
    </row>
    <row r="399" spans="3:5" x14ac:dyDescent="0.2">
      <c r="C399" s="17">
        <v>1961</v>
      </c>
      <c r="D399" s="17">
        <v>1977</v>
      </c>
      <c r="E399" s="17">
        <f t="shared" si="6"/>
        <v>1</v>
      </c>
    </row>
    <row r="400" spans="3:5" x14ac:dyDescent="0.2">
      <c r="C400" s="17">
        <v>1965</v>
      </c>
      <c r="D400" s="17">
        <v>1965</v>
      </c>
      <c r="E400" s="17">
        <f t="shared" si="6"/>
        <v>0</v>
      </c>
    </row>
    <row r="401" spans="3:5" x14ac:dyDescent="0.2">
      <c r="C401" s="17">
        <v>1959</v>
      </c>
      <c r="D401" s="17">
        <v>1973</v>
      </c>
      <c r="E401" s="17">
        <f t="shared" si="6"/>
        <v>1</v>
      </c>
    </row>
    <row r="402" spans="3:5" x14ac:dyDescent="0.2">
      <c r="C402" s="17">
        <v>1952</v>
      </c>
      <c r="D402" s="17">
        <v>1957</v>
      </c>
      <c r="E402" s="17">
        <f t="shared" si="6"/>
        <v>0</v>
      </c>
    </row>
    <row r="403" spans="3:5" x14ac:dyDescent="0.2">
      <c r="C403" s="17">
        <v>1964</v>
      </c>
      <c r="D403" s="17">
        <v>1965</v>
      </c>
      <c r="E403" s="17">
        <f t="shared" si="6"/>
        <v>0</v>
      </c>
    </row>
    <row r="404" spans="3:5" x14ac:dyDescent="0.2">
      <c r="C404" s="17">
        <v>1964</v>
      </c>
      <c r="D404" s="17">
        <v>1973</v>
      </c>
      <c r="E404" s="17">
        <f t="shared" si="6"/>
        <v>1</v>
      </c>
    </row>
    <row r="405" spans="3:5" x14ac:dyDescent="0.2">
      <c r="C405" s="17">
        <v>1966</v>
      </c>
      <c r="D405" s="17">
        <v>1975</v>
      </c>
      <c r="E405" s="17">
        <f t="shared" si="6"/>
        <v>1</v>
      </c>
    </row>
    <row r="406" spans="3:5" x14ac:dyDescent="0.2">
      <c r="C406" s="17">
        <v>1963</v>
      </c>
      <c r="D406" s="17">
        <v>1964</v>
      </c>
      <c r="E406" s="17">
        <f t="shared" si="6"/>
        <v>0</v>
      </c>
    </row>
    <row r="407" spans="3:5" x14ac:dyDescent="0.2">
      <c r="C407" s="17">
        <v>1953</v>
      </c>
      <c r="D407" s="17">
        <v>1972</v>
      </c>
      <c r="E407" s="17">
        <f t="shared" si="6"/>
        <v>1</v>
      </c>
    </row>
    <row r="408" spans="3:5" x14ac:dyDescent="0.2">
      <c r="C408" s="17">
        <v>1966</v>
      </c>
      <c r="D408" s="17">
        <v>1969</v>
      </c>
      <c r="E408" s="17">
        <f t="shared" si="6"/>
        <v>0</v>
      </c>
    </row>
    <row r="409" spans="3:5" x14ac:dyDescent="0.2">
      <c r="C409" s="17">
        <v>1975</v>
      </c>
      <c r="D409" s="17">
        <v>1989</v>
      </c>
      <c r="E409" s="17">
        <f t="shared" si="6"/>
        <v>0</v>
      </c>
    </row>
    <row r="410" spans="3:5" x14ac:dyDescent="0.2">
      <c r="C410" s="17">
        <v>1955</v>
      </c>
      <c r="D410" s="17">
        <v>1983</v>
      </c>
      <c r="E410" s="17">
        <f t="shared" si="6"/>
        <v>1</v>
      </c>
    </row>
    <row r="411" spans="3:5" x14ac:dyDescent="0.2">
      <c r="C411" s="17">
        <v>1972</v>
      </c>
      <c r="D411" s="17">
        <v>1980</v>
      </c>
      <c r="E411" s="17">
        <f t="shared" si="6"/>
        <v>1</v>
      </c>
    </row>
    <row r="412" spans="3:5" x14ac:dyDescent="0.2">
      <c r="C412" s="17">
        <v>1976</v>
      </c>
      <c r="D412" s="17">
        <v>1989</v>
      </c>
      <c r="E412" s="17">
        <f t="shared" si="6"/>
        <v>0</v>
      </c>
    </row>
    <row r="413" spans="3:5" x14ac:dyDescent="0.2">
      <c r="C413" s="17">
        <v>1974</v>
      </c>
      <c r="D413" s="17">
        <v>1991</v>
      </c>
      <c r="E413" s="17">
        <f t="shared" si="6"/>
        <v>0</v>
      </c>
    </row>
    <row r="414" spans="3:5" x14ac:dyDescent="0.2">
      <c r="C414" s="17">
        <v>1965</v>
      </c>
      <c r="D414" s="17">
        <v>1977</v>
      </c>
      <c r="E414" s="17">
        <f t="shared" si="6"/>
        <v>1</v>
      </c>
    </row>
    <row r="415" spans="3:5" x14ac:dyDescent="0.2">
      <c r="C415" s="17">
        <v>1956</v>
      </c>
      <c r="D415" s="17">
        <v>1957</v>
      </c>
      <c r="E415" s="17">
        <f t="shared" si="6"/>
        <v>0</v>
      </c>
    </row>
    <row r="416" spans="3:5" x14ac:dyDescent="0.2">
      <c r="C416" s="17">
        <v>1970</v>
      </c>
      <c r="D416" s="17">
        <v>1981</v>
      </c>
      <c r="E416" s="17">
        <f t="shared" si="6"/>
        <v>1</v>
      </c>
    </row>
    <row r="417" spans="3:5" x14ac:dyDescent="0.2">
      <c r="C417" s="17">
        <v>1964</v>
      </c>
      <c r="D417" s="17">
        <v>1972</v>
      </c>
      <c r="E417" s="17">
        <f t="shared" si="6"/>
        <v>1</v>
      </c>
    </row>
    <row r="418" spans="3:5" x14ac:dyDescent="0.2">
      <c r="C418" s="17">
        <v>1964</v>
      </c>
      <c r="D418" s="17">
        <v>1978</v>
      </c>
      <c r="E418" s="17">
        <f t="shared" si="6"/>
        <v>1</v>
      </c>
    </row>
    <row r="419" spans="3:5" x14ac:dyDescent="0.2">
      <c r="C419" s="17">
        <v>1956</v>
      </c>
      <c r="D419" s="17">
        <v>1971</v>
      </c>
      <c r="E419" s="17">
        <f t="shared" si="6"/>
        <v>0</v>
      </c>
    </row>
    <row r="420" spans="3:5" x14ac:dyDescent="0.2">
      <c r="C420" s="17">
        <v>1952</v>
      </c>
      <c r="D420" s="17">
        <v>1981</v>
      </c>
      <c r="E420" s="17">
        <f t="shared" si="6"/>
        <v>1</v>
      </c>
    </row>
    <row r="421" spans="3:5" x14ac:dyDescent="0.2">
      <c r="C421" s="17">
        <v>1965</v>
      </c>
      <c r="D421" s="17">
        <v>1987</v>
      </c>
      <c r="E421" s="17">
        <f t="shared" si="6"/>
        <v>1</v>
      </c>
    </row>
    <row r="422" spans="3:5" x14ac:dyDescent="0.2">
      <c r="C422" s="17">
        <v>1976</v>
      </c>
      <c r="D422" s="17">
        <v>1987</v>
      </c>
      <c r="E422" s="17">
        <f t="shared" si="6"/>
        <v>0</v>
      </c>
    </row>
    <row r="423" spans="3:5" x14ac:dyDescent="0.2">
      <c r="C423" s="17">
        <v>1962</v>
      </c>
      <c r="D423" s="17">
        <v>1991</v>
      </c>
      <c r="E423" s="17">
        <f t="shared" si="6"/>
        <v>1</v>
      </c>
    </row>
    <row r="424" spans="3:5" x14ac:dyDescent="0.2">
      <c r="C424" s="17">
        <v>1971</v>
      </c>
      <c r="D424" s="17">
        <v>1993</v>
      </c>
      <c r="E424" s="17">
        <f t="shared" si="6"/>
        <v>1</v>
      </c>
    </row>
    <row r="425" spans="3:5" x14ac:dyDescent="0.2">
      <c r="C425" s="17">
        <v>1970</v>
      </c>
      <c r="D425" s="17">
        <v>1973</v>
      </c>
      <c r="E425" s="17">
        <f t="shared" si="6"/>
        <v>1</v>
      </c>
    </row>
    <row r="426" spans="3:5" x14ac:dyDescent="0.2">
      <c r="C426" s="17">
        <v>1966</v>
      </c>
      <c r="D426" s="17">
        <v>1977</v>
      </c>
      <c r="E426" s="17">
        <f t="shared" si="6"/>
        <v>1</v>
      </c>
    </row>
    <row r="427" spans="3:5" x14ac:dyDescent="0.2">
      <c r="C427" s="17">
        <v>1953</v>
      </c>
      <c r="D427" s="17">
        <v>1968</v>
      </c>
      <c r="E427" s="17">
        <f t="shared" si="6"/>
        <v>0</v>
      </c>
    </row>
    <row r="428" spans="3:5" x14ac:dyDescent="0.2">
      <c r="C428" s="17">
        <v>1965</v>
      </c>
      <c r="D428" s="17">
        <v>1978</v>
      </c>
      <c r="E428" s="17">
        <f t="shared" si="6"/>
        <v>1</v>
      </c>
    </row>
    <row r="429" spans="3:5" x14ac:dyDescent="0.2">
      <c r="C429" s="17">
        <v>1975</v>
      </c>
      <c r="D429" s="17">
        <v>1991</v>
      </c>
      <c r="E429" s="17">
        <f t="shared" si="6"/>
        <v>0</v>
      </c>
    </row>
    <row r="430" spans="3:5" x14ac:dyDescent="0.2">
      <c r="C430" s="17">
        <v>1969</v>
      </c>
      <c r="D430" s="17">
        <v>1970</v>
      </c>
      <c r="E430" s="17">
        <f t="shared" si="6"/>
        <v>0</v>
      </c>
    </row>
    <row r="431" spans="3:5" x14ac:dyDescent="0.2">
      <c r="C431" s="17">
        <v>1977</v>
      </c>
      <c r="D431" s="17">
        <v>1984</v>
      </c>
      <c r="E431" s="17">
        <f t="shared" si="6"/>
        <v>0</v>
      </c>
    </row>
    <row r="432" spans="3:5" x14ac:dyDescent="0.2">
      <c r="C432" s="17">
        <v>1967</v>
      </c>
      <c r="D432" s="17">
        <v>1985</v>
      </c>
      <c r="E432" s="17">
        <f t="shared" si="6"/>
        <v>1</v>
      </c>
    </row>
    <row r="433" spans="3:5" x14ac:dyDescent="0.2">
      <c r="C433" s="17">
        <v>1964</v>
      </c>
      <c r="D433" s="17">
        <v>1989</v>
      </c>
      <c r="E433" s="17">
        <f t="shared" si="6"/>
        <v>1</v>
      </c>
    </row>
    <row r="434" spans="3:5" x14ac:dyDescent="0.2">
      <c r="C434" s="17">
        <v>1978</v>
      </c>
      <c r="D434" s="17">
        <v>1984</v>
      </c>
      <c r="E434" s="17">
        <f t="shared" si="6"/>
        <v>0</v>
      </c>
    </row>
    <row r="435" spans="3:5" x14ac:dyDescent="0.2">
      <c r="C435" s="17">
        <v>1975</v>
      </c>
      <c r="D435" s="17">
        <v>1988</v>
      </c>
      <c r="E435" s="17">
        <f t="shared" si="6"/>
        <v>0</v>
      </c>
    </row>
    <row r="436" spans="3:5" x14ac:dyDescent="0.2">
      <c r="C436" s="17">
        <v>1962</v>
      </c>
      <c r="D436" s="17">
        <v>1976</v>
      </c>
      <c r="E436" s="17">
        <f t="shared" si="6"/>
        <v>1</v>
      </c>
    </row>
    <row r="437" spans="3:5" x14ac:dyDescent="0.2">
      <c r="C437" s="17">
        <v>1952</v>
      </c>
      <c r="D437" s="17">
        <v>1965</v>
      </c>
      <c r="E437" s="17">
        <f t="shared" si="6"/>
        <v>0</v>
      </c>
    </row>
    <row r="438" spans="3:5" x14ac:dyDescent="0.2">
      <c r="C438" s="17">
        <v>1960</v>
      </c>
      <c r="D438" s="17">
        <v>1988</v>
      </c>
      <c r="E438" s="17">
        <f t="shared" si="6"/>
        <v>1</v>
      </c>
    </row>
    <row r="439" spans="3:5" x14ac:dyDescent="0.2">
      <c r="C439" s="17">
        <v>1959</v>
      </c>
      <c r="D439" s="17">
        <v>1973</v>
      </c>
      <c r="E439" s="17">
        <f t="shared" si="6"/>
        <v>1</v>
      </c>
    </row>
    <row r="440" spans="3:5" x14ac:dyDescent="0.2">
      <c r="C440" s="17">
        <v>1961</v>
      </c>
      <c r="D440" s="17">
        <v>1967</v>
      </c>
      <c r="E440" s="17">
        <f t="shared" si="6"/>
        <v>0</v>
      </c>
    </row>
    <row r="441" spans="3:5" x14ac:dyDescent="0.2">
      <c r="C441" s="17">
        <v>1950</v>
      </c>
      <c r="D441" s="17">
        <v>1955</v>
      </c>
      <c r="E441" s="17">
        <f t="shared" si="6"/>
        <v>0</v>
      </c>
    </row>
    <row r="442" spans="3:5" x14ac:dyDescent="0.2">
      <c r="C442" s="17">
        <v>1959</v>
      </c>
      <c r="D442" s="17">
        <v>1975</v>
      </c>
      <c r="E442" s="17">
        <f t="shared" si="6"/>
        <v>1</v>
      </c>
    </row>
    <row r="443" spans="3:5" x14ac:dyDescent="0.2">
      <c r="C443" s="17">
        <v>1965</v>
      </c>
      <c r="D443" s="17">
        <v>1974</v>
      </c>
      <c r="E443" s="17">
        <f t="shared" si="6"/>
        <v>1</v>
      </c>
    </row>
    <row r="444" spans="3:5" x14ac:dyDescent="0.2">
      <c r="C444" s="17">
        <v>1977</v>
      </c>
      <c r="D444" s="17">
        <v>1986</v>
      </c>
      <c r="E444" s="17">
        <f t="shared" si="6"/>
        <v>0</v>
      </c>
    </row>
    <row r="445" spans="3:5" x14ac:dyDescent="0.2">
      <c r="C445" s="17">
        <v>1976</v>
      </c>
      <c r="D445" s="17">
        <v>1995</v>
      </c>
      <c r="E445" s="17">
        <f t="shared" si="6"/>
        <v>0</v>
      </c>
    </row>
    <row r="446" spans="3:5" x14ac:dyDescent="0.2">
      <c r="C446" s="17">
        <v>1967</v>
      </c>
      <c r="D446" s="17">
        <v>1995</v>
      </c>
      <c r="E446" s="17">
        <f t="shared" si="6"/>
        <v>1</v>
      </c>
    </row>
    <row r="447" spans="3:5" x14ac:dyDescent="0.2">
      <c r="C447" s="17">
        <v>1962</v>
      </c>
      <c r="D447" s="17">
        <v>1991</v>
      </c>
      <c r="E447" s="17">
        <f t="shared" si="6"/>
        <v>1</v>
      </c>
    </row>
    <row r="448" spans="3:5" x14ac:dyDescent="0.2">
      <c r="C448" s="17">
        <v>1950</v>
      </c>
      <c r="D448" s="17">
        <v>1956</v>
      </c>
      <c r="E448" s="17">
        <f t="shared" si="6"/>
        <v>0</v>
      </c>
    </row>
    <row r="449" spans="3:5" x14ac:dyDescent="0.2">
      <c r="C449" s="17">
        <v>1978</v>
      </c>
      <c r="D449" s="17">
        <v>1987</v>
      </c>
      <c r="E449" s="17">
        <f t="shared" si="6"/>
        <v>0</v>
      </c>
    </row>
    <row r="450" spans="3:5" x14ac:dyDescent="0.2">
      <c r="C450" s="17">
        <v>1974</v>
      </c>
      <c r="D450" s="17">
        <v>1989</v>
      </c>
      <c r="E450" s="17">
        <f t="shared" si="6"/>
        <v>0</v>
      </c>
    </row>
    <row r="451" spans="3:5" x14ac:dyDescent="0.2">
      <c r="C451" s="17">
        <v>1974</v>
      </c>
      <c r="D451" s="17">
        <v>1979</v>
      </c>
      <c r="E451" s="17">
        <f t="shared" si="6"/>
        <v>0</v>
      </c>
    </row>
    <row r="452" spans="3:5" x14ac:dyDescent="0.2">
      <c r="C452" s="17">
        <v>1973</v>
      </c>
      <c r="D452" s="17">
        <v>1979</v>
      </c>
      <c r="E452" s="17">
        <f t="shared" si="6"/>
        <v>0</v>
      </c>
    </row>
    <row r="453" spans="3:5" x14ac:dyDescent="0.2">
      <c r="C453" s="17">
        <v>1959</v>
      </c>
      <c r="D453" s="17">
        <v>1973</v>
      </c>
      <c r="E453" s="17">
        <f t="shared" si="6"/>
        <v>1</v>
      </c>
    </row>
    <row r="454" spans="3:5" x14ac:dyDescent="0.2">
      <c r="C454" s="17">
        <v>1976</v>
      </c>
      <c r="D454" s="17">
        <v>1978</v>
      </c>
      <c r="E454" s="17">
        <f t="shared" ref="E454:E517" si="7">IF(AND(C454&lt;=$F$3,D454&gt;=$F$3),1,0)</f>
        <v>0</v>
      </c>
    </row>
    <row r="455" spans="3:5" x14ac:dyDescent="0.2">
      <c r="C455" s="17">
        <v>1971</v>
      </c>
      <c r="D455" s="17">
        <v>1989</v>
      </c>
      <c r="E455" s="17">
        <f t="shared" si="7"/>
        <v>1</v>
      </c>
    </row>
    <row r="456" spans="3:5" x14ac:dyDescent="0.2">
      <c r="C456" s="17">
        <v>1970</v>
      </c>
      <c r="D456" s="17">
        <v>1986</v>
      </c>
      <c r="E456" s="17">
        <f t="shared" si="7"/>
        <v>1</v>
      </c>
    </row>
    <row r="457" spans="3:5" x14ac:dyDescent="0.2">
      <c r="C457" s="17">
        <v>1972</v>
      </c>
      <c r="D457" s="17">
        <v>1979</v>
      </c>
      <c r="E457" s="17">
        <f t="shared" si="7"/>
        <v>1</v>
      </c>
    </row>
    <row r="458" spans="3:5" x14ac:dyDescent="0.2">
      <c r="C458" s="17">
        <v>1971</v>
      </c>
      <c r="D458" s="17">
        <v>1992</v>
      </c>
      <c r="E458" s="17">
        <f t="shared" si="7"/>
        <v>1</v>
      </c>
    </row>
    <row r="459" spans="3:5" x14ac:dyDescent="0.2">
      <c r="C459" s="17">
        <v>1977</v>
      </c>
      <c r="D459" s="17">
        <v>1999</v>
      </c>
      <c r="E459" s="17">
        <f t="shared" si="7"/>
        <v>0</v>
      </c>
    </row>
    <row r="460" spans="3:5" x14ac:dyDescent="0.2">
      <c r="C460" s="17">
        <v>1967</v>
      </c>
      <c r="D460" s="17">
        <v>1969</v>
      </c>
      <c r="E460" s="17">
        <f t="shared" si="7"/>
        <v>0</v>
      </c>
    </row>
    <row r="461" spans="3:5" x14ac:dyDescent="0.2">
      <c r="C461" s="17">
        <v>1971</v>
      </c>
      <c r="D461" s="17">
        <v>1989</v>
      </c>
      <c r="E461" s="17">
        <f t="shared" si="7"/>
        <v>1</v>
      </c>
    </row>
    <row r="462" spans="3:5" x14ac:dyDescent="0.2">
      <c r="C462" s="17">
        <v>1953</v>
      </c>
      <c r="D462" s="17">
        <v>1971</v>
      </c>
      <c r="E462" s="17">
        <f t="shared" si="7"/>
        <v>0</v>
      </c>
    </row>
    <row r="463" spans="3:5" x14ac:dyDescent="0.2">
      <c r="C463" s="17">
        <v>1970</v>
      </c>
      <c r="D463" s="17">
        <v>1987</v>
      </c>
      <c r="E463" s="17">
        <f t="shared" si="7"/>
        <v>1</v>
      </c>
    </row>
    <row r="464" spans="3:5" x14ac:dyDescent="0.2">
      <c r="C464" s="17">
        <v>1979</v>
      </c>
      <c r="D464" s="17">
        <v>1991</v>
      </c>
      <c r="E464" s="17">
        <f t="shared" si="7"/>
        <v>0</v>
      </c>
    </row>
    <row r="465" spans="3:5" x14ac:dyDescent="0.2">
      <c r="C465" s="17">
        <v>1979</v>
      </c>
      <c r="D465" s="17">
        <v>1996</v>
      </c>
      <c r="E465" s="17">
        <f t="shared" si="7"/>
        <v>0</v>
      </c>
    </row>
    <row r="466" spans="3:5" x14ac:dyDescent="0.2">
      <c r="C466" s="17">
        <v>1959</v>
      </c>
      <c r="D466" s="17">
        <v>1966</v>
      </c>
      <c r="E466" s="17">
        <f t="shared" si="7"/>
        <v>0</v>
      </c>
    </row>
    <row r="467" spans="3:5" x14ac:dyDescent="0.2">
      <c r="C467" s="17">
        <v>1971</v>
      </c>
      <c r="D467" s="17">
        <v>1980</v>
      </c>
      <c r="E467" s="17">
        <f t="shared" si="7"/>
        <v>1</v>
      </c>
    </row>
    <row r="468" spans="3:5" x14ac:dyDescent="0.2">
      <c r="C468" s="17">
        <v>1970</v>
      </c>
      <c r="D468" s="17">
        <v>1981</v>
      </c>
      <c r="E468" s="17">
        <f t="shared" si="7"/>
        <v>1</v>
      </c>
    </row>
    <row r="469" spans="3:5" x14ac:dyDescent="0.2">
      <c r="C469" s="17">
        <v>1975</v>
      </c>
      <c r="D469" s="17">
        <v>1993</v>
      </c>
      <c r="E469" s="17">
        <f t="shared" si="7"/>
        <v>0</v>
      </c>
    </row>
    <row r="470" spans="3:5" x14ac:dyDescent="0.2">
      <c r="C470" s="17">
        <v>1967</v>
      </c>
      <c r="D470" s="17">
        <v>1988</v>
      </c>
      <c r="E470" s="17">
        <f t="shared" si="7"/>
        <v>1</v>
      </c>
    </row>
    <row r="471" spans="3:5" x14ac:dyDescent="0.2">
      <c r="C471" s="17">
        <v>1979</v>
      </c>
      <c r="D471" s="17">
        <v>1986</v>
      </c>
      <c r="E471" s="17">
        <f t="shared" si="7"/>
        <v>0</v>
      </c>
    </row>
    <row r="472" spans="3:5" x14ac:dyDescent="0.2">
      <c r="C472" s="17">
        <v>1974</v>
      </c>
      <c r="D472" s="17">
        <v>1982</v>
      </c>
      <c r="E472" s="17">
        <f t="shared" si="7"/>
        <v>0</v>
      </c>
    </row>
    <row r="473" spans="3:5" x14ac:dyDescent="0.2">
      <c r="C473" s="17">
        <v>1975</v>
      </c>
      <c r="D473" s="17">
        <v>2003</v>
      </c>
      <c r="E473" s="17">
        <f t="shared" si="7"/>
        <v>0</v>
      </c>
    </row>
    <row r="474" spans="3:5" x14ac:dyDescent="0.2">
      <c r="C474" s="17">
        <v>1975</v>
      </c>
      <c r="D474" s="17">
        <v>1994</v>
      </c>
      <c r="E474" s="17">
        <f t="shared" si="7"/>
        <v>0</v>
      </c>
    </row>
    <row r="475" spans="3:5" x14ac:dyDescent="0.2">
      <c r="C475" s="17">
        <v>1950</v>
      </c>
      <c r="D475" s="17">
        <v>1967</v>
      </c>
      <c r="E475" s="17">
        <f t="shared" si="7"/>
        <v>0</v>
      </c>
    </row>
    <row r="476" spans="3:5" x14ac:dyDescent="0.2">
      <c r="C476" s="17">
        <v>1951</v>
      </c>
      <c r="D476" s="17">
        <v>1955</v>
      </c>
      <c r="E476" s="17">
        <f t="shared" si="7"/>
        <v>0</v>
      </c>
    </row>
    <row r="477" spans="3:5" x14ac:dyDescent="0.2">
      <c r="C477" s="17">
        <v>1953</v>
      </c>
      <c r="D477" s="17">
        <v>1964</v>
      </c>
      <c r="E477" s="17">
        <f t="shared" si="7"/>
        <v>0</v>
      </c>
    </row>
    <row r="478" spans="3:5" x14ac:dyDescent="0.2">
      <c r="C478" s="17">
        <v>1970</v>
      </c>
      <c r="D478" s="17">
        <v>1994</v>
      </c>
      <c r="E478" s="17">
        <f t="shared" si="7"/>
        <v>1</v>
      </c>
    </row>
    <row r="479" spans="3:5" x14ac:dyDescent="0.2">
      <c r="C479" s="17">
        <v>1964</v>
      </c>
      <c r="D479" s="17">
        <v>1971</v>
      </c>
      <c r="E479" s="17">
        <f t="shared" si="7"/>
        <v>0</v>
      </c>
    </row>
    <row r="480" spans="3:5" x14ac:dyDescent="0.2">
      <c r="C480" s="17">
        <v>1953</v>
      </c>
      <c r="D480" s="17">
        <v>1961</v>
      </c>
      <c r="E480" s="17">
        <f t="shared" si="7"/>
        <v>0</v>
      </c>
    </row>
    <row r="481" spans="3:5" x14ac:dyDescent="0.2">
      <c r="C481" s="17">
        <v>1965</v>
      </c>
      <c r="D481" s="17">
        <v>1982</v>
      </c>
      <c r="E481" s="17">
        <f t="shared" si="7"/>
        <v>1</v>
      </c>
    </row>
    <row r="482" spans="3:5" x14ac:dyDescent="0.2">
      <c r="C482" s="17">
        <v>1976</v>
      </c>
      <c r="D482" s="17">
        <v>1995</v>
      </c>
      <c r="E482" s="17">
        <f t="shared" si="7"/>
        <v>0</v>
      </c>
    </row>
    <row r="483" spans="3:5" x14ac:dyDescent="0.2">
      <c r="C483" s="17">
        <v>1963</v>
      </c>
      <c r="D483" s="17">
        <v>1988</v>
      </c>
      <c r="E483" s="17">
        <f t="shared" si="7"/>
        <v>1</v>
      </c>
    </row>
    <row r="484" spans="3:5" x14ac:dyDescent="0.2">
      <c r="C484" s="17">
        <v>1961</v>
      </c>
      <c r="D484" s="17">
        <v>1962</v>
      </c>
      <c r="E484" s="17">
        <f t="shared" si="7"/>
        <v>0</v>
      </c>
    </row>
    <row r="485" spans="3:5" x14ac:dyDescent="0.2">
      <c r="C485" s="17">
        <v>1966</v>
      </c>
      <c r="D485" s="17">
        <v>1992</v>
      </c>
      <c r="E485" s="17">
        <f t="shared" si="7"/>
        <v>1</v>
      </c>
    </row>
    <row r="486" spans="3:5" x14ac:dyDescent="0.2">
      <c r="C486" s="17">
        <v>1966</v>
      </c>
      <c r="D486" s="17">
        <v>1974</v>
      </c>
      <c r="E486" s="17">
        <f t="shared" si="7"/>
        <v>1</v>
      </c>
    </row>
    <row r="487" spans="3:5" x14ac:dyDescent="0.2">
      <c r="C487" s="17">
        <v>1955</v>
      </c>
      <c r="D487" s="17">
        <v>1979</v>
      </c>
      <c r="E487" s="17">
        <f t="shared" si="7"/>
        <v>1</v>
      </c>
    </row>
    <row r="488" spans="3:5" x14ac:dyDescent="0.2">
      <c r="C488" s="17">
        <v>1954</v>
      </c>
      <c r="D488" s="17">
        <v>1976</v>
      </c>
      <c r="E488" s="17">
        <f t="shared" si="7"/>
        <v>1</v>
      </c>
    </row>
    <row r="489" spans="3:5" x14ac:dyDescent="0.2">
      <c r="C489" s="17">
        <v>1950</v>
      </c>
      <c r="D489" s="17">
        <v>1962</v>
      </c>
      <c r="E489" s="17">
        <f t="shared" si="7"/>
        <v>0</v>
      </c>
    </row>
    <row r="490" spans="3:5" x14ac:dyDescent="0.2">
      <c r="C490" s="17">
        <v>1952</v>
      </c>
      <c r="D490" s="17">
        <v>1968</v>
      </c>
      <c r="E490" s="17">
        <f t="shared" si="7"/>
        <v>0</v>
      </c>
    </row>
    <row r="491" spans="3:5" x14ac:dyDescent="0.2">
      <c r="C491" s="17">
        <v>1958</v>
      </c>
      <c r="D491" s="17">
        <v>1977</v>
      </c>
      <c r="E491" s="17">
        <f t="shared" si="7"/>
        <v>1</v>
      </c>
    </row>
    <row r="492" spans="3:5" x14ac:dyDescent="0.2">
      <c r="C492" s="17">
        <v>1950</v>
      </c>
      <c r="D492" s="17">
        <v>1954</v>
      </c>
      <c r="E492" s="17">
        <f t="shared" si="7"/>
        <v>0</v>
      </c>
    </row>
    <row r="493" spans="3:5" x14ac:dyDescent="0.2">
      <c r="C493" s="17">
        <v>1976</v>
      </c>
      <c r="D493" s="17">
        <v>1985</v>
      </c>
      <c r="E493" s="17">
        <f t="shared" si="7"/>
        <v>0</v>
      </c>
    </row>
    <row r="494" spans="3:5" x14ac:dyDescent="0.2">
      <c r="C494" s="17">
        <v>1976</v>
      </c>
      <c r="D494" s="17">
        <v>1988</v>
      </c>
      <c r="E494" s="17">
        <f t="shared" si="7"/>
        <v>0</v>
      </c>
    </row>
    <row r="495" spans="3:5" x14ac:dyDescent="0.2">
      <c r="C495" s="17">
        <v>1971</v>
      </c>
      <c r="D495" s="17">
        <v>1980</v>
      </c>
      <c r="E495" s="17">
        <f t="shared" si="7"/>
        <v>1</v>
      </c>
    </row>
    <row r="496" spans="3:5" x14ac:dyDescent="0.2">
      <c r="C496" s="17">
        <v>1979</v>
      </c>
      <c r="D496" s="17">
        <v>1986</v>
      </c>
      <c r="E496" s="17">
        <f t="shared" si="7"/>
        <v>0</v>
      </c>
    </row>
    <row r="497" spans="3:5" x14ac:dyDescent="0.2">
      <c r="C497" s="17">
        <v>1959</v>
      </c>
      <c r="D497" s="17">
        <v>1969</v>
      </c>
      <c r="E497" s="17">
        <f t="shared" si="7"/>
        <v>0</v>
      </c>
    </row>
    <row r="498" spans="3:5" x14ac:dyDescent="0.2">
      <c r="C498" s="17">
        <v>1951</v>
      </c>
      <c r="D498" s="17">
        <v>1960</v>
      </c>
      <c r="E498" s="17">
        <f t="shared" si="7"/>
        <v>0</v>
      </c>
    </row>
    <row r="499" spans="3:5" x14ac:dyDescent="0.2">
      <c r="C499" s="17">
        <v>1974</v>
      </c>
      <c r="D499" s="17">
        <v>1999</v>
      </c>
      <c r="E499" s="17">
        <f t="shared" si="7"/>
        <v>0</v>
      </c>
    </row>
    <row r="500" spans="3:5" x14ac:dyDescent="0.2">
      <c r="C500" s="17">
        <v>1974</v>
      </c>
      <c r="D500" s="17">
        <v>1985</v>
      </c>
      <c r="E500" s="17">
        <f t="shared" si="7"/>
        <v>0</v>
      </c>
    </row>
    <row r="501" spans="3:5" x14ac:dyDescent="0.2">
      <c r="C501" s="17">
        <v>1978</v>
      </c>
      <c r="D501" s="17">
        <v>1993</v>
      </c>
      <c r="E501" s="17">
        <f t="shared" si="7"/>
        <v>0</v>
      </c>
    </row>
    <row r="502" spans="3:5" x14ac:dyDescent="0.2">
      <c r="C502" s="17">
        <v>1952</v>
      </c>
      <c r="D502" s="17">
        <v>1964</v>
      </c>
      <c r="E502" s="17">
        <f t="shared" si="7"/>
        <v>0</v>
      </c>
    </row>
    <row r="503" spans="3:5" x14ac:dyDescent="0.2">
      <c r="C503" s="17">
        <v>1957</v>
      </c>
      <c r="D503" s="17">
        <v>1974</v>
      </c>
      <c r="E503" s="17">
        <f t="shared" si="7"/>
        <v>1</v>
      </c>
    </row>
    <row r="504" spans="3:5" x14ac:dyDescent="0.2">
      <c r="C504" s="17">
        <v>1957</v>
      </c>
      <c r="D504" s="17">
        <v>1965</v>
      </c>
      <c r="E504" s="17">
        <f t="shared" si="7"/>
        <v>0</v>
      </c>
    </row>
    <row r="505" spans="3:5" x14ac:dyDescent="0.2">
      <c r="C505" s="17">
        <v>1975</v>
      </c>
      <c r="D505" s="17">
        <v>1996</v>
      </c>
      <c r="E505" s="17">
        <f t="shared" si="7"/>
        <v>0</v>
      </c>
    </row>
    <row r="506" spans="3:5" x14ac:dyDescent="0.2">
      <c r="C506" s="17">
        <v>1964</v>
      </c>
      <c r="D506" s="17">
        <v>1988</v>
      </c>
      <c r="E506" s="17">
        <f t="shared" si="7"/>
        <v>1</v>
      </c>
    </row>
    <row r="507" spans="3:5" x14ac:dyDescent="0.2">
      <c r="C507" s="17">
        <v>1954</v>
      </c>
      <c r="D507" s="17">
        <v>1957</v>
      </c>
      <c r="E507" s="17">
        <f t="shared" si="7"/>
        <v>0</v>
      </c>
    </row>
    <row r="508" spans="3:5" x14ac:dyDescent="0.2">
      <c r="C508" s="17">
        <v>1964</v>
      </c>
      <c r="D508" s="17">
        <v>1989</v>
      </c>
      <c r="E508" s="17">
        <f t="shared" si="7"/>
        <v>1</v>
      </c>
    </row>
    <row r="509" spans="3:5" x14ac:dyDescent="0.2">
      <c r="C509" s="17">
        <v>1964</v>
      </c>
      <c r="D509" s="17">
        <v>1966</v>
      </c>
      <c r="E509" s="17">
        <f t="shared" si="7"/>
        <v>0</v>
      </c>
    </row>
    <row r="510" spans="3:5" x14ac:dyDescent="0.2">
      <c r="C510" s="17">
        <v>1972</v>
      </c>
      <c r="D510" s="17">
        <v>1986</v>
      </c>
      <c r="E510" s="17">
        <f t="shared" si="7"/>
        <v>1</v>
      </c>
    </row>
    <row r="511" spans="3:5" x14ac:dyDescent="0.2">
      <c r="C511" s="17">
        <v>1961</v>
      </c>
      <c r="D511" s="17">
        <v>1968</v>
      </c>
      <c r="E511" s="17">
        <f t="shared" si="7"/>
        <v>0</v>
      </c>
    </row>
    <row r="512" spans="3:5" x14ac:dyDescent="0.2">
      <c r="C512" s="17">
        <v>1958</v>
      </c>
      <c r="D512" s="17">
        <v>1970</v>
      </c>
      <c r="E512" s="17">
        <f t="shared" si="7"/>
        <v>0</v>
      </c>
    </row>
    <row r="513" spans="3:5" x14ac:dyDescent="0.2">
      <c r="C513" s="17">
        <v>1963</v>
      </c>
      <c r="D513" s="17">
        <v>1976</v>
      </c>
      <c r="E513" s="17">
        <f t="shared" si="7"/>
        <v>1</v>
      </c>
    </row>
    <row r="514" spans="3:5" x14ac:dyDescent="0.2">
      <c r="C514" s="17">
        <v>1958</v>
      </c>
      <c r="D514" s="17">
        <v>1960</v>
      </c>
      <c r="E514" s="17">
        <f t="shared" si="7"/>
        <v>0</v>
      </c>
    </row>
    <row r="515" spans="3:5" x14ac:dyDescent="0.2">
      <c r="C515" s="17">
        <v>1950</v>
      </c>
      <c r="D515" s="17">
        <v>1967</v>
      </c>
      <c r="E515" s="17">
        <f t="shared" si="7"/>
        <v>0</v>
      </c>
    </row>
    <row r="516" spans="3:5" x14ac:dyDescent="0.2">
      <c r="C516" s="17">
        <v>1959</v>
      </c>
      <c r="D516" s="17">
        <v>1979</v>
      </c>
      <c r="E516" s="17">
        <f t="shared" si="7"/>
        <v>1</v>
      </c>
    </row>
    <row r="517" spans="3:5" x14ac:dyDescent="0.2">
      <c r="C517" s="17">
        <v>1971</v>
      </c>
      <c r="D517" s="17">
        <v>1976</v>
      </c>
      <c r="E517" s="17">
        <f t="shared" si="7"/>
        <v>1</v>
      </c>
    </row>
    <row r="518" spans="3:5" x14ac:dyDescent="0.2">
      <c r="C518" s="17">
        <v>1954</v>
      </c>
      <c r="D518" s="17">
        <v>1967</v>
      </c>
      <c r="E518" s="17">
        <f t="shared" ref="E518:E562" si="8">IF(AND(C518&lt;=$F$3,D518&gt;=$F$3),1,0)</f>
        <v>0</v>
      </c>
    </row>
    <row r="519" spans="3:5" x14ac:dyDescent="0.2">
      <c r="C519" s="17">
        <v>1950</v>
      </c>
      <c r="D519" s="17">
        <v>1974</v>
      </c>
      <c r="E519" s="17">
        <f t="shared" si="8"/>
        <v>1</v>
      </c>
    </row>
    <row r="520" spans="3:5" x14ac:dyDescent="0.2">
      <c r="C520" s="17">
        <v>1950</v>
      </c>
      <c r="D520" s="17">
        <v>1979</v>
      </c>
      <c r="E520" s="17">
        <f t="shared" si="8"/>
        <v>1</v>
      </c>
    </row>
    <row r="521" spans="3:5" x14ac:dyDescent="0.2">
      <c r="C521" s="17">
        <v>1971</v>
      </c>
      <c r="D521" s="17">
        <v>1975</v>
      </c>
      <c r="E521" s="17">
        <f t="shared" si="8"/>
        <v>1</v>
      </c>
    </row>
    <row r="522" spans="3:5" x14ac:dyDescent="0.2">
      <c r="C522" s="17">
        <v>1965</v>
      </c>
      <c r="D522" s="17">
        <v>1994</v>
      </c>
      <c r="E522" s="17">
        <f t="shared" si="8"/>
        <v>1</v>
      </c>
    </row>
    <row r="523" spans="3:5" x14ac:dyDescent="0.2">
      <c r="C523" s="17">
        <v>1960</v>
      </c>
      <c r="D523" s="17">
        <v>1976</v>
      </c>
      <c r="E523" s="17">
        <f t="shared" si="8"/>
        <v>1</v>
      </c>
    </row>
    <row r="524" spans="3:5" x14ac:dyDescent="0.2">
      <c r="C524" s="17">
        <v>1966</v>
      </c>
      <c r="D524" s="17">
        <v>1973</v>
      </c>
      <c r="E524" s="17">
        <f t="shared" si="8"/>
        <v>1</v>
      </c>
    </row>
    <row r="525" spans="3:5" x14ac:dyDescent="0.2">
      <c r="C525" s="17">
        <v>1957</v>
      </c>
      <c r="D525" s="17">
        <v>1973</v>
      </c>
      <c r="E525" s="17">
        <f t="shared" si="8"/>
        <v>1</v>
      </c>
    </row>
    <row r="526" spans="3:5" x14ac:dyDescent="0.2">
      <c r="C526" s="17">
        <v>1956</v>
      </c>
      <c r="D526" s="17">
        <v>1959</v>
      </c>
      <c r="E526" s="17">
        <f t="shared" si="8"/>
        <v>0</v>
      </c>
    </row>
    <row r="527" spans="3:5" x14ac:dyDescent="0.2">
      <c r="C527" s="17">
        <v>1953</v>
      </c>
      <c r="D527" s="17">
        <v>1955</v>
      </c>
      <c r="E527" s="17">
        <f t="shared" si="8"/>
        <v>0</v>
      </c>
    </row>
    <row r="528" spans="3:5" x14ac:dyDescent="0.2">
      <c r="C528" s="17">
        <v>1974</v>
      </c>
      <c r="D528" s="17">
        <v>1979</v>
      </c>
      <c r="E528" s="17">
        <f t="shared" si="8"/>
        <v>0</v>
      </c>
    </row>
    <row r="529" spans="3:5" x14ac:dyDescent="0.2">
      <c r="C529" s="17">
        <v>1979</v>
      </c>
      <c r="D529" s="17">
        <v>1981</v>
      </c>
      <c r="E529" s="17">
        <f t="shared" si="8"/>
        <v>0</v>
      </c>
    </row>
    <row r="530" spans="3:5" x14ac:dyDescent="0.2">
      <c r="C530" s="17">
        <v>1954</v>
      </c>
      <c r="D530" s="17">
        <v>1959</v>
      </c>
      <c r="E530" s="17">
        <f t="shared" si="8"/>
        <v>0</v>
      </c>
    </row>
    <row r="531" spans="3:5" x14ac:dyDescent="0.2">
      <c r="C531" s="17">
        <v>1951</v>
      </c>
      <c r="D531" s="17">
        <v>1968</v>
      </c>
      <c r="E531" s="17">
        <f t="shared" si="8"/>
        <v>0</v>
      </c>
    </row>
    <row r="532" spans="3:5" x14ac:dyDescent="0.2">
      <c r="C532" s="17">
        <v>1971</v>
      </c>
      <c r="D532" s="17">
        <v>1982</v>
      </c>
      <c r="E532" s="17">
        <f t="shared" si="8"/>
        <v>1</v>
      </c>
    </row>
    <row r="533" spans="3:5" x14ac:dyDescent="0.2">
      <c r="C533" s="17">
        <v>1963</v>
      </c>
      <c r="D533" s="17">
        <v>1989</v>
      </c>
      <c r="E533" s="17">
        <f t="shared" si="8"/>
        <v>1</v>
      </c>
    </row>
    <row r="534" spans="3:5" x14ac:dyDescent="0.2">
      <c r="C534" s="17">
        <v>1965</v>
      </c>
      <c r="D534" s="17">
        <v>1992</v>
      </c>
      <c r="E534" s="17">
        <f t="shared" si="8"/>
        <v>1</v>
      </c>
    </row>
    <row r="535" spans="3:5" x14ac:dyDescent="0.2">
      <c r="C535" s="17">
        <v>1957</v>
      </c>
      <c r="D535" s="17">
        <v>1958</v>
      </c>
      <c r="E535" s="17">
        <f t="shared" si="8"/>
        <v>0</v>
      </c>
    </row>
    <row r="536" spans="3:5" x14ac:dyDescent="0.2">
      <c r="C536" s="17">
        <v>1977</v>
      </c>
      <c r="D536" s="17">
        <v>1989</v>
      </c>
      <c r="E536" s="17">
        <f t="shared" si="8"/>
        <v>0</v>
      </c>
    </row>
    <row r="537" spans="3:5" x14ac:dyDescent="0.2">
      <c r="C537" s="17">
        <v>1979</v>
      </c>
      <c r="D537" s="17">
        <v>1981</v>
      </c>
      <c r="E537" s="17">
        <f t="shared" si="8"/>
        <v>0</v>
      </c>
    </row>
    <row r="538" spans="3:5" x14ac:dyDescent="0.2">
      <c r="C538" s="17">
        <v>1978</v>
      </c>
      <c r="D538" s="17">
        <v>1982</v>
      </c>
      <c r="E538" s="17">
        <f t="shared" si="8"/>
        <v>0</v>
      </c>
    </row>
    <row r="539" spans="3:5" x14ac:dyDescent="0.2">
      <c r="C539" s="17">
        <v>1964</v>
      </c>
      <c r="D539" s="17">
        <v>1989</v>
      </c>
      <c r="E539" s="17">
        <f t="shared" si="8"/>
        <v>1</v>
      </c>
    </row>
    <row r="540" spans="3:5" x14ac:dyDescent="0.2">
      <c r="C540" s="17">
        <v>1950</v>
      </c>
      <c r="D540" s="17">
        <v>1967</v>
      </c>
      <c r="E540" s="17">
        <f t="shared" si="8"/>
        <v>0</v>
      </c>
    </row>
    <row r="541" spans="3:5" x14ac:dyDescent="0.2">
      <c r="C541" s="17">
        <v>1977</v>
      </c>
      <c r="D541" s="17">
        <v>1981</v>
      </c>
      <c r="E541" s="17">
        <f t="shared" si="8"/>
        <v>0</v>
      </c>
    </row>
    <row r="542" spans="3:5" x14ac:dyDescent="0.2">
      <c r="C542" s="17">
        <v>1964</v>
      </c>
      <c r="D542" s="17">
        <v>1979</v>
      </c>
      <c r="E542" s="17">
        <f t="shared" si="8"/>
        <v>1</v>
      </c>
    </row>
    <row r="543" spans="3:5" x14ac:dyDescent="0.2">
      <c r="C543" s="17">
        <v>1964</v>
      </c>
      <c r="D543" s="17">
        <v>1968</v>
      </c>
      <c r="E543" s="17">
        <f t="shared" si="8"/>
        <v>0</v>
      </c>
    </row>
    <row r="544" spans="3:5" x14ac:dyDescent="0.2">
      <c r="C544" s="17">
        <v>1958</v>
      </c>
      <c r="D544" s="17">
        <v>1961</v>
      </c>
      <c r="E544" s="17">
        <f t="shared" si="8"/>
        <v>0</v>
      </c>
    </row>
    <row r="545" spans="3:5" x14ac:dyDescent="0.2">
      <c r="C545" s="17">
        <v>1973</v>
      </c>
      <c r="D545" s="17">
        <v>1993</v>
      </c>
      <c r="E545" s="17">
        <f t="shared" si="8"/>
        <v>0</v>
      </c>
    </row>
    <row r="546" spans="3:5" x14ac:dyDescent="0.2">
      <c r="C546" s="17">
        <v>1965</v>
      </c>
      <c r="D546" s="17">
        <v>1977</v>
      </c>
      <c r="E546" s="17">
        <f t="shared" si="8"/>
        <v>1</v>
      </c>
    </row>
    <row r="547" spans="3:5" x14ac:dyDescent="0.2">
      <c r="C547" s="17">
        <v>1959</v>
      </c>
      <c r="D547" s="17">
        <v>1964</v>
      </c>
      <c r="E547" s="17">
        <f t="shared" si="8"/>
        <v>0</v>
      </c>
    </row>
    <row r="548" spans="3:5" x14ac:dyDescent="0.2">
      <c r="C548" s="17">
        <v>1966</v>
      </c>
      <c r="D548" s="17">
        <v>1976</v>
      </c>
      <c r="E548" s="17">
        <f t="shared" si="8"/>
        <v>1</v>
      </c>
    </row>
    <row r="549" spans="3:5" x14ac:dyDescent="0.2">
      <c r="C549" s="17">
        <v>1969</v>
      </c>
      <c r="D549" s="17">
        <v>1997</v>
      </c>
      <c r="E549" s="17">
        <f t="shared" si="8"/>
        <v>1</v>
      </c>
    </row>
    <row r="550" spans="3:5" x14ac:dyDescent="0.2">
      <c r="C550" s="17">
        <v>1954</v>
      </c>
      <c r="D550" s="17">
        <v>1957</v>
      </c>
      <c r="E550" s="17">
        <f t="shared" si="8"/>
        <v>0</v>
      </c>
    </row>
    <row r="551" spans="3:5" x14ac:dyDescent="0.2">
      <c r="C551" s="17">
        <v>1953</v>
      </c>
      <c r="D551" s="17">
        <v>1958</v>
      </c>
      <c r="E551" s="17">
        <f t="shared" si="8"/>
        <v>0</v>
      </c>
    </row>
    <row r="552" spans="3:5" x14ac:dyDescent="0.2">
      <c r="C552" s="17">
        <v>1953</v>
      </c>
      <c r="D552" s="17">
        <v>1957</v>
      </c>
      <c r="E552" s="17">
        <f t="shared" si="8"/>
        <v>0</v>
      </c>
    </row>
    <row r="553" spans="3:5" x14ac:dyDescent="0.2">
      <c r="C553" s="17">
        <v>1978</v>
      </c>
      <c r="D553" s="17">
        <v>1989</v>
      </c>
      <c r="E553" s="17">
        <f t="shared" si="8"/>
        <v>0</v>
      </c>
    </row>
    <row r="554" spans="3:5" x14ac:dyDescent="0.2">
      <c r="C554" s="17">
        <v>1973</v>
      </c>
      <c r="D554" s="17">
        <v>1980</v>
      </c>
      <c r="E554" s="17">
        <f t="shared" si="8"/>
        <v>0</v>
      </c>
    </row>
    <row r="555" spans="3:5" x14ac:dyDescent="0.2">
      <c r="C555" s="17">
        <v>1964</v>
      </c>
      <c r="D555" s="17">
        <v>1992</v>
      </c>
      <c r="E555" s="17">
        <f t="shared" si="8"/>
        <v>1</v>
      </c>
    </row>
    <row r="556" spans="3:5" x14ac:dyDescent="0.2">
      <c r="C556" s="17">
        <v>1956</v>
      </c>
      <c r="D556" s="17">
        <v>1973</v>
      </c>
      <c r="E556" s="17">
        <f t="shared" si="8"/>
        <v>1</v>
      </c>
    </row>
    <row r="557" spans="3:5" x14ac:dyDescent="0.2">
      <c r="C557" s="17">
        <v>1966</v>
      </c>
      <c r="D557" s="17">
        <v>1989</v>
      </c>
      <c r="E557" s="17">
        <f t="shared" si="8"/>
        <v>1</v>
      </c>
    </row>
    <row r="558" spans="3:5" x14ac:dyDescent="0.2">
      <c r="C558" s="17">
        <v>1962</v>
      </c>
      <c r="D558" s="17">
        <v>1988</v>
      </c>
      <c r="E558" s="17">
        <f t="shared" si="8"/>
        <v>1</v>
      </c>
    </row>
    <row r="559" spans="3:5" x14ac:dyDescent="0.2">
      <c r="C559" s="17">
        <v>1970</v>
      </c>
      <c r="D559" s="17">
        <v>1992</v>
      </c>
      <c r="E559" s="17">
        <f t="shared" si="8"/>
        <v>1</v>
      </c>
    </row>
    <row r="560" spans="3:5" x14ac:dyDescent="0.2">
      <c r="C560" s="17">
        <v>1954</v>
      </c>
      <c r="D560" s="17">
        <v>1975</v>
      </c>
      <c r="E560" s="17">
        <f t="shared" si="8"/>
        <v>1</v>
      </c>
    </row>
    <row r="561" spans="3:5" x14ac:dyDescent="0.2">
      <c r="C561" s="17">
        <v>1977</v>
      </c>
      <c r="D561" s="17">
        <v>2005</v>
      </c>
      <c r="E561" s="17">
        <f t="shared" si="8"/>
        <v>0</v>
      </c>
    </row>
    <row r="562" spans="3:5" x14ac:dyDescent="0.2">
      <c r="C562" s="17">
        <v>1975</v>
      </c>
      <c r="D562" s="17">
        <v>1983</v>
      </c>
      <c r="E562" s="17">
        <f t="shared" si="8"/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D496-697B-4AB3-9D2F-6CDFB11E465C}">
  <sheetPr codeName="Sheet9"/>
  <dimension ref="D4:T24"/>
  <sheetViews>
    <sheetView topLeftCell="A5" workbookViewId="0">
      <selection activeCell="A27" sqref="A27"/>
    </sheetView>
  </sheetViews>
  <sheetFormatPr defaultRowHeight="15" x14ac:dyDescent="0.25"/>
  <cols>
    <col min="1" max="4" width="9.140625" style="2"/>
    <col min="5" max="5" width="15.140625" style="2" customWidth="1"/>
    <col min="6" max="6" width="9.140625" style="2"/>
    <col min="7" max="7" width="27.42578125" style="2" bestFit="1" customWidth="1"/>
    <col min="8" max="16384" width="9.140625" style="2"/>
  </cols>
  <sheetData>
    <row r="4" spans="4:20" x14ac:dyDescent="0.25">
      <c r="F4" s="2" t="s">
        <v>55</v>
      </c>
    </row>
    <row r="5" spans="4:20" x14ac:dyDescent="0.25">
      <c r="F5" s="2" t="s">
        <v>56</v>
      </c>
    </row>
    <row r="6" spans="4:20" x14ac:dyDescent="0.25">
      <c r="F6" s="2" t="s">
        <v>57</v>
      </c>
    </row>
    <row r="7" spans="4:20" x14ac:dyDescent="0.25">
      <c r="F7" s="2" t="s">
        <v>58</v>
      </c>
    </row>
    <row r="8" spans="4:20" x14ac:dyDescent="0.25">
      <c r="D8" s="2" t="s">
        <v>36</v>
      </c>
      <c r="E8" s="2">
        <v>0.08</v>
      </c>
    </row>
    <row r="9" spans="4:20" x14ac:dyDescent="0.25">
      <c r="D9" s="2" t="s">
        <v>59</v>
      </c>
      <c r="E9" s="2">
        <v>77</v>
      </c>
    </row>
    <row r="10" spans="4:20" x14ac:dyDescent="0.25">
      <c r="D10" s="2" t="s">
        <v>60</v>
      </c>
      <c r="E10" s="2">
        <v>8000</v>
      </c>
      <c r="G10" s="2">
        <v>10000</v>
      </c>
    </row>
    <row r="11" spans="4:20" x14ac:dyDescent="0.25">
      <c r="E11" s="2" t="s">
        <v>61</v>
      </c>
      <c r="G11" s="2" t="s">
        <v>62</v>
      </c>
    </row>
    <row r="12" spans="4:20" x14ac:dyDescent="0.25">
      <c r="E12" s="3">
        <f>PV(E8,E9-62+1,-E10,0,1)</f>
        <v>76475.82950341102</v>
      </c>
      <c r="G12" s="3">
        <f>PV(E8,E9-65+1,-G10,0,1)*(1/(1+E8)^3)</f>
        <v>67762.139416986654</v>
      </c>
    </row>
    <row r="15" spans="4:20" x14ac:dyDescent="0.25">
      <c r="E15" s="3">
        <f>E12-G12</f>
        <v>8713.6900864243653</v>
      </c>
      <c r="F15" s="2">
        <v>70</v>
      </c>
      <c r="G15" s="2">
        <v>71</v>
      </c>
      <c r="H15" s="2">
        <v>72</v>
      </c>
      <c r="I15" s="2">
        <v>73</v>
      </c>
      <c r="J15" s="2">
        <v>74</v>
      </c>
      <c r="K15" s="2">
        <v>75</v>
      </c>
      <c r="L15" s="2">
        <v>76</v>
      </c>
      <c r="M15" s="2">
        <v>77</v>
      </c>
      <c r="N15" s="2">
        <v>78</v>
      </c>
      <c r="O15" s="2">
        <v>79</v>
      </c>
      <c r="P15" s="2">
        <v>80</v>
      </c>
      <c r="Q15" s="2">
        <v>81</v>
      </c>
      <c r="R15" s="2">
        <v>82</v>
      </c>
      <c r="S15" s="2">
        <v>83</v>
      </c>
      <c r="T15" s="2">
        <v>84</v>
      </c>
    </row>
    <row r="16" spans="4:20" x14ac:dyDescent="0.25">
      <c r="E16" s="2">
        <v>0.02</v>
      </c>
      <c r="F16" s="2">
        <f t="dataTable" ref="F16:T24" dt2D="1" dtr="1" r1="E9" r2="E8"/>
        <v>12764.646500018403</v>
      </c>
      <c r="G16" s="2">
        <v>11091.135968273193</v>
      </c>
      <c r="H16" s="2">
        <v>9450.4393685227842</v>
      </c>
      <c r="I16" s="2">
        <v>7841.9132903362624</v>
      </c>
      <c r="J16" s="2">
        <v>6264.9269391729176</v>
      </c>
      <c r="K16" s="2">
        <v>4718.8618890128855</v>
      </c>
      <c r="L16" s="2">
        <v>3203.1118398361723</v>
      </c>
      <c r="M16" s="2">
        <v>1717.0823798592028</v>
      </c>
      <c r="N16" s="2">
        <v>260.19075243071711</v>
      </c>
      <c r="O16" s="2">
        <v>-1168.134372499102</v>
      </c>
      <c r="P16" s="2">
        <v>-2568.4531224304228</v>
      </c>
      <c r="Q16" s="2">
        <v>-3941.3146419708792</v>
      </c>
      <c r="R16" s="2">
        <v>-5287.2573081869632</v>
      </c>
      <c r="S16" s="2">
        <v>-6606.8089417321316</v>
      </c>
      <c r="T16" s="2">
        <v>-7900.4870138353435</v>
      </c>
    </row>
    <row r="17" spans="5:20" x14ac:dyDescent="0.25">
      <c r="E17" s="2">
        <v>0.03</v>
      </c>
      <c r="F17" s="2">
        <v>13095.312576344259</v>
      </c>
      <c r="G17" s="2">
        <v>11562.479111656998</v>
      </c>
      <c r="H17" s="2">
        <v>10074.291281863567</v>
      </c>
      <c r="I17" s="2">
        <v>8629.4487286660151</v>
      </c>
      <c r="J17" s="2">
        <v>7226.6889682800393</v>
      </c>
      <c r="K17" s="2">
        <v>5864.7862882937188</v>
      </c>
      <c r="L17" s="2">
        <v>4542.5506766565377</v>
      </c>
      <c r="M17" s="2">
        <v>3258.8267818630411</v>
      </c>
      <c r="N17" s="2">
        <v>2012.4929034228117</v>
      </c>
      <c r="O17" s="2">
        <v>802.46001173325931</v>
      </c>
      <c r="P17" s="2">
        <v>-372.32920349929191</v>
      </c>
      <c r="Q17" s="2">
        <v>-1512.9012571231433</v>
      </c>
      <c r="R17" s="2">
        <v>-2620.2527654958103</v>
      </c>
      <c r="S17" s="2">
        <v>-3695.3513173139072</v>
      </c>
      <c r="T17" s="2">
        <v>-4739.1363190790871</v>
      </c>
    </row>
    <row r="18" spans="5:20" x14ac:dyDescent="0.25">
      <c r="E18" s="2">
        <v>0.04</v>
      </c>
      <c r="F18" s="2">
        <v>13395.456995661334</v>
      </c>
      <c r="G18" s="2">
        <v>11990.283524503706</v>
      </c>
      <c r="H18" s="2">
        <v>10639.155186852062</v>
      </c>
      <c r="I18" s="2">
        <v>9339.9933237255464</v>
      </c>
      <c r="J18" s="2">
        <v>8090.7992245654023</v>
      </c>
      <c r="K18" s="2">
        <v>6889.6510522960598</v>
      </c>
      <c r="L18" s="2">
        <v>5734.700886652412</v>
      </c>
      <c r="M18" s="2">
        <v>4624.171881225906</v>
      </c>
      <c r="N18" s="2">
        <v>3556.3555298542196</v>
      </c>
      <c r="O18" s="2">
        <v>2529.6090381506947</v>
      </c>
      <c r="P18" s="2">
        <v>1542.3527961280342</v>
      </c>
      <c r="Q18" s="2">
        <v>593.06794802934746</v>
      </c>
      <c r="R18" s="2">
        <v>-319.70594437324326</v>
      </c>
      <c r="S18" s="2">
        <v>-1197.3731486064935</v>
      </c>
      <c r="T18" s="2">
        <v>-2041.2839219076996</v>
      </c>
    </row>
    <row r="19" spans="5:20" x14ac:dyDescent="0.25">
      <c r="E19" s="2">
        <v>0.05</v>
      </c>
      <c r="F19" s="2">
        <v>13667.678789537538</v>
      </c>
      <c r="G19" s="2">
        <v>12378.46095710191</v>
      </c>
      <c r="H19" s="2">
        <v>11150.634450020421</v>
      </c>
      <c r="I19" s="2">
        <v>9981.2758718475015</v>
      </c>
      <c r="J19" s="2">
        <v>8867.6010354924365</v>
      </c>
      <c r="K19" s="2">
        <v>7806.9583342017868</v>
      </c>
      <c r="L19" s="2">
        <v>6796.8224282108131</v>
      </c>
      <c r="M19" s="2">
        <v>5834.7882320288336</v>
      </c>
      <c r="N19" s="2">
        <v>4918.5651880460646</v>
      </c>
      <c r="O19" s="2">
        <v>4045.9718128243112</v>
      </c>
      <c r="P19" s="2">
        <v>3214.9305030893593</v>
      </c>
      <c r="Q19" s="2">
        <v>2423.4625890560274</v>
      </c>
      <c r="R19" s="2">
        <v>1669.6836233100621</v>
      </c>
      <c r="S19" s="2">
        <v>951.79889402813569</v>
      </c>
      <c r="T19" s="2">
        <v>268.09915185491263</v>
      </c>
    </row>
    <row r="20" spans="5:20" x14ac:dyDescent="0.25">
      <c r="E20" s="2">
        <v>0.06</v>
      </c>
      <c r="F20" s="2">
        <v>13914.339042354251</v>
      </c>
      <c r="G20" s="2">
        <v>12730.542115294178</v>
      </c>
      <c r="H20" s="2">
        <v>11613.752561463967</v>
      </c>
      <c r="I20" s="2">
        <v>10560.17751068074</v>
      </c>
      <c r="J20" s="2">
        <v>9566.2387835267291</v>
      </c>
      <c r="K20" s="2">
        <v>8628.5607390418008</v>
      </c>
      <c r="L20" s="2">
        <v>7743.9588102824782</v>
      </c>
      <c r="M20" s="2">
        <v>6909.4286888113857</v>
      </c>
      <c r="N20" s="2">
        <v>6122.1361213858472</v>
      </c>
      <c r="O20" s="2">
        <v>5379.4072841919115</v>
      </c>
      <c r="P20" s="2">
        <v>4678.719701933529</v>
      </c>
      <c r="Q20" s="2">
        <v>4017.6936809350009</v>
      </c>
      <c r="R20" s="2">
        <v>3394.0842271628499</v>
      </c>
      <c r="S20" s="2">
        <v>2805.7734217174293</v>
      </c>
      <c r="T20" s="2">
        <v>2250.7632279009704</v>
      </c>
    </row>
    <row r="21" spans="5:20" x14ac:dyDescent="0.25">
      <c r="E21" s="2">
        <v>7.0000000000000007E-2</v>
      </c>
      <c r="F21" s="2">
        <v>14137.584662828034</v>
      </c>
      <c r="G21" s="2">
        <v>13049.717177659724</v>
      </c>
      <c r="H21" s="2">
        <v>12033.018593390305</v>
      </c>
      <c r="I21" s="2">
        <v>11082.833000615094</v>
      </c>
      <c r="J21" s="2">
        <v>10194.809082133623</v>
      </c>
      <c r="K21" s="2">
        <v>9364.8801863565677</v>
      </c>
      <c r="L21" s="2">
        <v>8589.2457043219329</v>
      </c>
      <c r="M21" s="2">
        <v>7864.3536650371971</v>
      </c>
      <c r="N21" s="2">
        <v>7186.8844694440195</v>
      </c>
      <c r="O21" s="2">
        <v>6553.7356885157642</v>
      </c>
      <c r="P21" s="2">
        <v>5962.0078558725945</v>
      </c>
      <c r="Q21" s="2">
        <v>5408.9911898509163</v>
      </c>
      <c r="R21" s="2">
        <v>4892.153184223178</v>
      </c>
      <c r="S21" s="2">
        <v>4409.127010739292</v>
      </c>
      <c r="T21" s="2">
        <v>3957.700680380527</v>
      </c>
    </row>
    <row r="22" spans="5:20" x14ac:dyDescent="0.25">
      <c r="E22" s="2">
        <v>0.08</v>
      </c>
      <c r="F22" s="2">
        <v>14339.369574826502</v>
      </c>
      <c r="G22" s="2">
        <v>13338.871640563579</v>
      </c>
      <c r="H22" s="2">
        <v>12412.4846643942</v>
      </c>
      <c r="I22" s="2">
        <v>11554.718945718865</v>
      </c>
      <c r="J22" s="2">
        <v>10760.491428426874</v>
      </c>
      <c r="K22" s="2">
        <v>10025.095579082474</v>
      </c>
      <c r="L22" s="2">
        <v>9344.1734963561248</v>
      </c>
      <c r="M22" s="2">
        <v>8713.6900864243653</v>
      </c>
      <c r="N22" s="2">
        <v>8129.9091513023304</v>
      </c>
      <c r="O22" s="2">
        <v>7589.3712484115968</v>
      </c>
      <c r="P22" s="2">
        <v>7088.8731901793944</v>
      </c>
      <c r="Q22" s="2">
        <v>6625.4490621866425</v>
      </c>
      <c r="R22" s="2">
        <v>6196.3526473785023</v>
      </c>
      <c r="S22" s="2">
        <v>5799.0411521858186</v>
      </c>
      <c r="T22" s="2">
        <v>5431.1601381185028</v>
      </c>
    </row>
    <row r="23" spans="5:20" x14ac:dyDescent="0.25">
      <c r="E23" s="2">
        <v>0.09</v>
      </c>
      <c r="F23" s="2">
        <v>14521.47362977708</v>
      </c>
      <c r="G23" s="2">
        <v>13600.61807074448</v>
      </c>
      <c r="H23" s="2">
        <v>12755.796456953089</v>
      </c>
      <c r="I23" s="2">
        <v>11980.730756227058</v>
      </c>
      <c r="J23" s="2">
        <v>11269.661306019691</v>
      </c>
      <c r="K23" s="2">
        <v>10617.304012251458</v>
      </c>
      <c r="L23" s="2">
        <v>10018.811082188877</v>
      </c>
      <c r="M23" s="2">
        <v>9469.7349995626209</v>
      </c>
      <c r="N23" s="2">
        <v>8965.9954742174596</v>
      </c>
      <c r="O23" s="2">
        <v>8503.8491206897743</v>
      </c>
      <c r="P23" s="2">
        <v>8079.8616403891501</v>
      </c>
      <c r="Q23" s="2">
        <v>7690.8823006638122</v>
      </c>
      <c r="R23" s="2">
        <v>7334.0205210992717</v>
      </c>
      <c r="S23" s="2">
        <v>7006.6243930584023</v>
      </c>
      <c r="T23" s="2">
        <v>6706.2609728374518</v>
      </c>
    </row>
    <row r="24" spans="5:20" x14ac:dyDescent="0.25">
      <c r="E24" s="2">
        <v>0.1</v>
      </c>
      <c r="F24" s="2">
        <v>14685.519505021126</v>
      </c>
      <c r="G24" s="2">
        <v>13837.32426827617</v>
      </c>
      <c r="H24" s="2">
        <v>13066.23768941711</v>
      </c>
      <c r="I24" s="2">
        <v>12365.249890454317</v>
      </c>
      <c r="J24" s="2">
        <v>11727.98825503359</v>
      </c>
      <c r="K24" s="2">
        <v>11148.65949556022</v>
      </c>
      <c r="L24" s="2">
        <v>10621.99698694807</v>
      </c>
      <c r="M24" s="2">
        <v>10143.212888209746</v>
      </c>
      <c r="N24" s="2">
        <v>9707.9546166294313</v>
      </c>
      <c r="O24" s="2">
        <v>9312.2652788291743</v>
      </c>
      <c r="P24" s="2">
        <v>8952.5476990107418</v>
      </c>
      <c r="Q24" s="2">
        <v>8625.5317173576186</v>
      </c>
      <c r="R24" s="2">
        <v>8328.2444613093539</v>
      </c>
      <c r="S24" s="2">
        <v>8057.983319447274</v>
      </c>
      <c r="T24" s="2">
        <v>7812.2913722999219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06AE-9928-4452-8102-2B2F087A9D42}">
  <sheetPr codeName="Sheet10"/>
  <dimension ref="B14:K29"/>
  <sheetViews>
    <sheetView workbookViewId="0">
      <selection activeCell="A2" sqref="A2:H13"/>
    </sheetView>
  </sheetViews>
  <sheetFormatPr defaultRowHeight="15" x14ac:dyDescent="0.25"/>
  <cols>
    <col min="1" max="1" width="9.140625" style="18"/>
    <col min="2" max="2" width="27.5703125" style="18" customWidth="1"/>
    <col min="3" max="3" width="29.140625" style="18" customWidth="1"/>
    <col min="4" max="10" width="9.140625" style="18"/>
    <col min="11" max="11" width="11.85546875" style="18" bestFit="1" customWidth="1"/>
    <col min="12" max="16384" width="9.140625" style="18"/>
  </cols>
  <sheetData>
    <row r="14" spans="2:10" x14ac:dyDescent="0.25">
      <c r="B14" s="18" t="s">
        <v>63</v>
      </c>
      <c r="C14" s="18">
        <v>24</v>
      </c>
    </row>
    <row r="15" spans="2:10" x14ac:dyDescent="0.25">
      <c r="B15" s="18" t="s">
        <v>64</v>
      </c>
      <c r="C15" s="19">
        <v>400000</v>
      </c>
      <c r="F15" s="18" t="s">
        <v>65</v>
      </c>
      <c r="J15" s="18" t="s">
        <v>66</v>
      </c>
    </row>
    <row r="16" spans="2:10" x14ac:dyDescent="0.25">
      <c r="B16" s="18" t="s">
        <v>67</v>
      </c>
      <c r="C16" s="19">
        <v>8</v>
      </c>
      <c r="F16" s="18" t="s">
        <v>68</v>
      </c>
      <c r="J16" s="18" t="s">
        <v>69</v>
      </c>
    </row>
    <row r="17" spans="2:11" x14ac:dyDescent="0.25">
      <c r="B17" s="18" t="s">
        <v>70</v>
      </c>
      <c r="C17" s="19">
        <v>20</v>
      </c>
      <c r="F17" s="18" t="s">
        <v>71</v>
      </c>
    </row>
    <row r="18" spans="2:11" x14ac:dyDescent="0.25">
      <c r="B18" s="18" t="s">
        <v>72</v>
      </c>
      <c r="C18" s="20">
        <v>0.5</v>
      </c>
    </row>
    <row r="19" spans="2:11" x14ac:dyDescent="0.25">
      <c r="B19" s="18" t="s">
        <v>73</v>
      </c>
      <c r="C19" s="18">
        <v>2</v>
      </c>
      <c r="K19" s="19">
        <f>C29</f>
        <v>-115456</v>
      </c>
    </row>
    <row r="20" spans="2:11" x14ac:dyDescent="0.25">
      <c r="B20" s="18" t="s">
        <v>74</v>
      </c>
      <c r="C20" s="18">
        <v>3</v>
      </c>
      <c r="J20" s="18">
        <v>0.1</v>
      </c>
      <c r="K20" s="18">
        <f t="dataTable" ref="K20:K29" dt2D="0" dtr="0" r1="C18"/>
        <v>-343091.20000000001</v>
      </c>
    </row>
    <row r="21" spans="2:11" x14ac:dyDescent="0.25">
      <c r="B21" s="18" t="s">
        <v>75</v>
      </c>
      <c r="C21" s="18">
        <v>312</v>
      </c>
      <c r="J21" s="18">
        <v>0.2</v>
      </c>
      <c r="K21" s="18">
        <v>-286182.40000000002</v>
      </c>
    </row>
    <row r="22" spans="2:11" x14ac:dyDescent="0.25">
      <c r="J22" s="18">
        <v>0.3</v>
      </c>
      <c r="K22" s="18">
        <v>-229273.60000000001</v>
      </c>
    </row>
    <row r="23" spans="2:11" x14ac:dyDescent="0.25">
      <c r="B23" s="18" t="s">
        <v>76</v>
      </c>
      <c r="C23" s="18">
        <f>daysopen*(lunchseatings*seats)*fractionseatsfilled</f>
        <v>7488</v>
      </c>
      <c r="D23" s="18" t="str">
        <f ca="1">_xlfn.FORMULATEXT(C23)</f>
        <v>=daysopen*(lunchseatings*seats)*fractionseatsfilled</v>
      </c>
      <c r="J23" s="18">
        <v>0.4</v>
      </c>
      <c r="K23" s="18">
        <v>-172364.79999999999</v>
      </c>
    </row>
    <row r="24" spans="2:11" x14ac:dyDescent="0.25">
      <c r="B24" s="18" t="s">
        <v>77</v>
      </c>
      <c r="C24" s="18">
        <f>daysopen*(dinnerseatings*seats)*fractionseatsfilled</f>
        <v>11232</v>
      </c>
      <c r="D24" s="18" t="str">
        <f t="shared" ref="D24:D29" ca="1" si="0">_xlfn.FORMULATEXT(C24)</f>
        <v>=daysopen*(dinnerseatings*seats)*fractionseatsfilled</v>
      </c>
      <c r="J24" s="18">
        <v>0.5</v>
      </c>
      <c r="K24" s="18">
        <v>-115456</v>
      </c>
    </row>
    <row r="25" spans="2:11" x14ac:dyDescent="0.25">
      <c r="J25" s="18">
        <v>0.6</v>
      </c>
      <c r="K25" s="18">
        <v>-58547.200000000012</v>
      </c>
    </row>
    <row r="26" spans="2:11" x14ac:dyDescent="0.25">
      <c r="B26" s="18" t="s">
        <v>78</v>
      </c>
      <c r="C26" s="19">
        <f>C23*profitperlunchcheck</f>
        <v>59904</v>
      </c>
      <c r="D26" s="18" t="str">
        <f t="shared" ca="1" si="0"/>
        <v>=C23*profitperlunchcheck</v>
      </c>
      <c r="H26" s="18" t="s">
        <v>79</v>
      </c>
      <c r="J26" s="18">
        <v>0.7</v>
      </c>
      <c r="K26" s="18">
        <v>-1638.4000000000233</v>
      </c>
    </row>
    <row r="27" spans="2:11" x14ac:dyDescent="0.25">
      <c r="B27" s="18" t="s">
        <v>80</v>
      </c>
      <c r="C27" s="19">
        <f>C24*profitperdinnerccheck</f>
        <v>224640</v>
      </c>
      <c r="D27" s="18" t="str">
        <f t="shared" ca="1" si="0"/>
        <v>=C24*profitperdinnerccheck</v>
      </c>
      <c r="H27" s="18" t="s">
        <v>81</v>
      </c>
      <c r="J27" s="18">
        <v>0.8</v>
      </c>
      <c r="K27" s="18">
        <v>55270.400000000023</v>
      </c>
    </row>
    <row r="28" spans="2:11" x14ac:dyDescent="0.25">
      <c r="B28" s="18" t="s">
        <v>64</v>
      </c>
      <c r="C28" s="19">
        <f>fixedcost</f>
        <v>400000</v>
      </c>
      <c r="D28" s="18" t="str">
        <f t="shared" ca="1" si="0"/>
        <v>=fixedcost</v>
      </c>
      <c r="J28" s="18">
        <v>0.9</v>
      </c>
      <c r="K28" s="18">
        <v>112179.20000000007</v>
      </c>
    </row>
    <row r="29" spans="2:11" x14ac:dyDescent="0.25">
      <c r="B29" s="18" t="s">
        <v>82</v>
      </c>
      <c r="C29" s="19">
        <f>C26+C27-C28</f>
        <v>-115456</v>
      </c>
      <c r="D29" s="18" t="str">
        <f t="shared" ca="1" si="0"/>
        <v>=C26+C27-C28</v>
      </c>
      <c r="J29" s="18">
        <v>1</v>
      </c>
      <c r="K29" s="18">
        <v>169088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F26C-1A60-4F04-AD18-E587654F8EB6}">
  <sheetPr codeName="Sheet11"/>
  <dimension ref="E15:M26"/>
  <sheetViews>
    <sheetView workbookViewId="0">
      <selection activeCell="C2" sqref="C2:J14"/>
    </sheetView>
  </sheetViews>
  <sheetFormatPr defaultRowHeight="15" x14ac:dyDescent="0.25"/>
  <cols>
    <col min="1" max="4" width="9.140625" style="21"/>
    <col min="5" max="5" width="19.85546875" style="21" customWidth="1"/>
    <col min="6" max="6" width="14.85546875" style="21" bestFit="1" customWidth="1"/>
    <col min="7" max="9" width="9.140625" style="21"/>
    <col min="10" max="13" width="14.85546875" style="21" bestFit="1" customWidth="1"/>
    <col min="14" max="16384" width="9.140625" style="21"/>
  </cols>
  <sheetData>
    <row r="15" spans="5:6" x14ac:dyDescent="0.25">
      <c r="E15" s="21" t="s">
        <v>64</v>
      </c>
      <c r="F15" s="22">
        <v>5000000</v>
      </c>
    </row>
    <row r="16" spans="5:6" x14ac:dyDescent="0.25">
      <c r="E16" s="21" t="s">
        <v>63</v>
      </c>
      <c r="F16" s="21">
        <v>2000</v>
      </c>
    </row>
    <row r="17" spans="5:13" x14ac:dyDescent="0.25">
      <c r="E17" s="21" t="s">
        <v>83</v>
      </c>
      <c r="F17" s="22">
        <v>100</v>
      </c>
      <c r="K17" s="21" t="s">
        <v>84</v>
      </c>
    </row>
    <row r="18" spans="5:13" x14ac:dyDescent="0.25">
      <c r="E18" s="21" t="s">
        <v>85</v>
      </c>
      <c r="F18" s="21">
        <v>0.8</v>
      </c>
      <c r="J18" s="23">
        <f>F26</f>
        <v>169105000</v>
      </c>
      <c r="K18" s="21">
        <v>0.7</v>
      </c>
      <c r="L18" s="21">
        <v>0.8</v>
      </c>
      <c r="M18" s="21">
        <v>0.9</v>
      </c>
    </row>
    <row r="19" spans="5:13" x14ac:dyDescent="0.25">
      <c r="E19" s="21" t="s">
        <v>86</v>
      </c>
      <c r="F19" s="21">
        <v>365</v>
      </c>
      <c r="J19" s="21">
        <v>1</v>
      </c>
      <c r="K19" s="23">
        <f t="dataTable" ref="K19:M23" dt2D="1" dtr="1" r1="F18" r2="F20"/>
        <v>45735000</v>
      </c>
      <c r="L19" s="23">
        <v>53035000</v>
      </c>
      <c r="M19" s="23">
        <v>60335000</v>
      </c>
    </row>
    <row r="20" spans="5:13" x14ac:dyDescent="0.25">
      <c r="E20" s="21" t="s">
        <v>21</v>
      </c>
      <c r="F20" s="21">
        <v>3</v>
      </c>
      <c r="J20" s="21">
        <v>2</v>
      </c>
      <c r="K20" s="23">
        <v>96470000</v>
      </c>
      <c r="L20" s="23">
        <v>111070000</v>
      </c>
      <c r="M20" s="23">
        <v>125670000</v>
      </c>
    </row>
    <row r="21" spans="5:13" x14ac:dyDescent="0.25">
      <c r="E21" s="21" t="s">
        <v>87</v>
      </c>
      <c r="F21" s="22">
        <v>1000</v>
      </c>
      <c r="I21" s="21" t="s">
        <v>21</v>
      </c>
      <c r="J21" s="21">
        <v>3</v>
      </c>
      <c r="K21" s="23">
        <v>147205000</v>
      </c>
      <c r="L21" s="24">
        <v>169105000</v>
      </c>
      <c r="M21" s="23">
        <v>191005000</v>
      </c>
    </row>
    <row r="22" spans="5:13" x14ac:dyDescent="0.25">
      <c r="J22" s="21">
        <v>4</v>
      </c>
      <c r="K22" s="23">
        <v>197940000</v>
      </c>
      <c r="L22" s="23">
        <v>227140000</v>
      </c>
      <c r="M22" s="23">
        <v>256340000</v>
      </c>
    </row>
    <row r="23" spans="5:13" x14ac:dyDescent="0.25">
      <c r="E23" s="22" t="s">
        <v>88</v>
      </c>
      <c r="F23" s="23">
        <f>(years*performancesperyear)*(seats*occupancy)*ticketprice</f>
        <v>175200000</v>
      </c>
      <c r="J23" s="21">
        <v>5</v>
      </c>
      <c r="K23" s="23">
        <v>248675000</v>
      </c>
      <c r="L23" s="23">
        <v>285175000</v>
      </c>
      <c r="M23" s="23">
        <v>321675000</v>
      </c>
    </row>
    <row r="24" spans="5:13" x14ac:dyDescent="0.25">
      <c r="E24" s="21" t="s">
        <v>64</v>
      </c>
      <c r="F24" s="23">
        <f>fixedcost</f>
        <v>5000000</v>
      </c>
    </row>
    <row r="25" spans="5:13" x14ac:dyDescent="0.25">
      <c r="E25" s="21" t="s">
        <v>89</v>
      </c>
      <c r="F25" s="23">
        <f>(performancesperyear*years)*costperperformance</f>
        <v>1095000</v>
      </c>
    </row>
    <row r="26" spans="5:13" x14ac:dyDescent="0.25">
      <c r="E26" s="21" t="s">
        <v>9</v>
      </c>
      <c r="F26" s="23">
        <f>F23-F24-F25</f>
        <v>169105000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7926-9A8B-4B6A-91E1-AC98930DB4F3}">
  <sheetPr codeName="Sheet12"/>
  <dimension ref="A2:AQ22"/>
  <sheetViews>
    <sheetView workbookViewId="0">
      <selection activeCell="F5" sqref="F5"/>
    </sheetView>
  </sheetViews>
  <sheetFormatPr defaultRowHeight="12.75" x14ac:dyDescent="0.2"/>
  <cols>
    <col min="1" max="1" width="12.28515625" style="4" customWidth="1"/>
    <col min="2" max="2" width="9.140625" style="4"/>
    <col min="3" max="3" width="16.42578125" style="4" customWidth="1"/>
    <col min="4" max="16384" width="9.140625" style="4"/>
  </cols>
  <sheetData>
    <row r="2" spans="1:43" x14ac:dyDescent="0.2">
      <c r="A2" s="5" t="s">
        <v>90</v>
      </c>
    </row>
    <row r="3" spans="1:43" x14ac:dyDescent="0.2">
      <c r="C3" s="4" t="s">
        <v>91</v>
      </c>
      <c r="D3" s="4">
        <f>500-3*price+10*SQRT(advertising)</f>
        <v>411.62277660168377</v>
      </c>
    </row>
    <row r="4" spans="1:43" x14ac:dyDescent="0.2">
      <c r="A4" s="5" t="s">
        <v>92</v>
      </c>
      <c r="C4" s="4" t="s">
        <v>93</v>
      </c>
      <c r="D4" s="4">
        <v>40</v>
      </c>
    </row>
    <row r="5" spans="1:43" x14ac:dyDescent="0.2">
      <c r="B5" s="4" t="s">
        <v>94</v>
      </c>
      <c r="C5" s="4" t="s">
        <v>95</v>
      </c>
      <c r="D5" s="4">
        <v>10</v>
      </c>
    </row>
    <row r="6" spans="1:43" x14ac:dyDescent="0.2">
      <c r="C6" s="4" t="s">
        <v>96</v>
      </c>
      <c r="D6" s="4">
        <v>10000</v>
      </c>
    </row>
    <row r="7" spans="1:43" x14ac:dyDescent="0.2">
      <c r="C7" s="4" t="s">
        <v>97</v>
      </c>
      <c r="D7" s="4">
        <v>12</v>
      </c>
      <c r="G7" s="4" t="s">
        <v>98</v>
      </c>
    </row>
    <row r="8" spans="1:43" x14ac:dyDescent="0.2">
      <c r="C8" s="4" t="s">
        <v>9</v>
      </c>
      <c r="D8" s="1">
        <f>demand*price-100*advertising-fixed_cost-demand*unit_variable_cost</f>
        <v>525.43774484714413</v>
      </c>
      <c r="G8" s="4">
        <f>MAX(D10:AQ10)</f>
        <v>9535.8310703157913</v>
      </c>
    </row>
    <row r="9" spans="1:43" x14ac:dyDescent="0.2">
      <c r="D9" s="4" t="s">
        <v>99</v>
      </c>
    </row>
    <row r="10" spans="1:43" x14ac:dyDescent="0.2">
      <c r="C10" s="4" t="s">
        <v>100</v>
      </c>
      <c r="D10" s="4">
        <f>MAX(D12:D22)</f>
        <v>8620</v>
      </c>
      <c r="E10" s="4">
        <f t="shared" ref="E10:AQ10" si="0">MAX(E12:E22)</f>
        <v>8843.0865786510149</v>
      </c>
      <c r="F10" s="4">
        <f t="shared" si="0"/>
        <v>8990.999629903723</v>
      </c>
      <c r="G10" s="4">
        <f t="shared" si="0"/>
        <v>9100</v>
      </c>
      <c r="H10" s="4">
        <f t="shared" si="0"/>
        <v>9184.1330224498361</v>
      </c>
      <c r="I10" s="4">
        <f t="shared" si="0"/>
        <v>9250.6019993708778</v>
      </c>
      <c r="J10" s="4">
        <f t="shared" si="0"/>
        <v>9303.6860226303779</v>
      </c>
      <c r="K10" s="4">
        <f t="shared" si="0"/>
        <v>9346.1731573020297</v>
      </c>
      <c r="L10" s="4">
        <f t="shared" si="0"/>
        <v>9380</v>
      </c>
      <c r="M10" s="4">
        <f t="shared" si="0"/>
        <v>9406.5765749313341</v>
      </c>
      <c r="N10" s="4">
        <f t="shared" si="0"/>
        <v>9426.9673364772134</v>
      </c>
      <c r="O10" s="4">
        <f t="shared" si="0"/>
        <v>9448.4094213212211</v>
      </c>
      <c r="P10" s="4">
        <f t="shared" si="0"/>
        <v>9472.8851224083119</v>
      </c>
      <c r="Q10" s="4">
        <f t="shared" si="0"/>
        <v>9492.6585003610689</v>
      </c>
      <c r="R10" s="4">
        <f t="shared" si="0"/>
        <v>9508.2253446625255</v>
      </c>
      <c r="S10" s="4">
        <f t="shared" si="0"/>
        <v>9520</v>
      </c>
      <c r="T10" s="4">
        <f t="shared" si="0"/>
        <v>9528.3329505435395</v>
      </c>
      <c r="U10" s="4">
        <f t="shared" si="0"/>
        <v>9533.5238046649702</v>
      </c>
      <c r="V10" s="25">
        <f t="shared" si="0"/>
        <v>9535.8310703157913</v>
      </c>
      <c r="W10" s="4">
        <f t="shared" si="0"/>
        <v>9535.4796403996297</v>
      </c>
      <c r="X10" s="4">
        <f t="shared" si="0"/>
        <v>9532.6666115611406</v>
      </c>
      <c r="Y10" s="4">
        <f t="shared" si="0"/>
        <v>9527.5658686446186</v>
      </c>
      <c r="Z10" s="4">
        <f t="shared" si="0"/>
        <v>9520.331740515192</v>
      </c>
      <c r="AA10" s="4">
        <f t="shared" si="0"/>
        <v>9511.1019472983899</v>
      </c>
      <c r="AB10" s="4">
        <f t="shared" si="0"/>
        <v>9500</v>
      </c>
      <c r="AC10" s="4">
        <f t="shared" si="0"/>
        <v>9487.1371719616509</v>
      </c>
      <c r="AD10" s="4">
        <f t="shared" si="0"/>
        <v>9472.614131981838</v>
      </c>
      <c r="AE10" s="4">
        <f t="shared" si="0"/>
        <v>9456.5223074736787</v>
      </c>
      <c r="AF10" s="4">
        <f t="shared" si="0"/>
        <v>9438.9450302783644</v>
      </c>
      <c r="AG10" s="4">
        <f t="shared" si="0"/>
        <v>9419.9585060454629</v>
      </c>
      <c r="AH10" s="4">
        <f t="shared" si="0"/>
        <v>9399.6326392904193</v>
      </c>
      <c r="AI10" s="4">
        <f t="shared" si="0"/>
        <v>9378.0317395532966</v>
      </c>
      <c r="AJ10" s="4">
        <f t="shared" si="0"/>
        <v>9355.2151289534668</v>
      </c>
      <c r="AK10" s="4">
        <f t="shared" si="0"/>
        <v>9331.2376674638654</v>
      </c>
      <c r="AL10" s="4">
        <f t="shared" si="0"/>
        <v>9306.1502091276634</v>
      </c>
      <c r="AM10" s="4">
        <f t="shared" si="0"/>
        <v>9280</v>
      </c>
      <c r="AN10" s="4">
        <f t="shared" si="0"/>
        <v>9252.8310266624321</v>
      </c>
      <c r="AO10" s="4">
        <f t="shared" si="0"/>
        <v>9224.6843226127003</v>
      </c>
      <c r="AP10" s="4">
        <f t="shared" si="0"/>
        <v>9195.5982385905936</v>
      </c>
      <c r="AQ10" s="4">
        <f t="shared" si="0"/>
        <v>9165.6086818963486</v>
      </c>
    </row>
    <row r="11" spans="1:43" x14ac:dyDescent="0.2">
      <c r="C11" s="4">
        <f>profit</f>
        <v>525.43774484714413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9</v>
      </c>
      <c r="M11" s="4">
        <v>10</v>
      </c>
      <c r="N11" s="4">
        <v>11</v>
      </c>
      <c r="O11" s="4">
        <v>12</v>
      </c>
      <c r="P11" s="4">
        <v>13</v>
      </c>
      <c r="Q11" s="4">
        <v>14</v>
      </c>
      <c r="R11" s="4">
        <v>15</v>
      </c>
      <c r="S11" s="4">
        <v>16</v>
      </c>
      <c r="T11" s="4">
        <v>17</v>
      </c>
      <c r="U11" s="4">
        <v>18</v>
      </c>
      <c r="V11" s="4">
        <v>19</v>
      </c>
      <c r="W11" s="4">
        <v>20</v>
      </c>
      <c r="X11" s="4">
        <v>21</v>
      </c>
      <c r="Y11" s="4">
        <v>22</v>
      </c>
      <c r="Z11" s="4">
        <v>23</v>
      </c>
      <c r="AA11" s="4">
        <v>24</v>
      </c>
      <c r="AB11" s="4">
        <v>25</v>
      </c>
      <c r="AC11" s="4">
        <v>26</v>
      </c>
      <c r="AD11" s="4">
        <v>27</v>
      </c>
      <c r="AE11" s="4">
        <v>28</v>
      </c>
      <c r="AF11" s="4">
        <v>29</v>
      </c>
      <c r="AG11" s="4">
        <v>30</v>
      </c>
      <c r="AH11" s="4">
        <v>31</v>
      </c>
      <c r="AI11" s="4">
        <v>32</v>
      </c>
      <c r="AJ11" s="4">
        <v>33</v>
      </c>
      <c r="AK11" s="4">
        <v>34</v>
      </c>
      <c r="AL11" s="4">
        <v>35</v>
      </c>
      <c r="AM11" s="4">
        <v>36</v>
      </c>
      <c r="AN11" s="4">
        <v>37</v>
      </c>
      <c r="AO11" s="4">
        <v>38</v>
      </c>
      <c r="AP11" s="4">
        <v>39</v>
      </c>
      <c r="AQ11" s="4">
        <v>40</v>
      </c>
    </row>
    <row r="12" spans="1:43" x14ac:dyDescent="0.2">
      <c r="C12" s="4">
        <v>10</v>
      </c>
      <c r="D12" s="4">
        <f t="dataTable" ref="D12:AQ22" dt2D="1" dtr="0" r1="D5" r2="D4"/>
        <v>-11060</v>
      </c>
      <c r="E12" s="4">
        <v>-11168.284271247461</v>
      </c>
      <c r="F12" s="4">
        <v>-11274.641016151378</v>
      </c>
      <c r="G12" s="4">
        <v>-11380</v>
      </c>
      <c r="H12" s="4">
        <v>-11484.721359549996</v>
      </c>
      <c r="I12" s="4">
        <v>-11588.989794855665</v>
      </c>
      <c r="J12" s="4">
        <v>-11692.915026221293</v>
      </c>
      <c r="K12" s="4">
        <v>-11796.568542494922</v>
      </c>
      <c r="L12" s="4">
        <v>-11900</v>
      </c>
      <c r="M12" s="4">
        <v>-12003.245553203367</v>
      </c>
      <c r="N12" s="4">
        <v>-12106.332495807108</v>
      </c>
      <c r="O12" s="4">
        <v>-12209.282032302755</v>
      </c>
      <c r="P12" s="4">
        <v>-12312.111025509279</v>
      </c>
      <c r="Q12" s="4">
        <v>-12414.83314773548</v>
      </c>
      <c r="R12" s="4">
        <v>-12517.459666924147</v>
      </c>
      <c r="S12" s="4">
        <v>-12620</v>
      </c>
      <c r="T12" s="4">
        <v>-12722.462112512352</v>
      </c>
      <c r="U12" s="4">
        <v>-12824.852813742385</v>
      </c>
      <c r="V12" s="4">
        <v>-12927.177978870812</v>
      </c>
      <c r="W12" s="4">
        <v>-13029.442719099992</v>
      </c>
      <c r="X12" s="4">
        <v>-13131.651513899116</v>
      </c>
      <c r="Y12" s="4">
        <v>-13233.808315196469</v>
      </c>
      <c r="Z12" s="4">
        <v>-13335.916630466254</v>
      </c>
      <c r="AA12" s="4">
        <v>-13437.979589711327</v>
      </c>
      <c r="AB12" s="4">
        <v>-13540</v>
      </c>
      <c r="AC12" s="4">
        <v>-13641.980390271856</v>
      </c>
      <c r="AD12" s="4">
        <v>-13743.923048454133</v>
      </c>
      <c r="AE12" s="4">
        <v>-13845.830052442583</v>
      </c>
      <c r="AF12" s="4">
        <v>-13947.703296142688</v>
      </c>
      <c r="AG12" s="4">
        <v>-14049.544511501033</v>
      </c>
      <c r="AH12" s="4">
        <v>-14151.3552872566</v>
      </c>
      <c r="AI12" s="4">
        <v>-14253.137084989849</v>
      </c>
      <c r="AJ12" s="4">
        <v>-14354.89125293076</v>
      </c>
      <c r="AK12" s="4">
        <v>-14456.619037896908</v>
      </c>
      <c r="AL12" s="4">
        <v>-14558.321595661992</v>
      </c>
      <c r="AM12" s="4">
        <v>-14660</v>
      </c>
      <c r="AN12" s="4">
        <v>-14761.655250605965</v>
      </c>
      <c r="AO12" s="4">
        <v>-14863.288280059378</v>
      </c>
      <c r="AP12" s="4">
        <v>-14964.899959967968</v>
      </c>
      <c r="AQ12" s="4">
        <v>-15066.491106406735</v>
      </c>
    </row>
    <row r="13" spans="1:43" x14ac:dyDescent="0.2">
      <c r="B13" s="4" t="s">
        <v>93</v>
      </c>
      <c r="C13" s="4">
        <v>20</v>
      </c>
      <c r="D13" s="4">
        <v>-6500</v>
      </c>
      <c r="E13" s="4">
        <v>-6566.8629150101515</v>
      </c>
      <c r="F13" s="4">
        <v>-6641.4359353944901</v>
      </c>
      <c r="G13" s="4">
        <v>-6720</v>
      </c>
      <c r="H13" s="4">
        <v>-6801.1145618000173</v>
      </c>
      <c r="I13" s="4">
        <v>-6884.0408205773456</v>
      </c>
      <c r="J13" s="4">
        <v>-6968.3398951148338</v>
      </c>
      <c r="K13" s="4">
        <v>-7053.7258300203039</v>
      </c>
      <c r="L13" s="4">
        <v>-7140</v>
      </c>
      <c r="M13" s="4">
        <v>-7227.0177871865308</v>
      </c>
      <c r="N13" s="4">
        <v>-7314.670016771568</v>
      </c>
      <c r="O13" s="4">
        <v>-7402.8718707889802</v>
      </c>
      <c r="P13" s="4">
        <v>-7491.5558979628813</v>
      </c>
      <c r="Q13" s="4">
        <v>-7580.6674090580855</v>
      </c>
      <c r="R13" s="4">
        <v>-7670.1613323034062</v>
      </c>
      <c r="S13" s="4">
        <v>-7760</v>
      </c>
      <c r="T13" s="4">
        <v>-7850.1515499505867</v>
      </c>
      <c r="U13" s="4">
        <v>-7940.5887450304581</v>
      </c>
      <c r="V13" s="4">
        <v>-8031.2880845167465</v>
      </c>
      <c r="W13" s="4">
        <v>-8122.2291236000347</v>
      </c>
      <c r="X13" s="4">
        <v>-8213.3939444035332</v>
      </c>
      <c r="Y13" s="4">
        <v>-8304.7667392141266</v>
      </c>
      <c r="Z13" s="4">
        <v>-8396.333478134984</v>
      </c>
      <c r="AA13" s="4">
        <v>-8488.0816411546912</v>
      </c>
      <c r="AB13" s="4">
        <v>-8580</v>
      </c>
      <c r="AC13" s="4">
        <v>-8672.0784389125765</v>
      </c>
      <c r="AD13" s="4">
        <v>-8764.3078061834676</v>
      </c>
      <c r="AE13" s="4">
        <v>-8856.6797902296676</v>
      </c>
      <c r="AF13" s="4">
        <v>-8949.1868154292388</v>
      </c>
      <c r="AG13" s="4">
        <v>-9041.8219539958664</v>
      </c>
      <c r="AH13" s="4">
        <v>-9134.5788509735976</v>
      </c>
      <c r="AI13" s="4">
        <v>-9227.4516600406096</v>
      </c>
      <c r="AJ13" s="4">
        <v>-9320.4349882769566</v>
      </c>
      <c r="AK13" s="4">
        <v>-9413.5238484123765</v>
      </c>
      <c r="AL13" s="4">
        <v>-9506.7136173520303</v>
      </c>
      <c r="AM13" s="4">
        <v>-9600</v>
      </c>
      <c r="AN13" s="4">
        <v>-9693.3789975761429</v>
      </c>
      <c r="AO13" s="4">
        <v>-9786.846879762481</v>
      </c>
      <c r="AP13" s="4">
        <v>-9880.400160128127</v>
      </c>
      <c r="AQ13" s="4">
        <v>-9974.0355743730597</v>
      </c>
    </row>
    <row r="14" spans="1:43" x14ac:dyDescent="0.2">
      <c r="C14" s="4">
        <v>30</v>
      </c>
      <c r="D14" s="4">
        <v>-2540</v>
      </c>
      <c r="E14" s="4">
        <v>-2565.4415587728417</v>
      </c>
      <c r="F14" s="4">
        <v>-2608.2308546376016</v>
      </c>
      <c r="G14" s="4">
        <v>-2660</v>
      </c>
      <c r="H14" s="4">
        <v>-2717.5077640500385</v>
      </c>
      <c r="I14" s="4">
        <v>-2779.0918462990285</v>
      </c>
      <c r="J14" s="4">
        <v>-2843.7647640083742</v>
      </c>
      <c r="K14" s="4">
        <v>-2910.8831175456862</v>
      </c>
      <c r="L14" s="4">
        <v>-2980</v>
      </c>
      <c r="M14" s="4">
        <v>-3050.7900211696924</v>
      </c>
      <c r="N14" s="4">
        <v>-3123.0075377360281</v>
      </c>
      <c r="O14" s="4">
        <v>-3196.4617092752051</v>
      </c>
      <c r="P14" s="4">
        <v>-3271.0007704164809</v>
      </c>
      <c r="Q14" s="4">
        <v>-3346.5016703806905</v>
      </c>
      <c r="R14" s="4">
        <v>-3422.862997682666</v>
      </c>
      <c r="S14" s="4">
        <v>-3500</v>
      </c>
      <c r="T14" s="4">
        <v>-3577.8409873888222</v>
      </c>
      <c r="U14" s="4">
        <v>-3656.3246763185289</v>
      </c>
      <c r="V14" s="4">
        <v>-3735.3981901626785</v>
      </c>
      <c r="W14" s="4">
        <v>-3815.0155281000771</v>
      </c>
      <c r="X14" s="4">
        <v>-3895.1363749079483</v>
      </c>
      <c r="Y14" s="4">
        <v>-3975.7251632317839</v>
      </c>
      <c r="Z14" s="4">
        <v>-4056.7503258037095</v>
      </c>
      <c r="AA14" s="4">
        <v>-4138.183692598056</v>
      </c>
      <c r="AB14" s="4">
        <v>-4220</v>
      </c>
      <c r="AC14" s="4">
        <v>-4302.176487553299</v>
      </c>
      <c r="AD14" s="4">
        <v>-4384.6925639128067</v>
      </c>
      <c r="AE14" s="4">
        <v>-4467.5295280167475</v>
      </c>
      <c r="AF14" s="4">
        <v>-4550.6703347157891</v>
      </c>
      <c r="AG14" s="4">
        <v>-4634.0993964907011</v>
      </c>
      <c r="AH14" s="4">
        <v>-4717.8024146905955</v>
      </c>
      <c r="AI14" s="4">
        <v>-4801.7662350913724</v>
      </c>
      <c r="AJ14" s="4">
        <v>-4885.9787236231532</v>
      </c>
      <c r="AK14" s="4">
        <v>-4970.4286589278463</v>
      </c>
      <c r="AL14" s="4">
        <v>-5055.1056390420681</v>
      </c>
      <c r="AM14" s="4">
        <v>-5140</v>
      </c>
      <c r="AN14" s="4">
        <v>-5225.1027445463214</v>
      </c>
      <c r="AO14" s="4">
        <v>-5310.405479465584</v>
      </c>
      <c r="AP14" s="4">
        <v>-5395.9003602882876</v>
      </c>
      <c r="AQ14" s="4">
        <v>-5481.580042339383</v>
      </c>
    </row>
    <row r="15" spans="1:43" x14ac:dyDescent="0.2">
      <c r="C15" s="4">
        <v>40</v>
      </c>
      <c r="D15" s="4">
        <v>820</v>
      </c>
      <c r="E15" s="4">
        <v>835.97979746446799</v>
      </c>
      <c r="F15" s="4">
        <v>824.97422611928687</v>
      </c>
      <c r="G15" s="4">
        <v>800</v>
      </c>
      <c r="H15" s="4">
        <v>766.09903369994026</v>
      </c>
      <c r="I15" s="4">
        <v>725.85712797929045</v>
      </c>
      <c r="J15" s="4">
        <v>680.81036709808359</v>
      </c>
      <c r="K15" s="4">
        <v>631.95959492893326</v>
      </c>
      <c r="L15" s="4">
        <v>580</v>
      </c>
      <c r="M15" s="4">
        <v>525.43774484714413</v>
      </c>
      <c r="N15" s="4">
        <v>468.65494129951185</v>
      </c>
      <c r="O15" s="4">
        <v>409.9484522385701</v>
      </c>
      <c r="P15" s="4">
        <v>349.55435712991584</v>
      </c>
      <c r="Q15" s="4">
        <v>287.66406829670268</v>
      </c>
      <c r="R15" s="4">
        <v>224.43533693807785</v>
      </c>
      <c r="S15" s="4">
        <v>160</v>
      </c>
      <c r="T15" s="4">
        <v>94.469575172945952</v>
      </c>
      <c r="U15" s="4">
        <v>27.939392393398521</v>
      </c>
      <c r="V15" s="4">
        <v>-39.508295808612274</v>
      </c>
      <c r="W15" s="4">
        <v>-107.80193260011947</v>
      </c>
      <c r="X15" s="4">
        <v>-176.87880541236518</v>
      </c>
      <c r="Y15" s="4">
        <v>-246.68358724944119</v>
      </c>
      <c r="Z15" s="4">
        <v>-317.16717347243957</v>
      </c>
      <c r="AA15" s="4">
        <v>-388.28574404142182</v>
      </c>
      <c r="AB15" s="4">
        <v>-460</v>
      </c>
      <c r="AC15" s="4">
        <v>-532.27453619401967</v>
      </c>
      <c r="AD15" s="4">
        <v>-605.07732164214121</v>
      </c>
      <c r="AE15" s="4">
        <v>-678.37926580383191</v>
      </c>
      <c r="AF15" s="4">
        <v>-752.15385400233754</v>
      </c>
      <c r="AG15" s="4">
        <v>-826.37683898553405</v>
      </c>
      <c r="AH15" s="4">
        <v>-901.02597840759336</v>
      </c>
      <c r="AI15" s="4">
        <v>-976.08081014213349</v>
      </c>
      <c r="AJ15" s="4">
        <v>-1051.5224589693498</v>
      </c>
      <c r="AK15" s="4">
        <v>-1127.3334694433152</v>
      </c>
      <c r="AL15" s="4">
        <v>-1203.4976607321087</v>
      </c>
      <c r="AM15" s="4">
        <v>-1280</v>
      </c>
      <c r="AN15" s="4">
        <v>-1356.8264915164973</v>
      </c>
      <c r="AO15" s="4">
        <v>-1433.9640791686852</v>
      </c>
      <c r="AP15" s="4">
        <v>-1511.4005604484464</v>
      </c>
      <c r="AQ15" s="4">
        <v>-1589.1245103057081</v>
      </c>
    </row>
    <row r="16" spans="1:43" x14ac:dyDescent="0.2">
      <c r="C16" s="4">
        <v>50</v>
      </c>
      <c r="D16" s="4">
        <v>3580</v>
      </c>
      <c r="E16" s="4">
        <v>3637.4011537017759</v>
      </c>
      <c r="F16" s="4">
        <v>3658.1793068761735</v>
      </c>
      <c r="G16" s="4">
        <v>3660</v>
      </c>
      <c r="H16" s="4">
        <v>3649.7058314499209</v>
      </c>
      <c r="I16" s="4">
        <v>3630.8061022576094</v>
      </c>
      <c r="J16" s="4">
        <v>3605.3854982045432</v>
      </c>
      <c r="K16" s="4">
        <v>3574.8023074035509</v>
      </c>
      <c r="L16" s="4">
        <v>3540</v>
      </c>
      <c r="M16" s="4">
        <v>3501.6655108639843</v>
      </c>
      <c r="N16" s="4">
        <v>3460.3174203350536</v>
      </c>
      <c r="O16" s="4">
        <v>3416.3586137523471</v>
      </c>
      <c r="P16" s="4">
        <v>3370.1094846763144</v>
      </c>
      <c r="Q16" s="4">
        <v>3321.8298069740977</v>
      </c>
      <c r="R16" s="4">
        <v>3271.7336715588181</v>
      </c>
      <c r="S16" s="4">
        <v>3220</v>
      </c>
      <c r="T16" s="4">
        <v>3166.7801377347105</v>
      </c>
      <c r="U16" s="4">
        <v>3112.2034611053296</v>
      </c>
      <c r="V16" s="4">
        <v>3056.3815985454576</v>
      </c>
      <c r="W16" s="4">
        <v>2999.4116628998381</v>
      </c>
      <c r="X16" s="4">
        <v>2941.3787640832197</v>
      </c>
      <c r="Y16" s="4">
        <v>2882.3579887329033</v>
      </c>
      <c r="Z16" s="4">
        <v>2822.415978858834</v>
      </c>
      <c r="AA16" s="4">
        <v>2761.612204515216</v>
      </c>
      <c r="AB16" s="4">
        <v>2700</v>
      </c>
      <c r="AC16" s="4">
        <v>2637.627415165256</v>
      </c>
      <c r="AD16" s="4">
        <v>2574.5379206285206</v>
      </c>
      <c r="AE16" s="4">
        <v>2510.7709964090873</v>
      </c>
      <c r="AF16" s="4">
        <v>2446.3626267111122</v>
      </c>
      <c r="AG16" s="4">
        <v>2381.3457185196294</v>
      </c>
      <c r="AH16" s="4">
        <v>2315.7504578754088</v>
      </c>
      <c r="AI16" s="4">
        <v>2249.6046148071055</v>
      </c>
      <c r="AJ16" s="4">
        <v>2182.9338056844535</v>
      </c>
      <c r="AK16" s="4">
        <v>2115.7617200412124</v>
      </c>
      <c r="AL16" s="4">
        <v>2048.1103175778544</v>
      </c>
      <c r="AM16" s="4">
        <v>1980</v>
      </c>
      <c r="AN16" s="4">
        <v>1911.4497615133232</v>
      </c>
      <c r="AO16" s="4">
        <v>1842.47732112821</v>
      </c>
      <c r="AP16" s="4">
        <v>1773.099239391393</v>
      </c>
      <c r="AQ16" s="4">
        <v>1703.3310217279686</v>
      </c>
    </row>
    <row r="17" spans="3:43" x14ac:dyDescent="0.2">
      <c r="C17" s="4">
        <v>60</v>
      </c>
      <c r="D17" s="4">
        <v>5740</v>
      </c>
      <c r="E17" s="4">
        <v>5838.8225099390875</v>
      </c>
      <c r="F17" s="4">
        <v>5891.384387633062</v>
      </c>
      <c r="G17" s="4">
        <v>5920</v>
      </c>
      <c r="H17" s="4">
        <v>5933.3126291998979</v>
      </c>
      <c r="I17" s="4">
        <v>5935.7550765359247</v>
      </c>
      <c r="J17" s="4">
        <v>5929.9606293110028</v>
      </c>
      <c r="K17" s="4">
        <v>5917.6450198781704</v>
      </c>
      <c r="L17" s="4">
        <v>5900</v>
      </c>
      <c r="M17" s="4">
        <v>5877.8932768808208</v>
      </c>
      <c r="N17" s="4">
        <v>5851.9798993705917</v>
      </c>
      <c r="O17" s="4">
        <v>5822.7687752661204</v>
      </c>
      <c r="P17" s="4">
        <v>5790.6646122227166</v>
      </c>
      <c r="Q17" s="4">
        <v>5755.9955456514926</v>
      </c>
      <c r="R17" s="4">
        <v>5719.0320061795583</v>
      </c>
      <c r="S17" s="4">
        <v>5680</v>
      </c>
      <c r="T17" s="4">
        <v>5639.090700296475</v>
      </c>
      <c r="U17" s="4">
        <v>5596.4675298172569</v>
      </c>
      <c r="V17" s="4">
        <v>5552.2714928995238</v>
      </c>
      <c r="W17" s="4">
        <v>5506.6252583997957</v>
      </c>
      <c r="X17" s="4">
        <v>5459.6363335788046</v>
      </c>
      <c r="Y17" s="4">
        <v>5411.3995647152442</v>
      </c>
      <c r="Z17" s="4">
        <v>5361.9991311901076</v>
      </c>
      <c r="AA17" s="4">
        <v>5311.5101530718503</v>
      </c>
      <c r="AB17" s="4">
        <v>5260</v>
      </c>
      <c r="AC17" s="4">
        <v>5207.5293665245354</v>
      </c>
      <c r="AD17" s="4">
        <v>5154.1531628991825</v>
      </c>
      <c r="AE17" s="4">
        <v>5099.9212586220065</v>
      </c>
      <c r="AF17" s="4">
        <v>5044.8791074245619</v>
      </c>
      <c r="AG17" s="4">
        <v>4989.0682760247964</v>
      </c>
      <c r="AH17" s="4">
        <v>4932.5268941584109</v>
      </c>
      <c r="AI17" s="4">
        <v>4875.2900397563408</v>
      </c>
      <c r="AJ17" s="4">
        <v>4817.3900703382569</v>
      </c>
      <c r="AK17" s="4">
        <v>4758.8569095257435</v>
      </c>
      <c r="AL17" s="4">
        <v>4699.7182958878175</v>
      </c>
      <c r="AM17" s="4">
        <v>4640</v>
      </c>
      <c r="AN17" s="4">
        <v>4579.7260145431437</v>
      </c>
      <c r="AO17" s="4">
        <v>4518.9187214251087</v>
      </c>
      <c r="AP17" s="4">
        <v>4457.5990392312324</v>
      </c>
      <c r="AQ17" s="4">
        <v>4395.7865537616453</v>
      </c>
    </row>
    <row r="18" spans="3:43" x14ac:dyDescent="0.2">
      <c r="C18" s="4">
        <v>70</v>
      </c>
      <c r="D18" s="4">
        <v>7300</v>
      </c>
      <c r="E18" s="4">
        <v>7440.2438661763954</v>
      </c>
      <c r="F18" s="4">
        <v>7524.5894683899505</v>
      </c>
      <c r="G18" s="4">
        <v>7580</v>
      </c>
      <c r="H18" s="4">
        <v>7616.9194269498785</v>
      </c>
      <c r="I18" s="4">
        <v>7640.7040508142436</v>
      </c>
      <c r="J18" s="4">
        <v>7654.5357604174624</v>
      </c>
      <c r="K18" s="4">
        <v>7660.4877323527899</v>
      </c>
      <c r="L18" s="4">
        <v>7660</v>
      </c>
      <c r="M18" s="4">
        <v>7654.1210428976574</v>
      </c>
      <c r="N18" s="4">
        <v>7643.6423784061299</v>
      </c>
      <c r="O18" s="4">
        <v>7629.1789367798974</v>
      </c>
      <c r="P18" s="4">
        <v>7611.2197397691152</v>
      </c>
      <c r="Q18" s="4">
        <v>7590.1612843288876</v>
      </c>
      <c r="R18" s="4">
        <v>7566.3303408003021</v>
      </c>
      <c r="S18" s="4">
        <v>7540</v>
      </c>
      <c r="T18" s="4">
        <v>7511.4012628582432</v>
      </c>
      <c r="U18" s="4">
        <v>7480.7315985291843</v>
      </c>
      <c r="V18" s="4">
        <v>7448.16138725359</v>
      </c>
      <c r="W18" s="4">
        <v>7413.8388538997533</v>
      </c>
      <c r="X18" s="4">
        <v>7377.8939030743859</v>
      </c>
      <c r="Y18" s="4">
        <v>7340.4411406975887</v>
      </c>
      <c r="Z18" s="4">
        <v>7301.5822835213776</v>
      </c>
      <c r="AA18" s="4">
        <v>7261.4081016284845</v>
      </c>
      <c r="AB18" s="4">
        <v>7220</v>
      </c>
      <c r="AC18" s="4">
        <v>7177.4313178838147</v>
      </c>
      <c r="AD18" s="4">
        <v>7133.7684051698479</v>
      </c>
      <c r="AE18" s="4">
        <v>7089.071520834922</v>
      </c>
      <c r="AF18" s="4">
        <v>7043.3955881380116</v>
      </c>
      <c r="AG18" s="4">
        <v>6996.7908335299635</v>
      </c>
      <c r="AH18" s="4">
        <v>6949.303330441413</v>
      </c>
      <c r="AI18" s="4">
        <v>6900.9754647055797</v>
      </c>
      <c r="AJ18" s="4">
        <v>6851.8463349920603</v>
      </c>
      <c r="AK18" s="4">
        <v>6801.9520990102747</v>
      </c>
      <c r="AL18" s="4">
        <v>6751.3262741977769</v>
      </c>
      <c r="AM18" s="4">
        <v>6700</v>
      </c>
      <c r="AN18" s="4">
        <v>6648.0022675729679</v>
      </c>
      <c r="AO18" s="4">
        <v>6595.3601217220075</v>
      </c>
      <c r="AP18" s="4">
        <v>6542.0988390710718</v>
      </c>
      <c r="AQ18" s="4">
        <v>6488.2420857953184</v>
      </c>
    </row>
    <row r="19" spans="3:43" x14ac:dyDescent="0.2">
      <c r="C19" s="4">
        <v>80</v>
      </c>
      <c r="D19" s="4">
        <v>8260</v>
      </c>
      <c r="E19" s="4">
        <v>8441.6652224137069</v>
      </c>
      <c r="F19" s="4">
        <v>8557.7945491468381</v>
      </c>
      <c r="G19" s="4">
        <v>8640</v>
      </c>
      <c r="H19" s="4">
        <v>8700.5262246998554</v>
      </c>
      <c r="I19" s="4">
        <v>8745.6530250925625</v>
      </c>
      <c r="J19" s="4">
        <v>8779.1108915239183</v>
      </c>
      <c r="K19" s="4">
        <v>8803.3304448274102</v>
      </c>
      <c r="L19" s="4">
        <v>8820</v>
      </c>
      <c r="M19" s="4">
        <v>8830.3488089144939</v>
      </c>
      <c r="N19" s="4">
        <v>8835.3048574416716</v>
      </c>
      <c r="O19" s="4">
        <v>8835.5890982936708</v>
      </c>
      <c r="P19" s="4">
        <v>8831.7748673155147</v>
      </c>
      <c r="Q19" s="4">
        <v>8824.327023006279</v>
      </c>
      <c r="R19" s="4">
        <v>8813.6286754210414</v>
      </c>
      <c r="S19" s="4">
        <v>8800</v>
      </c>
      <c r="T19" s="4">
        <v>8783.7118254200068</v>
      </c>
      <c r="U19" s="4">
        <v>8764.9956672411117</v>
      </c>
      <c r="V19" s="4">
        <v>8744.0512816076589</v>
      </c>
      <c r="W19" s="4">
        <v>8721.0524493997109</v>
      </c>
      <c r="X19" s="4">
        <v>8696.1514725699708</v>
      </c>
      <c r="Y19" s="4">
        <v>8669.4827166799296</v>
      </c>
      <c r="Z19" s="4">
        <v>8641.1654358526503</v>
      </c>
      <c r="AA19" s="4">
        <v>8611.3060501851214</v>
      </c>
      <c r="AB19" s="4">
        <v>8580</v>
      </c>
      <c r="AC19" s="4">
        <v>8547.333269243094</v>
      </c>
      <c r="AD19" s="4">
        <v>8513.3836474405107</v>
      </c>
      <c r="AE19" s="4">
        <v>8478.2217830478403</v>
      </c>
      <c r="AF19" s="4">
        <v>8441.9120688514649</v>
      </c>
      <c r="AG19" s="4">
        <v>8404.5133910351306</v>
      </c>
      <c r="AH19" s="4">
        <v>8366.0797667244151</v>
      </c>
      <c r="AI19" s="4">
        <v>8326.6608896548187</v>
      </c>
      <c r="AJ19" s="4">
        <v>8286.3025996458637</v>
      </c>
      <c r="AK19" s="4">
        <v>8245.0472884948031</v>
      </c>
      <c r="AL19" s="4">
        <v>8202.9342525077409</v>
      </c>
      <c r="AM19" s="4">
        <v>8160</v>
      </c>
      <c r="AN19" s="4">
        <v>8116.2785206027884</v>
      </c>
      <c r="AO19" s="4">
        <v>8071.8015220189063</v>
      </c>
      <c r="AP19" s="4">
        <v>8026.5986389109148</v>
      </c>
      <c r="AQ19" s="4">
        <v>7980.6976178289951</v>
      </c>
    </row>
    <row r="20" spans="3:43" x14ac:dyDescent="0.2">
      <c r="C20" s="4">
        <v>90</v>
      </c>
      <c r="D20" s="4">
        <v>8620</v>
      </c>
      <c r="E20" s="4">
        <v>8843.0865786510149</v>
      </c>
      <c r="F20" s="4">
        <v>8990.999629903723</v>
      </c>
      <c r="G20" s="4">
        <v>9100</v>
      </c>
      <c r="H20" s="4">
        <v>9184.1330224498361</v>
      </c>
      <c r="I20" s="4">
        <v>9250.6019993708778</v>
      </c>
      <c r="J20" s="4">
        <v>9303.6860226303779</v>
      </c>
      <c r="K20" s="4">
        <v>9346.1731573020297</v>
      </c>
      <c r="L20" s="4">
        <v>9380</v>
      </c>
      <c r="M20" s="4">
        <v>9406.5765749313341</v>
      </c>
      <c r="N20" s="4">
        <v>9426.9673364772134</v>
      </c>
      <c r="O20" s="4">
        <v>9441.9992598074477</v>
      </c>
      <c r="P20" s="4">
        <v>9452.3299948619133</v>
      </c>
      <c r="Q20" s="4">
        <v>9458.492761683674</v>
      </c>
      <c r="R20" s="4">
        <v>9460.9270100417853</v>
      </c>
      <c r="S20" s="4">
        <v>9460</v>
      </c>
      <c r="T20" s="4">
        <v>9456.022387981775</v>
      </c>
      <c r="U20" s="4">
        <v>9449.2597359530428</v>
      </c>
      <c r="V20" s="4">
        <v>9439.9411759617251</v>
      </c>
      <c r="W20" s="4">
        <v>9428.2660448996721</v>
      </c>
      <c r="X20" s="4">
        <v>9414.4090420655557</v>
      </c>
      <c r="Y20" s="4">
        <v>9398.5242926622741</v>
      </c>
      <c r="Z20" s="4">
        <v>9380.7485881839239</v>
      </c>
      <c r="AA20" s="4">
        <v>9361.2039987417556</v>
      </c>
      <c r="AB20" s="4">
        <v>9340</v>
      </c>
      <c r="AC20" s="4">
        <v>9317.2352206023697</v>
      </c>
      <c r="AD20" s="4">
        <v>9292.9988897111725</v>
      </c>
      <c r="AE20" s="4">
        <v>9267.3720452607595</v>
      </c>
      <c r="AF20" s="4">
        <v>9240.4285495649146</v>
      </c>
      <c r="AG20" s="4">
        <v>9212.235948540294</v>
      </c>
      <c r="AH20" s="4">
        <v>9182.8562030074136</v>
      </c>
      <c r="AI20" s="4">
        <v>9152.3463146040576</v>
      </c>
      <c r="AJ20" s="4">
        <v>9120.7588642996634</v>
      </c>
      <c r="AK20" s="4">
        <v>9088.1424779793342</v>
      </c>
      <c r="AL20" s="4">
        <v>9054.5422308177003</v>
      </c>
      <c r="AM20" s="4">
        <v>9020</v>
      </c>
      <c r="AN20" s="4">
        <v>8984.5547736326116</v>
      </c>
      <c r="AO20" s="4">
        <v>8948.2429223158015</v>
      </c>
      <c r="AP20" s="4">
        <v>8911.0984387507542</v>
      </c>
      <c r="AQ20" s="4">
        <v>8873.1531498626719</v>
      </c>
    </row>
    <row r="21" spans="3:43" x14ac:dyDescent="0.2">
      <c r="C21" s="4">
        <v>100</v>
      </c>
      <c r="D21" s="4">
        <v>8380</v>
      </c>
      <c r="E21" s="4">
        <v>8644.5079348883228</v>
      </c>
      <c r="F21" s="4">
        <v>8824.2047106606115</v>
      </c>
      <c r="G21" s="4">
        <v>8960</v>
      </c>
      <c r="H21" s="4">
        <v>9067.739820199813</v>
      </c>
      <c r="I21" s="4">
        <v>9155.5509736491967</v>
      </c>
      <c r="J21" s="4">
        <v>9228.2611537368375</v>
      </c>
      <c r="K21" s="4">
        <v>9289.0158697766492</v>
      </c>
      <c r="L21" s="4">
        <v>9340</v>
      </c>
      <c r="M21" s="4">
        <v>9382.8043409481743</v>
      </c>
      <c r="N21" s="4">
        <v>9418.6298155127515</v>
      </c>
      <c r="O21" s="4">
        <v>9448.4094213212211</v>
      </c>
      <c r="P21" s="4">
        <v>9472.8851224083119</v>
      </c>
      <c r="Q21" s="4">
        <v>9492.6585003610689</v>
      </c>
      <c r="R21" s="4">
        <v>9508.2253446625255</v>
      </c>
      <c r="S21" s="4">
        <v>9520</v>
      </c>
      <c r="T21" s="4">
        <v>9528.3329505435395</v>
      </c>
      <c r="U21" s="4">
        <v>9533.5238046649702</v>
      </c>
      <c r="V21" s="25">
        <v>9535.8310703157913</v>
      </c>
      <c r="W21" s="4">
        <v>9535.4796403996297</v>
      </c>
      <c r="X21" s="4">
        <v>9532.6666115611406</v>
      </c>
      <c r="Y21" s="4">
        <v>9527.5658686446186</v>
      </c>
      <c r="Z21" s="4">
        <v>9520.331740515192</v>
      </c>
      <c r="AA21" s="4">
        <v>9511.1019472983899</v>
      </c>
      <c r="AB21" s="4">
        <v>9500</v>
      </c>
      <c r="AC21" s="4">
        <v>9487.1371719616509</v>
      </c>
      <c r="AD21" s="4">
        <v>9472.614131981838</v>
      </c>
      <c r="AE21" s="4">
        <v>9456.5223074736787</v>
      </c>
      <c r="AF21" s="4">
        <v>9438.9450302783644</v>
      </c>
      <c r="AG21" s="4">
        <v>9419.9585060454629</v>
      </c>
      <c r="AH21" s="4">
        <v>9399.6326392904193</v>
      </c>
      <c r="AI21" s="4">
        <v>9378.0317395532966</v>
      </c>
      <c r="AJ21" s="4">
        <v>9355.2151289534668</v>
      </c>
      <c r="AK21" s="4">
        <v>9331.2376674638654</v>
      </c>
      <c r="AL21" s="4">
        <v>9306.1502091276634</v>
      </c>
      <c r="AM21" s="4">
        <v>9280</v>
      </c>
      <c r="AN21" s="4">
        <v>9252.8310266624321</v>
      </c>
      <c r="AO21" s="4">
        <v>9224.6843226127003</v>
      </c>
      <c r="AP21" s="4">
        <v>9195.5982385905936</v>
      </c>
      <c r="AQ21" s="4">
        <v>9165.6086818963486</v>
      </c>
    </row>
    <row r="22" spans="3:43" x14ac:dyDescent="0.2">
      <c r="C22" s="4">
        <v>110</v>
      </c>
      <c r="D22" s="4">
        <v>7540</v>
      </c>
      <c r="E22" s="4">
        <v>7845.9292911256343</v>
      </c>
      <c r="F22" s="4">
        <v>8057.4097914174972</v>
      </c>
      <c r="G22" s="4">
        <v>8220</v>
      </c>
      <c r="H22" s="4">
        <v>8351.3466179497937</v>
      </c>
      <c r="I22" s="4">
        <v>8460.499947927512</v>
      </c>
      <c r="J22" s="4">
        <v>8552.8362848432971</v>
      </c>
      <c r="K22" s="4">
        <v>8631.8585822512687</v>
      </c>
      <c r="L22" s="4">
        <v>8700</v>
      </c>
      <c r="M22" s="4">
        <v>8759.0321069650108</v>
      </c>
      <c r="N22" s="4">
        <v>8810.2922945482896</v>
      </c>
      <c r="O22" s="4">
        <v>8854.8195828349981</v>
      </c>
      <c r="P22" s="4">
        <v>8893.4402499547105</v>
      </c>
      <c r="Q22" s="4">
        <v>8926.8242390384639</v>
      </c>
      <c r="R22" s="4">
        <v>8955.5236792832657</v>
      </c>
      <c r="S22" s="4">
        <v>8980</v>
      </c>
      <c r="T22" s="4">
        <v>9000.643513105304</v>
      </c>
      <c r="U22" s="4">
        <v>9017.7878733768976</v>
      </c>
      <c r="V22" s="4">
        <v>9031.7209646698611</v>
      </c>
      <c r="W22" s="4">
        <v>9042.6932358995873</v>
      </c>
      <c r="X22" s="4">
        <v>9050.9241810567255</v>
      </c>
      <c r="Y22" s="4">
        <v>9056.6074446269595</v>
      </c>
      <c r="Z22" s="4">
        <v>9059.9148928464656</v>
      </c>
      <c r="AA22" s="4">
        <v>9060.9998958550277</v>
      </c>
      <c r="AB22" s="4">
        <v>9060</v>
      </c>
      <c r="AC22" s="4">
        <v>9057.0391233209266</v>
      </c>
      <c r="AD22" s="4">
        <v>9052.2293742524998</v>
      </c>
      <c r="AE22" s="4">
        <v>9045.6725696865979</v>
      </c>
      <c r="AF22" s="4">
        <v>9037.4615109918141</v>
      </c>
      <c r="AG22" s="4">
        <v>9027.6810635506263</v>
      </c>
      <c r="AH22" s="4">
        <v>9016.4090755734214</v>
      </c>
      <c r="AI22" s="4">
        <v>9003.7171645025319</v>
      </c>
      <c r="AJ22" s="4">
        <v>8989.6713936072665</v>
      </c>
      <c r="AK22" s="4">
        <v>8974.3328569483929</v>
      </c>
      <c r="AL22" s="4">
        <v>8957.7581874376265</v>
      </c>
      <c r="AM22" s="4">
        <v>8940</v>
      </c>
      <c r="AN22" s="4">
        <v>8921.1072796922526</v>
      </c>
      <c r="AO22" s="4">
        <v>8901.1257229095991</v>
      </c>
      <c r="AP22" s="4">
        <v>8880.0980384304294</v>
      </c>
      <c r="AQ22" s="4">
        <v>8858.0642139300253</v>
      </c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FE22-5912-4CE4-AE6E-4B6C0C02F493}">
  <sheetPr codeName="Sheet13"/>
  <dimension ref="B4:L19"/>
  <sheetViews>
    <sheetView workbookViewId="0">
      <selection activeCell="B19" sqref="B19:B20"/>
    </sheetView>
  </sheetViews>
  <sheetFormatPr defaultRowHeight="15" x14ac:dyDescent="0.25"/>
  <cols>
    <col min="1" max="1" width="9.140625" style="2"/>
    <col min="2" max="2" width="13.7109375" style="2" customWidth="1"/>
    <col min="3" max="3" width="12.140625" style="2" customWidth="1"/>
    <col min="4" max="4" width="13" style="2" customWidth="1"/>
    <col min="5" max="5" width="11.42578125" style="2" customWidth="1"/>
    <col min="6" max="6" width="9.140625" style="2"/>
    <col min="7" max="7" width="13" style="2" customWidth="1"/>
    <col min="8" max="16384" width="9.140625" style="2"/>
  </cols>
  <sheetData>
    <row r="4" spans="2:12" x14ac:dyDescent="0.25">
      <c r="B4" s="26"/>
      <c r="C4" s="26"/>
      <c r="D4" s="26"/>
      <c r="E4" s="26"/>
      <c r="F4" s="26"/>
      <c r="G4" s="26"/>
      <c r="H4" s="26" t="s">
        <v>101</v>
      </c>
      <c r="I4" s="26">
        <v>2000</v>
      </c>
      <c r="J4" s="26"/>
      <c r="K4" s="26"/>
      <c r="L4" s="26"/>
    </row>
    <row r="5" spans="2:12" x14ac:dyDescent="0.25">
      <c r="B5" s="26"/>
      <c r="C5" s="26"/>
      <c r="D5" s="26"/>
      <c r="E5" s="26"/>
      <c r="F5" s="26"/>
      <c r="G5" s="26"/>
      <c r="H5" s="26" t="s">
        <v>102</v>
      </c>
      <c r="I5" s="26">
        <v>0.8</v>
      </c>
      <c r="J5" s="26"/>
      <c r="K5" s="26"/>
      <c r="L5" s="26"/>
    </row>
    <row r="6" spans="2:12" x14ac:dyDescent="0.2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2:12" x14ac:dyDescent="0.2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2:12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2:12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2:12" x14ac:dyDescent="0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2" ht="30" x14ac:dyDescent="0.25">
      <c r="B11" s="26" t="s">
        <v>103</v>
      </c>
      <c r="C11" s="27" t="s">
        <v>104</v>
      </c>
      <c r="D11" s="27" t="s">
        <v>105</v>
      </c>
      <c r="E11" s="27" t="s">
        <v>106</v>
      </c>
      <c r="F11" s="26"/>
      <c r="G11" s="26"/>
      <c r="H11" s="26"/>
      <c r="I11" s="26"/>
      <c r="J11" s="26"/>
      <c r="K11" s="26"/>
      <c r="L11" s="26"/>
    </row>
    <row r="12" spans="2:12" x14ac:dyDescent="0.25">
      <c r="B12" s="26">
        <v>1</v>
      </c>
      <c r="C12" s="26">
        <v>5000</v>
      </c>
      <c r="D12" s="26">
        <f>$I$4</f>
        <v>2000</v>
      </c>
      <c r="E12" s="26">
        <f>$I$5*C12+D12</f>
        <v>6000</v>
      </c>
      <c r="F12" s="26"/>
      <c r="G12" s="26"/>
      <c r="H12" s="26">
        <f>E17</f>
        <v>8689.2800000000007</v>
      </c>
      <c r="I12" s="26">
        <v>0.6</v>
      </c>
      <c r="J12" s="26">
        <v>0.7</v>
      </c>
      <c r="K12" s="26">
        <v>0.8</v>
      </c>
      <c r="L12" s="26">
        <v>0.9</v>
      </c>
    </row>
    <row r="13" spans="2:12" x14ac:dyDescent="0.25">
      <c r="B13" s="26">
        <v>2</v>
      </c>
      <c r="C13" s="27">
        <f>E12</f>
        <v>6000</v>
      </c>
      <c r="D13" s="26">
        <f t="shared" ref="D13:D17" si="0">$I$4</f>
        <v>2000</v>
      </c>
      <c r="E13" s="26">
        <f t="shared" ref="E13:E17" si="1">$I$5*C13+D13</f>
        <v>6800</v>
      </c>
      <c r="F13" s="27"/>
      <c r="G13" s="26"/>
      <c r="H13" s="26">
        <v>1000</v>
      </c>
      <c r="I13" s="26">
        <f t="dataTable" ref="I13:L17" dt2D="1" dtr="1" r1="I5" r2="I4"/>
        <v>2616.6399999999994</v>
      </c>
      <c r="J13" s="26">
        <v>3529.4149999999995</v>
      </c>
      <c r="K13" s="26">
        <v>5000</v>
      </c>
      <c r="L13" s="26">
        <v>7342.7950000000001</v>
      </c>
    </row>
    <row r="14" spans="2:12" x14ac:dyDescent="0.25">
      <c r="B14" s="26">
        <v>3</v>
      </c>
      <c r="C14" s="27">
        <f t="shared" ref="C14:C17" si="2">E13</f>
        <v>6800</v>
      </c>
      <c r="D14" s="26">
        <f t="shared" si="0"/>
        <v>2000</v>
      </c>
      <c r="E14" s="26">
        <f t="shared" si="1"/>
        <v>7440</v>
      </c>
      <c r="F14" s="26"/>
      <c r="G14" s="26" t="s">
        <v>107</v>
      </c>
      <c r="H14" s="26">
        <v>2000</v>
      </c>
      <c r="I14" s="26">
        <v>5000</v>
      </c>
      <c r="J14" s="26">
        <v>6470.5849999999991</v>
      </c>
      <c r="K14" s="26">
        <v>8689.2800000000007</v>
      </c>
      <c r="L14" s="26">
        <v>12028.385</v>
      </c>
    </row>
    <row r="15" spans="2:12" x14ac:dyDescent="0.25">
      <c r="B15" s="26">
        <v>4</v>
      </c>
      <c r="C15" s="27">
        <f t="shared" si="2"/>
        <v>7440</v>
      </c>
      <c r="D15" s="26">
        <f t="shared" si="0"/>
        <v>2000</v>
      </c>
      <c r="E15" s="26">
        <f t="shared" si="1"/>
        <v>7952</v>
      </c>
      <c r="F15" s="26"/>
      <c r="G15" s="26" t="s">
        <v>108</v>
      </c>
      <c r="H15" s="26">
        <v>3000</v>
      </c>
      <c r="I15" s="26">
        <v>7383.36</v>
      </c>
      <c r="J15" s="26">
        <v>9411.7549999999992</v>
      </c>
      <c r="K15" s="26">
        <v>12378.560000000001</v>
      </c>
      <c r="L15" s="26">
        <v>16713.974999999999</v>
      </c>
    </row>
    <row r="16" spans="2:12" x14ac:dyDescent="0.25">
      <c r="B16" s="26">
        <v>5</v>
      </c>
      <c r="C16" s="27">
        <f t="shared" si="2"/>
        <v>7952</v>
      </c>
      <c r="D16" s="26">
        <f t="shared" si="0"/>
        <v>2000</v>
      </c>
      <c r="E16" s="26">
        <f t="shared" si="1"/>
        <v>8361.6</v>
      </c>
      <c r="F16" s="26"/>
      <c r="G16" s="26"/>
      <c r="H16" s="26">
        <v>4000</v>
      </c>
      <c r="I16" s="26">
        <v>9766.7200000000012</v>
      </c>
      <c r="J16" s="26">
        <v>12352.924999999999</v>
      </c>
      <c r="K16" s="26">
        <v>16067.840000000002</v>
      </c>
      <c r="L16" s="26">
        <v>21399.564999999999</v>
      </c>
    </row>
    <row r="17" spans="2:12" x14ac:dyDescent="0.25">
      <c r="B17" s="26">
        <v>6</v>
      </c>
      <c r="C17" s="27">
        <f t="shared" si="2"/>
        <v>8361.6</v>
      </c>
      <c r="D17" s="26">
        <f t="shared" si="0"/>
        <v>2000</v>
      </c>
      <c r="E17" s="28">
        <f t="shared" si="1"/>
        <v>8689.2800000000007</v>
      </c>
      <c r="F17" s="26"/>
      <c r="G17" s="26"/>
      <c r="H17" s="26">
        <v>5000</v>
      </c>
      <c r="I17" s="26">
        <v>12150.079999999998</v>
      </c>
      <c r="J17" s="26">
        <v>15294.094999999998</v>
      </c>
      <c r="K17" s="26">
        <v>19757.120000000003</v>
      </c>
      <c r="L17" s="26">
        <v>26085.155000000002</v>
      </c>
    </row>
    <row r="18" spans="2:12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2:12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4869-ED73-4A8F-90A8-641A576BD423}">
  <sheetPr codeName="Sheet14"/>
  <dimension ref="B2:J22"/>
  <sheetViews>
    <sheetView topLeftCell="A5" zoomScale="140" zoomScaleNormal="140" workbookViewId="0">
      <selection activeCell="B10" sqref="B10"/>
    </sheetView>
  </sheetViews>
  <sheetFormatPr defaultRowHeight="15" x14ac:dyDescent="0.25"/>
  <cols>
    <col min="1" max="2" width="9.140625" style="21"/>
    <col min="3" max="3" width="14" style="21" customWidth="1"/>
    <col min="4" max="5" width="9.140625" style="21"/>
    <col min="6" max="7" width="13.140625" style="21" customWidth="1"/>
    <col min="8" max="16384" width="9.140625" style="21"/>
  </cols>
  <sheetData>
    <row r="2" spans="2:10" x14ac:dyDescent="0.25">
      <c r="B2" s="21" t="s">
        <v>109</v>
      </c>
    </row>
    <row r="3" spans="2:10" x14ac:dyDescent="0.25">
      <c r="B3" s="21" t="s">
        <v>110</v>
      </c>
    </row>
    <row r="4" spans="2:10" x14ac:dyDescent="0.25">
      <c r="B4" s="21" t="s">
        <v>111</v>
      </c>
    </row>
    <row r="9" spans="2:10" x14ac:dyDescent="0.25">
      <c r="J9" s="21" t="s">
        <v>71</v>
      </c>
    </row>
    <row r="10" spans="2:10" x14ac:dyDescent="0.25">
      <c r="J10" s="21" t="s">
        <v>112</v>
      </c>
    </row>
    <row r="11" spans="2:10" x14ac:dyDescent="0.25">
      <c r="F11" s="21" t="s">
        <v>113</v>
      </c>
      <c r="G11" s="23">
        <v>2</v>
      </c>
    </row>
    <row r="12" spans="2:10" x14ac:dyDescent="0.25">
      <c r="C12" s="23">
        <f>G16</f>
        <v>5000</v>
      </c>
      <c r="F12" s="21" t="s">
        <v>114</v>
      </c>
      <c r="G12" s="23">
        <v>50</v>
      </c>
    </row>
    <row r="13" spans="2:10" x14ac:dyDescent="0.25">
      <c r="B13" s="21">
        <v>0.01</v>
      </c>
      <c r="C13" s="23">
        <f t="dataTable" ref="C13:C22" dt2D="0" dtr="0" r1="G14"/>
        <v>-15000</v>
      </c>
      <c r="F13" s="21" t="s">
        <v>115</v>
      </c>
      <c r="G13" s="21">
        <v>10000</v>
      </c>
    </row>
    <row r="14" spans="2:10" x14ac:dyDescent="0.25">
      <c r="B14" s="21">
        <v>0.02</v>
      </c>
      <c r="C14" s="23">
        <v>-10000</v>
      </c>
      <c r="F14" s="21" t="s">
        <v>116</v>
      </c>
      <c r="G14" s="21">
        <v>0.05</v>
      </c>
    </row>
    <row r="15" spans="2:10" x14ac:dyDescent="0.25">
      <c r="B15" s="21">
        <v>0.03</v>
      </c>
      <c r="C15" s="23">
        <v>-5000</v>
      </c>
    </row>
    <row r="16" spans="2:10" x14ac:dyDescent="0.25">
      <c r="B16" s="21">
        <v>0.04</v>
      </c>
      <c r="C16" s="23">
        <v>0</v>
      </c>
      <c r="F16" s="21" t="s">
        <v>117</v>
      </c>
      <c r="G16" s="23">
        <f>(numbermailed*responserate)*profitperorder-catcost*numbermailed</f>
        <v>5000</v>
      </c>
      <c r="H16" s="21" t="str">
        <f ca="1">_xlfn.FORMULATEXT(G16)</f>
        <v>=(numbermailed*responserate)*profitperorder-catcost*numbermailed</v>
      </c>
    </row>
    <row r="17" spans="2:3" x14ac:dyDescent="0.25">
      <c r="B17" s="21">
        <v>0.05</v>
      </c>
      <c r="C17" s="23">
        <v>5000</v>
      </c>
    </row>
    <row r="18" spans="2:3" x14ac:dyDescent="0.25">
      <c r="B18" s="21">
        <v>0.06</v>
      </c>
      <c r="C18" s="23">
        <v>10000</v>
      </c>
    </row>
    <row r="19" spans="2:3" x14ac:dyDescent="0.25">
      <c r="B19" s="21">
        <v>7.0000000000000007E-2</v>
      </c>
      <c r="C19" s="23">
        <v>15000.000000000007</v>
      </c>
    </row>
    <row r="20" spans="2:3" x14ac:dyDescent="0.25">
      <c r="B20" s="21">
        <v>0.08</v>
      </c>
      <c r="C20" s="23">
        <v>20000</v>
      </c>
    </row>
    <row r="21" spans="2:3" x14ac:dyDescent="0.25">
      <c r="B21" s="21">
        <v>0.09</v>
      </c>
      <c r="C21" s="23">
        <v>25000</v>
      </c>
    </row>
    <row r="22" spans="2:3" x14ac:dyDescent="0.25">
      <c r="B22" s="21">
        <v>0.1</v>
      </c>
      <c r="C22" s="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11E-AF2D-4C1E-83A1-24443C462C9D}">
  <sheetPr codeName="Sheet15"/>
  <dimension ref="C3:S22"/>
  <sheetViews>
    <sheetView topLeftCell="B1" workbookViewId="0">
      <selection activeCell="C18" sqref="C18"/>
    </sheetView>
  </sheetViews>
  <sheetFormatPr defaultRowHeight="15" x14ac:dyDescent="0.25"/>
  <cols>
    <col min="1" max="2" width="9.140625" style="2"/>
    <col min="3" max="3" width="17.5703125" style="2" customWidth="1"/>
    <col min="4" max="4" width="18.42578125" style="2" customWidth="1"/>
    <col min="5" max="6" width="9.140625" style="2"/>
    <col min="7" max="7" width="15" style="2" customWidth="1"/>
    <col min="8" max="16384" width="9.140625" style="2"/>
  </cols>
  <sheetData>
    <row r="3" spans="3:19" x14ac:dyDescent="0.25">
      <c r="C3" s="26"/>
      <c r="D3" s="26"/>
      <c r="E3" s="26"/>
      <c r="F3" s="26"/>
      <c r="G3" s="26"/>
      <c r="H3" s="26"/>
    </row>
    <row r="4" spans="3:19" x14ac:dyDescent="0.25">
      <c r="C4" s="26"/>
      <c r="D4" s="26"/>
      <c r="E4" s="26"/>
      <c r="F4" s="26"/>
      <c r="G4" s="26"/>
      <c r="H4" s="26"/>
    </row>
    <row r="5" spans="3:19" x14ac:dyDescent="0.25">
      <c r="C5" s="26"/>
      <c r="D5" s="26"/>
      <c r="E5" s="26"/>
      <c r="F5" s="26"/>
      <c r="G5" s="26"/>
      <c r="H5" s="26"/>
    </row>
    <row r="6" spans="3:19" x14ac:dyDescent="0.25">
      <c r="C6" s="26"/>
      <c r="D6" s="26"/>
      <c r="E6" s="26"/>
      <c r="F6" s="26"/>
      <c r="G6" s="26"/>
      <c r="H6" s="26"/>
    </row>
    <row r="7" spans="3:19" x14ac:dyDescent="0.25">
      <c r="C7" s="26"/>
      <c r="D7" s="26"/>
      <c r="E7" s="26"/>
      <c r="F7" s="26"/>
      <c r="G7" s="26"/>
      <c r="H7" s="26"/>
    </row>
    <row r="8" spans="3:19" x14ac:dyDescent="0.25">
      <c r="C8" s="26"/>
      <c r="D8" s="21"/>
      <c r="E8" s="21"/>
      <c r="F8" s="21"/>
    </row>
    <row r="10" spans="3:19" x14ac:dyDescent="0.25">
      <c r="C10" s="26" t="s">
        <v>118</v>
      </c>
      <c r="D10" s="29">
        <v>3</v>
      </c>
      <c r="J10" s="2" t="s">
        <v>119</v>
      </c>
    </row>
    <row r="11" spans="3:19" x14ac:dyDescent="0.25">
      <c r="C11" s="26" t="s">
        <v>120</v>
      </c>
      <c r="D11" s="29">
        <v>4</v>
      </c>
      <c r="H11" s="29">
        <f>D16</f>
        <v>27</v>
      </c>
      <c r="I11" s="2">
        <v>-5</v>
      </c>
      <c r="J11" s="2">
        <v>-4</v>
      </c>
      <c r="K11" s="2">
        <v>-3</v>
      </c>
      <c r="L11" s="2">
        <v>-2</v>
      </c>
      <c r="M11" s="2">
        <v>-1</v>
      </c>
      <c r="N11" s="2">
        <v>0</v>
      </c>
      <c r="O11" s="2">
        <v>1</v>
      </c>
      <c r="P11" s="2">
        <v>2</v>
      </c>
      <c r="Q11" s="2">
        <v>3</v>
      </c>
      <c r="R11" s="2">
        <v>4</v>
      </c>
      <c r="S11" s="2">
        <v>5</v>
      </c>
    </row>
    <row r="12" spans="3:19" x14ac:dyDescent="0.25">
      <c r="C12" s="26" t="s">
        <v>121</v>
      </c>
      <c r="D12" s="2">
        <v>5</v>
      </c>
      <c r="H12" s="2">
        <v>-5</v>
      </c>
      <c r="I12" s="2">
        <f t="dataTable" ref="I12:S22" dt2D="1" dtr="1" r1="D11" r2="D10"/>
        <v>-40</v>
      </c>
      <c r="J12" s="2">
        <v>-37</v>
      </c>
      <c r="K12" s="2">
        <v>-34</v>
      </c>
      <c r="L12" s="2">
        <v>-31</v>
      </c>
      <c r="M12" s="2">
        <v>-28</v>
      </c>
      <c r="N12" s="2">
        <v>-25</v>
      </c>
      <c r="O12" s="2">
        <v>-22</v>
      </c>
      <c r="P12" s="2">
        <v>-19</v>
      </c>
      <c r="Q12" s="2">
        <v>-16</v>
      </c>
      <c r="R12" s="2">
        <v>-13</v>
      </c>
      <c r="S12" s="2">
        <v>-10</v>
      </c>
    </row>
    <row r="13" spans="3:19" x14ac:dyDescent="0.25">
      <c r="C13" s="26" t="s">
        <v>122</v>
      </c>
      <c r="D13" s="2">
        <v>3</v>
      </c>
      <c r="H13" s="2">
        <v>-4</v>
      </c>
      <c r="I13" s="2">
        <v>-35</v>
      </c>
      <c r="J13" s="2">
        <v>-32</v>
      </c>
      <c r="K13" s="2">
        <v>-29</v>
      </c>
      <c r="L13" s="2">
        <v>-26</v>
      </c>
      <c r="M13" s="2">
        <v>-23</v>
      </c>
      <c r="N13" s="2">
        <v>-20</v>
      </c>
      <c r="O13" s="2">
        <v>-17</v>
      </c>
      <c r="P13" s="2">
        <v>-14</v>
      </c>
      <c r="Q13" s="2">
        <v>-11</v>
      </c>
      <c r="R13" s="2">
        <v>-8</v>
      </c>
      <c r="S13" s="2">
        <v>-5</v>
      </c>
    </row>
    <row r="14" spans="3:19" x14ac:dyDescent="0.25">
      <c r="C14" s="26" t="s">
        <v>123</v>
      </c>
      <c r="D14" s="29">
        <f>D10*D12</f>
        <v>15</v>
      </c>
      <c r="H14" s="2">
        <v>-3</v>
      </c>
      <c r="I14" s="2">
        <v>-30</v>
      </c>
      <c r="J14" s="2">
        <v>-27</v>
      </c>
      <c r="K14" s="2">
        <v>-24</v>
      </c>
      <c r="L14" s="2">
        <v>-21</v>
      </c>
      <c r="M14" s="2">
        <v>-18</v>
      </c>
      <c r="N14" s="2">
        <v>-15</v>
      </c>
      <c r="O14" s="2">
        <v>-12</v>
      </c>
      <c r="P14" s="2">
        <v>-9</v>
      </c>
      <c r="Q14" s="2">
        <v>-6</v>
      </c>
      <c r="R14" s="2">
        <v>-3</v>
      </c>
      <c r="S14" s="2">
        <v>0</v>
      </c>
    </row>
    <row r="15" spans="3:19" x14ac:dyDescent="0.25">
      <c r="C15" s="26" t="s">
        <v>124</v>
      </c>
      <c r="D15" s="29">
        <f>D11*D13</f>
        <v>12</v>
      </c>
      <c r="G15" s="2" t="s">
        <v>125</v>
      </c>
      <c r="H15" s="2">
        <v>-2</v>
      </c>
      <c r="I15" s="2">
        <v>-25</v>
      </c>
      <c r="J15" s="2">
        <v>-22</v>
      </c>
      <c r="K15" s="2">
        <v>-19</v>
      </c>
      <c r="L15" s="2">
        <v>-16</v>
      </c>
      <c r="M15" s="2">
        <v>-13</v>
      </c>
      <c r="N15" s="2">
        <v>-10</v>
      </c>
      <c r="O15" s="2">
        <v>-7</v>
      </c>
      <c r="P15" s="2">
        <v>-4</v>
      </c>
      <c r="Q15" s="2">
        <v>-1</v>
      </c>
      <c r="R15" s="2">
        <v>2</v>
      </c>
      <c r="S15" s="2">
        <v>5</v>
      </c>
    </row>
    <row r="16" spans="3:19" x14ac:dyDescent="0.25">
      <c r="C16" s="26" t="s">
        <v>82</v>
      </c>
      <c r="D16" s="29">
        <f>SUM(D14:D15)</f>
        <v>27</v>
      </c>
      <c r="F16" s="29"/>
      <c r="H16" s="2">
        <v>-1</v>
      </c>
      <c r="I16" s="2">
        <v>-20</v>
      </c>
      <c r="J16" s="2">
        <v>-17</v>
      </c>
      <c r="K16" s="2">
        <v>-14</v>
      </c>
      <c r="L16" s="2">
        <v>-11</v>
      </c>
      <c r="M16" s="2">
        <v>-8</v>
      </c>
      <c r="N16" s="2">
        <v>-5</v>
      </c>
      <c r="O16" s="2">
        <v>-2</v>
      </c>
      <c r="P16" s="2">
        <v>1</v>
      </c>
      <c r="Q16" s="2">
        <v>4</v>
      </c>
      <c r="R16" s="2">
        <v>7</v>
      </c>
      <c r="S16" s="2">
        <v>10</v>
      </c>
    </row>
    <row r="17" spans="6:19" x14ac:dyDescent="0.25">
      <c r="F17" s="29"/>
      <c r="H17" s="2">
        <v>0</v>
      </c>
      <c r="I17" s="2">
        <v>-15</v>
      </c>
      <c r="J17" s="2">
        <v>-12</v>
      </c>
      <c r="K17" s="2">
        <v>-9</v>
      </c>
      <c r="L17" s="2">
        <v>-6</v>
      </c>
      <c r="M17" s="2">
        <v>-3</v>
      </c>
      <c r="N17" s="2">
        <v>0</v>
      </c>
      <c r="O17" s="2">
        <v>3</v>
      </c>
      <c r="P17" s="2">
        <v>6</v>
      </c>
      <c r="Q17" s="2">
        <v>9</v>
      </c>
      <c r="R17" s="2">
        <v>12</v>
      </c>
      <c r="S17" s="2">
        <v>15</v>
      </c>
    </row>
    <row r="18" spans="6:19" x14ac:dyDescent="0.25">
      <c r="H18" s="2">
        <v>1</v>
      </c>
      <c r="I18" s="2">
        <v>-10</v>
      </c>
      <c r="J18" s="2">
        <v>-7</v>
      </c>
      <c r="K18" s="2">
        <v>-4</v>
      </c>
      <c r="L18" s="2">
        <v>-1</v>
      </c>
      <c r="M18" s="2">
        <v>2</v>
      </c>
      <c r="N18" s="2">
        <v>5</v>
      </c>
      <c r="O18" s="2">
        <v>8</v>
      </c>
      <c r="P18" s="2">
        <v>11</v>
      </c>
      <c r="Q18" s="2">
        <v>14</v>
      </c>
      <c r="R18" s="2">
        <v>17</v>
      </c>
      <c r="S18" s="2">
        <v>20</v>
      </c>
    </row>
    <row r="19" spans="6:19" x14ac:dyDescent="0.25">
      <c r="H19" s="2">
        <v>2</v>
      </c>
      <c r="I19" s="2">
        <v>-5</v>
      </c>
      <c r="J19" s="2">
        <v>-2</v>
      </c>
      <c r="K19" s="2">
        <v>1</v>
      </c>
      <c r="L19" s="2">
        <v>4</v>
      </c>
      <c r="M19" s="2">
        <v>7</v>
      </c>
      <c r="N19" s="2">
        <v>10</v>
      </c>
      <c r="O19" s="2">
        <v>13</v>
      </c>
      <c r="P19" s="2">
        <v>16</v>
      </c>
      <c r="Q19" s="2">
        <v>19</v>
      </c>
      <c r="R19" s="2">
        <v>22</v>
      </c>
      <c r="S19" s="2">
        <v>25</v>
      </c>
    </row>
    <row r="20" spans="6:19" x14ac:dyDescent="0.25">
      <c r="H20" s="2">
        <v>3</v>
      </c>
      <c r="I20" s="2">
        <v>0</v>
      </c>
      <c r="J20" s="2">
        <v>3</v>
      </c>
      <c r="K20" s="2">
        <v>6</v>
      </c>
      <c r="L20" s="2">
        <v>9</v>
      </c>
      <c r="M20" s="2">
        <v>12</v>
      </c>
      <c r="N20" s="2">
        <v>15</v>
      </c>
      <c r="O20" s="2">
        <v>18</v>
      </c>
      <c r="P20" s="2">
        <v>21</v>
      </c>
      <c r="Q20" s="2">
        <v>24</v>
      </c>
      <c r="R20" s="30">
        <v>27</v>
      </c>
      <c r="S20" s="2">
        <v>30</v>
      </c>
    </row>
    <row r="21" spans="6:19" x14ac:dyDescent="0.25">
      <c r="H21" s="2">
        <v>4</v>
      </c>
      <c r="I21" s="2">
        <v>5</v>
      </c>
      <c r="J21" s="2">
        <v>8</v>
      </c>
      <c r="K21" s="2">
        <v>11</v>
      </c>
      <c r="L21" s="2">
        <v>14</v>
      </c>
      <c r="M21" s="2">
        <v>17</v>
      </c>
      <c r="N21" s="2">
        <v>20</v>
      </c>
      <c r="O21" s="2">
        <v>23</v>
      </c>
      <c r="P21" s="2">
        <v>26</v>
      </c>
      <c r="Q21" s="2">
        <v>29</v>
      </c>
      <c r="R21" s="2">
        <v>32</v>
      </c>
      <c r="S21" s="2">
        <v>35</v>
      </c>
    </row>
    <row r="22" spans="6:19" x14ac:dyDescent="0.25">
      <c r="H22" s="2">
        <v>5</v>
      </c>
      <c r="I22" s="2">
        <v>10</v>
      </c>
      <c r="J22" s="2">
        <v>13</v>
      </c>
      <c r="K22" s="2">
        <v>16</v>
      </c>
      <c r="L22" s="2">
        <v>19</v>
      </c>
      <c r="M22" s="2">
        <v>22</v>
      </c>
      <c r="N22" s="2">
        <v>25</v>
      </c>
      <c r="O22" s="2">
        <v>28</v>
      </c>
      <c r="P22" s="2">
        <v>31</v>
      </c>
      <c r="Q22" s="2">
        <v>34</v>
      </c>
      <c r="R22" s="2">
        <v>37</v>
      </c>
      <c r="S22" s="2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663A-2C2F-45FF-B3AD-51D18F427FC8}">
  <sheetPr codeName="Sheet16"/>
  <dimension ref="A2:T18"/>
  <sheetViews>
    <sheetView zoomScale="84" zoomScaleNormal="84" workbookViewId="0">
      <selection sqref="A1:IV65536"/>
    </sheetView>
  </sheetViews>
  <sheetFormatPr defaultRowHeight="12.75" x14ac:dyDescent="0.2"/>
  <cols>
    <col min="1" max="256" width="18.42578125" style="5" customWidth="1"/>
    <col min="257" max="16384" width="9.140625" style="5"/>
  </cols>
  <sheetData>
    <row r="2" spans="1:20" x14ac:dyDescent="0.2">
      <c r="A2" s="5" t="s">
        <v>126</v>
      </c>
      <c r="B2" s="5">
        <v>60</v>
      </c>
    </row>
    <row r="3" spans="1:20" x14ac:dyDescent="0.2">
      <c r="A3" s="5" t="s">
        <v>127</v>
      </c>
      <c r="B3" s="5">
        <v>100</v>
      </c>
    </row>
    <row r="4" spans="1:20" x14ac:dyDescent="0.2">
      <c r="A4" s="5" t="s">
        <v>128</v>
      </c>
      <c r="B4" s="31">
        <v>45</v>
      </c>
      <c r="C4" s="31"/>
    </row>
    <row r="5" spans="1:20" x14ac:dyDescent="0.2">
      <c r="A5" s="5" t="s">
        <v>129</v>
      </c>
      <c r="B5" s="31">
        <v>55</v>
      </c>
      <c r="C5" s="31"/>
    </row>
    <row r="6" spans="1:20" x14ac:dyDescent="0.2">
      <c r="A6" s="5" t="s">
        <v>130</v>
      </c>
      <c r="B6" s="31">
        <v>5</v>
      </c>
      <c r="C6" s="31"/>
      <c r="J6" s="5" t="s">
        <v>131</v>
      </c>
    </row>
    <row r="7" spans="1:20" x14ac:dyDescent="0.2">
      <c r="A7" s="5" t="s">
        <v>132</v>
      </c>
      <c r="B7" s="31">
        <f>Nshares*pricenow+putcost*Nputs</f>
        <v>5800</v>
      </c>
      <c r="I7" s="32">
        <f>D9</f>
        <v>-0.39655172413793105</v>
      </c>
      <c r="J7" s="5">
        <v>0</v>
      </c>
      <c r="K7" s="5">
        <v>10</v>
      </c>
      <c r="L7" s="5">
        <v>20</v>
      </c>
      <c r="M7" s="5">
        <v>30</v>
      </c>
      <c r="N7" s="5">
        <v>40</v>
      </c>
      <c r="O7" s="5">
        <v>50</v>
      </c>
      <c r="P7" s="5">
        <v>60</v>
      </c>
      <c r="Q7" s="5">
        <v>70</v>
      </c>
      <c r="R7" s="5">
        <v>80</v>
      </c>
      <c r="S7" s="5">
        <v>90</v>
      </c>
      <c r="T7" s="5">
        <v>100</v>
      </c>
    </row>
    <row r="8" spans="1:20" ht="25.5" x14ac:dyDescent="0.2">
      <c r="A8" s="33" t="s">
        <v>133</v>
      </c>
      <c r="B8" s="33" t="s">
        <v>134</v>
      </c>
      <c r="C8" s="33" t="s">
        <v>135</v>
      </c>
      <c r="D8" s="33" t="s">
        <v>136</v>
      </c>
      <c r="E8" s="33" t="s">
        <v>137</v>
      </c>
      <c r="I8" s="5">
        <v>20</v>
      </c>
      <c r="J8" s="5">
        <f t="dataTable" ref="J8:T17" dt2D="1" dtr="0" r1="B2" r2="A9"/>
        <v>-0.63636363636363635</v>
      </c>
      <c r="K8" s="5">
        <v>-0.59459459459459463</v>
      </c>
      <c r="L8" s="5">
        <v>-0.5535714285714286</v>
      </c>
      <c r="M8" s="5">
        <v>-0.51327433628318586</v>
      </c>
      <c r="N8" s="5">
        <v>-0.47368421052631576</v>
      </c>
      <c r="O8" s="5">
        <v>-0.43478260869565216</v>
      </c>
      <c r="P8" s="5">
        <v>-0.39655172413793105</v>
      </c>
      <c r="Q8" s="5">
        <v>-0.35897435897435898</v>
      </c>
      <c r="R8" s="5">
        <v>-0.32203389830508472</v>
      </c>
      <c r="S8" s="5">
        <v>-0.2857142857142857</v>
      </c>
      <c r="T8" s="5">
        <v>-0.25</v>
      </c>
    </row>
    <row r="9" spans="1:20" x14ac:dyDescent="0.2">
      <c r="A9" s="34">
        <v>20</v>
      </c>
      <c r="B9" s="31">
        <f t="shared" ref="B9:B18" si="0">IF(A9&lt;exprice,exprice-A9,0)*Nputs</f>
        <v>1500</v>
      </c>
      <c r="C9" s="31">
        <f t="shared" ref="C9:C18" si="1">Nshares*A9</f>
        <v>2000</v>
      </c>
      <c r="D9" s="32">
        <f t="shared" ref="D9:D18" si="2">((C9+B9)-startvalue)/startvalue</f>
        <v>-0.39655172413793105</v>
      </c>
      <c r="E9" s="35">
        <f t="shared" ref="E9:E18" si="3">(C9-Nshares*pricenow)/(Nshares*pricenow)</f>
        <v>-0.63636363636363635</v>
      </c>
      <c r="H9" s="5" t="s">
        <v>93</v>
      </c>
      <c r="I9" s="5">
        <v>25</v>
      </c>
      <c r="J9" s="5">
        <v>-0.54545454545454541</v>
      </c>
      <c r="K9" s="5">
        <v>-0.51351351351351349</v>
      </c>
      <c r="L9" s="5">
        <v>-0.48214285714285715</v>
      </c>
      <c r="M9" s="5">
        <v>-0.45132743362831856</v>
      </c>
      <c r="N9" s="5">
        <v>-0.42105263157894735</v>
      </c>
      <c r="O9" s="5">
        <v>-0.39130434782608697</v>
      </c>
      <c r="P9" s="5">
        <v>-0.36206896551724138</v>
      </c>
      <c r="Q9" s="5">
        <v>-0.33333333333333331</v>
      </c>
      <c r="R9" s="5">
        <v>-0.30508474576271188</v>
      </c>
      <c r="S9" s="5">
        <v>-0.27731092436974791</v>
      </c>
      <c r="T9" s="5">
        <v>-0.25</v>
      </c>
    </row>
    <row r="10" spans="1:20" x14ac:dyDescent="0.2">
      <c r="A10" s="34">
        <v>25</v>
      </c>
      <c r="B10" s="31">
        <f t="shared" si="0"/>
        <v>1200</v>
      </c>
      <c r="C10" s="31">
        <f t="shared" si="1"/>
        <v>2500</v>
      </c>
      <c r="D10" s="32">
        <f t="shared" si="2"/>
        <v>-0.36206896551724138</v>
      </c>
      <c r="E10" s="35">
        <f t="shared" si="3"/>
        <v>-0.54545454545454541</v>
      </c>
      <c r="I10" s="5">
        <v>30</v>
      </c>
      <c r="J10" s="5">
        <v>-0.45454545454545453</v>
      </c>
      <c r="K10" s="5">
        <v>-0.43243243243243246</v>
      </c>
      <c r="L10" s="5">
        <v>-0.4107142857142857</v>
      </c>
      <c r="M10" s="5">
        <v>-0.38938053097345132</v>
      </c>
      <c r="N10" s="5">
        <v>-0.36842105263157893</v>
      </c>
      <c r="O10" s="5">
        <v>-0.34782608695652173</v>
      </c>
      <c r="P10" s="5">
        <v>-0.32758620689655171</v>
      </c>
      <c r="Q10" s="5">
        <v>-0.30769230769230771</v>
      </c>
      <c r="R10" s="5">
        <v>-0.28813559322033899</v>
      </c>
      <c r="S10" s="5">
        <v>-0.26890756302521007</v>
      </c>
      <c r="T10" s="5">
        <v>-0.25</v>
      </c>
    </row>
    <row r="11" spans="1:20" x14ac:dyDescent="0.2">
      <c r="A11" s="31">
        <v>30</v>
      </c>
      <c r="B11" s="31">
        <f t="shared" si="0"/>
        <v>900</v>
      </c>
      <c r="C11" s="31">
        <f t="shared" si="1"/>
        <v>3000</v>
      </c>
      <c r="D11" s="32">
        <f t="shared" si="2"/>
        <v>-0.32758620689655171</v>
      </c>
      <c r="E11" s="35">
        <f t="shared" si="3"/>
        <v>-0.45454545454545453</v>
      </c>
      <c r="I11" s="5">
        <v>35</v>
      </c>
      <c r="J11" s="5">
        <v>-0.36363636363636365</v>
      </c>
      <c r="K11" s="5">
        <v>-0.35135135135135137</v>
      </c>
      <c r="L11" s="5">
        <v>-0.3392857142857143</v>
      </c>
      <c r="M11" s="5">
        <v>-0.32743362831858408</v>
      </c>
      <c r="N11" s="5">
        <v>-0.31578947368421051</v>
      </c>
      <c r="O11" s="5">
        <v>-0.30434782608695654</v>
      </c>
      <c r="P11" s="5">
        <v>-0.29310344827586204</v>
      </c>
      <c r="Q11" s="5">
        <v>-0.28205128205128205</v>
      </c>
      <c r="R11" s="5">
        <v>-0.2711864406779661</v>
      </c>
      <c r="S11" s="5">
        <v>-0.26050420168067229</v>
      </c>
      <c r="T11" s="5">
        <v>-0.25</v>
      </c>
    </row>
    <row r="12" spans="1:20" x14ac:dyDescent="0.2">
      <c r="A12" s="31">
        <v>35</v>
      </c>
      <c r="B12" s="31">
        <f t="shared" si="0"/>
        <v>600</v>
      </c>
      <c r="C12" s="31">
        <f t="shared" si="1"/>
        <v>3500</v>
      </c>
      <c r="D12" s="32">
        <f t="shared" si="2"/>
        <v>-0.29310344827586204</v>
      </c>
      <c r="E12" s="35">
        <f t="shared" si="3"/>
        <v>-0.36363636363636365</v>
      </c>
      <c r="I12" s="5">
        <v>40</v>
      </c>
      <c r="J12" s="5">
        <v>-0.27272727272727271</v>
      </c>
      <c r="K12" s="5">
        <v>-0.27027027027027029</v>
      </c>
      <c r="L12" s="5">
        <v>-0.26785714285714285</v>
      </c>
      <c r="M12" s="5">
        <v>-0.26548672566371684</v>
      </c>
      <c r="N12" s="5">
        <v>-0.26315789473684209</v>
      </c>
      <c r="O12" s="5">
        <v>-0.2608695652173913</v>
      </c>
      <c r="P12" s="5">
        <v>-0.25862068965517243</v>
      </c>
      <c r="Q12" s="5">
        <v>-0.25641025641025639</v>
      </c>
      <c r="R12" s="5">
        <v>-0.25423728813559321</v>
      </c>
      <c r="S12" s="5">
        <v>-0.25210084033613445</v>
      </c>
      <c r="T12" s="5">
        <v>-0.25</v>
      </c>
    </row>
    <row r="13" spans="1:20" x14ac:dyDescent="0.2">
      <c r="A13" s="31">
        <v>40</v>
      </c>
      <c r="B13" s="31">
        <f t="shared" si="0"/>
        <v>300</v>
      </c>
      <c r="C13" s="31">
        <f t="shared" si="1"/>
        <v>4000</v>
      </c>
      <c r="D13" s="32">
        <f t="shared" si="2"/>
        <v>-0.25862068965517243</v>
      </c>
      <c r="E13" s="35">
        <f t="shared" si="3"/>
        <v>-0.27272727272727271</v>
      </c>
      <c r="I13" s="5">
        <v>45</v>
      </c>
      <c r="J13" s="5">
        <v>-0.18181818181818182</v>
      </c>
      <c r="K13" s="5">
        <v>-0.1891891891891892</v>
      </c>
      <c r="L13" s="5">
        <v>-0.19642857142857142</v>
      </c>
      <c r="M13" s="5">
        <v>-0.20353982300884957</v>
      </c>
      <c r="N13" s="5">
        <v>-0.21052631578947367</v>
      </c>
      <c r="O13" s="5">
        <v>-0.21739130434782608</v>
      </c>
      <c r="P13" s="5">
        <v>-0.22413793103448276</v>
      </c>
      <c r="Q13" s="5">
        <v>-0.23076923076923078</v>
      </c>
      <c r="R13" s="5">
        <v>-0.23728813559322035</v>
      </c>
      <c r="S13" s="5">
        <v>-0.24369747899159663</v>
      </c>
      <c r="T13" s="5">
        <v>-0.25</v>
      </c>
    </row>
    <row r="14" spans="1:20" x14ac:dyDescent="0.2">
      <c r="A14" s="31">
        <v>45</v>
      </c>
      <c r="B14" s="31">
        <f t="shared" si="0"/>
        <v>0</v>
      </c>
      <c r="C14" s="31">
        <f t="shared" si="1"/>
        <v>4500</v>
      </c>
      <c r="D14" s="32">
        <f t="shared" si="2"/>
        <v>-0.22413793103448276</v>
      </c>
      <c r="E14" s="35">
        <f t="shared" si="3"/>
        <v>-0.18181818181818182</v>
      </c>
      <c r="I14" s="5">
        <v>50</v>
      </c>
      <c r="J14" s="5">
        <v>-9.0909090909090912E-2</v>
      </c>
      <c r="K14" s="5">
        <v>-9.90990990990991E-2</v>
      </c>
      <c r="L14" s="5">
        <v>-0.10714285714285714</v>
      </c>
      <c r="M14" s="5">
        <v>-0.11504424778761062</v>
      </c>
      <c r="N14" s="5">
        <v>-0.12280701754385964</v>
      </c>
      <c r="O14" s="5">
        <v>-0.13043478260869565</v>
      </c>
      <c r="P14" s="5">
        <v>-0.13793103448275862</v>
      </c>
      <c r="Q14" s="5">
        <v>-0.14529914529914531</v>
      </c>
      <c r="R14" s="5">
        <v>-0.15254237288135594</v>
      </c>
      <c r="S14" s="5">
        <v>-0.15966386554621848</v>
      </c>
      <c r="T14" s="5">
        <v>-0.16666666666666666</v>
      </c>
    </row>
    <row r="15" spans="1:20" x14ac:dyDescent="0.2">
      <c r="A15" s="31">
        <v>50</v>
      </c>
      <c r="B15" s="31">
        <f t="shared" si="0"/>
        <v>0</v>
      </c>
      <c r="C15" s="31">
        <f t="shared" si="1"/>
        <v>5000</v>
      </c>
      <c r="D15" s="32">
        <f t="shared" si="2"/>
        <v>-0.13793103448275862</v>
      </c>
      <c r="E15" s="35">
        <f t="shared" si="3"/>
        <v>-9.0909090909090912E-2</v>
      </c>
      <c r="I15" s="5">
        <v>55</v>
      </c>
      <c r="J15" s="5">
        <v>0</v>
      </c>
      <c r="K15" s="5">
        <v>-9.0090090090090089E-3</v>
      </c>
      <c r="L15" s="5">
        <v>-1.7857142857142856E-2</v>
      </c>
      <c r="M15" s="5">
        <v>-2.6548672566371681E-2</v>
      </c>
      <c r="N15" s="5">
        <v>-3.5087719298245612E-2</v>
      </c>
      <c r="O15" s="5">
        <v>-4.3478260869565216E-2</v>
      </c>
      <c r="P15" s="5">
        <v>-5.1724137931034482E-2</v>
      </c>
      <c r="Q15" s="5">
        <v>-5.9829059829059832E-2</v>
      </c>
      <c r="R15" s="5">
        <v>-6.7796610169491525E-2</v>
      </c>
      <c r="S15" s="5">
        <v>-7.5630252100840331E-2</v>
      </c>
      <c r="T15" s="5">
        <v>-8.3333333333333329E-2</v>
      </c>
    </row>
    <row r="16" spans="1:20" x14ac:dyDescent="0.2">
      <c r="A16" s="31">
        <v>55</v>
      </c>
      <c r="B16" s="31">
        <f t="shared" si="0"/>
        <v>0</v>
      </c>
      <c r="C16" s="31">
        <f t="shared" si="1"/>
        <v>5500</v>
      </c>
      <c r="D16" s="32">
        <f t="shared" si="2"/>
        <v>-5.1724137931034482E-2</v>
      </c>
      <c r="E16" s="35">
        <f t="shared" si="3"/>
        <v>0</v>
      </c>
      <c r="I16" s="5">
        <v>60</v>
      </c>
      <c r="J16" s="5">
        <v>9.0909090909090912E-2</v>
      </c>
      <c r="K16" s="5">
        <v>8.1081081081081086E-2</v>
      </c>
      <c r="L16" s="5">
        <v>7.1428571428571425E-2</v>
      </c>
      <c r="M16" s="5">
        <v>6.1946902654867256E-2</v>
      </c>
      <c r="N16" s="5">
        <v>5.2631578947368418E-2</v>
      </c>
      <c r="O16" s="5">
        <v>4.3478260869565216E-2</v>
      </c>
      <c r="P16" s="5">
        <v>3.4482758620689655E-2</v>
      </c>
      <c r="Q16" s="5">
        <v>2.564102564102564E-2</v>
      </c>
      <c r="R16" s="5">
        <v>1.6949152542372881E-2</v>
      </c>
      <c r="S16" s="5">
        <v>8.4033613445378148E-3</v>
      </c>
      <c r="T16" s="5">
        <v>0</v>
      </c>
    </row>
    <row r="17" spans="1:20" x14ac:dyDescent="0.2">
      <c r="A17" s="31">
        <v>60</v>
      </c>
      <c r="B17" s="31">
        <f t="shared" si="0"/>
        <v>0</v>
      </c>
      <c r="C17" s="31">
        <f t="shared" si="1"/>
        <v>6000</v>
      </c>
      <c r="D17" s="32">
        <f t="shared" si="2"/>
        <v>3.4482758620689655E-2</v>
      </c>
      <c r="E17" s="35">
        <f t="shared" si="3"/>
        <v>9.0909090909090912E-2</v>
      </c>
      <c r="I17" s="5">
        <v>65</v>
      </c>
      <c r="J17" s="5">
        <v>0.18181818181818182</v>
      </c>
      <c r="K17" s="5">
        <v>0.17117117117117117</v>
      </c>
      <c r="L17" s="5">
        <v>0.16071428571428573</v>
      </c>
      <c r="M17" s="5">
        <v>0.15044247787610621</v>
      </c>
      <c r="N17" s="5">
        <v>0.14035087719298245</v>
      </c>
      <c r="O17" s="5">
        <v>0.13043478260869565</v>
      </c>
      <c r="P17" s="5">
        <v>0.1206896551724138</v>
      </c>
      <c r="Q17" s="5">
        <v>0.1111111111111111</v>
      </c>
      <c r="R17" s="5">
        <v>0.10169491525423729</v>
      </c>
      <c r="S17" s="5">
        <v>9.2436974789915971E-2</v>
      </c>
      <c r="T17" s="5">
        <v>8.3333333333333329E-2</v>
      </c>
    </row>
    <row r="18" spans="1:20" x14ac:dyDescent="0.2">
      <c r="A18" s="31">
        <v>65</v>
      </c>
      <c r="B18" s="31">
        <f t="shared" si="0"/>
        <v>0</v>
      </c>
      <c r="C18" s="31">
        <f t="shared" si="1"/>
        <v>6500</v>
      </c>
      <c r="D18" s="32">
        <f t="shared" si="2"/>
        <v>0.1206896551724138</v>
      </c>
      <c r="E18" s="35">
        <f t="shared" si="3"/>
        <v>0.18181818181818182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C8A4-BC7D-4A3E-B186-64401422907A}">
  <sheetPr codeName="Sheet17"/>
  <dimension ref="B2:J15"/>
  <sheetViews>
    <sheetView zoomScale="75" workbookViewId="0">
      <selection activeCell="D4" sqref="D4"/>
    </sheetView>
  </sheetViews>
  <sheetFormatPr defaultRowHeight="12.75" x14ac:dyDescent="0.2"/>
  <cols>
    <col min="1" max="1" width="9.140625" style="4"/>
    <col min="2" max="2" width="11" style="4" bestFit="1" customWidth="1"/>
    <col min="3" max="3" width="17.85546875" style="4" customWidth="1"/>
    <col min="4" max="4" width="12.28515625" style="4" bestFit="1" customWidth="1"/>
    <col min="5" max="16384" width="9.140625" style="4"/>
  </cols>
  <sheetData>
    <row r="2" spans="2:10" x14ac:dyDescent="0.2">
      <c r="C2" s="4" t="s">
        <v>138</v>
      </c>
      <c r="D2" s="1">
        <v>400000</v>
      </c>
    </row>
    <row r="3" spans="2:10" x14ac:dyDescent="0.2">
      <c r="C3" s="4" t="s">
        <v>139</v>
      </c>
      <c r="D3" s="4">
        <v>180</v>
      </c>
    </row>
    <row r="4" spans="2:10" x14ac:dyDescent="0.2">
      <c r="C4" s="4" t="s">
        <v>140</v>
      </c>
      <c r="D4" s="36">
        <v>5.5E-2</v>
      </c>
    </row>
    <row r="5" spans="2:10" x14ac:dyDescent="0.2">
      <c r="C5" s="4" t="s">
        <v>141</v>
      </c>
      <c r="D5" s="37">
        <f>-PMT(Annual_int_rate/12,Number_of_Months,Amt_Borrowed)</f>
        <v>3268.333818484557</v>
      </c>
    </row>
    <row r="6" spans="2:10" x14ac:dyDescent="0.2">
      <c r="E6" s="5" t="s">
        <v>142</v>
      </c>
      <c r="F6" s="5"/>
      <c r="G6" s="5"/>
    </row>
    <row r="7" spans="2:10" x14ac:dyDescent="0.2">
      <c r="C7" s="37">
        <f>D5</f>
        <v>3268.333818484557</v>
      </c>
      <c r="D7" s="4">
        <v>180</v>
      </c>
      <c r="E7" s="4">
        <v>240</v>
      </c>
      <c r="F7" s="4">
        <v>360</v>
      </c>
      <c r="G7" s="36"/>
      <c r="H7" s="36"/>
      <c r="I7" s="36"/>
      <c r="J7" s="36"/>
    </row>
    <row r="8" spans="2:10" x14ac:dyDescent="0.2">
      <c r="B8" s="5" t="s">
        <v>143</v>
      </c>
      <c r="C8" s="1">
        <v>300000</v>
      </c>
      <c r="D8" s="4">
        <f t="dataTable" ref="D8:F14" dt2D="1" dtr="0" r1="D3" r2="D2"/>
        <v>2451.250363863418</v>
      </c>
      <c r="E8" s="4">
        <v>2063.6619235777157</v>
      </c>
      <c r="F8" s="4">
        <v>1703.3670040410086</v>
      </c>
    </row>
    <row r="9" spans="2:10" x14ac:dyDescent="0.2">
      <c r="B9" s="5" t="s">
        <v>144</v>
      </c>
      <c r="C9" s="1">
        <v>350000</v>
      </c>
      <c r="D9" s="4">
        <v>2859.792091173987</v>
      </c>
      <c r="E9" s="4">
        <v>2407.6055775073351</v>
      </c>
      <c r="F9" s="4">
        <v>1987.2615047145102</v>
      </c>
    </row>
    <row r="10" spans="2:10" x14ac:dyDescent="0.2">
      <c r="C10" s="1">
        <v>400000</v>
      </c>
      <c r="D10" s="4">
        <v>3268.333818484557</v>
      </c>
      <c r="E10" s="4">
        <v>2751.5492314369544</v>
      </c>
      <c r="F10" s="4">
        <v>2271.1560053880116</v>
      </c>
    </row>
    <row r="11" spans="2:10" x14ac:dyDescent="0.2">
      <c r="C11" s="1">
        <v>450000</v>
      </c>
      <c r="D11" s="4">
        <v>3676.8755457951265</v>
      </c>
      <c r="E11" s="4">
        <v>3095.4928853665738</v>
      </c>
      <c r="F11" s="4">
        <v>2555.0505060615128</v>
      </c>
    </row>
    <row r="12" spans="2:10" x14ac:dyDescent="0.2">
      <c r="C12" s="1">
        <v>500000</v>
      </c>
      <c r="D12" s="4">
        <v>4085.4172731056965</v>
      </c>
      <c r="E12" s="4">
        <v>3439.4365392961931</v>
      </c>
      <c r="F12" s="4">
        <v>2838.9450067350144</v>
      </c>
    </row>
    <row r="13" spans="2:10" x14ac:dyDescent="0.2">
      <c r="C13" s="1">
        <v>550000</v>
      </c>
      <c r="D13" s="4">
        <v>4493.9590004162656</v>
      </c>
      <c r="E13" s="4">
        <v>3783.380193225812</v>
      </c>
      <c r="F13" s="4">
        <v>3122.8395074085156</v>
      </c>
    </row>
    <row r="14" spans="2:10" x14ac:dyDescent="0.2">
      <c r="C14" s="1">
        <v>600000</v>
      </c>
      <c r="D14" s="4">
        <v>4902.500727726836</v>
      </c>
      <c r="E14" s="4">
        <v>4127.3238471554314</v>
      </c>
      <c r="F14" s="4">
        <v>3406.7340080820172</v>
      </c>
    </row>
    <row r="15" spans="2:10" x14ac:dyDescent="0.2">
      <c r="C15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BC10-2BE5-4996-BC37-267C8C5E1B31}">
  <sheetPr codeName="Sheet18"/>
  <dimension ref="C3:D18"/>
  <sheetViews>
    <sheetView workbookViewId="0">
      <selection activeCell="G13" sqref="G13"/>
    </sheetView>
  </sheetViews>
  <sheetFormatPr defaultRowHeight="12.75" x14ac:dyDescent="0.2"/>
  <cols>
    <col min="1" max="2" width="9.140625" style="4"/>
    <col min="3" max="3" width="18.140625" style="4" customWidth="1"/>
    <col min="4" max="4" width="14" style="4" bestFit="1" customWidth="1"/>
    <col min="5" max="16384" width="9.140625" style="4"/>
  </cols>
  <sheetData>
    <row r="3" spans="3:4" x14ac:dyDescent="0.2">
      <c r="C3" s="4" t="s">
        <v>145</v>
      </c>
      <c r="D3" s="4">
        <v>40000</v>
      </c>
    </row>
    <row r="4" spans="3:4" x14ac:dyDescent="0.2">
      <c r="C4" s="4" t="s">
        <v>146</v>
      </c>
      <c r="D4" s="1">
        <v>45</v>
      </c>
    </row>
    <row r="5" spans="3:4" x14ac:dyDescent="0.2">
      <c r="C5" s="4" t="s">
        <v>147</v>
      </c>
      <c r="D5" s="1">
        <v>5</v>
      </c>
    </row>
    <row r="6" spans="3:4" x14ac:dyDescent="0.2">
      <c r="C6" s="4" t="s">
        <v>148</v>
      </c>
      <c r="D6" s="38">
        <v>0.3</v>
      </c>
    </row>
    <row r="7" spans="3:4" x14ac:dyDescent="0.2">
      <c r="C7" s="4" t="s">
        <v>149</v>
      </c>
      <c r="D7" s="38">
        <v>0.3</v>
      </c>
    </row>
    <row r="9" spans="3:4" x14ac:dyDescent="0.2">
      <c r="C9" s="4" t="s">
        <v>150</v>
      </c>
      <c r="D9" s="1">
        <f>(1+sales_increase)*current_sales*(current_price*(1-pricecutpercentage)-unit_cost)</f>
        <v>1377999.9999999998</v>
      </c>
    </row>
    <row r="11" spans="3:4" x14ac:dyDescent="0.2">
      <c r="D11" s="4" t="s">
        <v>150</v>
      </c>
    </row>
    <row r="12" spans="3:4" x14ac:dyDescent="0.2">
      <c r="C12" s="4" t="s">
        <v>149</v>
      </c>
      <c r="D12" s="39">
        <f>D9</f>
        <v>1377999.9999999998</v>
      </c>
    </row>
    <row r="13" spans="3:4" x14ac:dyDescent="0.2">
      <c r="C13" s="38">
        <v>0.1</v>
      </c>
      <c r="D13" s="1">
        <f t="dataTable" ref="D13:D18" dt2D="0" dtr="0" r1="D7"/>
        <v>1165999.9999999998</v>
      </c>
    </row>
    <row r="14" spans="3:4" x14ac:dyDescent="0.2">
      <c r="C14" s="38">
        <v>0.2</v>
      </c>
      <c r="D14" s="1">
        <v>1271999.9999999998</v>
      </c>
    </row>
    <row r="15" spans="3:4" x14ac:dyDescent="0.2">
      <c r="C15" s="38">
        <v>0.3</v>
      </c>
      <c r="D15" s="1">
        <v>1377999.9999999998</v>
      </c>
    </row>
    <row r="16" spans="3:4" x14ac:dyDescent="0.2">
      <c r="C16" s="38">
        <v>0.4</v>
      </c>
      <c r="D16" s="1">
        <v>1483999.9999999998</v>
      </c>
    </row>
    <row r="17" spans="3:4" x14ac:dyDescent="0.2">
      <c r="C17" s="38">
        <v>0.5</v>
      </c>
      <c r="D17" s="1">
        <v>1589999.9999999998</v>
      </c>
    </row>
    <row r="18" spans="3:4" x14ac:dyDescent="0.2">
      <c r="C18" s="38">
        <v>0.6</v>
      </c>
      <c r="D18" s="1">
        <v>1695999.9999999998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BAA-C865-4D9D-AE80-05E6B39A4880}">
  <sheetPr codeName="Sheet19"/>
  <dimension ref="B3:Q26"/>
  <sheetViews>
    <sheetView zoomScale="74" zoomScaleNormal="74" workbookViewId="0">
      <selection sqref="A1:IV65536"/>
    </sheetView>
  </sheetViews>
  <sheetFormatPr defaultRowHeight="12.75" x14ac:dyDescent="0.2"/>
  <cols>
    <col min="1" max="256" width="18.7109375" style="5" customWidth="1"/>
    <col min="257" max="16384" width="9.140625" style="5"/>
  </cols>
  <sheetData>
    <row r="3" spans="2:17" x14ac:dyDescent="0.2">
      <c r="C3" s="5" t="s">
        <v>21</v>
      </c>
      <c r="D3" s="5">
        <v>40</v>
      </c>
    </row>
    <row r="4" spans="2:17" x14ac:dyDescent="0.2">
      <c r="C4" s="5" t="s">
        <v>151</v>
      </c>
      <c r="D4" s="31">
        <v>20000</v>
      </c>
    </row>
    <row r="5" spans="2:17" x14ac:dyDescent="0.2">
      <c r="C5" s="5" t="s">
        <v>152</v>
      </c>
      <c r="D5" s="40">
        <v>0.05</v>
      </c>
    </row>
    <row r="7" spans="2:17" x14ac:dyDescent="0.2">
      <c r="B7" s="5" t="s">
        <v>153</v>
      </c>
      <c r="C7" s="6">
        <f>-FV(interest_rate,years,annual_cont.,0)</f>
        <v>2415995.4848498595</v>
      </c>
    </row>
    <row r="8" spans="2:17" x14ac:dyDescent="0.2">
      <c r="F8" s="5" t="s">
        <v>154</v>
      </c>
    </row>
    <row r="9" spans="2:17" x14ac:dyDescent="0.2">
      <c r="D9" s="6">
        <f>C7</f>
        <v>2415995.4848498595</v>
      </c>
      <c r="E9" s="5">
        <v>0.03</v>
      </c>
      <c r="F9" s="5">
        <v>0.04</v>
      </c>
      <c r="G9" s="5">
        <v>0.05</v>
      </c>
      <c r="H9" s="5">
        <v>0.06</v>
      </c>
      <c r="I9" s="5">
        <v>7.0000000000000007E-2</v>
      </c>
      <c r="J9" s="5">
        <v>0.08</v>
      </c>
      <c r="K9" s="5">
        <v>0.09</v>
      </c>
      <c r="L9" s="5">
        <v>0.1</v>
      </c>
      <c r="M9" s="5">
        <v>0.11</v>
      </c>
      <c r="N9" s="5">
        <v>0.12</v>
      </c>
      <c r="O9" s="5">
        <v>0.13</v>
      </c>
      <c r="P9" s="5">
        <v>0.14000000000000001</v>
      </c>
      <c r="Q9" s="5">
        <v>0.15</v>
      </c>
    </row>
    <row r="10" spans="2:17" x14ac:dyDescent="0.2">
      <c r="D10" s="31">
        <v>5000</v>
      </c>
      <c r="E10" s="5">
        <f t="dataTable" ref="E10:Q14" dt2D="1" dtr="0" r1="D5" r2="D4"/>
        <v>377006.29866651195</v>
      </c>
      <c r="F10" s="5">
        <v>475127.57849208242</v>
      </c>
      <c r="G10" s="5">
        <v>603998.87121246487</v>
      </c>
      <c r="H10" s="5">
        <v>773809.82809382747</v>
      </c>
      <c r="I10" s="5">
        <v>998175.55994335376</v>
      </c>
      <c r="J10" s="5">
        <v>1295282.5935499931</v>
      </c>
      <c r="K10" s="5">
        <v>1689412.2252216295</v>
      </c>
      <c r="L10" s="5">
        <v>2212962.7784088035</v>
      </c>
      <c r="M10" s="5">
        <v>2909130.3320727828</v>
      </c>
      <c r="N10" s="5">
        <v>3835457.1017234987</v>
      </c>
      <c r="O10" s="5">
        <v>5068521.216673729</v>
      </c>
      <c r="P10" s="5">
        <v>6710125.4949207706</v>
      </c>
      <c r="Q10" s="5">
        <v>8895451.5411567464</v>
      </c>
    </row>
    <row r="11" spans="2:17" x14ac:dyDescent="0.2">
      <c r="C11" s="5" t="s">
        <v>155</v>
      </c>
      <c r="D11" s="31">
        <v>10000</v>
      </c>
      <c r="E11" s="5">
        <v>754012.59733302391</v>
      </c>
      <c r="F11" s="5">
        <v>950255.15698416485</v>
      </c>
      <c r="G11" s="5">
        <v>1207997.7424249297</v>
      </c>
      <c r="H11" s="5">
        <v>1547619.6561876549</v>
      </c>
      <c r="I11" s="5">
        <v>1996351.1198867075</v>
      </c>
      <c r="J11" s="5">
        <v>2590565.1870999862</v>
      </c>
      <c r="K11" s="5">
        <v>3378824.450443259</v>
      </c>
      <c r="L11" s="5">
        <v>4425925.556817607</v>
      </c>
      <c r="M11" s="5">
        <v>5818260.6641455656</v>
      </c>
      <c r="N11" s="5">
        <v>7670914.2034469973</v>
      </c>
      <c r="O11" s="5">
        <v>10137042.433347458</v>
      </c>
      <c r="P11" s="5">
        <v>13420250.989841541</v>
      </c>
      <c r="Q11" s="5">
        <v>17790903.082313493</v>
      </c>
    </row>
    <row r="12" spans="2:17" x14ac:dyDescent="0.2">
      <c r="D12" s="31">
        <v>15000</v>
      </c>
      <c r="E12" s="5">
        <v>1131018.8959995359</v>
      </c>
      <c r="F12" s="5">
        <v>1425382.7354762473</v>
      </c>
      <c r="G12" s="5">
        <v>1811996.6136373945</v>
      </c>
      <c r="H12" s="5">
        <v>2321429.4842814822</v>
      </c>
      <c r="I12" s="5">
        <v>2994526.6798300613</v>
      </c>
      <c r="J12" s="5">
        <v>3885847.7806499791</v>
      </c>
      <c r="K12" s="5">
        <v>5068236.6756648887</v>
      </c>
      <c r="L12" s="5">
        <v>6638888.3352264101</v>
      </c>
      <c r="M12" s="5">
        <v>8727390.9962183479</v>
      </c>
      <c r="N12" s="5">
        <v>11506371.305170495</v>
      </c>
      <c r="O12" s="5">
        <v>15205563.650021186</v>
      </c>
      <c r="P12" s="5">
        <v>20130376.484762311</v>
      </c>
      <c r="Q12" s="5">
        <v>26686354.623470236</v>
      </c>
    </row>
    <row r="13" spans="2:17" x14ac:dyDescent="0.2">
      <c r="D13" s="31">
        <v>20000</v>
      </c>
      <c r="E13" s="5">
        <v>1508025.1946660478</v>
      </c>
      <c r="F13" s="5">
        <v>1900510.3139683297</v>
      </c>
      <c r="G13" s="5">
        <v>2415995.4848498595</v>
      </c>
      <c r="H13" s="5">
        <v>3095239.3123753099</v>
      </c>
      <c r="I13" s="5">
        <v>3992702.239773415</v>
      </c>
      <c r="J13" s="5">
        <v>5181130.3741999725</v>
      </c>
      <c r="K13" s="5">
        <v>6757648.9008865179</v>
      </c>
      <c r="L13" s="5">
        <v>8851851.113635214</v>
      </c>
      <c r="M13" s="5">
        <v>11636521.328291131</v>
      </c>
      <c r="N13" s="5">
        <v>15341828.406893995</v>
      </c>
      <c r="O13" s="5">
        <v>20274084.866694916</v>
      </c>
      <c r="P13" s="5">
        <v>26840501.979683083</v>
      </c>
      <c r="Q13" s="5">
        <v>35581806.164626986</v>
      </c>
    </row>
    <row r="14" spans="2:17" x14ac:dyDescent="0.2">
      <c r="D14" s="31">
        <v>25000</v>
      </c>
      <c r="E14" s="5">
        <v>1885031.4933325599</v>
      </c>
      <c r="F14" s="5">
        <v>2375637.8924604119</v>
      </c>
      <c r="G14" s="5">
        <v>3019994.3560623243</v>
      </c>
      <c r="H14" s="5">
        <v>3869049.1404691371</v>
      </c>
      <c r="I14" s="5">
        <v>4990877.7997167688</v>
      </c>
      <c r="J14" s="5">
        <v>6476412.9677499654</v>
      </c>
      <c r="K14" s="5">
        <v>8447061.1261081472</v>
      </c>
      <c r="L14" s="5">
        <v>11064813.892044017</v>
      </c>
      <c r="M14" s="5">
        <v>14545651.660363913</v>
      </c>
      <c r="N14" s="5">
        <v>19177285.508617494</v>
      </c>
      <c r="O14" s="5">
        <v>25342606.083368644</v>
      </c>
      <c r="P14" s="5">
        <v>33550627.47460385</v>
      </c>
      <c r="Q14" s="5">
        <v>44477257.705783725</v>
      </c>
    </row>
    <row r="26" spans="4:4" x14ac:dyDescent="0.2">
      <c r="D26" s="5" t="s">
        <v>156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1C23-7D96-44F4-AB11-5553B563B8DC}">
  <sheetPr codeName="Sheet20"/>
  <dimension ref="A1:I33"/>
  <sheetViews>
    <sheetView workbookViewId="0">
      <selection activeCell="E1" sqref="E1"/>
    </sheetView>
  </sheetViews>
  <sheetFormatPr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9" x14ac:dyDescent="0.25">
      <c r="D1" s="2" t="s">
        <v>157</v>
      </c>
      <c r="E1" s="2">
        <v>80</v>
      </c>
    </row>
    <row r="2" spans="1:9" x14ac:dyDescent="0.25">
      <c r="A2" s="21" t="s">
        <v>158</v>
      </c>
      <c r="D2" s="2" t="s">
        <v>159</v>
      </c>
      <c r="E2" s="2">
        <v>0.15</v>
      </c>
      <c r="I2" s="2" t="s">
        <v>160</v>
      </c>
    </row>
    <row r="3" spans="1:9" x14ac:dyDescent="0.25">
      <c r="I3" s="2">
        <f>IF(MATCH(0,F5:F15,1)&gt;10,"no payback",MATCH(0,F5:F15,1))</f>
        <v>4</v>
      </c>
    </row>
    <row r="4" spans="1:9" ht="45" x14ac:dyDescent="0.25">
      <c r="D4" s="2" t="s">
        <v>161</v>
      </c>
      <c r="F4" s="41" t="s">
        <v>162</v>
      </c>
    </row>
    <row r="5" spans="1:9" x14ac:dyDescent="0.25">
      <c r="D5" s="2">
        <v>0</v>
      </c>
      <c r="E5" s="2">
        <v>-300</v>
      </c>
      <c r="F5" s="2">
        <f>SUM($E$5:E5)</f>
        <v>-300</v>
      </c>
    </row>
    <row r="6" spans="1:9" x14ac:dyDescent="0.25">
      <c r="D6" s="2">
        <v>1</v>
      </c>
      <c r="E6" s="2">
        <f>year1</f>
        <v>80</v>
      </c>
      <c r="F6" s="2">
        <f>SUM($E$5:E6)</f>
        <v>-220</v>
      </c>
    </row>
    <row r="7" spans="1:9" x14ac:dyDescent="0.25">
      <c r="D7" s="2">
        <v>2</v>
      </c>
      <c r="E7" s="2">
        <f t="shared" ref="E7:E15" si="0">E6*(1+growth)</f>
        <v>92</v>
      </c>
      <c r="F7" s="2">
        <f>SUM($E$5:E7)</f>
        <v>-128</v>
      </c>
    </row>
    <row r="8" spans="1:9" x14ac:dyDescent="0.25">
      <c r="D8" s="2">
        <v>3</v>
      </c>
      <c r="E8" s="2">
        <f t="shared" si="0"/>
        <v>105.8</v>
      </c>
      <c r="F8" s="2">
        <f>SUM($E$5:E8)</f>
        <v>-22.200000000000003</v>
      </c>
    </row>
    <row r="9" spans="1:9" x14ac:dyDescent="0.25">
      <c r="D9" s="2">
        <v>4</v>
      </c>
      <c r="E9" s="2">
        <f t="shared" si="0"/>
        <v>121.66999999999999</v>
      </c>
      <c r="F9" s="2">
        <f>SUM($E$5:E9)</f>
        <v>99.469999999999985</v>
      </c>
    </row>
    <row r="10" spans="1:9" x14ac:dyDescent="0.25">
      <c r="D10" s="2">
        <v>5</v>
      </c>
      <c r="E10" s="2">
        <f t="shared" si="0"/>
        <v>139.92049999999998</v>
      </c>
      <c r="F10" s="2">
        <f>SUM($E$5:E10)</f>
        <v>239.39049999999997</v>
      </c>
    </row>
    <row r="11" spans="1:9" x14ac:dyDescent="0.25">
      <c r="D11" s="2">
        <v>6</v>
      </c>
      <c r="E11" s="2">
        <f t="shared" si="0"/>
        <v>160.90857499999996</v>
      </c>
      <c r="F11" s="2">
        <f>SUM($E$5:E11)</f>
        <v>400.2990749999999</v>
      </c>
    </row>
    <row r="12" spans="1:9" x14ac:dyDescent="0.25">
      <c r="D12" s="2">
        <v>7</v>
      </c>
      <c r="E12" s="2">
        <f t="shared" si="0"/>
        <v>185.04486124999994</v>
      </c>
      <c r="F12" s="2">
        <f>SUM($E$5:E12)</f>
        <v>585.34393624999984</v>
      </c>
    </row>
    <row r="13" spans="1:9" x14ac:dyDescent="0.25">
      <c r="D13" s="2">
        <v>8</v>
      </c>
      <c r="E13" s="2">
        <f t="shared" si="0"/>
        <v>212.80159043749993</v>
      </c>
      <c r="F13" s="2">
        <f>SUM($E$5:E13)</f>
        <v>798.1455266874998</v>
      </c>
    </row>
    <row r="14" spans="1:9" x14ac:dyDescent="0.25">
      <c r="D14" s="2">
        <v>9</v>
      </c>
      <c r="E14" s="2">
        <f t="shared" si="0"/>
        <v>244.7218290031249</v>
      </c>
      <c r="F14" s="2">
        <f>SUM($E$5:E14)</f>
        <v>1042.8673556906247</v>
      </c>
    </row>
    <row r="15" spans="1:9" x14ac:dyDescent="0.25">
      <c r="D15" s="2">
        <v>10</v>
      </c>
      <c r="E15" s="2">
        <f t="shared" si="0"/>
        <v>281.43010335359361</v>
      </c>
      <c r="F15" s="2">
        <f>SUM($E$5:E15)</f>
        <v>1324.2974590442182</v>
      </c>
    </row>
    <row r="17" spans="3:9" x14ac:dyDescent="0.25">
      <c r="E17" s="2" t="s">
        <v>163</v>
      </c>
    </row>
    <row r="18" spans="3:9" x14ac:dyDescent="0.25">
      <c r="D18" s="2">
        <f>I3</f>
        <v>4</v>
      </c>
      <c r="E18" s="2">
        <v>0.05</v>
      </c>
      <c r="F18" s="2">
        <v>0.1</v>
      </c>
      <c r="G18" s="2">
        <v>0.15</v>
      </c>
      <c r="H18" s="2">
        <v>0.2</v>
      </c>
      <c r="I18" s="2">
        <v>0.25</v>
      </c>
    </row>
    <row r="19" spans="3:9" x14ac:dyDescent="0.25">
      <c r="C19" s="2" t="s">
        <v>164</v>
      </c>
      <c r="D19" s="2">
        <v>30</v>
      </c>
      <c r="E19" s="2">
        <f t="dataTable" ref="E19:I33" dt2D="1" dtr="1" r1="E2" r2="E1"/>
        <v>9</v>
      </c>
      <c r="F19" s="2">
        <v>8</v>
      </c>
      <c r="G19" s="2">
        <v>7</v>
      </c>
      <c r="H19" s="2">
        <v>7</v>
      </c>
      <c r="I19" s="2">
        <v>6</v>
      </c>
    </row>
    <row r="20" spans="3:9" x14ac:dyDescent="0.25">
      <c r="D20" s="2">
        <v>35</v>
      </c>
      <c r="E20" s="2">
        <v>8</v>
      </c>
      <c r="F20" s="2">
        <v>7</v>
      </c>
      <c r="G20" s="2">
        <v>6</v>
      </c>
      <c r="H20" s="2">
        <v>6</v>
      </c>
      <c r="I20" s="2">
        <v>6</v>
      </c>
    </row>
    <row r="21" spans="3:9" x14ac:dyDescent="0.25">
      <c r="D21" s="2">
        <v>40</v>
      </c>
      <c r="E21" s="2">
        <v>7</v>
      </c>
      <c r="F21" s="2">
        <v>6</v>
      </c>
      <c r="G21" s="2">
        <v>6</v>
      </c>
      <c r="H21" s="2">
        <v>6</v>
      </c>
      <c r="I21" s="2">
        <v>5</v>
      </c>
    </row>
    <row r="22" spans="3:9" x14ac:dyDescent="0.25">
      <c r="D22" s="2">
        <v>45</v>
      </c>
      <c r="E22" s="2">
        <v>6</v>
      </c>
      <c r="F22" s="2">
        <v>6</v>
      </c>
      <c r="G22" s="2">
        <v>5</v>
      </c>
      <c r="H22" s="2">
        <v>5</v>
      </c>
      <c r="I22" s="2">
        <v>5</v>
      </c>
    </row>
    <row r="23" spans="3:9" x14ac:dyDescent="0.25">
      <c r="D23" s="2">
        <v>50</v>
      </c>
      <c r="E23" s="2">
        <v>6</v>
      </c>
      <c r="F23" s="2">
        <v>5</v>
      </c>
      <c r="G23" s="2">
        <v>5</v>
      </c>
      <c r="H23" s="2">
        <v>5</v>
      </c>
      <c r="I23" s="2">
        <v>5</v>
      </c>
    </row>
    <row r="24" spans="3:9" x14ac:dyDescent="0.25">
      <c r="D24" s="2">
        <v>55</v>
      </c>
      <c r="E24" s="2">
        <v>5</v>
      </c>
      <c r="F24" s="2">
        <v>5</v>
      </c>
      <c r="G24" s="2">
        <v>5</v>
      </c>
      <c r="H24" s="2">
        <v>5</v>
      </c>
      <c r="I24" s="2">
        <v>4</v>
      </c>
    </row>
    <row r="25" spans="3:9" x14ac:dyDescent="0.25">
      <c r="D25" s="2">
        <v>60</v>
      </c>
      <c r="E25" s="2">
        <v>5</v>
      </c>
      <c r="F25" s="2">
        <v>5</v>
      </c>
      <c r="G25" s="2">
        <v>5</v>
      </c>
      <c r="H25" s="2">
        <v>4</v>
      </c>
      <c r="I25" s="2">
        <v>4</v>
      </c>
    </row>
    <row r="26" spans="3:9" x14ac:dyDescent="0.25">
      <c r="D26" s="2">
        <v>65</v>
      </c>
      <c r="E26" s="2">
        <v>5</v>
      </c>
      <c r="F26" s="2">
        <v>4</v>
      </c>
      <c r="G26" s="2">
        <v>4</v>
      </c>
      <c r="H26" s="2">
        <v>4</v>
      </c>
      <c r="I26" s="2">
        <v>4</v>
      </c>
    </row>
    <row r="27" spans="3:9" x14ac:dyDescent="0.25">
      <c r="D27" s="2">
        <v>70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3:9" x14ac:dyDescent="0.25">
      <c r="D28" s="2">
        <v>75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</row>
    <row r="29" spans="3:9" x14ac:dyDescent="0.25">
      <c r="D29" s="2">
        <v>80</v>
      </c>
      <c r="E29" s="2">
        <v>4</v>
      </c>
      <c r="F29" s="2">
        <v>4</v>
      </c>
      <c r="G29" s="2">
        <v>4</v>
      </c>
      <c r="H29" s="2">
        <v>4</v>
      </c>
      <c r="I29" s="2">
        <v>3</v>
      </c>
    </row>
    <row r="30" spans="3:9" x14ac:dyDescent="0.25">
      <c r="D30" s="2">
        <v>85</v>
      </c>
      <c r="E30" s="2">
        <v>4</v>
      </c>
      <c r="F30" s="2">
        <v>4</v>
      </c>
      <c r="G30" s="2">
        <v>4</v>
      </c>
      <c r="H30" s="2">
        <v>3</v>
      </c>
      <c r="I30" s="2">
        <v>3</v>
      </c>
    </row>
    <row r="31" spans="3:9" x14ac:dyDescent="0.25">
      <c r="D31" s="2">
        <v>90</v>
      </c>
      <c r="E31" s="2">
        <v>4</v>
      </c>
      <c r="F31" s="2">
        <v>4</v>
      </c>
      <c r="G31" s="2">
        <v>3</v>
      </c>
      <c r="H31" s="2">
        <v>3</v>
      </c>
      <c r="I31" s="2">
        <v>3</v>
      </c>
    </row>
    <row r="32" spans="3:9" x14ac:dyDescent="0.25">
      <c r="D32" s="2">
        <v>95</v>
      </c>
      <c r="E32" s="2">
        <v>4</v>
      </c>
      <c r="F32" s="2">
        <v>3</v>
      </c>
      <c r="G32" s="2">
        <v>3</v>
      </c>
      <c r="H32" s="2">
        <v>3</v>
      </c>
      <c r="I32" s="2">
        <v>3</v>
      </c>
    </row>
    <row r="33" spans="4:9" x14ac:dyDescent="0.25">
      <c r="D33" s="2">
        <v>100</v>
      </c>
      <c r="E33" s="2">
        <v>3</v>
      </c>
      <c r="F33" s="2">
        <v>3</v>
      </c>
      <c r="G33" s="2">
        <v>3</v>
      </c>
      <c r="H33" s="2">
        <v>3</v>
      </c>
      <c r="I33" s="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ED0D-2F29-4D6E-B961-95845E533564}">
  <sheetPr codeName="Sheet21"/>
  <dimension ref="D13"/>
  <sheetViews>
    <sheetView workbookViewId="0">
      <selection activeCell="G10" sqref="G10"/>
    </sheetView>
  </sheetViews>
  <sheetFormatPr defaultRowHeight="15" x14ac:dyDescent="0.25"/>
  <cols>
    <col min="1" max="16384" width="9.140625" style="2"/>
  </cols>
  <sheetData>
    <row r="13" spans="4:4" x14ac:dyDescent="0.25">
      <c r="D13" s="2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6874-1838-4141-B27E-369BDECE127B}">
  <sheetPr codeName="Sheet22"/>
  <dimension ref="B5:F23"/>
  <sheetViews>
    <sheetView topLeftCell="A5" workbookViewId="0">
      <selection activeCell="E9" sqref="E9"/>
    </sheetView>
  </sheetViews>
  <sheetFormatPr defaultRowHeight="12.75" x14ac:dyDescent="0.2"/>
  <cols>
    <col min="1" max="1" width="9.140625" style="4"/>
    <col min="2" max="2" width="19.85546875" style="4" customWidth="1"/>
    <col min="3" max="3" width="14.7109375" style="4" customWidth="1"/>
    <col min="4" max="4" width="13.140625" style="4" customWidth="1"/>
    <col min="5" max="5" width="13" style="4" customWidth="1"/>
    <col min="6" max="6" width="15" style="4" bestFit="1" customWidth="1"/>
    <col min="7" max="16384" width="9.140625" style="4"/>
  </cols>
  <sheetData>
    <row r="5" spans="2:6" x14ac:dyDescent="0.2">
      <c r="B5" s="4" t="s">
        <v>165</v>
      </c>
      <c r="C5" s="1">
        <v>5000000</v>
      </c>
    </row>
    <row r="6" spans="2:6" x14ac:dyDescent="0.2">
      <c r="B6" s="4" t="s">
        <v>166</v>
      </c>
      <c r="C6" s="4">
        <v>200000</v>
      </c>
      <c r="E6" s="4" t="s">
        <v>167</v>
      </c>
      <c r="F6" s="1">
        <f>current_units*3*(current_price-unit_vc)</f>
        <v>48000000</v>
      </c>
    </row>
    <row r="7" spans="2:6" x14ac:dyDescent="0.2">
      <c r="B7" s="4" t="s">
        <v>146</v>
      </c>
      <c r="C7" s="1">
        <v>100</v>
      </c>
      <c r="E7" s="4" t="s">
        <v>150</v>
      </c>
      <c r="F7" s="4">
        <f>(1+percentage_increase)*current_units*3*(current_price-unit_vc)-translation_cost</f>
        <v>52600000</v>
      </c>
    </row>
    <row r="8" spans="2:6" x14ac:dyDescent="0.2">
      <c r="B8" s="4" t="s">
        <v>168</v>
      </c>
      <c r="C8" s="1">
        <v>20</v>
      </c>
    </row>
    <row r="9" spans="2:6" x14ac:dyDescent="0.2">
      <c r="B9" s="4" t="s">
        <v>169</v>
      </c>
      <c r="C9" s="38">
        <v>0.2</v>
      </c>
    </row>
    <row r="11" spans="2:6" x14ac:dyDescent="0.2">
      <c r="C11" s="4" t="s">
        <v>170</v>
      </c>
    </row>
    <row r="12" spans="2:6" x14ac:dyDescent="0.2">
      <c r="B12" s="4" t="s">
        <v>171</v>
      </c>
      <c r="C12" s="39">
        <f>F7-F6</f>
        <v>4600000</v>
      </c>
    </row>
    <row r="13" spans="2:6" x14ac:dyDescent="0.2">
      <c r="B13" s="38">
        <v>0</v>
      </c>
      <c r="C13" s="4">
        <f t="dataTable" ref="C13:C23" dt2D="0" dtr="0" r1="C9"/>
        <v>-5000000</v>
      </c>
    </row>
    <row r="14" spans="2:6" x14ac:dyDescent="0.2">
      <c r="B14" s="38">
        <v>0.1</v>
      </c>
      <c r="C14" s="4">
        <v>-199999.99999999255</v>
      </c>
    </row>
    <row r="15" spans="2:6" x14ac:dyDescent="0.2">
      <c r="B15" s="38">
        <v>0.2</v>
      </c>
      <c r="C15" s="4">
        <v>4600000</v>
      </c>
    </row>
    <row r="16" spans="2:6" x14ac:dyDescent="0.2">
      <c r="B16" s="38">
        <v>0.3</v>
      </c>
      <c r="C16" s="4">
        <v>9400000</v>
      </c>
    </row>
    <row r="17" spans="2:3" x14ac:dyDescent="0.2">
      <c r="B17" s="38">
        <v>0.4</v>
      </c>
      <c r="C17" s="4">
        <v>14200000</v>
      </c>
    </row>
    <row r="18" spans="2:3" x14ac:dyDescent="0.2">
      <c r="B18" s="38">
        <v>0.5</v>
      </c>
      <c r="C18" s="4">
        <v>19000000</v>
      </c>
    </row>
    <row r="19" spans="2:3" x14ac:dyDescent="0.2">
      <c r="B19" s="38">
        <v>0.6</v>
      </c>
      <c r="C19" s="4">
        <v>23800000</v>
      </c>
    </row>
    <row r="20" spans="2:3" x14ac:dyDescent="0.2">
      <c r="B20" s="38">
        <v>0.7</v>
      </c>
      <c r="C20" s="4">
        <v>28600000</v>
      </c>
    </row>
    <row r="21" spans="2:3" x14ac:dyDescent="0.2">
      <c r="B21" s="38">
        <v>0.8</v>
      </c>
      <c r="C21" s="4">
        <v>33400000</v>
      </c>
    </row>
    <row r="22" spans="2:3" x14ac:dyDescent="0.2">
      <c r="B22" s="38">
        <v>0.9</v>
      </c>
      <c r="C22" s="4">
        <v>38200000</v>
      </c>
    </row>
    <row r="23" spans="2:3" x14ac:dyDescent="0.2">
      <c r="B23" s="38">
        <v>1</v>
      </c>
      <c r="C23" s="4">
        <v>43000000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A263-8109-4D44-9313-9D75E71EB366}">
  <sheetPr codeName="Sheet23"/>
  <dimension ref="B5:D26"/>
  <sheetViews>
    <sheetView workbookViewId="0">
      <selection activeCell="B6" sqref="B6:B26"/>
    </sheetView>
  </sheetViews>
  <sheetFormatPr defaultRowHeight="12.75" x14ac:dyDescent="0.2"/>
  <cols>
    <col min="1" max="16384" width="9.140625" style="43"/>
  </cols>
  <sheetData>
    <row r="5" spans="2:4" ht="13.5" thickBot="1" x14ac:dyDescent="0.25">
      <c r="B5" s="42" t="s">
        <v>172</v>
      </c>
      <c r="C5" s="42" t="s">
        <v>173</v>
      </c>
      <c r="D5" s="42" t="s">
        <v>174</v>
      </c>
    </row>
    <row r="6" spans="2:4" x14ac:dyDescent="0.2">
      <c r="B6" s="44" t="s">
        <v>175</v>
      </c>
      <c r="C6" s="43">
        <v>40.700000000000003</v>
      </c>
      <c r="D6" s="43">
        <v>73.900000000000006</v>
      </c>
    </row>
    <row r="7" spans="2:4" x14ac:dyDescent="0.2">
      <c r="B7" s="44" t="s">
        <v>176</v>
      </c>
      <c r="C7" s="43">
        <v>42.3</v>
      </c>
      <c r="D7" s="43">
        <v>71</v>
      </c>
    </row>
    <row r="8" spans="2:4" x14ac:dyDescent="0.2">
      <c r="B8" s="44" t="s">
        <v>177</v>
      </c>
      <c r="C8" s="43">
        <v>40</v>
      </c>
      <c r="D8" s="43">
        <v>75.099999999999994</v>
      </c>
    </row>
    <row r="9" spans="2:4" x14ac:dyDescent="0.2">
      <c r="B9" s="44" t="s">
        <v>178</v>
      </c>
      <c r="C9" s="43">
        <v>35.200000000000003</v>
      </c>
      <c r="D9" s="43">
        <v>80.8</v>
      </c>
    </row>
    <row r="10" spans="2:4" x14ac:dyDescent="0.2">
      <c r="B10" s="44" t="s">
        <v>179</v>
      </c>
      <c r="C10" s="43">
        <v>33.799999999999997</v>
      </c>
      <c r="D10" s="43">
        <v>84.4</v>
      </c>
    </row>
    <row r="11" spans="2:4" x14ac:dyDescent="0.2">
      <c r="B11" s="44" t="s">
        <v>180</v>
      </c>
      <c r="C11" s="43">
        <v>30</v>
      </c>
      <c r="D11" s="43">
        <v>89.9</v>
      </c>
    </row>
    <row r="12" spans="2:4" x14ac:dyDescent="0.2">
      <c r="B12" s="44" t="s">
        <v>181</v>
      </c>
      <c r="C12" s="43">
        <v>25.8</v>
      </c>
      <c r="D12" s="43">
        <v>80.2</v>
      </c>
    </row>
    <row r="13" spans="2:4" x14ac:dyDescent="0.2">
      <c r="B13" s="44" t="s">
        <v>182</v>
      </c>
      <c r="C13" s="43">
        <v>32.799999999999997</v>
      </c>
      <c r="D13" s="43">
        <v>96.8</v>
      </c>
    </row>
    <row r="14" spans="2:4" x14ac:dyDescent="0.2">
      <c r="B14" s="44" t="s">
        <v>183</v>
      </c>
      <c r="C14" s="43">
        <v>29.8</v>
      </c>
      <c r="D14" s="43">
        <v>95.4</v>
      </c>
    </row>
    <row r="15" spans="2:4" x14ac:dyDescent="0.2">
      <c r="B15" s="44" t="s">
        <v>184</v>
      </c>
      <c r="C15" s="43">
        <v>41.8</v>
      </c>
      <c r="D15" s="43">
        <v>87.7</v>
      </c>
    </row>
    <row r="16" spans="2:4" x14ac:dyDescent="0.2">
      <c r="B16" s="44" t="s">
        <v>185</v>
      </c>
      <c r="C16" s="43">
        <v>42.4</v>
      </c>
      <c r="D16" s="43">
        <v>83.1</v>
      </c>
    </row>
    <row r="17" spans="2:4" x14ac:dyDescent="0.2">
      <c r="B17" s="44" t="s">
        <v>186</v>
      </c>
      <c r="C17" s="43">
        <v>41.5</v>
      </c>
      <c r="D17" s="43">
        <v>81.7</v>
      </c>
    </row>
    <row r="18" spans="2:4" x14ac:dyDescent="0.2">
      <c r="B18" s="44" t="s">
        <v>187</v>
      </c>
      <c r="C18" s="43">
        <v>39.799999999999997</v>
      </c>
      <c r="D18" s="43">
        <v>86.1</v>
      </c>
    </row>
    <row r="19" spans="2:4" x14ac:dyDescent="0.2">
      <c r="B19" s="44" t="s">
        <v>188</v>
      </c>
      <c r="C19" s="43">
        <v>39.799999999999997</v>
      </c>
      <c r="D19" s="43">
        <v>104.9</v>
      </c>
    </row>
    <row r="20" spans="2:4" x14ac:dyDescent="0.2">
      <c r="B20" s="44" t="s">
        <v>189</v>
      </c>
      <c r="C20" s="43">
        <v>45</v>
      </c>
      <c r="D20" s="43">
        <v>93.3</v>
      </c>
    </row>
    <row r="21" spans="2:4" x14ac:dyDescent="0.2">
      <c r="B21" s="44" t="s">
        <v>190</v>
      </c>
      <c r="C21" s="43">
        <v>33.5</v>
      </c>
      <c r="D21" s="43">
        <v>112.1</v>
      </c>
    </row>
    <row r="22" spans="2:4" x14ac:dyDescent="0.2">
      <c r="B22" s="44" t="s">
        <v>191</v>
      </c>
      <c r="C22" s="43">
        <v>40.799999999999997</v>
      </c>
      <c r="D22" s="43">
        <v>111.9</v>
      </c>
    </row>
    <row r="23" spans="2:4" x14ac:dyDescent="0.2">
      <c r="B23" s="44" t="s">
        <v>192</v>
      </c>
      <c r="C23" s="43">
        <v>34.1</v>
      </c>
      <c r="D23" s="43">
        <v>118.4</v>
      </c>
    </row>
    <row r="24" spans="2:4" x14ac:dyDescent="0.2">
      <c r="B24" s="44" t="s">
        <v>193</v>
      </c>
      <c r="C24" s="43">
        <v>37.799999999999997</v>
      </c>
      <c r="D24" s="43">
        <v>122.6</v>
      </c>
    </row>
    <row r="25" spans="2:4" x14ac:dyDescent="0.2">
      <c r="B25" s="44" t="s">
        <v>194</v>
      </c>
      <c r="C25" s="43">
        <v>32.799999999999997</v>
      </c>
      <c r="D25" s="43">
        <v>117.1</v>
      </c>
    </row>
    <row r="26" spans="2:4" x14ac:dyDescent="0.2">
      <c r="B26" s="44" t="s">
        <v>195</v>
      </c>
      <c r="C26" s="43">
        <v>41.6</v>
      </c>
      <c r="D26" s="43">
        <v>122.4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24FD-3AE9-4B64-9A1D-29CA043B9B3A}">
  <sheetPr codeName="Sheet24"/>
  <dimension ref="G4:AK37"/>
  <sheetViews>
    <sheetView tabSelected="1" topLeftCell="I8" workbookViewId="0">
      <selection activeCell="K21" sqref="K21"/>
    </sheetView>
  </sheetViews>
  <sheetFormatPr defaultRowHeight="12.75" x14ac:dyDescent="0.2"/>
  <cols>
    <col min="1" max="3" width="9.140625" style="43"/>
    <col min="4" max="4" width="12.42578125" style="43" customWidth="1"/>
    <col min="5" max="5" width="4.42578125" style="43" bestFit="1" customWidth="1"/>
    <col min="6" max="6" width="5.28515625" style="43" bestFit="1" customWidth="1"/>
    <col min="7" max="7" width="9.28515625" style="43" bestFit="1" customWidth="1"/>
    <col min="8" max="8" width="10.28515625" style="43" bestFit="1" customWidth="1"/>
    <col min="9" max="9" width="10.140625" style="43" bestFit="1" customWidth="1"/>
    <col min="10" max="10" width="6.5703125" style="43" bestFit="1" customWidth="1"/>
    <col min="11" max="11" width="16.28515625" style="43" bestFit="1" customWidth="1"/>
    <col min="12" max="12" width="5.7109375" style="43" bestFit="1" customWidth="1"/>
    <col min="13" max="13" width="5.5703125" style="43" bestFit="1" customWidth="1"/>
    <col min="14" max="14" width="7.85546875" style="43" bestFit="1" customWidth="1"/>
    <col min="15" max="15" width="9.5703125" style="43" customWidth="1"/>
    <col min="16" max="16" width="9.140625" style="43"/>
    <col min="17" max="18" width="8.28515625" style="43" bestFit="1" customWidth="1"/>
    <col min="19" max="16384" width="9.140625" style="43"/>
  </cols>
  <sheetData>
    <row r="4" spans="7:37" x14ac:dyDescent="0.2">
      <c r="Q4" s="43" t="s">
        <v>196</v>
      </c>
      <c r="R4" s="43" t="s">
        <v>197</v>
      </c>
    </row>
    <row r="5" spans="7:37" x14ac:dyDescent="0.2">
      <c r="P5" s="43" t="s">
        <v>198</v>
      </c>
      <c r="Q5" s="43">
        <f>VLOOKUP(P14,lookup,2,FALSE)</f>
        <v>39.799999999999997</v>
      </c>
      <c r="R5" s="43">
        <f>Q5/57.2958</f>
        <v>0.69464079391508626</v>
      </c>
    </row>
    <row r="6" spans="7:37" ht="13.5" thickBot="1" x14ac:dyDescent="0.25">
      <c r="G6" s="42"/>
      <c r="H6" s="42"/>
      <c r="I6" s="42"/>
      <c r="J6" s="42"/>
      <c r="K6" s="42"/>
      <c r="L6" s="42"/>
      <c r="M6" s="42"/>
      <c r="N6" s="42"/>
      <c r="P6" s="43" t="s">
        <v>199</v>
      </c>
      <c r="Q6" s="43">
        <f>VLOOKUP(P14,lookup,3,FALSE)</f>
        <v>86.1</v>
      </c>
      <c r="R6" s="43">
        <f>Q6/57.2958</f>
        <v>1.5027279486454503</v>
      </c>
    </row>
    <row r="7" spans="7:37" x14ac:dyDescent="0.2">
      <c r="G7" s="45"/>
      <c r="H7" s="46"/>
      <c r="J7" s="45"/>
      <c r="K7" s="47"/>
      <c r="L7" s="47"/>
      <c r="M7" s="47"/>
      <c r="N7" s="47"/>
      <c r="P7" s="43" t="s">
        <v>200</v>
      </c>
      <c r="Q7" s="43">
        <f>VLOOKUP(Q14,lookup,2,FALSE)</f>
        <v>39.799999999999997</v>
      </c>
      <c r="R7" s="43">
        <f>Q7/57.2958</f>
        <v>0.69464079391508626</v>
      </c>
    </row>
    <row r="8" spans="7:37" x14ac:dyDescent="0.2">
      <c r="G8" s="45"/>
      <c r="H8" s="46"/>
      <c r="J8" s="45"/>
      <c r="K8" s="47"/>
      <c r="L8" s="47"/>
      <c r="M8" s="47"/>
      <c r="N8" s="47"/>
      <c r="P8" s="43" t="s">
        <v>201</v>
      </c>
      <c r="Q8" s="43">
        <f>VLOOKUP(Q14,lookup,3,FALSE)</f>
        <v>104.9</v>
      </c>
      <c r="R8" s="43">
        <f>Q8/57.2958</f>
        <v>1.8308497306957927</v>
      </c>
    </row>
    <row r="9" spans="7:37" x14ac:dyDescent="0.2">
      <c r="G9" s="45"/>
      <c r="H9" s="46"/>
      <c r="J9" s="45"/>
      <c r="K9" s="47"/>
      <c r="L9" s="47"/>
      <c r="M9" s="47"/>
      <c r="N9" s="47"/>
    </row>
    <row r="10" spans="7:37" x14ac:dyDescent="0.2">
      <c r="G10" s="45"/>
      <c r="H10" s="46"/>
      <c r="J10" s="45"/>
      <c r="K10" s="47"/>
      <c r="L10" s="47"/>
      <c r="M10" s="47"/>
      <c r="N10" s="47"/>
      <c r="P10" s="43" t="s">
        <v>202</v>
      </c>
      <c r="Q10" s="43">
        <f>3963*ACOS(SIN(R5)*SIN(R7)+COS(R5)*COS(R7)*COS(R8-R6))</f>
        <v>997.1880736039376</v>
      </c>
    </row>
    <row r="11" spans="7:37" x14ac:dyDescent="0.2">
      <c r="G11" s="45"/>
      <c r="H11" s="46"/>
      <c r="J11" s="45"/>
      <c r="K11" s="47"/>
      <c r="L11" s="47"/>
      <c r="M11" s="47"/>
      <c r="N11" s="47"/>
    </row>
    <row r="12" spans="7:37" x14ac:dyDescent="0.2">
      <c r="G12" s="45"/>
      <c r="H12" s="46"/>
      <c r="J12" s="45"/>
      <c r="K12" s="47"/>
      <c r="L12" s="47"/>
      <c r="M12" s="47"/>
      <c r="N12" s="47"/>
    </row>
    <row r="13" spans="7:37" x14ac:dyDescent="0.2">
      <c r="G13" s="45"/>
      <c r="H13" s="46"/>
      <c r="J13" s="45"/>
      <c r="K13" s="47"/>
      <c r="L13" s="47"/>
      <c r="M13" s="47"/>
      <c r="N13" s="47"/>
      <c r="P13" s="43" t="s">
        <v>203</v>
      </c>
      <c r="Q13" s="43" t="s">
        <v>204</v>
      </c>
    </row>
    <row r="14" spans="7:37" x14ac:dyDescent="0.2">
      <c r="G14" s="45"/>
      <c r="H14" s="46"/>
      <c r="J14" s="45"/>
      <c r="K14" s="47"/>
      <c r="L14" s="47"/>
      <c r="M14" s="47"/>
      <c r="N14" s="47"/>
      <c r="P14" s="43" t="s">
        <v>187</v>
      </c>
      <c r="Q14" s="43" t="s">
        <v>188</v>
      </c>
    </row>
    <row r="15" spans="7:37" x14ac:dyDescent="0.2">
      <c r="G15" s="45"/>
      <c r="H15" s="46"/>
      <c r="J15" s="45"/>
      <c r="K15" s="47"/>
      <c r="L15" s="47"/>
      <c r="M15" s="47"/>
      <c r="N15" s="47"/>
    </row>
    <row r="16" spans="7:37" x14ac:dyDescent="0.2">
      <c r="G16" s="45"/>
      <c r="H16" s="46"/>
      <c r="J16" s="45"/>
      <c r="K16" s="47"/>
      <c r="L16" s="47"/>
      <c r="M16" s="47"/>
      <c r="N16" s="47"/>
      <c r="P16" s="43">
        <f>Q10</f>
        <v>997.1880736039376</v>
      </c>
      <c r="Q16" s="44" t="s">
        <v>175</v>
      </c>
      <c r="R16" s="44" t="s">
        <v>176</v>
      </c>
      <c r="S16" s="44" t="s">
        <v>177</v>
      </c>
      <c r="T16" s="44" t="s">
        <v>178</v>
      </c>
      <c r="U16" s="44" t="s">
        <v>179</v>
      </c>
      <c r="V16" s="44" t="s">
        <v>180</v>
      </c>
      <c r="W16" s="44" t="s">
        <v>181</v>
      </c>
      <c r="X16" s="44" t="s">
        <v>182</v>
      </c>
      <c r="Y16" s="44" t="s">
        <v>183</v>
      </c>
      <c r="Z16" s="44" t="s">
        <v>184</v>
      </c>
      <c r="AA16" s="44" t="s">
        <v>185</v>
      </c>
      <c r="AB16" s="44" t="s">
        <v>186</v>
      </c>
      <c r="AC16" s="44" t="s">
        <v>187</v>
      </c>
      <c r="AD16" s="44" t="s">
        <v>188</v>
      </c>
      <c r="AE16" s="44" t="s">
        <v>189</v>
      </c>
      <c r="AF16" s="44" t="s">
        <v>190</v>
      </c>
      <c r="AG16" s="44" t="s">
        <v>191</v>
      </c>
      <c r="AH16" s="44" t="s">
        <v>192</v>
      </c>
      <c r="AI16" s="44" t="s">
        <v>193</v>
      </c>
      <c r="AJ16" s="44" t="s">
        <v>194</v>
      </c>
      <c r="AK16" s="44" t="s">
        <v>195</v>
      </c>
    </row>
    <row r="17" spans="7:37" x14ac:dyDescent="0.2">
      <c r="G17" s="45"/>
      <c r="H17" s="46"/>
      <c r="J17" s="45"/>
      <c r="K17" s="47"/>
      <c r="L17" s="47"/>
      <c r="M17" s="47"/>
      <c r="N17" s="47"/>
      <c r="P17" s="44" t="s">
        <v>175</v>
      </c>
      <c r="Q17" s="43">
        <f t="dataTable" ref="Q17:AK37" dt2D="1" dtr="0" r1="P14" r2="Q14"/>
        <v>0</v>
      </c>
      <c r="R17" s="43">
        <v>186.57242291677434</v>
      </c>
      <c r="S17" s="43">
        <v>79.65695531755442</v>
      </c>
      <c r="T17" s="43">
        <v>534.76925034591636</v>
      </c>
      <c r="U17" s="43">
        <v>748.68260643324129</v>
      </c>
      <c r="V17" s="43">
        <v>1163.9418197983105</v>
      </c>
      <c r="W17" s="43">
        <v>1092.3195481430637</v>
      </c>
      <c r="X17" s="43">
        <v>1376.4803233633754</v>
      </c>
      <c r="Y17" s="43">
        <v>1423.4722242471521</v>
      </c>
      <c r="Z17" s="43">
        <v>720.87213126985921</v>
      </c>
      <c r="AA17" s="43">
        <v>490.24829472884034</v>
      </c>
      <c r="AB17" s="43">
        <v>410.15473658901033</v>
      </c>
      <c r="AC17" s="43">
        <v>646.52157343429542</v>
      </c>
      <c r="AD17" s="43">
        <v>1629.1871112427621</v>
      </c>
      <c r="AE17" s="43">
        <v>1024.8489851849654</v>
      </c>
      <c r="AF17" s="43">
        <v>2147.5209227993851</v>
      </c>
      <c r="AG17" s="43">
        <v>1975.2543416442518</v>
      </c>
      <c r="AH17" s="43">
        <v>2460.6149832419628</v>
      </c>
      <c r="AI17" s="43">
        <v>2582.7410627344152</v>
      </c>
      <c r="AJ17" s="43">
        <v>2430.2439897402401</v>
      </c>
      <c r="AK17" s="43">
        <v>2492.8001861709777</v>
      </c>
    </row>
    <row r="18" spans="7:37" x14ac:dyDescent="0.2">
      <c r="G18" s="45"/>
      <c r="H18" s="46"/>
      <c r="J18" s="45"/>
      <c r="K18" s="47"/>
      <c r="L18" s="47"/>
      <c r="M18" s="47"/>
      <c r="N18" s="47"/>
      <c r="P18" s="44" t="s">
        <v>176</v>
      </c>
      <c r="Q18" s="43">
        <v>186.57242291677434</v>
      </c>
      <c r="R18" s="43">
        <v>0</v>
      </c>
      <c r="S18" s="43">
        <v>266.22866245308143</v>
      </c>
      <c r="T18" s="43">
        <v>720.63028819153112</v>
      </c>
      <c r="U18" s="43">
        <v>935.22864804040421</v>
      </c>
      <c r="V18" s="43">
        <v>1350.3107725195241</v>
      </c>
      <c r="W18" s="43">
        <v>1255.2673537279443</v>
      </c>
      <c r="X18" s="43">
        <v>1551.7724830543018</v>
      </c>
      <c r="Y18" s="43">
        <v>1606.341413418553</v>
      </c>
      <c r="Z18" s="43">
        <v>857.04924618709686</v>
      </c>
      <c r="AA18" s="43">
        <v>618.03996892920338</v>
      </c>
      <c r="AB18" s="43">
        <v>553.25944974392723</v>
      </c>
      <c r="AC18" s="43">
        <v>805.23533862346608</v>
      </c>
      <c r="AD18" s="43">
        <v>1764.9828410016476</v>
      </c>
      <c r="AE18" s="43">
        <v>1127.860424360963</v>
      </c>
      <c r="AF18" s="43">
        <v>2300.1911249173536</v>
      </c>
      <c r="AG18" s="43">
        <v>2099.187499334098</v>
      </c>
      <c r="AH18" s="43">
        <v>2603.3795531162968</v>
      </c>
      <c r="AI18" s="43">
        <v>2707.8307427905079</v>
      </c>
      <c r="AJ18" s="43">
        <v>2578.6534875984439</v>
      </c>
      <c r="AK18" s="43">
        <v>2603.2550717978984</v>
      </c>
    </row>
    <row r="19" spans="7:37" x14ac:dyDescent="0.2">
      <c r="G19" s="45"/>
      <c r="H19" s="46"/>
      <c r="J19" s="45"/>
      <c r="K19" s="47"/>
      <c r="L19" s="47"/>
      <c r="M19" s="47"/>
      <c r="N19" s="47"/>
      <c r="P19" s="44" t="s">
        <v>177</v>
      </c>
      <c r="Q19" s="43">
        <v>79.65695531755442</v>
      </c>
      <c r="R19" s="43">
        <v>266.22866245308143</v>
      </c>
      <c r="S19" s="43">
        <v>0</v>
      </c>
      <c r="T19" s="43">
        <v>455.64078766393362</v>
      </c>
      <c r="U19" s="43">
        <v>669.03401132222461</v>
      </c>
      <c r="V19" s="43">
        <v>1084.3717539061945</v>
      </c>
      <c r="W19" s="43">
        <v>1025.3583406177249</v>
      </c>
      <c r="X19" s="43">
        <v>1302.3977016496074</v>
      </c>
      <c r="Y19" s="43">
        <v>1345.6026460484843</v>
      </c>
      <c r="Z19" s="43">
        <v>669.74823730299272</v>
      </c>
      <c r="AA19" s="43">
        <v>447.98453933722908</v>
      </c>
      <c r="AB19" s="43">
        <v>360.95102480264791</v>
      </c>
      <c r="AC19" s="43">
        <v>583.48442572760155</v>
      </c>
      <c r="AD19" s="43">
        <v>1573.8890069247032</v>
      </c>
      <c r="AE19" s="43">
        <v>987.80820067131106</v>
      </c>
      <c r="AF19" s="43">
        <v>2083.5964588877969</v>
      </c>
      <c r="AG19" s="43">
        <v>1924.8298419389187</v>
      </c>
      <c r="AH19" s="43">
        <v>2400.9672593147507</v>
      </c>
      <c r="AI19" s="43">
        <v>2530.9800730630841</v>
      </c>
      <c r="AJ19" s="43">
        <v>2368.0463854584118</v>
      </c>
      <c r="AK19" s="43">
        <v>2447.723765507239</v>
      </c>
    </row>
    <row r="20" spans="7:37" x14ac:dyDescent="0.2">
      <c r="G20" s="45"/>
      <c r="H20" s="46"/>
      <c r="J20" s="45"/>
      <c r="K20" s="47"/>
      <c r="L20" s="47"/>
      <c r="M20" s="47"/>
      <c r="N20" s="47"/>
      <c r="P20" s="44" t="s">
        <v>178</v>
      </c>
      <c r="Q20" s="43">
        <v>534.76925034591636</v>
      </c>
      <c r="R20" s="43">
        <v>720.63028819153112</v>
      </c>
      <c r="S20" s="43">
        <v>455.64078766393362</v>
      </c>
      <c r="T20" s="43">
        <v>5.9053301811218262E-5</v>
      </c>
      <c r="U20" s="43">
        <v>226.88837499170711</v>
      </c>
      <c r="V20" s="43">
        <v>640.26202076018899</v>
      </c>
      <c r="W20" s="43">
        <v>651.15136741664412</v>
      </c>
      <c r="X20" s="43">
        <v>931.2960370073115</v>
      </c>
      <c r="Y20" s="43">
        <v>928.73952363617957</v>
      </c>
      <c r="Z20" s="43">
        <v>589.39683984271687</v>
      </c>
      <c r="AA20" s="43">
        <v>513.14717791540374</v>
      </c>
      <c r="AB20" s="43">
        <v>438.47271136053081</v>
      </c>
      <c r="AC20" s="43">
        <v>430.89199116072984</v>
      </c>
      <c r="AD20" s="43">
        <v>1355.6947845052828</v>
      </c>
      <c r="AE20" s="43">
        <v>944.87176721843502</v>
      </c>
      <c r="AF20" s="43">
        <v>1783.894418862614</v>
      </c>
      <c r="AG20" s="43">
        <v>1729.0901730689702</v>
      </c>
      <c r="AH20" s="43">
        <v>2127.9581780894941</v>
      </c>
      <c r="AI20" s="43">
        <v>2311.7459228209132</v>
      </c>
      <c r="AJ20" s="43">
        <v>2076.6345871929343</v>
      </c>
      <c r="AK20" s="43">
        <v>2275.3318992941881</v>
      </c>
    </row>
    <row r="21" spans="7:37" x14ac:dyDescent="0.2">
      <c r="G21" s="45"/>
      <c r="H21" s="46"/>
      <c r="J21" s="45"/>
      <c r="K21" s="47"/>
      <c r="L21" s="47"/>
      <c r="M21" s="47"/>
      <c r="N21" s="47"/>
      <c r="P21" s="44" t="s">
        <v>179</v>
      </c>
      <c r="Q21" s="43">
        <v>748.68260643324129</v>
      </c>
      <c r="R21" s="43">
        <v>935.22864804040421</v>
      </c>
      <c r="S21" s="43">
        <v>669.03401132222461</v>
      </c>
      <c r="T21" s="43">
        <v>226.88837499170711</v>
      </c>
      <c r="U21" s="43">
        <v>0</v>
      </c>
      <c r="V21" s="43">
        <v>416.27506814001174</v>
      </c>
      <c r="W21" s="43">
        <v>607.88202172898286</v>
      </c>
      <c r="X21" s="43">
        <v>719.73885798041499</v>
      </c>
      <c r="Y21" s="43">
        <v>702.82095205145333</v>
      </c>
      <c r="Z21" s="43">
        <v>581.85916439606603</v>
      </c>
      <c r="AA21" s="43">
        <v>599.01080970572059</v>
      </c>
      <c r="AB21" s="43">
        <v>552.64884382971081</v>
      </c>
      <c r="AC21" s="43">
        <v>425.52494450287838</v>
      </c>
      <c r="AD21" s="43">
        <v>1205.4843776036184</v>
      </c>
      <c r="AE21" s="43">
        <v>907.7615056419412</v>
      </c>
      <c r="AF21" s="43">
        <v>1590.1864593453076</v>
      </c>
      <c r="AG21" s="43">
        <v>1581.0302586071098</v>
      </c>
      <c r="AH21" s="43">
        <v>1941.7577228155276</v>
      </c>
      <c r="AI21" s="43">
        <v>2145.8120617196009</v>
      </c>
      <c r="AJ21" s="43">
        <v>1883.7187479924378</v>
      </c>
      <c r="AK21" s="43">
        <v>2129.9220131368106</v>
      </c>
    </row>
    <row r="22" spans="7:37" x14ac:dyDescent="0.2">
      <c r="G22" s="45"/>
      <c r="H22" s="46"/>
      <c r="J22" s="45"/>
      <c r="K22" s="47"/>
      <c r="L22" s="47"/>
      <c r="M22" s="47"/>
      <c r="N22" s="47"/>
      <c r="P22" s="44" t="s">
        <v>180</v>
      </c>
      <c r="Q22" s="43">
        <v>1163.9418197983105</v>
      </c>
      <c r="R22" s="43">
        <v>1350.3107725195241</v>
      </c>
      <c r="S22" s="43">
        <v>1084.3717539061945</v>
      </c>
      <c r="T22" s="43">
        <v>640.26202076018899</v>
      </c>
      <c r="U22" s="43">
        <v>416.27506814001174</v>
      </c>
      <c r="V22" s="43">
        <v>0</v>
      </c>
      <c r="W22" s="43">
        <v>659.92012722739321</v>
      </c>
      <c r="X22" s="43">
        <v>450.91722301661997</v>
      </c>
      <c r="Y22" s="43">
        <v>330.04359523965718</v>
      </c>
      <c r="Z22" s="43">
        <v>825.34611495859735</v>
      </c>
      <c r="AA22" s="43">
        <v>937.08697884464175</v>
      </c>
      <c r="AB22" s="43">
        <v>917.9507885600899</v>
      </c>
      <c r="AC22" s="43">
        <v>711.09152899588514</v>
      </c>
      <c r="AD22" s="43">
        <v>1085.2716182660561</v>
      </c>
      <c r="AE22" s="43">
        <v>1053.8887017871778</v>
      </c>
      <c r="AF22" s="43">
        <v>1325.3037848767594</v>
      </c>
      <c r="AG22" s="43">
        <v>1441.7475599509512</v>
      </c>
      <c r="AH22" s="43">
        <v>1689.0813712355966</v>
      </c>
      <c r="AI22" s="43">
        <v>1942.1919691821568</v>
      </c>
      <c r="AJ22" s="43">
        <v>1613.0002893725209</v>
      </c>
      <c r="AK22" s="43">
        <v>1976.7737394854121</v>
      </c>
    </row>
    <row r="23" spans="7:37" x14ac:dyDescent="0.2">
      <c r="G23" s="45"/>
      <c r="H23" s="46"/>
      <c r="J23" s="45"/>
      <c r="K23" s="47"/>
      <c r="L23" s="47"/>
      <c r="M23" s="47"/>
      <c r="N23" s="47"/>
      <c r="P23" s="44" t="s">
        <v>181</v>
      </c>
      <c r="Q23" s="43">
        <v>1092.3195481430637</v>
      </c>
      <c r="R23" s="43">
        <v>1255.2673537279443</v>
      </c>
      <c r="S23" s="43">
        <v>1025.3583406177249</v>
      </c>
      <c r="T23" s="43">
        <v>651.15136741664412</v>
      </c>
      <c r="U23" s="43">
        <v>607.88202172898286</v>
      </c>
      <c r="V23" s="43">
        <v>659.92012722739321</v>
      </c>
      <c r="W23" s="43">
        <v>0</v>
      </c>
      <c r="X23" s="43">
        <v>1110.3542028503502</v>
      </c>
      <c r="Y23" s="43">
        <v>969.37615283802415</v>
      </c>
      <c r="Z23" s="43">
        <v>1186.4391874134972</v>
      </c>
      <c r="AA23" s="43">
        <v>1159.930783441162</v>
      </c>
      <c r="AB23" s="43">
        <v>1089.3066409272651</v>
      </c>
      <c r="AC23" s="43">
        <v>1026.6473495903829</v>
      </c>
      <c r="AD23" s="43">
        <v>1722.5801307133395</v>
      </c>
      <c r="AE23" s="43">
        <v>1515.0560303311706</v>
      </c>
      <c r="AF23" s="43">
        <v>1981.3824442798211</v>
      </c>
      <c r="AG23" s="43">
        <v>2089.0652881443871</v>
      </c>
      <c r="AH23" s="43">
        <v>2345.7268328911164</v>
      </c>
      <c r="AI23" s="43">
        <v>2602.0096019450989</v>
      </c>
      <c r="AJ23" s="43">
        <v>2265.8695830401316</v>
      </c>
      <c r="AK23" s="43">
        <v>2630.2768248987459</v>
      </c>
    </row>
    <row r="24" spans="7:37" x14ac:dyDescent="0.2">
      <c r="G24" s="45"/>
      <c r="H24" s="46"/>
      <c r="J24" s="45"/>
      <c r="K24" s="47"/>
      <c r="L24" s="47"/>
      <c r="M24" s="47"/>
      <c r="N24" s="47"/>
      <c r="P24" s="44" t="s">
        <v>182</v>
      </c>
      <c r="Q24" s="43">
        <v>1376.4803233633754</v>
      </c>
      <c r="R24" s="43">
        <v>1551.7724830543018</v>
      </c>
      <c r="S24" s="43">
        <v>1302.3977016496074</v>
      </c>
      <c r="T24" s="43">
        <v>931.2960370073115</v>
      </c>
      <c r="U24" s="43">
        <v>719.73885798041499</v>
      </c>
      <c r="V24" s="43">
        <v>450.91722301661997</v>
      </c>
      <c r="W24" s="43">
        <v>1110.3542028503502</v>
      </c>
      <c r="X24" s="43">
        <v>0</v>
      </c>
      <c r="Y24" s="43">
        <v>223.38264054634479</v>
      </c>
      <c r="Z24" s="43">
        <v>797.86914965757921</v>
      </c>
      <c r="AA24" s="43">
        <v>999.94162394108753</v>
      </c>
      <c r="AB24" s="43">
        <v>1024.702368926984</v>
      </c>
      <c r="AC24" s="43">
        <v>767.24426699720038</v>
      </c>
      <c r="AD24" s="43">
        <v>661.44838698168007</v>
      </c>
      <c r="AE24" s="43">
        <v>864.38586112196117</v>
      </c>
      <c r="AF24" s="43">
        <v>886.53993781382928</v>
      </c>
      <c r="AG24" s="43">
        <v>1000.5421759541711</v>
      </c>
      <c r="AH24" s="43">
        <v>1247.4763414415027</v>
      </c>
      <c r="AI24" s="43">
        <v>1491.730046557346</v>
      </c>
      <c r="AJ24" s="43">
        <v>1178.4109495438993</v>
      </c>
      <c r="AK24" s="43">
        <v>1528.6600839806399</v>
      </c>
    </row>
    <row r="25" spans="7:37" x14ac:dyDescent="0.2">
      <c r="G25" s="45"/>
      <c r="H25" s="46"/>
      <c r="J25" s="45"/>
      <c r="K25" s="47"/>
      <c r="L25" s="47"/>
      <c r="M25" s="47"/>
      <c r="N25" s="47"/>
      <c r="P25" s="44" t="s">
        <v>183</v>
      </c>
      <c r="Q25" s="43">
        <v>1423.4722242471521</v>
      </c>
      <c r="R25" s="43">
        <v>1606.341413418553</v>
      </c>
      <c r="S25" s="43">
        <v>1345.6026460484843</v>
      </c>
      <c r="T25" s="43">
        <v>928.73952363617957</v>
      </c>
      <c r="U25" s="43">
        <v>702.82095205145333</v>
      </c>
      <c r="V25" s="43">
        <v>330.04359523965718</v>
      </c>
      <c r="W25" s="43">
        <v>969.37615283802415</v>
      </c>
      <c r="X25" s="43">
        <v>223.38264054634479</v>
      </c>
      <c r="Y25" s="43">
        <v>0</v>
      </c>
      <c r="Z25" s="43">
        <v>934.69742843097833</v>
      </c>
      <c r="AA25" s="43">
        <v>1107.4580295657024</v>
      </c>
      <c r="AB25" s="43">
        <v>1114.2674023138131</v>
      </c>
      <c r="AC25" s="43">
        <v>869.18362263792255</v>
      </c>
      <c r="AD25" s="43">
        <v>876.0799591248466</v>
      </c>
      <c r="AE25" s="43">
        <v>1057.5550667435309</v>
      </c>
      <c r="AF25" s="43">
        <v>1014.7675132410485</v>
      </c>
      <c r="AG25" s="43">
        <v>1199.0545425521736</v>
      </c>
      <c r="AH25" s="43">
        <v>1379.0504517052191</v>
      </c>
      <c r="AI25" s="43">
        <v>1651.2377500981825</v>
      </c>
      <c r="AJ25" s="43">
        <v>1296.7939142893988</v>
      </c>
      <c r="AK25" s="43">
        <v>1711.9221254525517</v>
      </c>
    </row>
    <row r="26" spans="7:37" x14ac:dyDescent="0.2">
      <c r="G26" s="45"/>
      <c r="H26" s="46"/>
      <c r="J26" s="45"/>
      <c r="K26" s="47"/>
      <c r="L26" s="47"/>
      <c r="M26" s="47"/>
      <c r="N26" s="47"/>
      <c r="P26" s="44" t="s">
        <v>184</v>
      </c>
      <c r="Q26" s="43">
        <v>720.87213126985921</v>
      </c>
      <c r="R26" s="43">
        <v>857.04924618709686</v>
      </c>
      <c r="S26" s="43">
        <v>669.74823730299272</v>
      </c>
      <c r="T26" s="43">
        <v>589.39683984271687</v>
      </c>
      <c r="U26" s="43">
        <v>581.85916439606603</v>
      </c>
      <c r="V26" s="43">
        <v>825.34611495859735</v>
      </c>
      <c r="W26" s="43">
        <v>1186.4391874134972</v>
      </c>
      <c r="X26" s="43">
        <v>797.86914965757921</v>
      </c>
      <c r="Y26" s="43">
        <v>934.69742843097833</v>
      </c>
      <c r="Z26" s="43">
        <v>0</v>
      </c>
      <c r="AA26" s="43">
        <v>239.66271124404685</v>
      </c>
      <c r="AB26" s="43">
        <v>310.72869080222915</v>
      </c>
      <c r="AC26" s="43">
        <v>161.71657754747389</v>
      </c>
      <c r="AD26" s="43">
        <v>909.56356765680925</v>
      </c>
      <c r="AE26" s="43">
        <v>357.89163404630415</v>
      </c>
      <c r="AF26" s="43">
        <v>1447.8347132300689</v>
      </c>
      <c r="AG26" s="43">
        <v>1255.2491721622982</v>
      </c>
      <c r="AH26" s="43">
        <v>1746.3372492749545</v>
      </c>
      <c r="AI26" s="43">
        <v>1862.1044464111999</v>
      </c>
      <c r="AJ26" s="43">
        <v>1722.794551261683</v>
      </c>
      <c r="AK26" s="43">
        <v>1779.7179642869244</v>
      </c>
    </row>
    <row r="27" spans="7:37" x14ac:dyDescent="0.2">
      <c r="G27" s="45"/>
      <c r="H27" s="46"/>
      <c r="J27" s="45"/>
      <c r="K27" s="47"/>
      <c r="L27" s="47"/>
      <c r="M27" s="47"/>
      <c r="N27" s="47"/>
      <c r="P27" s="44" t="s">
        <v>185</v>
      </c>
      <c r="Q27" s="43">
        <v>490.24829472884034</v>
      </c>
      <c r="R27" s="43">
        <v>618.03996892920338</v>
      </c>
      <c r="S27" s="43">
        <v>447.98453933722908</v>
      </c>
      <c r="T27" s="43">
        <v>513.14717791540374</v>
      </c>
      <c r="U27" s="43">
        <v>599.01080970572059</v>
      </c>
      <c r="V27" s="43">
        <v>937.08697884464175</v>
      </c>
      <c r="W27" s="43">
        <v>1159.930783441162</v>
      </c>
      <c r="X27" s="43">
        <v>999.94162394108753</v>
      </c>
      <c r="Y27" s="43">
        <v>1107.4580295657024</v>
      </c>
      <c r="Z27" s="43">
        <v>239.66271124404685</v>
      </c>
      <c r="AA27" s="43">
        <v>0</v>
      </c>
      <c r="AB27" s="43">
        <v>95.190964877428812</v>
      </c>
      <c r="AC27" s="43">
        <v>238.27470645694126</v>
      </c>
      <c r="AD27" s="43">
        <v>1147.1388603494254</v>
      </c>
      <c r="AE27" s="43">
        <v>540.37510138478149</v>
      </c>
      <c r="AF27" s="43">
        <v>1687.026025634749</v>
      </c>
      <c r="AG27" s="43">
        <v>1486.5893925017742</v>
      </c>
      <c r="AH27" s="43">
        <v>1985.5131520328512</v>
      </c>
      <c r="AI27" s="43">
        <v>2094.7693808574359</v>
      </c>
      <c r="AJ27" s="43">
        <v>1962.4572201240442</v>
      </c>
      <c r="AK27" s="43">
        <v>2002.6322833075099</v>
      </c>
    </row>
    <row r="28" spans="7:37" x14ac:dyDescent="0.2">
      <c r="P28" s="44" t="s">
        <v>186</v>
      </c>
      <c r="Q28" s="43">
        <v>410.15473658901033</v>
      </c>
      <c r="R28" s="43">
        <v>553.25944974392723</v>
      </c>
      <c r="S28" s="43">
        <v>360.95102480264791</v>
      </c>
      <c r="T28" s="43">
        <v>438.47271136053081</v>
      </c>
      <c r="U28" s="43">
        <v>552.64884382971081</v>
      </c>
      <c r="V28" s="43">
        <v>917.9507885600899</v>
      </c>
      <c r="W28" s="43">
        <v>1089.3066409272651</v>
      </c>
      <c r="X28" s="43">
        <v>1024.702368926984</v>
      </c>
      <c r="Y28" s="43">
        <v>1114.2674023138131</v>
      </c>
      <c r="Z28" s="43">
        <v>310.72869080222915</v>
      </c>
      <c r="AA28" s="43">
        <v>95.190964877428812</v>
      </c>
      <c r="AB28" s="43">
        <v>0</v>
      </c>
      <c r="AC28" s="43">
        <v>259.07090951746335</v>
      </c>
      <c r="AD28" s="43">
        <v>1219.4566334388776</v>
      </c>
      <c r="AE28" s="43">
        <v>631.81884529192632</v>
      </c>
      <c r="AF28" s="43">
        <v>1746.9713939733826</v>
      </c>
      <c r="AG28" s="43">
        <v>1565.60497078194</v>
      </c>
      <c r="AH28" s="43">
        <v>2053.4332509072947</v>
      </c>
      <c r="AI28" s="43">
        <v>2172.7604313725456</v>
      </c>
      <c r="AJ28" s="43">
        <v>2026.2898267086232</v>
      </c>
      <c r="AK28" s="43">
        <v>2086.7858663148504</v>
      </c>
    </row>
    <row r="29" spans="7:37" x14ac:dyDescent="0.2">
      <c r="P29" s="44" t="s">
        <v>187</v>
      </c>
      <c r="Q29" s="43">
        <v>646.52157343429542</v>
      </c>
      <c r="R29" s="43">
        <v>805.23533862346608</v>
      </c>
      <c r="S29" s="43">
        <v>583.48442572760155</v>
      </c>
      <c r="T29" s="43">
        <v>430.89199116072984</v>
      </c>
      <c r="U29" s="43">
        <v>425.52494450287838</v>
      </c>
      <c r="V29" s="43">
        <v>711.09152899588514</v>
      </c>
      <c r="W29" s="43">
        <v>1026.6473495903829</v>
      </c>
      <c r="X29" s="43">
        <v>767.24426699720038</v>
      </c>
      <c r="Y29" s="43">
        <v>869.18362263792255</v>
      </c>
      <c r="Z29" s="43">
        <v>161.71657754747389</v>
      </c>
      <c r="AA29" s="43">
        <v>238.27470645694126</v>
      </c>
      <c r="AB29" s="43">
        <v>259.07090951746335</v>
      </c>
      <c r="AC29" s="43">
        <v>0</v>
      </c>
      <c r="AD29" s="43">
        <v>997.1880736039376</v>
      </c>
      <c r="AE29" s="43">
        <v>514.00392699133215</v>
      </c>
      <c r="AF29" s="43">
        <v>1501.0426087375856</v>
      </c>
      <c r="AG29" s="43">
        <v>1357.8416679820373</v>
      </c>
      <c r="AH29" s="43">
        <v>1817.9657778622666</v>
      </c>
      <c r="AI29" s="43">
        <v>1958.7556109874745</v>
      </c>
      <c r="AJ29" s="43">
        <v>1784.6372988092987</v>
      </c>
      <c r="AK29" s="43">
        <v>1893.5245771408379</v>
      </c>
    </row>
    <row r="30" spans="7:37" x14ac:dyDescent="0.2">
      <c r="P30" s="44" t="s">
        <v>188</v>
      </c>
      <c r="Q30" s="43">
        <v>1629.1871112427621</v>
      </c>
      <c r="R30" s="43">
        <v>1764.9828410016476</v>
      </c>
      <c r="S30" s="43">
        <v>1573.8890069247032</v>
      </c>
      <c r="T30" s="43">
        <v>1355.6947845052828</v>
      </c>
      <c r="U30" s="43">
        <v>1205.4843776036184</v>
      </c>
      <c r="V30" s="43">
        <v>1085.2716182660561</v>
      </c>
      <c r="W30" s="43">
        <v>1722.5801307133395</v>
      </c>
      <c r="X30" s="43">
        <v>661.44838698168007</v>
      </c>
      <c r="Y30" s="43">
        <v>876.0799591248466</v>
      </c>
      <c r="Z30" s="43">
        <v>909.56356765680925</v>
      </c>
      <c r="AA30" s="43">
        <v>1147.1388603494254</v>
      </c>
      <c r="AB30" s="43">
        <v>1219.4566334388776</v>
      </c>
      <c r="AC30" s="43">
        <v>997.1880736039376</v>
      </c>
      <c r="AD30" s="43">
        <v>0</v>
      </c>
      <c r="AE30" s="43">
        <v>692.11357893011177</v>
      </c>
      <c r="AF30" s="43">
        <v>590.77688241584497</v>
      </c>
      <c r="AG30" s="43">
        <v>375.57548210649901</v>
      </c>
      <c r="AH30" s="43">
        <v>842.68177454659087</v>
      </c>
      <c r="AI30" s="43">
        <v>962.46742800484708</v>
      </c>
      <c r="AJ30" s="43">
        <v>833.54871055403112</v>
      </c>
      <c r="AK30" s="43">
        <v>924.44417087598617</v>
      </c>
    </row>
    <row r="31" spans="7:37" x14ac:dyDescent="0.2">
      <c r="P31" s="44" t="s">
        <v>189</v>
      </c>
      <c r="Q31" s="43">
        <v>1024.8489851849654</v>
      </c>
      <c r="R31" s="43">
        <v>1127.860424360963</v>
      </c>
      <c r="S31" s="43">
        <v>987.80820067131106</v>
      </c>
      <c r="T31" s="43">
        <v>944.87176721843502</v>
      </c>
      <c r="U31" s="43">
        <v>907.7615056419412</v>
      </c>
      <c r="V31" s="43">
        <v>1053.8887017871778</v>
      </c>
      <c r="W31" s="43">
        <v>1515.0560303311706</v>
      </c>
      <c r="X31" s="43">
        <v>864.38586112196117</v>
      </c>
      <c r="Y31" s="43">
        <v>1057.5550667435309</v>
      </c>
      <c r="Z31" s="43">
        <v>357.89163404630415</v>
      </c>
      <c r="AA31" s="43">
        <v>540.37510138478149</v>
      </c>
      <c r="AB31" s="43">
        <v>631.81884529192632</v>
      </c>
      <c r="AC31" s="43">
        <v>514.00392699133215</v>
      </c>
      <c r="AD31" s="43">
        <v>692.11357893011177</v>
      </c>
      <c r="AE31" s="43">
        <v>0</v>
      </c>
      <c r="AF31" s="43">
        <v>1277.8095864726424</v>
      </c>
      <c r="AG31" s="43">
        <v>983.61705441416427</v>
      </c>
      <c r="AH31" s="43">
        <v>1527.1443105806495</v>
      </c>
      <c r="AI31" s="43">
        <v>1589.5117607803465</v>
      </c>
      <c r="AJ31" s="43">
        <v>1524.9946254915899</v>
      </c>
      <c r="AK31" s="43">
        <v>1475.4159240663757</v>
      </c>
    </row>
    <row r="32" spans="7:37" x14ac:dyDescent="0.2">
      <c r="P32" s="44" t="s">
        <v>190</v>
      </c>
      <c r="Q32" s="43">
        <v>2147.5209227993851</v>
      </c>
      <c r="R32" s="43">
        <v>2300.1911249173536</v>
      </c>
      <c r="S32" s="43">
        <v>2083.5964588877969</v>
      </c>
      <c r="T32" s="43">
        <v>1783.894418862614</v>
      </c>
      <c r="U32" s="43">
        <v>1590.1864593453076</v>
      </c>
      <c r="V32" s="43">
        <v>1325.3037848767594</v>
      </c>
      <c r="W32" s="43">
        <v>1981.3824442798211</v>
      </c>
      <c r="X32" s="43">
        <v>886.53993781382928</v>
      </c>
      <c r="Y32" s="43">
        <v>1014.7675132410485</v>
      </c>
      <c r="Z32" s="43">
        <v>1447.8347132300689</v>
      </c>
      <c r="AA32" s="43">
        <v>1687.026025634749</v>
      </c>
      <c r="AB32" s="43">
        <v>1746.9713939733826</v>
      </c>
      <c r="AC32" s="43">
        <v>1501.0426087375856</v>
      </c>
      <c r="AD32" s="43">
        <v>590.77688241584497</v>
      </c>
      <c r="AE32" s="43">
        <v>1277.8095864726424</v>
      </c>
      <c r="AF32" s="43">
        <v>0</v>
      </c>
      <c r="AG32" s="43">
        <v>505.04175790783836</v>
      </c>
      <c r="AH32" s="43">
        <v>364.41564846438945</v>
      </c>
      <c r="AI32" s="43">
        <v>660.29494361064997</v>
      </c>
      <c r="AJ32" s="43">
        <v>293.53811809616445</v>
      </c>
      <c r="AK32" s="43">
        <v>794.43009334994281</v>
      </c>
    </row>
    <row r="33" spans="16:37" x14ac:dyDescent="0.2">
      <c r="P33" s="44" t="s">
        <v>191</v>
      </c>
      <c r="Q33" s="43">
        <v>1975.2543416442518</v>
      </c>
      <c r="R33" s="43">
        <v>2099.187499334098</v>
      </c>
      <c r="S33" s="43">
        <v>1924.8298419389187</v>
      </c>
      <c r="T33" s="43">
        <v>1729.0901730689702</v>
      </c>
      <c r="U33" s="43">
        <v>1581.0302586071098</v>
      </c>
      <c r="V33" s="43">
        <v>1441.7475599509512</v>
      </c>
      <c r="W33" s="43">
        <v>2089.0652881443871</v>
      </c>
      <c r="X33" s="43">
        <v>1000.5421759541711</v>
      </c>
      <c r="Y33" s="43">
        <v>1199.0545425521736</v>
      </c>
      <c r="Z33" s="43">
        <v>1255.2491721622982</v>
      </c>
      <c r="AA33" s="43">
        <v>1486.5893925017742</v>
      </c>
      <c r="AB33" s="43">
        <v>1565.60497078194</v>
      </c>
      <c r="AC33" s="43">
        <v>1357.8416679820373</v>
      </c>
      <c r="AD33" s="43">
        <v>375.57548210649901</v>
      </c>
      <c r="AE33" s="43">
        <v>983.61705441416427</v>
      </c>
      <c r="AF33" s="43">
        <v>505.04175790783836</v>
      </c>
      <c r="AG33" s="43">
        <v>0</v>
      </c>
      <c r="AH33" s="43">
        <v>584.55138685356428</v>
      </c>
      <c r="AI33" s="43">
        <v>608.64419808555647</v>
      </c>
      <c r="AJ33" s="43">
        <v>623.4948362331952</v>
      </c>
      <c r="AK33" s="43">
        <v>548.89625587211538</v>
      </c>
    </row>
    <row r="34" spans="16:37" x14ac:dyDescent="0.2">
      <c r="P34" s="44" t="s">
        <v>192</v>
      </c>
      <c r="Q34" s="43">
        <v>2460.6149832419628</v>
      </c>
      <c r="R34" s="43">
        <v>2603.3795531162968</v>
      </c>
      <c r="S34" s="43">
        <v>2400.9672593147507</v>
      </c>
      <c r="T34" s="43">
        <v>2127.9581780894941</v>
      </c>
      <c r="U34" s="43">
        <v>1941.7577228155276</v>
      </c>
      <c r="V34" s="43">
        <v>1689.0813712355966</v>
      </c>
      <c r="W34" s="43">
        <v>2345.7268328911164</v>
      </c>
      <c r="X34" s="43">
        <v>1247.4763414415027</v>
      </c>
      <c r="Y34" s="43">
        <v>1379.0504517052191</v>
      </c>
      <c r="Z34" s="43">
        <v>1746.3372492749545</v>
      </c>
      <c r="AA34" s="43">
        <v>1985.5131520328512</v>
      </c>
      <c r="AB34" s="43">
        <v>2053.4332509072947</v>
      </c>
      <c r="AC34" s="43">
        <v>1817.9657778622666</v>
      </c>
      <c r="AD34" s="43">
        <v>842.68177454659087</v>
      </c>
      <c r="AE34" s="43">
        <v>1527.1443105806495</v>
      </c>
      <c r="AF34" s="43">
        <v>364.41564846438945</v>
      </c>
      <c r="AG34" s="43">
        <v>584.55138685356428</v>
      </c>
      <c r="AH34" s="43">
        <v>0</v>
      </c>
      <c r="AI34" s="43">
        <v>347.47933300709576</v>
      </c>
      <c r="AJ34" s="43">
        <v>117.10331082561243</v>
      </c>
      <c r="AK34" s="43">
        <v>562.70274177927013</v>
      </c>
    </row>
    <row r="35" spans="16:37" x14ac:dyDescent="0.2">
      <c r="P35" s="44" t="s">
        <v>193</v>
      </c>
      <c r="Q35" s="43">
        <v>2582.7410627344152</v>
      </c>
      <c r="R35" s="43">
        <v>2707.8307427905079</v>
      </c>
      <c r="S35" s="43">
        <v>2530.9800730630841</v>
      </c>
      <c r="T35" s="43">
        <v>2311.7459228209132</v>
      </c>
      <c r="U35" s="43">
        <v>2145.8120617196009</v>
      </c>
      <c r="V35" s="43">
        <v>1942.1919691821568</v>
      </c>
      <c r="W35" s="43">
        <v>2602.0096019450989</v>
      </c>
      <c r="X35" s="43">
        <v>1491.730046557346</v>
      </c>
      <c r="Y35" s="43">
        <v>1651.2377500981825</v>
      </c>
      <c r="Z35" s="43">
        <v>1862.1044464111999</v>
      </c>
      <c r="AA35" s="43">
        <v>2094.7693808574359</v>
      </c>
      <c r="AB35" s="43">
        <v>2172.7604313725456</v>
      </c>
      <c r="AC35" s="43">
        <v>1958.7556109874745</v>
      </c>
      <c r="AD35" s="43">
        <v>962.46742800484708</v>
      </c>
      <c r="AE35" s="43">
        <v>1589.5117607803465</v>
      </c>
      <c r="AF35" s="43">
        <v>660.29494361064997</v>
      </c>
      <c r="AG35" s="43">
        <v>608.64419808555647</v>
      </c>
      <c r="AH35" s="43">
        <v>347.47933300709576</v>
      </c>
      <c r="AI35" s="43">
        <v>5.9053301811218262E-5</v>
      </c>
      <c r="AJ35" s="43">
        <v>464.56455617879288</v>
      </c>
      <c r="AK35" s="43">
        <v>263.05119103687542</v>
      </c>
    </row>
    <row r="36" spans="16:37" x14ac:dyDescent="0.2">
      <c r="P36" s="44" t="s">
        <v>194</v>
      </c>
      <c r="Q36" s="43">
        <v>2430.2439897402401</v>
      </c>
      <c r="R36" s="43">
        <v>2578.6534875984439</v>
      </c>
      <c r="S36" s="43">
        <v>2368.0463854584118</v>
      </c>
      <c r="T36" s="43">
        <v>2076.6345871929343</v>
      </c>
      <c r="U36" s="43">
        <v>1883.7187479924378</v>
      </c>
      <c r="V36" s="43">
        <v>1613.0002893725209</v>
      </c>
      <c r="W36" s="43">
        <v>2265.8695830401316</v>
      </c>
      <c r="X36" s="43">
        <v>1178.4109495438993</v>
      </c>
      <c r="Y36" s="43">
        <v>1296.7939142893988</v>
      </c>
      <c r="Z36" s="43">
        <v>1722.794551261683</v>
      </c>
      <c r="AA36" s="43">
        <v>1962.4572201240442</v>
      </c>
      <c r="AB36" s="43">
        <v>2026.2898267086232</v>
      </c>
      <c r="AC36" s="43">
        <v>1784.6372988092987</v>
      </c>
      <c r="AD36" s="43">
        <v>833.54871055403112</v>
      </c>
      <c r="AE36" s="43">
        <v>1524.9946254915899</v>
      </c>
      <c r="AF36" s="43">
        <v>293.53811809616445</v>
      </c>
      <c r="AG36" s="43">
        <v>623.4948362331952</v>
      </c>
      <c r="AH36" s="43">
        <v>117.10331082561243</v>
      </c>
      <c r="AI36" s="43">
        <v>464.56455617879288</v>
      </c>
      <c r="AJ36" s="43">
        <v>0</v>
      </c>
      <c r="AK36" s="43">
        <v>674.73334892693936</v>
      </c>
    </row>
    <row r="37" spans="16:37" x14ac:dyDescent="0.2">
      <c r="P37" s="44" t="s">
        <v>195</v>
      </c>
      <c r="Q37" s="43">
        <v>2492.8001861709777</v>
      </c>
      <c r="R37" s="43">
        <v>2603.2550717978984</v>
      </c>
      <c r="S37" s="43">
        <v>2447.723765507239</v>
      </c>
      <c r="T37" s="43">
        <v>2275.3318992941881</v>
      </c>
      <c r="U37" s="43">
        <v>2129.9220131368106</v>
      </c>
      <c r="V37" s="43">
        <v>1976.7737394854121</v>
      </c>
      <c r="W37" s="43">
        <v>2630.2768248987459</v>
      </c>
      <c r="X37" s="43">
        <v>1528.6600839806399</v>
      </c>
      <c r="Y37" s="43">
        <v>1711.9221254525517</v>
      </c>
      <c r="Z37" s="43">
        <v>1779.7179642869244</v>
      </c>
      <c r="AA37" s="43">
        <v>2002.6322833075099</v>
      </c>
      <c r="AB37" s="43">
        <v>2086.7858663148504</v>
      </c>
      <c r="AC37" s="43">
        <v>1893.5245771408379</v>
      </c>
      <c r="AD37" s="43">
        <v>924.44417087598617</v>
      </c>
      <c r="AE37" s="43">
        <v>1475.4159240663757</v>
      </c>
      <c r="AF37" s="43">
        <v>794.43009334994281</v>
      </c>
      <c r="AG37" s="43">
        <v>548.89625587211538</v>
      </c>
      <c r="AH37" s="43">
        <v>562.70274177927013</v>
      </c>
      <c r="AI37" s="43">
        <v>263.05119103687542</v>
      </c>
      <c r="AJ37" s="43">
        <v>674.73334892693936</v>
      </c>
      <c r="AK37" s="43">
        <v>0</v>
      </c>
    </row>
  </sheetData>
  <dataValidations count="1">
    <dataValidation type="list" allowBlank="1" showInputMessage="1" showErrorMessage="1" sqref="S1:S1048576" xr:uid="{A21D07D3-78EF-49E7-ADFB-CD4F0C5C463B}">
      <formula1>#REF!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11FBE83-DDBD-41D5-8116-D880B613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3D9CF-2112-4AE1-9609-5EE60F78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1D8905A-58AB-433C-8449-FBD4709554FB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70</vt:i4>
      </vt:variant>
    </vt:vector>
  </HeadingPairs>
  <TitlesOfParts>
    <vt:vector size="94" baseType="lpstr">
      <vt:lpstr>S17_1</vt:lpstr>
      <vt:lpstr>S17_10</vt:lpstr>
      <vt:lpstr>S17_11</vt:lpstr>
      <vt:lpstr>S17_12</vt:lpstr>
      <vt:lpstr>S17_13</vt:lpstr>
      <vt:lpstr>S17_14</vt:lpstr>
      <vt:lpstr>S17_15</vt:lpstr>
      <vt:lpstr>S17_16</vt:lpstr>
      <vt:lpstr>S17_17</vt:lpstr>
      <vt:lpstr>S17_18</vt:lpstr>
      <vt:lpstr>S17_19</vt:lpstr>
      <vt:lpstr>S17_2</vt:lpstr>
      <vt:lpstr>S17_20</vt:lpstr>
      <vt:lpstr>S17_21</vt:lpstr>
      <vt:lpstr>S17_22</vt:lpstr>
      <vt:lpstr>S17_3</vt:lpstr>
      <vt:lpstr>S17_4</vt:lpstr>
      <vt:lpstr>S17_5</vt:lpstr>
      <vt:lpstr>S17_6</vt:lpstr>
      <vt:lpstr>S17_7-1</vt:lpstr>
      <vt:lpstr>S17_7-2</vt:lpstr>
      <vt:lpstr>S17_8</vt:lpstr>
      <vt:lpstr>S17_9-1</vt:lpstr>
      <vt:lpstr>S17_9-2</vt:lpstr>
      <vt:lpstr>advertising</vt:lpstr>
      <vt:lpstr>Amt_Borrowed</vt:lpstr>
      <vt:lpstr>annual_cont.</vt:lpstr>
      <vt:lpstr>Annual_int_rate</vt:lpstr>
      <vt:lpstr>S17_21!catcost</vt:lpstr>
      <vt:lpstr>costperperformance</vt:lpstr>
      <vt:lpstr>S17_8!current_price</vt:lpstr>
      <vt:lpstr>current_price</vt:lpstr>
      <vt:lpstr>current_sales</vt:lpstr>
      <vt:lpstr>current_units</vt:lpstr>
      <vt:lpstr>daysopen</vt:lpstr>
      <vt:lpstr>demand</vt:lpstr>
      <vt:lpstr>dinnerseatings</vt:lpstr>
      <vt:lpstr>exprice</vt:lpstr>
      <vt:lpstr>fchard</vt:lpstr>
      <vt:lpstr>fcpaper</vt:lpstr>
      <vt:lpstr>fixed_cost</vt:lpstr>
      <vt:lpstr>fixed_costs</vt:lpstr>
      <vt:lpstr>S17_19!fixedcost</vt:lpstr>
      <vt:lpstr>fixedcost</vt:lpstr>
      <vt:lpstr>fractionseatsfilled</vt:lpstr>
      <vt:lpstr>growth</vt:lpstr>
      <vt:lpstr>hard_vc</vt:lpstr>
      <vt:lpstr>hardemand</vt:lpstr>
      <vt:lpstr>hardprice</vt:lpstr>
      <vt:lpstr>hardrev</vt:lpstr>
      <vt:lpstr>INITIAL_AMT</vt:lpstr>
      <vt:lpstr>interest_rate</vt:lpstr>
      <vt:lpstr>lookup</vt:lpstr>
      <vt:lpstr>lunchseatings</vt:lpstr>
      <vt:lpstr>Nputs</vt:lpstr>
      <vt:lpstr>Nshares</vt:lpstr>
      <vt:lpstr>Number_of_Months</vt:lpstr>
      <vt:lpstr>S17_21!numbermailed</vt:lpstr>
      <vt:lpstr>occupancy</vt:lpstr>
      <vt:lpstr>paper_vc</vt:lpstr>
      <vt:lpstr>paperdemand</vt:lpstr>
      <vt:lpstr>paperprice</vt:lpstr>
      <vt:lpstr>paperratiotohard</vt:lpstr>
      <vt:lpstr>paperrev</vt:lpstr>
      <vt:lpstr>percentage_increase</vt:lpstr>
      <vt:lpstr>performancesperyear</vt:lpstr>
      <vt:lpstr>price</vt:lpstr>
      <vt:lpstr>pricecutpercentage</vt:lpstr>
      <vt:lpstr>pricenow</vt:lpstr>
      <vt:lpstr>S17_2!profit</vt:lpstr>
      <vt:lpstr>profit</vt:lpstr>
      <vt:lpstr>profitperdinnerccheck</vt:lpstr>
      <vt:lpstr>profitperlunchcheck</vt:lpstr>
      <vt:lpstr>S17_21!profitperorder</vt:lpstr>
      <vt:lpstr>putcost</vt:lpstr>
      <vt:lpstr>RATE</vt:lpstr>
      <vt:lpstr>S17_21!responserate</vt:lpstr>
      <vt:lpstr>royalty</vt:lpstr>
      <vt:lpstr>royalty_exp</vt:lpstr>
      <vt:lpstr>sales_increase</vt:lpstr>
      <vt:lpstr>S17_19!seats</vt:lpstr>
      <vt:lpstr>seats</vt:lpstr>
      <vt:lpstr>startvalue</vt:lpstr>
      <vt:lpstr>ticketprice</vt:lpstr>
      <vt:lpstr>translation_cost</vt:lpstr>
      <vt:lpstr>uchard</vt:lpstr>
      <vt:lpstr>ucpaper</vt:lpstr>
      <vt:lpstr>unit_cost</vt:lpstr>
      <vt:lpstr>unit_variable_cost</vt:lpstr>
      <vt:lpstr>unit_vc</vt:lpstr>
      <vt:lpstr>WITHDRAWN</vt:lpstr>
      <vt:lpstr>year1</vt:lpstr>
      <vt:lpstr>S17_6!years</vt:lpstr>
      <vt:lpstr>years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2007-03-09T19:56:00Z</dcterms:created>
  <dcterms:modified xsi:type="dcterms:W3CDTF">2019-09-26T07:30:59Z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