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861DF5CD-B96C-45FF-9F18-0A43A03E665F}" xr6:coauthVersionLast="44" xr6:coauthVersionMax="44" xr10:uidLastSave="{00000000-0000-0000-0000-000000000000}"/>
  <bookViews>
    <workbookView xWindow="-25335" yWindow="3570" windowWidth="21600" windowHeight="11385" firstSheet="15" activeTab="25" xr2:uid="{00000000-000D-0000-FFFF-FFFF00000000}"/>
  </bookViews>
  <sheets>
    <sheet name="S18_1" sheetId="1" r:id="rId1"/>
    <sheet name="S18_10" sheetId="2" r:id="rId2"/>
    <sheet name="S18_11" sheetId="3" r:id="rId3"/>
    <sheet name="S18_12" sheetId="4" r:id="rId4"/>
    <sheet name="S18_13-1" sheetId="5" r:id="rId5"/>
    <sheet name="S18_13-2" sheetId="6" r:id="rId6"/>
    <sheet name="S18_14" sheetId="7" r:id="rId7"/>
    <sheet name="S18_15" sheetId="8" r:id="rId8"/>
    <sheet name="S18_16" sheetId="9" r:id="rId9"/>
    <sheet name="S18_17" sheetId="10" r:id="rId10"/>
    <sheet name="S18_2-1" sheetId="11" r:id="rId11"/>
    <sheet name="S18_2-2" sheetId="12" r:id="rId12"/>
    <sheet name="S18_2-3" sheetId="13" r:id="rId13"/>
    <sheet name="S18_2-4" sheetId="14" r:id="rId14"/>
    <sheet name="S18_2-5" sheetId="15" r:id="rId15"/>
    <sheet name="S18_3-1" sheetId="16" r:id="rId16"/>
    <sheet name="S18_3-2" sheetId="17" r:id="rId17"/>
    <sheet name="S18_3-3" sheetId="18" r:id="rId18"/>
    <sheet name="S18_3-4" sheetId="19" r:id="rId19"/>
    <sheet name="S18_3-5" sheetId="20" r:id="rId20"/>
    <sheet name="S18_4" sheetId="21" r:id="rId21"/>
    <sheet name="S18_5" sheetId="22" r:id="rId22"/>
    <sheet name="S18_6" sheetId="23" r:id="rId23"/>
    <sheet name="S18_7" sheetId="24" r:id="rId24"/>
    <sheet name="S18_8" sheetId="25" r:id="rId25"/>
    <sheet name="S18_9" sheetId="26" r:id="rId26"/>
  </sheets>
  <externalReferences>
    <externalReference r:id="rId27"/>
    <externalReference r:id="rId2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localSheetId="8" hidden="1">8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localSheetId="8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mt._borrowed">S18_4!$E$5</definedName>
    <definedName name="annual_int_rate">S18_4!$E$4</definedName>
    <definedName name="costgrowth" localSheetId="11">'S18_2-2'!$C$7</definedName>
    <definedName name="costgrowth" localSheetId="12">'S18_2-3'!$C$7</definedName>
    <definedName name="costgrowth" localSheetId="13">'S18_2-4'!$C$7</definedName>
    <definedName name="costgrowth" localSheetId="14">'S18_2-5'!$C$7</definedName>
    <definedName name="costgrowth" localSheetId="15">'S18_3-1'!$C$7</definedName>
    <definedName name="costgrowth" localSheetId="16">'S18_3-2'!$C$7</definedName>
    <definedName name="costgrowth" localSheetId="17">'S18_3-3'!$C$7</definedName>
    <definedName name="costgrowth" localSheetId="18">'S18_3-4'!$C$7</definedName>
    <definedName name="costgrowth" localSheetId="19">'S18_3-5'!$C$7</definedName>
    <definedName name="costgrowth">'S18_2-1'!$C$7</definedName>
    <definedName name="costs">S18_17!$F$16</definedName>
    <definedName name="demand">S18_15!$K$31</definedName>
    <definedName name="distanceeachway">S18_12!$C$2</definedName>
    <definedName name="FC">S18_9!$E$5</definedName>
    <definedName name="fchard">S18_1!$C$3</definedName>
    <definedName name="fcpaper">S18_1!$C$5</definedName>
    <definedName name="fixed_cost">S18_17!$F$11</definedName>
    <definedName name="fixed_costs">S18_1!$C$15</definedName>
    <definedName name="Foodandlodgingcosts">S18_9!$E$6</definedName>
    <definedName name="glassessold">S18_17!$F$12</definedName>
    <definedName name="hard_vc">S18_1!$C$16</definedName>
    <definedName name="hardemand">S18_1!$C$9</definedName>
    <definedName name="hardprice">S18_1!$C$7</definedName>
    <definedName name="hardrev">S18_1!$C$13</definedName>
    <definedName name="intrate" localSheetId="11">'S18_2-2'!$C$6</definedName>
    <definedName name="intrate" localSheetId="12">'S18_2-3'!$C$6</definedName>
    <definedName name="intrate" localSheetId="13">'S18_2-4'!$C$6</definedName>
    <definedName name="intrate" localSheetId="14">'S18_2-5'!$C$6</definedName>
    <definedName name="intrate" localSheetId="15">'S18_3-1'!$C$6</definedName>
    <definedName name="intrate" localSheetId="16">'S18_3-2'!$C$6</definedName>
    <definedName name="intrate" localSheetId="17">'S18_3-3'!$C$6</definedName>
    <definedName name="intrate" localSheetId="18">'S18_3-4'!$C$6</definedName>
    <definedName name="intrate" localSheetId="19">'S18_3-5'!$C$6</definedName>
    <definedName name="intrate">'S18_2-1'!$C$6</definedName>
    <definedName name="mean">'[1]problem 5'!$G$11</definedName>
    <definedName name="meanperpound">S18_10!$F$2</definedName>
    <definedName name="Monthly_payment">S18_4!$E$6</definedName>
    <definedName name="myspeed">S18_12!$C$4</definedName>
    <definedName name="n">'[2]Problem 7'!$E$8</definedName>
    <definedName name="need_to_sell">S18_15!$K$29</definedName>
    <definedName name="paidregistrants">S18_9!$E$3</definedName>
    <definedName name="paper_vc">S18_1!$C$17</definedName>
    <definedName name="paperdemand">S18_1!$C$10</definedName>
    <definedName name="paperprice">S18_1!$C$8</definedName>
    <definedName name="paperratiotohard">S18_1!$C$11</definedName>
    <definedName name="paperrev">S18_1!$C$14</definedName>
    <definedName name="pbar">'[2]Problem 7'!$E$9</definedName>
    <definedName name="pounds_at_6">S18_10!$F$5</definedName>
    <definedName name="poundsat10">S18_10!$F$4</definedName>
    <definedName name="poundscandy">S18_10!$F$3</definedName>
    <definedName name="premium">'[1]problem 6'!$F$15</definedName>
    <definedName name="price" localSheetId="9">S18_17!$F$13</definedName>
    <definedName name="price">S18_15!$K$30</definedName>
    <definedName name="pricegrowth" localSheetId="11">'S18_2-2'!$C$8</definedName>
    <definedName name="pricegrowth" localSheetId="12">'S18_2-3'!$C$8</definedName>
    <definedName name="pricegrowth" localSheetId="13">'S18_2-4'!$C$8</definedName>
    <definedName name="pricegrowth" localSheetId="14">'S18_2-5'!$C$8</definedName>
    <definedName name="pricegrowth" localSheetId="15">'S18_3-1'!$C$8</definedName>
    <definedName name="pricegrowth" localSheetId="16">'S18_3-2'!$C$8</definedName>
    <definedName name="pricegrowth" localSheetId="17">'S18_3-3'!$C$8</definedName>
    <definedName name="pricegrowth" localSheetId="18">'S18_3-4'!$C$8</definedName>
    <definedName name="pricegrowth" localSheetId="19">'S18_3-5'!$C$8</definedName>
    <definedName name="pricegrowth">'S18_2-1'!$C$8</definedName>
    <definedName name="profit" localSheetId="9">S18_17!$F$17</definedName>
    <definedName name="profit">S18_1!$C$19</definedName>
    <definedName name="r_" localSheetId="5">'S18_13-2'!$C$3</definedName>
    <definedName name="r_">'S18_13-1'!$C$3</definedName>
    <definedName name="registrationfee">S18_9!$E$8</definedName>
    <definedName name="restofmonthrevenue">S18_15!$K$32</definedName>
    <definedName name="revenue">S18_17!$F$15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8" hidden="1">1000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8" hidden="1">1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localSheetId="8" hidden="1">TRUE</definedName>
    <definedName name="RiskUseFixedSeed" hidden="1">FALSE</definedName>
    <definedName name="RiskUseMultipleCPUs" hidden="1">TRUE</definedName>
    <definedName name="riverspeed">S18_12!$C$3</definedName>
    <definedName name="royalty">S18_1!$C$2</definedName>
    <definedName name="royalty_exp">S18_1!$C$18</definedName>
    <definedName name="Sales_growth" localSheetId="11">'S18_2-2'!$C$3</definedName>
    <definedName name="Sales_growth" localSheetId="12">'S18_2-3'!$C$3</definedName>
    <definedName name="Sales_growth" localSheetId="13">'S18_2-4'!$C$3</definedName>
    <definedName name="Sales_growth" localSheetId="14">'S18_2-5'!$C$3</definedName>
    <definedName name="Sales_growth" localSheetId="15">'S18_3-1'!$C$3</definedName>
    <definedName name="Sales_growth" localSheetId="16">'S18_3-2'!$C$3</definedName>
    <definedName name="Sales_growth" localSheetId="17">'S18_3-3'!$C$3</definedName>
    <definedName name="Sales_growth" localSheetId="18">'S18_3-4'!$C$3</definedName>
    <definedName name="Sales_growth" localSheetId="19">'S18_3-5'!$C$3</definedName>
    <definedName name="Sales_growth">'S18_2-1'!$C$3</definedName>
    <definedName name="sigma">'[1]problem 5'!$G$12</definedName>
    <definedName name="speakers">S18_9!$E$4</definedName>
    <definedName name="speakersfee">S18_9!$E$7</definedName>
    <definedName name="taxrate" localSheetId="11">'S18_2-2'!$C$1</definedName>
    <definedName name="taxrate" localSheetId="12">'S18_2-3'!$C$1</definedName>
    <definedName name="taxrate" localSheetId="13">'S18_2-4'!$C$1</definedName>
    <definedName name="taxrate" localSheetId="14">'S18_2-5'!$C$1</definedName>
    <definedName name="taxrate" localSheetId="15">'S18_3-1'!$C$1</definedName>
    <definedName name="taxrate" localSheetId="16">'S18_3-2'!$C$1</definedName>
    <definedName name="taxrate" localSheetId="17">'S18_3-3'!$C$1</definedName>
    <definedName name="taxrate" localSheetId="18">'S18_3-4'!$C$1</definedName>
    <definedName name="taxrate" localSheetId="19">'S18_3-5'!$C$1</definedName>
    <definedName name="taxrate">'S18_2-1'!$C$1</definedName>
    <definedName name="time1">S18_11!$C$3</definedName>
    <definedName name="time2">S18_11!$C$4</definedName>
    <definedName name="time3">S18_11!$C$5</definedName>
    <definedName name="timedownstream">S18_12!$C$7</definedName>
    <definedName name="timeforjob">S18_11!$C$2</definedName>
    <definedName name="timeupstream">S18_12!$C$6</definedName>
    <definedName name="uchard">S18_1!$C$4</definedName>
    <definedName name="ucpaper">S18_1!$C$6</definedName>
    <definedName name="unitcost">S18_17!$F$14</definedName>
    <definedName name="Year1cost" localSheetId="11">'S18_2-2'!$C$5</definedName>
    <definedName name="Year1cost" localSheetId="12">'S18_2-3'!$C$5</definedName>
    <definedName name="Year1cost" localSheetId="13">'S18_2-4'!$C$5</definedName>
    <definedName name="Year1cost" localSheetId="14">'S18_2-5'!$C$5</definedName>
    <definedName name="Year1cost" localSheetId="15">'S18_3-1'!$C$5</definedName>
    <definedName name="Year1cost" localSheetId="16">'S18_3-2'!$C$5</definedName>
    <definedName name="Year1cost" localSheetId="17">'S18_3-3'!$C$5</definedName>
    <definedName name="Year1cost" localSheetId="18">'S18_3-4'!$C$5</definedName>
    <definedName name="Year1cost" localSheetId="19">'S18_3-5'!$C$5</definedName>
    <definedName name="Year1cost">'S18_2-1'!$C$5</definedName>
    <definedName name="Year1price" localSheetId="11">'S18_2-2'!$C$4</definedName>
    <definedName name="Year1price" localSheetId="12">'S18_2-3'!$C$4</definedName>
    <definedName name="Year1price" localSheetId="13">'S18_2-4'!$C$4</definedName>
    <definedName name="Year1price" localSheetId="14">'S18_2-5'!$C$4</definedName>
    <definedName name="Year1price" localSheetId="15">'S18_3-1'!$C$4</definedName>
    <definedName name="Year1price" localSheetId="16">'S18_3-2'!$C$4</definedName>
    <definedName name="Year1price" localSheetId="17">'S18_3-3'!$C$4</definedName>
    <definedName name="Year1price" localSheetId="18">'S18_3-4'!$C$4</definedName>
    <definedName name="Year1price" localSheetId="19">'S18_3-5'!$C$4</definedName>
    <definedName name="Year1price">'S18_2-1'!$C$4</definedName>
    <definedName name="Year1sales" localSheetId="11">'S18_2-2'!$C$2</definedName>
    <definedName name="Year1sales" localSheetId="12">'S18_2-3'!$C$2</definedName>
    <definedName name="Year1sales" localSheetId="13">'S18_2-4'!$C$2</definedName>
    <definedName name="Year1sales" localSheetId="14">'S18_2-5'!$C$2</definedName>
    <definedName name="Year1sales" localSheetId="15">'S18_3-1'!$C$2</definedName>
    <definedName name="Year1sales" localSheetId="16">'S18_3-2'!$C$2</definedName>
    <definedName name="Year1sales" localSheetId="17">'S18_3-3'!$C$2</definedName>
    <definedName name="Year1sales" localSheetId="18">'S18_3-4'!$C$2</definedName>
    <definedName name="Year1sales" localSheetId="19">'S18_3-5'!$C$2</definedName>
    <definedName name="Year1sales">'S18_2-1'!$C$2</definedName>
    <definedName name="years">S18_4!$E$3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6" l="1"/>
  <c r="D9" i="25" l="1"/>
  <c r="D8" i="25"/>
  <c r="D10" i="25" s="1"/>
  <c r="E6" i="24" l="1"/>
  <c r="E6" i="23" l="1"/>
  <c r="E6" i="21" l="1"/>
  <c r="B12" i="20" l="1"/>
  <c r="C12" i="20" s="1"/>
  <c r="D12" i="20" s="1"/>
  <c r="E12" i="20" s="1"/>
  <c r="F12" i="20" s="1"/>
  <c r="B11" i="20"/>
  <c r="B10" i="20"/>
  <c r="B14" i="20" s="1"/>
  <c r="B12" i="19"/>
  <c r="C12" i="19" s="1"/>
  <c r="D12" i="19" s="1"/>
  <c r="E12" i="19" s="1"/>
  <c r="F12" i="19" s="1"/>
  <c r="B11" i="19"/>
  <c r="C11" i="19" s="1"/>
  <c r="B10" i="19"/>
  <c r="C10" i="19" s="1"/>
  <c r="D10" i="19" s="1"/>
  <c r="B12" i="18"/>
  <c r="C12" i="18" s="1"/>
  <c r="D12" i="18" s="1"/>
  <c r="E12" i="18" s="1"/>
  <c r="F12" i="18" s="1"/>
  <c r="B11" i="18"/>
  <c r="C11" i="18" s="1"/>
  <c r="B10" i="18"/>
  <c r="C10" i="18" s="1"/>
  <c r="D10" i="18" s="1"/>
  <c r="B12" i="17"/>
  <c r="C12" i="17" s="1"/>
  <c r="D12" i="17" s="1"/>
  <c r="E12" i="17" s="1"/>
  <c r="F12" i="17" s="1"/>
  <c r="B11" i="17"/>
  <c r="C11" i="17" s="1"/>
  <c r="B10" i="17"/>
  <c r="C10" i="17" s="1"/>
  <c r="D10" i="17" s="1"/>
  <c r="B12" i="16"/>
  <c r="C12" i="16" s="1"/>
  <c r="D12" i="16" s="1"/>
  <c r="E12" i="16" s="1"/>
  <c r="F12" i="16" s="1"/>
  <c r="B11" i="16"/>
  <c r="B10" i="16"/>
  <c r="C10" i="16" s="1"/>
  <c r="D10" i="16" s="1"/>
  <c r="C10" i="20" l="1"/>
  <c r="D10" i="20" s="1"/>
  <c r="B13" i="20"/>
  <c r="B15" i="20" s="1"/>
  <c r="B14" i="16"/>
  <c r="B14" i="17"/>
  <c r="B14" i="18"/>
  <c r="B14" i="19"/>
  <c r="E10" i="20"/>
  <c r="D14" i="20"/>
  <c r="C14" i="20"/>
  <c r="B13" i="16"/>
  <c r="C11" i="20"/>
  <c r="E10" i="19"/>
  <c r="D14" i="19"/>
  <c r="C13" i="19"/>
  <c r="D11" i="19"/>
  <c r="B13" i="19"/>
  <c r="C14" i="19"/>
  <c r="E10" i="18"/>
  <c r="D14" i="18"/>
  <c r="C13" i="18"/>
  <c r="D11" i="18"/>
  <c r="C14" i="18"/>
  <c r="B13" i="18"/>
  <c r="B15" i="18" s="1"/>
  <c r="E10" i="17"/>
  <c r="D14" i="17"/>
  <c r="C13" i="17"/>
  <c r="D11" i="17"/>
  <c r="B13" i="17"/>
  <c r="C14" i="17"/>
  <c r="E10" i="16"/>
  <c r="D14" i="16"/>
  <c r="B15" i="16"/>
  <c r="C14" i="16"/>
  <c r="C11" i="16"/>
  <c r="B15" i="17" l="1"/>
  <c r="B15" i="19"/>
  <c r="B16" i="20"/>
  <c r="B17" i="20" s="1"/>
  <c r="C13" i="20"/>
  <c r="C15" i="20" s="1"/>
  <c r="D11" i="20"/>
  <c r="F10" i="20"/>
  <c r="F14" i="20" s="1"/>
  <c r="E14" i="20"/>
  <c r="E11" i="19"/>
  <c r="D13" i="19"/>
  <c r="D15" i="19" s="1"/>
  <c r="C15" i="19"/>
  <c r="C15" i="18"/>
  <c r="C16" i="18" s="1"/>
  <c r="C17" i="18" s="1"/>
  <c r="B16" i="19"/>
  <c r="B17" i="19" s="1"/>
  <c r="F10" i="19"/>
  <c r="F14" i="19" s="1"/>
  <c r="E14" i="19"/>
  <c r="E11" i="18"/>
  <c r="D13" i="18"/>
  <c r="D15" i="18" s="1"/>
  <c r="B16" i="18"/>
  <c r="B17" i="18" s="1"/>
  <c r="C15" i="17"/>
  <c r="F10" i="18"/>
  <c r="F14" i="18" s="1"/>
  <c r="E14" i="18"/>
  <c r="E11" i="17"/>
  <c r="D13" i="17"/>
  <c r="D15" i="17" s="1"/>
  <c r="C16" i="17"/>
  <c r="C17" i="17" s="1"/>
  <c r="B16" i="17"/>
  <c r="B17" i="17" s="1"/>
  <c r="F10" i="17"/>
  <c r="F14" i="17" s="1"/>
  <c r="E14" i="17"/>
  <c r="B16" i="16"/>
  <c r="B17" i="16" s="1"/>
  <c r="C13" i="16"/>
  <c r="C15" i="16" s="1"/>
  <c r="D11" i="16"/>
  <c r="F10" i="16"/>
  <c r="F14" i="16" s="1"/>
  <c r="E14" i="16"/>
  <c r="E11" i="20" l="1"/>
  <c r="D13" i="20"/>
  <c r="D15" i="20" s="1"/>
  <c r="C16" i="20"/>
  <c r="C17" i="20" s="1"/>
  <c r="C16" i="19"/>
  <c r="C17" i="19" s="1"/>
  <c r="D16" i="19"/>
  <c r="D17" i="19" s="1"/>
  <c r="E13" i="19"/>
  <c r="E15" i="19" s="1"/>
  <c r="F11" i="19"/>
  <c r="F13" i="19" s="1"/>
  <c r="F15" i="19" s="1"/>
  <c r="D16" i="18"/>
  <c r="D17" i="18" s="1"/>
  <c r="F11" i="18"/>
  <c r="F13" i="18" s="1"/>
  <c r="F15" i="18" s="1"/>
  <c r="E13" i="18"/>
  <c r="E15" i="18" s="1"/>
  <c r="D16" i="17"/>
  <c r="D17" i="17" s="1"/>
  <c r="E13" i="17"/>
  <c r="E15" i="17" s="1"/>
  <c r="F11" i="17"/>
  <c r="F13" i="17" s="1"/>
  <c r="F15" i="17" s="1"/>
  <c r="E11" i="16"/>
  <c r="D13" i="16"/>
  <c r="D15" i="16" s="1"/>
  <c r="C16" i="16"/>
  <c r="C17" i="16" s="1"/>
  <c r="D16" i="20" l="1"/>
  <c r="D17" i="20" s="1"/>
  <c r="E13" i="20"/>
  <c r="E15" i="20" s="1"/>
  <c r="F11" i="20"/>
  <c r="F13" i="20" s="1"/>
  <c r="F15" i="20" s="1"/>
  <c r="F17" i="19"/>
  <c r="F16" i="19"/>
  <c r="E16" i="19"/>
  <c r="E17" i="19" s="1"/>
  <c r="F16" i="18"/>
  <c r="F17" i="18" s="1"/>
  <c r="E16" i="18"/>
  <c r="E17" i="18" s="1"/>
  <c r="E16" i="17"/>
  <c r="E17" i="17" s="1"/>
  <c r="F16" i="17"/>
  <c r="F17" i="17" s="1"/>
  <c r="D16" i="16"/>
  <c r="D17" i="16" s="1"/>
  <c r="E13" i="16"/>
  <c r="E15" i="16" s="1"/>
  <c r="F11" i="16"/>
  <c r="F13" i="16" s="1"/>
  <c r="F15" i="16" s="1"/>
  <c r="B19" i="19" l="1"/>
  <c r="B19" i="18"/>
  <c r="E16" i="20"/>
  <c r="E17" i="20" s="1"/>
  <c r="F16" i="20"/>
  <c r="F17" i="20" s="1"/>
  <c r="B19" i="17"/>
  <c r="E16" i="16"/>
  <c r="E17" i="16" s="1"/>
  <c r="F16" i="16"/>
  <c r="F17" i="16" s="1"/>
  <c r="B19" i="16" l="1"/>
  <c r="B19" i="20"/>
  <c r="B12" i="15"/>
  <c r="C12" i="15" s="1"/>
  <c r="D12" i="15" s="1"/>
  <c r="E12" i="15" s="1"/>
  <c r="F12" i="15" s="1"/>
  <c r="B11" i="15"/>
  <c r="B10" i="15"/>
  <c r="B12" i="14"/>
  <c r="C12" i="14" s="1"/>
  <c r="D12" i="14" s="1"/>
  <c r="E12" i="14" s="1"/>
  <c r="F12" i="14" s="1"/>
  <c r="B11" i="14"/>
  <c r="B10" i="14"/>
  <c r="C10" i="14" s="1"/>
  <c r="D10" i="14" s="1"/>
  <c r="B12" i="13"/>
  <c r="C12" i="13" s="1"/>
  <c r="D12" i="13" s="1"/>
  <c r="E12" i="13" s="1"/>
  <c r="F12" i="13" s="1"/>
  <c r="B11" i="13"/>
  <c r="B10" i="13"/>
  <c r="C10" i="13" s="1"/>
  <c r="D10" i="13" s="1"/>
  <c r="B12" i="12"/>
  <c r="C12" i="12" s="1"/>
  <c r="D12" i="12" s="1"/>
  <c r="E12" i="12" s="1"/>
  <c r="F12" i="12" s="1"/>
  <c r="B11" i="12"/>
  <c r="B10" i="12"/>
  <c r="C10" i="12" s="1"/>
  <c r="D10" i="12" s="1"/>
  <c r="B12" i="11"/>
  <c r="C12" i="11" s="1"/>
  <c r="D12" i="11" s="1"/>
  <c r="E12" i="11" s="1"/>
  <c r="F12" i="11" s="1"/>
  <c r="B11" i="11"/>
  <c r="B10" i="11"/>
  <c r="C10" i="11" s="1"/>
  <c r="B13" i="15" l="1"/>
  <c r="B13" i="14"/>
  <c r="B13" i="13"/>
  <c r="B13" i="12"/>
  <c r="B14" i="15"/>
  <c r="B15" i="15" s="1"/>
  <c r="C10" i="15"/>
  <c r="D10" i="15" s="1"/>
  <c r="E10" i="15" s="1"/>
  <c r="C11" i="15"/>
  <c r="B14" i="14"/>
  <c r="E10" i="14"/>
  <c r="D14" i="14"/>
  <c r="C14" i="14"/>
  <c r="C11" i="14"/>
  <c r="B14" i="13"/>
  <c r="E10" i="13"/>
  <c r="D14" i="13"/>
  <c r="C14" i="13"/>
  <c r="B13" i="11"/>
  <c r="C11" i="13"/>
  <c r="B14" i="12"/>
  <c r="E10" i="12"/>
  <c r="D14" i="12"/>
  <c r="C14" i="12"/>
  <c r="C11" i="11"/>
  <c r="D11" i="11" s="1"/>
  <c r="E11" i="11" s="1"/>
  <c r="C11" i="12"/>
  <c r="D10" i="11"/>
  <c r="C14" i="11"/>
  <c r="B14" i="11"/>
  <c r="B15" i="13" l="1"/>
  <c r="B16" i="13" s="1"/>
  <c r="B17" i="13" s="1"/>
  <c r="C14" i="15"/>
  <c r="B15" i="14"/>
  <c r="D14" i="15"/>
  <c r="B15" i="12"/>
  <c r="B16" i="12" s="1"/>
  <c r="B17" i="12" s="1"/>
  <c r="C13" i="11"/>
  <c r="C15" i="11" s="1"/>
  <c r="C16" i="11" s="1"/>
  <c r="C17" i="11" s="1"/>
  <c r="B15" i="11"/>
  <c r="B16" i="11" s="1"/>
  <c r="B17" i="11" s="1"/>
  <c r="B16" i="15"/>
  <c r="B17" i="15" s="1"/>
  <c r="D13" i="11"/>
  <c r="C13" i="15"/>
  <c r="C15" i="15" s="1"/>
  <c r="D11" i="15"/>
  <c r="F10" i="15"/>
  <c r="F14" i="15" s="1"/>
  <c r="E14" i="15"/>
  <c r="B16" i="14"/>
  <c r="B17" i="14" s="1"/>
  <c r="C13" i="14"/>
  <c r="C15" i="14" s="1"/>
  <c r="D11" i="14"/>
  <c r="F10" i="14"/>
  <c r="F14" i="14" s="1"/>
  <c r="E14" i="14"/>
  <c r="C13" i="13"/>
  <c r="C15" i="13" s="1"/>
  <c r="D11" i="13"/>
  <c r="F10" i="13"/>
  <c r="F14" i="13" s="1"/>
  <c r="E14" i="13"/>
  <c r="C13" i="12"/>
  <c r="C15" i="12" s="1"/>
  <c r="D11" i="12"/>
  <c r="F10" i="12"/>
  <c r="F14" i="12" s="1"/>
  <c r="E14" i="12"/>
  <c r="F11" i="11"/>
  <c r="E10" i="11"/>
  <c r="D14" i="11"/>
  <c r="C16" i="15" l="1"/>
  <c r="C17" i="15" s="1"/>
  <c r="D15" i="11"/>
  <c r="E11" i="15"/>
  <c r="D13" i="15"/>
  <c r="D15" i="15" s="1"/>
  <c r="C16" i="14"/>
  <c r="C17" i="14" s="1"/>
  <c r="E11" i="14"/>
  <c r="D13" i="14"/>
  <c r="D15" i="14" s="1"/>
  <c r="E11" i="13"/>
  <c r="D13" i="13"/>
  <c r="D15" i="13" s="1"/>
  <c r="C16" i="13"/>
  <c r="C17" i="13" s="1"/>
  <c r="E11" i="12"/>
  <c r="D13" i="12"/>
  <c r="D15" i="12" s="1"/>
  <c r="C16" i="12"/>
  <c r="C17" i="12" s="1"/>
  <c r="D16" i="11"/>
  <c r="D17" i="11" s="1"/>
  <c r="E14" i="11"/>
  <c r="F10" i="11"/>
  <c r="F14" i="11" s="1"/>
  <c r="E13" i="11"/>
  <c r="D16" i="15" l="1"/>
  <c r="D17" i="15" s="1"/>
  <c r="E13" i="15"/>
  <c r="E15" i="15" s="1"/>
  <c r="F11" i="15"/>
  <c r="F13" i="15" s="1"/>
  <c r="F15" i="15" s="1"/>
  <c r="E13" i="14"/>
  <c r="E15" i="14" s="1"/>
  <c r="F11" i="14"/>
  <c r="F13" i="14" s="1"/>
  <c r="F15" i="14" s="1"/>
  <c r="D16" i="14"/>
  <c r="D17" i="14" s="1"/>
  <c r="D16" i="13"/>
  <c r="D17" i="13" s="1"/>
  <c r="E13" i="13"/>
  <c r="E15" i="13" s="1"/>
  <c r="F11" i="13"/>
  <c r="F13" i="13" s="1"/>
  <c r="F15" i="13" s="1"/>
  <c r="D16" i="12"/>
  <c r="D17" i="12" s="1"/>
  <c r="E13" i="12"/>
  <c r="E15" i="12" s="1"/>
  <c r="F11" i="12"/>
  <c r="F13" i="12" s="1"/>
  <c r="F15" i="12" s="1"/>
  <c r="E15" i="11"/>
  <c r="F13" i="11"/>
  <c r="F15" i="11" s="1"/>
  <c r="E16" i="15" l="1"/>
  <c r="E17" i="15" s="1"/>
  <c r="F16" i="15"/>
  <c r="F17" i="15" s="1"/>
  <c r="B19" i="15" s="1"/>
  <c r="F16" i="14"/>
  <c r="F17" i="14" s="1"/>
  <c r="E16" i="14"/>
  <c r="E17" i="14" s="1"/>
  <c r="F16" i="13"/>
  <c r="F17" i="13" s="1"/>
  <c r="E16" i="13"/>
  <c r="E17" i="13" s="1"/>
  <c r="E16" i="11"/>
  <c r="E17" i="11" s="1"/>
  <c r="F16" i="12"/>
  <c r="F17" i="12" s="1"/>
  <c r="E16" i="12"/>
  <c r="E17" i="12" s="1"/>
  <c r="F16" i="11"/>
  <c r="F17" i="11" s="1"/>
  <c r="B19" i="14" l="1"/>
  <c r="B19" i="13"/>
  <c r="B19" i="12"/>
  <c r="B19" i="11"/>
  <c r="F16" i="10"/>
  <c r="F15" i="10"/>
  <c r="F17" i="10" l="1"/>
  <c r="G15" i="9"/>
  <c r="K31" i="8" l="1"/>
  <c r="K32" i="8" s="1"/>
  <c r="E10" i="7" l="1"/>
  <c r="E8" i="6" l="1"/>
  <c r="D8" i="6"/>
  <c r="C8" i="6"/>
  <c r="E7" i="6"/>
  <c r="D7" i="6"/>
  <c r="C7" i="6"/>
  <c r="F6" i="6"/>
  <c r="F5" i="6"/>
  <c r="C15" i="5"/>
  <c r="C18" i="5" s="1"/>
  <c r="C14" i="5"/>
  <c r="D11" i="5" s="1"/>
  <c r="C12" i="5"/>
  <c r="C11" i="5"/>
  <c r="E8" i="5"/>
  <c r="D8" i="5"/>
  <c r="C8" i="5"/>
  <c r="E7" i="5"/>
  <c r="D7" i="5"/>
  <c r="C7" i="5"/>
  <c r="F6" i="5"/>
  <c r="F5" i="5"/>
  <c r="A5" i="6" l="1"/>
  <c r="A6" i="6"/>
  <c r="A6" i="5"/>
  <c r="D12" i="5"/>
  <c r="A5" i="5"/>
  <c r="C17" i="5"/>
  <c r="G12" i="5"/>
  <c r="C7" i="4" l="1"/>
  <c r="C6" i="4"/>
  <c r="C8" i="4" s="1"/>
  <c r="C7" i="3" l="1"/>
  <c r="F9" i="2" l="1"/>
  <c r="F5" i="2"/>
  <c r="F7" i="2" s="1"/>
  <c r="C13" i="1" l="1"/>
  <c r="C10" i="1"/>
  <c r="C14" i="1" s="1"/>
  <c r="C16" i="1"/>
  <c r="C15" i="1"/>
  <c r="C18" i="1"/>
  <c r="C17" i="1" l="1"/>
  <c r="C19" i="1" s="1"/>
</calcChain>
</file>

<file path=xl/sharedStrings.xml><?xml version="1.0" encoding="utf-8"?>
<sst xmlns="http://schemas.openxmlformats.org/spreadsheetml/2006/main" count="318" uniqueCount="137">
  <si>
    <t>royalty</t>
  </si>
  <si>
    <t>uchard</t>
  </si>
  <si>
    <t>fchard</t>
  </si>
  <si>
    <t>fcpaper</t>
  </si>
  <si>
    <t>ucpaper</t>
  </si>
  <si>
    <t>hardprice</t>
  </si>
  <si>
    <t>paperprice</t>
  </si>
  <si>
    <t>hardemand</t>
  </si>
  <si>
    <t>paperdemand</t>
  </si>
  <si>
    <t>profit</t>
  </si>
  <si>
    <t>paperratiotohard</t>
  </si>
  <si>
    <t>hardrev</t>
  </si>
  <si>
    <t>paperrev</t>
  </si>
  <si>
    <t>fixed costs</t>
  </si>
  <si>
    <t>hard vc</t>
  </si>
  <si>
    <t>paper vc</t>
  </si>
  <si>
    <t>royalty exp</t>
  </si>
  <si>
    <t>meanperpound</t>
  </si>
  <si>
    <t>price</t>
  </si>
  <si>
    <t>poundscandy</t>
  </si>
  <si>
    <t>poundsat10</t>
  </si>
  <si>
    <t>pounds at 6</t>
  </si>
  <si>
    <t>totalcostin mix</t>
  </si>
  <si>
    <t>=</t>
  </si>
  <si>
    <t>totalcost</t>
  </si>
  <si>
    <t>10 pounds of $10</t>
  </si>
  <si>
    <t>30 pounds of $6</t>
  </si>
  <si>
    <t>timeforjob</t>
  </si>
  <si>
    <t>time1</t>
  </si>
  <si>
    <t>time2</t>
  </si>
  <si>
    <t>time3</t>
  </si>
  <si>
    <t>percentage done</t>
  </si>
  <si>
    <t>2.49 days to finish job</t>
  </si>
  <si>
    <t>distanceeachway</t>
  </si>
  <si>
    <t>riverspeed</t>
  </si>
  <si>
    <t>myspeed</t>
  </si>
  <si>
    <t>timeupstream</t>
  </si>
  <si>
    <t>timedownstream</t>
  </si>
  <si>
    <t>total time</t>
  </si>
  <si>
    <t>17.43 m.p.h</t>
  </si>
  <si>
    <t>r</t>
  </si>
  <si>
    <t>NPV</t>
  </si>
  <si>
    <t>Time</t>
  </si>
  <si>
    <t>Total cash flow</t>
  </si>
  <si>
    <t>Investment 1 Cash flow</t>
  </si>
  <si>
    <t>Investment 2 Cash Flow</t>
  </si>
  <si>
    <t>13.4% gives projects</t>
  </si>
  <si>
    <t>Present V alue Inv 1</t>
  </si>
  <si>
    <t>identical NPV's</t>
  </si>
  <si>
    <t>Present Value Inv 2</t>
  </si>
  <si>
    <t>Use goal seek to</t>
  </si>
  <si>
    <t>change c3 so g12=0</t>
  </si>
  <si>
    <t>Present Value beginning of Year</t>
  </si>
  <si>
    <t>Investment 1</t>
  </si>
  <si>
    <t>NPV 1 -NPV 2</t>
  </si>
  <si>
    <t>Investment 2</t>
  </si>
  <si>
    <t>Present Value End of Year</t>
  </si>
  <si>
    <t>Present Value Middle of year</t>
  </si>
  <si>
    <t>Total cf</t>
  </si>
  <si>
    <t>Inv 1 CF</t>
  </si>
  <si>
    <t>Inv 2 CF</t>
  </si>
  <si>
    <t>PV Inv 1</t>
  </si>
  <si>
    <t>PV Inv 2</t>
  </si>
  <si>
    <t>$50,000 for 20 years</t>
  </si>
  <si>
    <t>what does rate have to be for value to be $500,000</t>
  </si>
  <si>
    <t>amt</t>
  </si>
  <si>
    <t>years</t>
  </si>
  <si>
    <t>rate</t>
  </si>
  <si>
    <t>Present value</t>
  </si>
  <si>
    <t>beginning of year</t>
  </si>
  <si>
    <t>Use goal seek to set E10 to $500,000</t>
  </si>
  <si>
    <t>by changing E9</t>
  </si>
  <si>
    <t>With no current a boat can travel</t>
  </si>
  <si>
    <t>need to sell</t>
  </si>
  <si>
    <t>demand</t>
  </si>
  <si>
    <t>restofmonthrevenue</t>
  </si>
  <si>
    <t>Use Goal Seek to change price so rest of month revenue=37,500</t>
  </si>
  <si>
    <t>$75 works as does $125</t>
  </si>
  <si>
    <t xml:space="preserve"> </t>
  </si>
  <si>
    <t>annrate</t>
  </si>
  <si>
    <t>Use goal seek</t>
  </si>
  <si>
    <t>to change</t>
  </si>
  <si>
    <t>amtborrowed</t>
  </si>
  <si>
    <t>G14 so G15 =3000</t>
  </si>
  <si>
    <t>Monthlypayment</t>
  </si>
  <si>
    <t>=3000</t>
  </si>
  <si>
    <t>fixed cost</t>
  </si>
  <si>
    <t>glassessold</t>
  </si>
  <si>
    <t>??</t>
  </si>
  <si>
    <t>Use Goal seek to change</t>
  </si>
  <si>
    <t>F12 so F17 = 300</t>
  </si>
  <si>
    <t>unitcost</t>
  </si>
  <si>
    <t>Need to sell 467 glasses of lemonade.</t>
  </si>
  <si>
    <t>revenue</t>
  </si>
  <si>
    <t>costs</t>
  </si>
  <si>
    <t>taxrate</t>
  </si>
  <si>
    <t>Year1sales</t>
  </si>
  <si>
    <t>Sales growth</t>
  </si>
  <si>
    <t>Year1price</t>
  </si>
  <si>
    <t>Year1cost</t>
  </si>
  <si>
    <t>intrate</t>
  </si>
  <si>
    <t>costgrowth</t>
  </si>
  <si>
    <t>pricegrowth</t>
  </si>
  <si>
    <t>Year</t>
  </si>
  <si>
    <t>Unit Sales</t>
  </si>
  <si>
    <t>unit price</t>
  </si>
  <si>
    <t>unit cost</t>
  </si>
  <si>
    <t>Revenues</t>
  </si>
  <si>
    <t>Costs</t>
  </si>
  <si>
    <t>Before Tax Profits</t>
  </si>
  <si>
    <t>Tax</t>
  </si>
  <si>
    <t>Aftertax Profits</t>
  </si>
  <si>
    <t>Tax paid</t>
  </si>
  <si>
    <t>annual int rate</t>
  </si>
  <si>
    <t>amt. borrowed</t>
  </si>
  <si>
    <t>Monthly payment</t>
  </si>
  <si>
    <t>Have a set cell computing the</t>
  </si>
  <si>
    <t>project's NPV</t>
  </si>
  <si>
    <t>Then use goal seek to change discount rate</t>
  </si>
  <si>
    <t>until NPV=0. This discount rate is the project's IRR.</t>
  </si>
  <si>
    <t>yearly cont</t>
  </si>
  <si>
    <t>rate of return</t>
  </si>
  <si>
    <t>available in 40 yrs.</t>
  </si>
  <si>
    <t>Project 1</t>
  </si>
  <si>
    <t>Project 2</t>
  </si>
  <si>
    <t>Project 1 NPV</t>
  </si>
  <si>
    <t>Project 2 NPV</t>
  </si>
  <si>
    <t>difference</t>
  </si>
  <si>
    <t>paidregistrants</t>
  </si>
  <si>
    <t>speakers</t>
  </si>
  <si>
    <t>FC</t>
  </si>
  <si>
    <t>Foodandlodgingcosts</t>
  </si>
  <si>
    <t>speakersfee</t>
  </si>
  <si>
    <t>registrationfee</t>
  </si>
  <si>
    <t xml:space="preserve">we need at least </t>
  </si>
  <si>
    <t>42 paid registrants</t>
  </si>
  <si>
    <t>to break even.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</si>
</sst>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2" borderId="0" xfId="0" applyFill="1"/>
    <xf numFmtId="0" fontId="2" fillId="0" borderId="0" xfId="2"/>
    <xf numFmtId="0" fontId="2" fillId="2" borderId="0" xfId="2" applyFill="1"/>
    <xf numFmtId="0" fontId="2" fillId="0" borderId="0" xfId="2" quotePrefix="1"/>
    <xf numFmtId="0" fontId="6" fillId="0" borderId="0" xfId="2" applyFont="1"/>
    <xf numFmtId="8" fontId="6" fillId="0" borderId="0" xfId="2" applyNumberFormat="1" applyFont="1"/>
    <xf numFmtId="0" fontId="1" fillId="0" borderId="0" xfId="3"/>
    <xf numFmtId="8" fontId="1" fillId="0" borderId="0" xfId="3" applyNumberFormat="1"/>
    <xf numFmtId="0" fontId="5" fillId="0" borderId="0" xfId="3" applyFont="1"/>
    <xf numFmtId="0" fontId="7" fillId="0" borderId="0" xfId="3" applyFont="1"/>
    <xf numFmtId="0" fontId="4" fillId="0" borderId="0" xfId="3" applyFont="1"/>
    <xf numFmtId="164" fontId="1" fillId="3" borderId="0" xfId="3" applyNumberFormat="1" applyFill="1"/>
    <xf numFmtId="0" fontId="1" fillId="0" borderId="0" xfId="3" quotePrefix="1"/>
    <xf numFmtId="0" fontId="1" fillId="4" borderId="0" xfId="3" applyFill="1"/>
    <xf numFmtId="0" fontId="1" fillId="5" borderId="0" xfId="3" applyFill="1"/>
    <xf numFmtId="44" fontId="2" fillId="0" borderId="0" xfId="2" applyNumberFormat="1"/>
    <xf numFmtId="8" fontId="2" fillId="0" borderId="0" xfId="2" applyNumberFormat="1"/>
    <xf numFmtId="44" fontId="2" fillId="0" borderId="0" xfId="1"/>
    <xf numFmtId="44" fontId="0" fillId="2" borderId="0" xfId="1" applyFont="1" applyFill="1"/>
    <xf numFmtId="10" fontId="0" fillId="2" borderId="0" xfId="4" applyNumberFormat="1" applyFont="1" applyFill="1"/>
    <xf numFmtId="0" fontId="2" fillId="0" borderId="0" xfId="2" applyAlignment="1">
      <alignment wrapText="1"/>
    </xf>
    <xf numFmtId="9" fontId="0" fillId="0" borderId="0" xfId="4" applyFont="1"/>
  </cellXfs>
  <cellStyles count="5">
    <cellStyle name="Currency" xfId="1" builtinId="4"/>
    <cellStyle name="Normal" xfId="0" builtinId="0"/>
    <cellStyle name="Normal 2" xfId="2" xr:uid="{07F28DE3-3888-4F07-A8F1-7F6C28D1F6C7}"/>
    <cellStyle name="Normal 3" xfId="3" xr:uid="{AC057038-CA98-4F03-A052-2C3B1BC5208C}"/>
    <cellStyle name="Percent 2" xfId="4" xr:uid="{A037F11C-1659-4227-A167-103B2AD8E84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6310sampletests2(1).zip/Nov4statsexam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6310sampletests2(1).zip/Tuesdaystatsexam2an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G11">
            <v>200</v>
          </cell>
        </row>
        <row r="12">
          <cell r="G12">
            <v>5</v>
          </cell>
        </row>
      </sheetData>
      <sheetData sheetId="6">
        <row r="15">
          <cell r="F15">
            <v>135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E8">
            <v>400</v>
          </cell>
        </row>
        <row r="9">
          <cell r="E9">
            <v>0.5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2"/>
  <sheetViews>
    <sheetView workbookViewId="0">
      <selection activeCell="C9" sqref="C9"/>
    </sheetView>
  </sheetViews>
  <sheetFormatPr defaultRowHeight="12.75" x14ac:dyDescent="0.2"/>
  <cols>
    <col min="2" max="2" width="15.5703125" customWidth="1"/>
    <col min="3" max="3" width="15" bestFit="1" customWidth="1"/>
    <col min="7" max="7" width="15.5703125" bestFit="1" customWidth="1"/>
  </cols>
  <sheetData>
    <row r="2" spans="2:7" x14ac:dyDescent="0.2">
      <c r="B2" t="s">
        <v>0</v>
      </c>
      <c r="C2" s="1">
        <v>12000000</v>
      </c>
    </row>
    <row r="3" spans="2:7" x14ac:dyDescent="0.2">
      <c r="B3" t="s">
        <v>2</v>
      </c>
      <c r="C3" s="1">
        <v>1000000</v>
      </c>
    </row>
    <row r="4" spans="2:7" x14ac:dyDescent="0.2">
      <c r="B4" t="s">
        <v>1</v>
      </c>
      <c r="C4" s="1">
        <v>4</v>
      </c>
    </row>
    <row r="5" spans="2:7" x14ac:dyDescent="0.2">
      <c r="B5" t="s">
        <v>3</v>
      </c>
      <c r="C5" s="1">
        <v>100000</v>
      </c>
    </row>
    <row r="6" spans="2:7" x14ac:dyDescent="0.2">
      <c r="B6" t="s">
        <v>4</v>
      </c>
      <c r="C6" s="1">
        <v>1</v>
      </c>
    </row>
    <row r="7" spans="2:7" x14ac:dyDescent="0.2">
      <c r="B7" t="s">
        <v>5</v>
      </c>
      <c r="C7" s="1">
        <v>15</v>
      </c>
    </row>
    <row r="8" spans="2:7" x14ac:dyDescent="0.2">
      <c r="B8" t="s">
        <v>6</v>
      </c>
      <c r="C8" s="1">
        <v>4</v>
      </c>
    </row>
    <row r="9" spans="2:7" x14ac:dyDescent="0.2">
      <c r="B9" t="s">
        <v>7</v>
      </c>
      <c r="C9" s="2">
        <v>770588.23529411759</v>
      </c>
    </row>
    <row r="10" spans="2:7" x14ac:dyDescent="0.2">
      <c r="B10" t="s">
        <v>8</v>
      </c>
      <c r="C10">
        <f>paperratiotohard*hardemand</f>
        <v>1541176.4705882352</v>
      </c>
    </row>
    <row r="11" spans="2:7" x14ac:dyDescent="0.2">
      <c r="B11" t="s">
        <v>10</v>
      </c>
      <c r="C11">
        <v>2</v>
      </c>
    </row>
    <row r="13" spans="2:7" x14ac:dyDescent="0.2">
      <c r="B13" t="s">
        <v>11</v>
      </c>
      <c r="C13" s="1">
        <f>hardprice*hardemand</f>
        <v>11558823.529411763</v>
      </c>
      <c r="G13" s="1"/>
    </row>
    <row r="14" spans="2:7" x14ac:dyDescent="0.2">
      <c r="B14" t="s">
        <v>12</v>
      </c>
      <c r="C14" s="1">
        <f>paperprice*paperdemand</f>
        <v>6164705.8823529407</v>
      </c>
      <c r="G14" s="1"/>
    </row>
    <row r="15" spans="2:7" x14ac:dyDescent="0.2">
      <c r="B15" t="s">
        <v>13</v>
      </c>
      <c r="C15" s="1">
        <f>fchard+fcpaper</f>
        <v>1100000</v>
      </c>
      <c r="G15" s="1"/>
    </row>
    <row r="16" spans="2:7" x14ac:dyDescent="0.2">
      <c r="B16" t="s">
        <v>14</v>
      </c>
      <c r="C16" s="1">
        <f>uchard*hardemand</f>
        <v>3082352.9411764704</v>
      </c>
      <c r="G16" s="1"/>
    </row>
    <row r="17" spans="2:7" x14ac:dyDescent="0.2">
      <c r="B17" t="s">
        <v>15</v>
      </c>
      <c r="C17" s="1">
        <f>paperdemand*ucpaper</f>
        <v>1541176.4705882352</v>
      </c>
      <c r="G17" s="1"/>
    </row>
    <row r="18" spans="2:7" x14ac:dyDescent="0.2">
      <c r="B18" t="s">
        <v>16</v>
      </c>
      <c r="C18" s="1">
        <f>royalty</f>
        <v>12000000</v>
      </c>
      <c r="G18" s="1"/>
    </row>
    <row r="19" spans="2:7" x14ac:dyDescent="0.2">
      <c r="B19" t="s">
        <v>9</v>
      </c>
      <c r="C19" s="1">
        <f>hardrev+paperrev-fixed_costs-paper_vc-hard_vc-royalty_exp</f>
        <v>0</v>
      </c>
      <c r="G19" s="1"/>
    </row>
    <row r="20" spans="2:7" x14ac:dyDescent="0.2">
      <c r="G20" s="1"/>
    </row>
    <row r="21" spans="2:7" x14ac:dyDescent="0.2">
      <c r="G21" s="1"/>
    </row>
    <row r="22" spans="2:7" x14ac:dyDescent="0.2">
      <c r="G22" s="1"/>
    </row>
  </sheetData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BB55-3B41-42E8-A055-695CDCE5ECBE}">
  <sheetPr codeName="Sheet10"/>
  <dimension ref="C2:L17"/>
  <sheetViews>
    <sheetView workbookViewId="0">
      <selection activeCell="B1" sqref="B1:J9"/>
    </sheetView>
  </sheetViews>
  <sheetFormatPr defaultRowHeight="15" x14ac:dyDescent="0.25"/>
  <cols>
    <col min="1" max="4" width="9.140625" style="8"/>
    <col min="5" max="5" width="12.140625" style="8" customWidth="1"/>
    <col min="6" max="16384" width="9.140625" style="8"/>
  </cols>
  <sheetData>
    <row r="2" spans="3:12" x14ac:dyDescent="0.25">
      <c r="C2" s="11"/>
      <c r="D2" s="11"/>
      <c r="E2" s="11"/>
      <c r="F2" s="11"/>
      <c r="G2" s="11"/>
      <c r="H2" s="11"/>
    </row>
    <row r="3" spans="3:12" x14ac:dyDescent="0.25">
      <c r="C3" s="11"/>
      <c r="D3" s="11"/>
      <c r="E3" s="11"/>
      <c r="F3" s="11"/>
      <c r="G3" s="11"/>
      <c r="H3" s="11"/>
    </row>
    <row r="4" spans="3:12" x14ac:dyDescent="0.25">
      <c r="C4" s="11"/>
      <c r="D4" s="11"/>
      <c r="E4" s="11"/>
      <c r="F4" s="11"/>
      <c r="G4" s="11"/>
      <c r="H4" s="11"/>
    </row>
    <row r="5" spans="3:12" x14ac:dyDescent="0.25">
      <c r="C5" s="11"/>
      <c r="D5" s="11"/>
      <c r="E5" s="11"/>
      <c r="F5" s="11"/>
      <c r="G5" s="11"/>
      <c r="H5" s="11"/>
    </row>
    <row r="6" spans="3:12" x14ac:dyDescent="0.25">
      <c r="C6" s="11"/>
      <c r="D6" s="11"/>
      <c r="E6" s="11"/>
      <c r="F6" s="11"/>
      <c r="G6" s="11"/>
      <c r="H6" s="11"/>
    </row>
    <row r="7" spans="3:12" x14ac:dyDescent="0.25">
      <c r="C7" s="11"/>
      <c r="D7" s="11"/>
      <c r="E7" s="11"/>
      <c r="F7" s="11"/>
      <c r="G7" s="11"/>
      <c r="H7" s="11"/>
    </row>
    <row r="8" spans="3:12" x14ac:dyDescent="0.25">
      <c r="C8" s="11"/>
      <c r="D8" s="11"/>
      <c r="E8" s="11"/>
      <c r="F8" s="11"/>
      <c r="G8" s="11"/>
      <c r="H8" s="11"/>
    </row>
    <row r="9" spans="3:12" x14ac:dyDescent="0.25">
      <c r="C9" s="11"/>
      <c r="D9" s="11"/>
      <c r="E9" s="11"/>
      <c r="F9" s="11"/>
      <c r="G9" s="11"/>
      <c r="H9" s="11"/>
    </row>
    <row r="11" spans="3:12" x14ac:dyDescent="0.25">
      <c r="E11" s="8" t="s">
        <v>86</v>
      </c>
      <c r="F11" s="8">
        <v>400</v>
      </c>
    </row>
    <row r="12" spans="3:12" x14ac:dyDescent="0.25">
      <c r="E12" s="8" t="s">
        <v>87</v>
      </c>
      <c r="F12" s="15">
        <v>466.66666666666669</v>
      </c>
      <c r="G12" s="8" t="s">
        <v>88</v>
      </c>
      <c r="I12" s="16"/>
      <c r="J12" s="16" t="s">
        <v>89</v>
      </c>
      <c r="K12" s="16"/>
      <c r="L12" s="16"/>
    </row>
    <row r="13" spans="3:12" x14ac:dyDescent="0.25">
      <c r="E13" s="8" t="s">
        <v>18</v>
      </c>
      <c r="F13" s="8">
        <v>4</v>
      </c>
      <c r="I13" s="16"/>
      <c r="J13" s="16" t="s">
        <v>90</v>
      </c>
      <c r="K13" s="16"/>
      <c r="L13" s="16"/>
    </row>
    <row r="14" spans="3:12" x14ac:dyDescent="0.25">
      <c r="E14" s="8" t="s">
        <v>91</v>
      </c>
      <c r="F14" s="8">
        <v>2.5</v>
      </c>
      <c r="I14" s="16" t="s">
        <v>92</v>
      </c>
      <c r="J14" s="16"/>
      <c r="K14" s="16"/>
      <c r="L14" s="16"/>
    </row>
    <row r="15" spans="3:12" x14ac:dyDescent="0.25">
      <c r="E15" s="8" t="s">
        <v>93</v>
      </c>
      <c r="F15" s="8">
        <f>price*glassessold</f>
        <v>1866.6666666666667</v>
      </c>
    </row>
    <row r="16" spans="3:12" x14ac:dyDescent="0.25">
      <c r="E16" s="8" t="s">
        <v>94</v>
      </c>
      <c r="F16" s="8">
        <f>fixed_cost+unitcost*glassessold</f>
        <v>1566.6666666666667</v>
      </c>
    </row>
    <row r="17" spans="5:6" x14ac:dyDescent="0.25">
      <c r="E17" s="8" t="s">
        <v>9</v>
      </c>
      <c r="F17" s="16">
        <f>revenue-costs</f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1E7-63FD-4FDF-89B0-21EB5FCF8E6C}">
  <sheetPr codeName="Sheet11"/>
  <dimension ref="A1:F19"/>
  <sheetViews>
    <sheetView workbookViewId="0">
      <selection activeCell="C3" sqref="C3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4">
        <v>0.30789337500317271</v>
      </c>
    </row>
    <row r="4" spans="1:6" x14ac:dyDescent="0.2">
      <c r="B4" s="3" t="s">
        <v>98</v>
      </c>
      <c r="C4" s="1">
        <v>9</v>
      </c>
    </row>
    <row r="5" spans="1:6" x14ac:dyDescent="0.2">
      <c r="B5" s="3" t="s">
        <v>99</v>
      </c>
      <c r="C5" s="1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13078.933750031727</v>
      </c>
      <c r="D10" s="3">
        <f>C10*(1+Sales_growth)</f>
        <v>17105.850803771897</v>
      </c>
      <c r="E10" s="3">
        <f>D10*(1+Sales_growth)</f>
        <v>22372.628940045961</v>
      </c>
      <c r="F10" s="3">
        <f>E10*(1+Sales_growth)</f>
        <v>29261.013172090366</v>
      </c>
    </row>
    <row r="11" spans="1:6" x14ac:dyDescent="0.2">
      <c r="A11" s="3" t="s">
        <v>105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 x14ac:dyDescent="0.2">
      <c r="A12" s="3" t="s">
        <v>106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121241.71586279411</v>
      </c>
      <c r="D13" s="17">
        <f>D11*D10</f>
        <v>163328.37405949444</v>
      </c>
      <c r="E13" s="17">
        <f>E11*E10</f>
        <v>220024.58133392641</v>
      </c>
      <c r="F13" s="17">
        <f>F11*F10</f>
        <v>296401.75303242379</v>
      </c>
    </row>
    <row r="14" spans="1:6" x14ac:dyDescent="0.2">
      <c r="A14" s="3" t="s">
        <v>108</v>
      </c>
      <c r="B14" s="17">
        <f>B10*B12</f>
        <v>60000</v>
      </c>
      <c r="C14" s="17">
        <f>C10*C12</f>
        <v>82397.282625199892</v>
      </c>
      <c r="D14" s="17">
        <f>D10*D12</f>
        <v>113155.20306695112</v>
      </c>
      <c r="E14" s="17">
        <f>E10*E12</f>
        <v>155394.68746032426</v>
      </c>
      <c r="F14" s="17">
        <f>F10*F12</f>
        <v>213401.66635204904</v>
      </c>
    </row>
    <row r="15" spans="1:6" x14ac:dyDescent="0.2">
      <c r="A15" s="3" t="s">
        <v>109</v>
      </c>
      <c r="B15" s="17">
        <f>B13-B14</f>
        <v>30000</v>
      </c>
      <c r="C15" s="17">
        <f>C13-C14</f>
        <v>38844.433237594218</v>
      </c>
      <c r="D15" s="17">
        <f>D13-D14</f>
        <v>50173.170992543324</v>
      </c>
      <c r="E15" s="17">
        <f>E13-E14</f>
        <v>64629.893873602152</v>
      </c>
      <c r="F15" s="17">
        <f>F13-F14</f>
        <v>83000.086680374749</v>
      </c>
    </row>
    <row r="16" spans="1:6" x14ac:dyDescent="0.2">
      <c r="A16" s="3" t="s">
        <v>110</v>
      </c>
      <c r="B16" s="17">
        <f>taxrate*B15</f>
        <v>12000</v>
      </c>
      <c r="C16" s="17">
        <f>taxrate*C15</f>
        <v>15537.773295037689</v>
      </c>
      <c r="D16" s="17">
        <f>taxrate*D15</f>
        <v>20069.268397017331</v>
      </c>
      <c r="E16" s="17">
        <f>taxrate*E15</f>
        <v>25851.957549440864</v>
      </c>
      <c r="F16" s="17">
        <f>taxrate*F15</f>
        <v>33200.034672149901</v>
      </c>
    </row>
    <row r="17" spans="1:6" x14ac:dyDescent="0.2">
      <c r="A17" s="3" t="s">
        <v>111</v>
      </c>
      <c r="B17" s="17">
        <f>B15-B16</f>
        <v>18000</v>
      </c>
      <c r="C17" s="17">
        <f>C15-C16</f>
        <v>23306.659942556529</v>
      </c>
      <c r="D17" s="17">
        <f>D15-D16</f>
        <v>30103.902595525993</v>
      </c>
      <c r="E17" s="17">
        <f>E15-E16</f>
        <v>38777.936324161288</v>
      </c>
      <c r="F17" s="17">
        <f>F15-F16</f>
        <v>49800.052008224848</v>
      </c>
    </row>
    <row r="19" spans="1:6" x14ac:dyDescent="0.2">
      <c r="A19" s="3" t="s">
        <v>41</v>
      </c>
      <c r="B19" s="18">
        <f>NPV(intrate,B17:F17)</f>
        <v>100000.00007643057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C555-825B-42B3-89CF-1FA814C5DD27}">
  <sheetPr codeName="Sheet12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F1B1-2785-4369-9E23-6C6F84B63677}">
  <sheetPr codeName="Sheet13"/>
  <dimension ref="A1:F19"/>
  <sheetViews>
    <sheetView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7AEA-D4B4-4810-BD9F-F13E76AECCDF}">
  <sheetPr codeName="Sheet14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3093-796B-4E6B-9730-6105543E23A5}">
  <sheetPr codeName="Sheet15"/>
  <dimension ref="A1:F19"/>
  <sheetViews>
    <sheetView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B6E4-4043-4AED-AF27-89B2FC4A0F66}">
  <sheetPr codeName="Sheet16"/>
  <dimension ref="A1:F19"/>
  <sheetViews>
    <sheetView workbookViewId="0">
      <selection activeCell="C5" sqref="C5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">
        <v>9</v>
      </c>
    </row>
    <row r="5" spans="1:6" x14ac:dyDescent="0.2">
      <c r="B5" s="3" t="s">
        <v>99</v>
      </c>
      <c r="C5" s="20">
        <v>4.8620215148144981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 x14ac:dyDescent="0.2">
      <c r="A12" s="3" t="s">
        <v>106</v>
      </c>
      <c r="B12" s="1">
        <f>Year1cost</f>
        <v>4.8620215148144981</v>
      </c>
      <c r="C12" s="1">
        <f>B12*(1+costgrowth)</f>
        <v>5.1051225905552231</v>
      </c>
      <c r="D12" s="1">
        <f>C12*(1+costgrowth)</f>
        <v>5.3603787200829842</v>
      </c>
      <c r="E12" s="1">
        <f>D12*(1+costgrowth)</f>
        <v>5.6283976560871336</v>
      </c>
      <c r="F12" s="1">
        <f>E12*(1+costgrowth)</f>
        <v>5.9098175388914909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48620.215148144984</v>
      </c>
      <c r="C14" s="17">
        <f>C10*C12</f>
        <v>56156.348496107457</v>
      </c>
      <c r="D14" s="17">
        <f>D10*D12</f>
        <v>64860.582513004119</v>
      </c>
      <c r="E14" s="17">
        <f>E10*E12</f>
        <v>74913.972802519769</v>
      </c>
      <c r="F14" s="17">
        <f>F10*F12</f>
        <v>86525.638586910354</v>
      </c>
    </row>
    <row r="15" spans="1:6" x14ac:dyDescent="0.2">
      <c r="A15" s="3" t="s">
        <v>109</v>
      </c>
      <c r="B15" s="17">
        <f>B13-B14</f>
        <v>41379.784851855016</v>
      </c>
      <c r="C15" s="17">
        <f>C13-C14</f>
        <v>45813.651503892543</v>
      </c>
      <c r="D15" s="17">
        <f>D13-D14</f>
        <v>50671.42748699589</v>
      </c>
      <c r="E15" s="17">
        <f>E13-E14</f>
        <v>55983.794527480262</v>
      </c>
      <c r="F15" s="17">
        <f>F13-F14</f>
        <v>61781.531797979696</v>
      </c>
    </row>
    <row r="16" spans="1:6" x14ac:dyDescent="0.2">
      <c r="A16" s="3" t="s">
        <v>110</v>
      </c>
      <c r="B16" s="17">
        <f>taxrate*B15</f>
        <v>16551.913940742008</v>
      </c>
      <c r="C16" s="17">
        <f>taxrate*C15</f>
        <v>18325.460601557017</v>
      </c>
      <c r="D16" s="17">
        <f>taxrate*D15</f>
        <v>20268.570994798356</v>
      </c>
      <c r="E16" s="17">
        <f>taxrate*E15</f>
        <v>22393.517810992107</v>
      </c>
      <c r="F16" s="17">
        <f>taxrate*F15</f>
        <v>24712.612719191879</v>
      </c>
    </row>
    <row r="17" spans="1:6" x14ac:dyDescent="0.2">
      <c r="A17" s="3" t="s">
        <v>111</v>
      </c>
      <c r="B17" s="17">
        <f>B15-B16</f>
        <v>24827.870911113008</v>
      </c>
      <c r="C17" s="17">
        <f>C15-C16</f>
        <v>27488.190902335526</v>
      </c>
      <c r="D17" s="17">
        <f>D15-D16</f>
        <v>30402.856492197534</v>
      </c>
      <c r="E17" s="17">
        <f>E15-E16</f>
        <v>33590.276716488152</v>
      </c>
      <c r="F17" s="17">
        <f>F15-F16</f>
        <v>37068.919078787818</v>
      </c>
    </row>
    <row r="19" spans="1:6" x14ac:dyDescent="0.2">
      <c r="A19" s="3" t="s">
        <v>41</v>
      </c>
      <c r="B19" s="18">
        <f>NPV(intrate,B17:F17)</f>
        <v>99999.999999999927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D284-C7ED-4B8F-B9A3-FB34C0EF06CD}">
  <sheetPr codeName="Sheet17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41A4-44BD-480C-AFCF-134969AF054C}">
  <sheetPr codeName="Sheet18"/>
  <dimension ref="A1:F19"/>
  <sheetViews>
    <sheetView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08D4-FFF9-4C75-B7B5-8B0AEA217050}">
  <sheetPr codeName="Sheet19"/>
  <dimension ref="A1:F19"/>
  <sheetViews>
    <sheetView topLeftCell="A3"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B19D-21CC-4FCF-907E-3BCED278E979}">
  <sheetPr codeName="Sheet2"/>
  <dimension ref="D2:F12"/>
  <sheetViews>
    <sheetView workbookViewId="0">
      <selection activeCell="D17" sqref="D17"/>
    </sheetView>
  </sheetViews>
  <sheetFormatPr defaultRowHeight="12.75" x14ac:dyDescent="0.2"/>
  <cols>
    <col min="1" max="4" width="9.140625" style="3"/>
    <col min="5" max="5" width="15.28515625" style="3" customWidth="1"/>
    <col min="6" max="16384" width="9.140625" style="3"/>
  </cols>
  <sheetData>
    <row r="2" spans="4:6" x14ac:dyDescent="0.2">
      <c r="E2" s="3" t="s">
        <v>17</v>
      </c>
      <c r="F2" s="1">
        <v>7</v>
      </c>
    </row>
    <row r="3" spans="4:6" x14ac:dyDescent="0.2">
      <c r="D3" s="3" t="s">
        <v>18</v>
      </c>
      <c r="E3" s="3" t="s">
        <v>19</v>
      </c>
      <c r="F3" s="3">
        <v>40</v>
      </c>
    </row>
    <row r="4" spans="4:6" x14ac:dyDescent="0.2">
      <c r="D4" s="3">
        <v>10</v>
      </c>
      <c r="E4" s="3" t="s">
        <v>20</v>
      </c>
      <c r="F4" s="4">
        <v>10</v>
      </c>
    </row>
    <row r="5" spans="4:6" x14ac:dyDescent="0.2">
      <c r="D5" s="3">
        <v>6</v>
      </c>
      <c r="E5" s="3" t="s">
        <v>21</v>
      </c>
      <c r="F5" s="3">
        <f>poundscandy-poundsat10</f>
        <v>30</v>
      </c>
    </row>
    <row r="7" spans="4:6" x14ac:dyDescent="0.2">
      <c r="E7" s="3" t="s">
        <v>22</v>
      </c>
      <c r="F7" s="3">
        <f>D4*poundsat10+D5*pounds_at_6</f>
        <v>280</v>
      </c>
    </row>
    <row r="8" spans="4:6" x14ac:dyDescent="0.2">
      <c r="F8" s="5" t="s">
        <v>23</v>
      </c>
    </row>
    <row r="9" spans="4:6" x14ac:dyDescent="0.2">
      <c r="E9" s="3" t="s">
        <v>24</v>
      </c>
      <c r="F9" s="3">
        <f>meanperpound*poundscandy</f>
        <v>280</v>
      </c>
    </row>
    <row r="11" spans="4:6" x14ac:dyDescent="0.2">
      <c r="E11" s="3" t="s">
        <v>25</v>
      </c>
    </row>
    <row r="12" spans="4:6" x14ac:dyDescent="0.2">
      <c r="E12" s="3" t="s">
        <v>26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35C1-DA1F-4BA2-9CD3-95D4E4DB0F52}">
  <sheetPr codeName="Sheet20"/>
  <dimension ref="A1:F19"/>
  <sheetViews>
    <sheetView workbookViewId="0">
      <selection activeCell="B9" sqref="B9"/>
    </sheetView>
  </sheetViews>
  <sheetFormatPr defaultRowHeight="12.75" x14ac:dyDescent="0.2"/>
  <cols>
    <col min="1" max="1" width="16" style="3" customWidth="1"/>
    <col min="2" max="2" width="12.42578125" style="3" customWidth="1"/>
    <col min="3" max="3" width="14" style="3" customWidth="1"/>
    <col min="4" max="4" width="12.28515625" style="3" customWidth="1"/>
    <col min="5" max="6" width="13.140625" style="3" customWidth="1"/>
    <col min="7" max="16384" width="9.140625" style="3"/>
  </cols>
  <sheetData>
    <row r="1" spans="1:6" x14ac:dyDescent="0.2">
      <c r="B1" s="3" t="s">
        <v>95</v>
      </c>
      <c r="C1" s="3">
        <v>0.4</v>
      </c>
    </row>
    <row r="2" spans="1:6" x14ac:dyDescent="0.2">
      <c r="B2" s="3" t="s">
        <v>96</v>
      </c>
      <c r="C2" s="3">
        <v>10000</v>
      </c>
    </row>
    <row r="3" spans="1:6" x14ac:dyDescent="0.2">
      <c r="B3" s="3" t="s">
        <v>97</v>
      </c>
      <c r="C3" s="3">
        <v>0.1</v>
      </c>
    </row>
    <row r="4" spans="1:6" x14ac:dyDescent="0.2">
      <c r="B4" s="3" t="s">
        <v>98</v>
      </c>
      <c r="C4" s="19">
        <v>9</v>
      </c>
    </row>
    <row r="5" spans="1:6" x14ac:dyDescent="0.2">
      <c r="B5" s="3" t="s">
        <v>99</v>
      </c>
      <c r="C5" s="19">
        <v>6</v>
      </c>
    </row>
    <row r="6" spans="1:6" x14ac:dyDescent="0.2">
      <c r="B6" s="3" t="s">
        <v>100</v>
      </c>
      <c r="C6" s="3">
        <v>0.15</v>
      </c>
    </row>
    <row r="7" spans="1:6" x14ac:dyDescent="0.2">
      <c r="B7" s="3" t="s">
        <v>101</v>
      </c>
      <c r="C7" s="3">
        <v>0.05</v>
      </c>
    </row>
    <row r="8" spans="1:6" x14ac:dyDescent="0.2">
      <c r="B8" s="3" t="s">
        <v>102</v>
      </c>
      <c r="C8" s="3">
        <v>0.03</v>
      </c>
    </row>
    <row r="9" spans="1:6" x14ac:dyDescent="0.2">
      <c r="A9" s="3" t="s">
        <v>103</v>
      </c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6" x14ac:dyDescent="0.2">
      <c r="A10" s="3" t="s">
        <v>104</v>
      </c>
      <c r="B10" s="3">
        <f>Year1sales</f>
        <v>10000</v>
      </c>
      <c r="C10" s="3">
        <f>B10*(1+Sales_growth)</f>
        <v>11000</v>
      </c>
      <c r="D10" s="3">
        <f>C10*(1+Sales_growth)</f>
        <v>12100.000000000002</v>
      </c>
      <c r="E10" s="3">
        <f>D10*(1+Sales_growth)</f>
        <v>13310.000000000004</v>
      </c>
      <c r="F10" s="3">
        <f>E10*(1+Sales_growth)</f>
        <v>14641.000000000005</v>
      </c>
    </row>
    <row r="11" spans="1:6" x14ac:dyDescent="0.2">
      <c r="A11" s="3" t="s">
        <v>105</v>
      </c>
      <c r="B11" s="19">
        <f>Year1price</f>
        <v>9</v>
      </c>
      <c r="C11" s="19">
        <f>B11*(1+pricegrowth)</f>
        <v>9.27</v>
      </c>
      <c r="D11" s="19">
        <f>C11*(1+pricegrowth)</f>
        <v>9.5480999999999998</v>
      </c>
      <c r="E11" s="19">
        <f>D11*(1+pricegrowth)</f>
        <v>9.834543</v>
      </c>
      <c r="F11" s="19">
        <f>E11*(1+pricegrowth)</f>
        <v>10.129579290000001</v>
      </c>
    </row>
    <row r="12" spans="1:6" x14ac:dyDescent="0.2">
      <c r="A12" s="3" t="s">
        <v>106</v>
      </c>
      <c r="B12" s="19">
        <f>Year1cost</f>
        <v>6</v>
      </c>
      <c r="C12" s="19">
        <f>B12*(1+costgrowth)</f>
        <v>6.3000000000000007</v>
      </c>
      <c r="D12" s="19">
        <f>C12*(1+costgrowth)</f>
        <v>6.6150000000000011</v>
      </c>
      <c r="E12" s="19">
        <f>D12*(1+costgrowth)</f>
        <v>6.9457500000000012</v>
      </c>
      <c r="F12" s="19">
        <f>E12*(1+costgrowth)</f>
        <v>7.2930375000000014</v>
      </c>
    </row>
    <row r="13" spans="1:6" x14ac:dyDescent="0.2">
      <c r="A13" s="3" t="s">
        <v>107</v>
      </c>
      <c r="B13" s="17">
        <f>B11*B10</f>
        <v>90000</v>
      </c>
      <c r="C13" s="17">
        <f>C11*C10</f>
        <v>101970</v>
      </c>
      <c r="D13" s="17">
        <f>D11*D10</f>
        <v>115532.01000000001</v>
      </c>
      <c r="E13" s="17">
        <f>E11*E10</f>
        <v>130897.76733000003</v>
      </c>
      <c r="F13" s="17">
        <f>F11*F10</f>
        <v>148307.17038489005</v>
      </c>
    </row>
    <row r="14" spans="1:6" x14ac:dyDescent="0.2">
      <c r="A14" s="3" t="s">
        <v>108</v>
      </c>
      <c r="B14" s="17">
        <f>B10*B12</f>
        <v>60000</v>
      </c>
      <c r="C14" s="17">
        <f>C10*C12</f>
        <v>69300.000000000015</v>
      </c>
      <c r="D14" s="17">
        <f>D10*D12</f>
        <v>80041.500000000029</v>
      </c>
      <c r="E14" s="17">
        <f>E10*E12</f>
        <v>92447.932500000039</v>
      </c>
      <c r="F14" s="17">
        <f>F10*F12</f>
        <v>106777.36203750006</v>
      </c>
    </row>
    <row r="15" spans="1:6" x14ac:dyDescent="0.2">
      <c r="A15" s="3" t="s">
        <v>109</v>
      </c>
      <c r="B15" s="17">
        <f>B13-B14</f>
        <v>30000</v>
      </c>
      <c r="C15" s="17">
        <f>C13-C14</f>
        <v>32669.999999999985</v>
      </c>
      <c r="D15" s="17">
        <f>D13-D14</f>
        <v>35490.50999999998</v>
      </c>
      <c r="E15" s="17">
        <f>E13-E14</f>
        <v>38449.834829999993</v>
      </c>
      <c r="F15" s="17">
        <f>F13-F14</f>
        <v>41529.80834738999</v>
      </c>
    </row>
    <row r="16" spans="1:6" x14ac:dyDescent="0.2">
      <c r="A16" s="3" t="s">
        <v>112</v>
      </c>
      <c r="B16" s="17">
        <f>taxrate*B15</f>
        <v>12000</v>
      </c>
      <c r="C16" s="17">
        <f>taxrate*C15</f>
        <v>13067.999999999995</v>
      </c>
      <c r="D16" s="17">
        <f>taxrate*D15</f>
        <v>14196.203999999992</v>
      </c>
      <c r="E16" s="17">
        <f>taxrate*E15</f>
        <v>15379.933931999998</v>
      </c>
      <c r="F16" s="17">
        <f>taxrate*F15</f>
        <v>16611.923338955996</v>
      </c>
    </row>
    <row r="17" spans="1:6" x14ac:dyDescent="0.2">
      <c r="A17" s="3" t="s">
        <v>111</v>
      </c>
      <c r="B17" s="17">
        <f>B15-B16</f>
        <v>18000</v>
      </c>
      <c r="C17" s="17">
        <f>C15-C16</f>
        <v>19601.999999999993</v>
      </c>
      <c r="D17" s="17">
        <f>D15-D16</f>
        <v>21294.30599999999</v>
      </c>
      <c r="E17" s="17">
        <f>E15-E16</f>
        <v>23069.900897999993</v>
      </c>
      <c r="F17" s="17">
        <f>F15-F16</f>
        <v>24917.885008433994</v>
      </c>
    </row>
    <row r="19" spans="1:6" x14ac:dyDescent="0.2">
      <c r="A19" s="3" t="s">
        <v>41</v>
      </c>
      <c r="B19" s="18">
        <f>NPV(intrate,B17:F17)</f>
        <v>70054.337365741507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D12A-C2D3-4D93-8378-5C10702B17AE}">
  <sheetPr codeName="Sheet21"/>
  <dimension ref="D3:E6"/>
  <sheetViews>
    <sheetView workbookViewId="0">
      <selection activeCell="E4" sqref="E4"/>
    </sheetView>
  </sheetViews>
  <sheetFormatPr defaultRowHeight="12.75" x14ac:dyDescent="0.2"/>
  <cols>
    <col min="1" max="3" width="9.140625" style="3"/>
    <col min="4" max="4" width="19.85546875" style="3" customWidth="1"/>
    <col min="5" max="5" width="12.28515625" style="3" bestFit="1" customWidth="1"/>
    <col min="6" max="16384" width="9.140625" style="3"/>
  </cols>
  <sheetData>
    <row r="3" spans="4:5" x14ac:dyDescent="0.2">
      <c r="D3" s="3" t="s">
        <v>66</v>
      </c>
      <c r="E3" s="3">
        <v>180</v>
      </c>
    </row>
    <row r="4" spans="4:5" x14ac:dyDescent="0.2">
      <c r="D4" s="3" t="s">
        <v>113</v>
      </c>
      <c r="E4" s="21">
        <v>8.7593347716189762E-2</v>
      </c>
    </row>
    <row r="5" spans="4:5" x14ac:dyDescent="0.2">
      <c r="D5" s="3" t="s">
        <v>114</v>
      </c>
      <c r="E5" s="1">
        <v>200000</v>
      </c>
    </row>
    <row r="6" spans="4:5" x14ac:dyDescent="0.2">
      <c r="D6" s="3" t="s">
        <v>115</v>
      </c>
      <c r="E6" s="18">
        <f>-PMT(annual_int_rate/12,years,amt._borrowed)</f>
        <v>1999.9999784128206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9B40-F7CF-4FC4-98A2-525AE00CBB42}">
  <sheetPr codeName="Sheet22"/>
  <dimension ref="C6:C9"/>
  <sheetViews>
    <sheetView workbookViewId="0">
      <selection sqref="A1:IV65536"/>
    </sheetView>
  </sheetViews>
  <sheetFormatPr defaultRowHeight="12.75" x14ac:dyDescent="0.2"/>
  <cols>
    <col min="1" max="16384" width="9.140625" style="6"/>
  </cols>
  <sheetData>
    <row r="6" spans="3:3" x14ac:dyDescent="0.2">
      <c r="C6" s="6" t="s">
        <v>116</v>
      </c>
    </row>
    <row r="7" spans="3:3" x14ac:dyDescent="0.2">
      <c r="C7" s="6" t="s">
        <v>117</v>
      </c>
    </row>
    <row r="8" spans="3:3" x14ac:dyDescent="0.2">
      <c r="C8" s="6" t="s">
        <v>118</v>
      </c>
    </row>
    <row r="9" spans="3:3" x14ac:dyDescent="0.2">
      <c r="C9" s="6" t="s">
        <v>119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1C01-48C7-4DDE-9EAA-E247907ABFD9}">
  <sheetPr codeName="Sheet23"/>
  <dimension ref="D2:E6"/>
  <sheetViews>
    <sheetView topLeftCell="B1" workbookViewId="0">
      <selection activeCell="E4" sqref="E4"/>
    </sheetView>
  </sheetViews>
  <sheetFormatPr defaultRowHeight="12.75" x14ac:dyDescent="0.2"/>
  <cols>
    <col min="1" max="3" width="9.140625" style="3"/>
    <col min="4" max="4" width="11.85546875" style="3" customWidth="1"/>
    <col min="5" max="5" width="13.42578125" style="3" bestFit="1" customWidth="1"/>
    <col min="6" max="16384" width="9.140625" style="3"/>
  </cols>
  <sheetData>
    <row r="2" spans="4:5" x14ac:dyDescent="0.2">
      <c r="D2" s="3" t="s">
        <v>66</v>
      </c>
      <c r="E2" s="3">
        <v>40</v>
      </c>
    </row>
    <row r="3" spans="4:5" x14ac:dyDescent="0.2">
      <c r="D3" s="3" t="s">
        <v>120</v>
      </c>
      <c r="E3" s="3">
        <v>20000</v>
      </c>
    </row>
    <row r="4" spans="4:5" x14ac:dyDescent="0.2">
      <c r="D4" s="3" t="s">
        <v>121</v>
      </c>
      <c r="E4" s="21">
        <v>4.2155394327362927E-2</v>
      </c>
    </row>
    <row r="6" spans="4:5" ht="25.5" x14ac:dyDescent="0.2">
      <c r="D6" s="22" t="s">
        <v>122</v>
      </c>
      <c r="E6" s="18">
        <f>FV(E4,E2,-E3,0,0)</f>
        <v>2000000.0000000594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4D23-81CF-4532-96B0-F81F39E99BB7}">
  <sheetPr codeName="Sheet24"/>
  <dimension ref="D2:E6"/>
  <sheetViews>
    <sheetView topLeftCell="B1" workbookViewId="0">
      <selection activeCell="E6" sqref="E6"/>
    </sheetView>
  </sheetViews>
  <sheetFormatPr defaultRowHeight="12.75" x14ac:dyDescent="0.2"/>
  <cols>
    <col min="1" max="3" width="9.140625" style="3"/>
    <col min="4" max="4" width="11.85546875" style="3" customWidth="1"/>
    <col min="5" max="5" width="13.42578125" style="3" bestFit="1" customWidth="1"/>
    <col min="6" max="16384" width="9.140625" style="3"/>
  </cols>
  <sheetData>
    <row r="2" spans="4:5" x14ac:dyDescent="0.2">
      <c r="D2" s="3" t="s">
        <v>66</v>
      </c>
      <c r="E2" s="3">
        <v>40</v>
      </c>
    </row>
    <row r="3" spans="4:5" x14ac:dyDescent="0.2">
      <c r="D3" s="3" t="s">
        <v>120</v>
      </c>
      <c r="E3" s="20">
        <v>4518.8288287389751</v>
      </c>
    </row>
    <row r="4" spans="4:5" x14ac:dyDescent="0.2">
      <c r="D4" s="3" t="s">
        <v>121</v>
      </c>
      <c r="E4" s="3">
        <v>0.1</v>
      </c>
    </row>
    <row r="6" spans="4:5" ht="25.5" x14ac:dyDescent="0.2">
      <c r="D6" s="22" t="s">
        <v>122</v>
      </c>
      <c r="E6" s="18">
        <f>FV(E4,E2,-E3,0,0)</f>
        <v>2000000.0000000002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7785-E3FD-42FA-9AC1-43E26E4CB654}">
  <sheetPr codeName="Sheet25"/>
  <dimension ref="B2:F10"/>
  <sheetViews>
    <sheetView workbookViewId="0">
      <selection activeCell="D3" sqref="D3"/>
    </sheetView>
  </sheetViews>
  <sheetFormatPr defaultRowHeight="12.75" x14ac:dyDescent="0.2"/>
  <cols>
    <col min="1" max="2" width="9.140625" style="3"/>
    <col min="3" max="3" width="16.5703125" style="3" customWidth="1"/>
    <col min="4" max="4" width="10.7109375" style="3" bestFit="1" customWidth="1"/>
    <col min="5" max="5" width="9.42578125" style="3" bestFit="1" customWidth="1"/>
    <col min="6" max="6" width="10.28515625" style="3" bestFit="1" customWidth="1"/>
    <col min="7" max="16384" width="9.140625" style="3"/>
  </cols>
  <sheetData>
    <row r="2" spans="2:6" x14ac:dyDescent="0.2">
      <c r="C2" s="3" t="s">
        <v>67</v>
      </c>
      <c r="D2" s="23">
        <v>0.27657361873301017</v>
      </c>
    </row>
    <row r="4" spans="2:6" x14ac:dyDescent="0.2">
      <c r="C4" s="3">
        <v>1</v>
      </c>
      <c r="D4" s="3">
        <v>2</v>
      </c>
      <c r="E4" s="3">
        <v>3</v>
      </c>
      <c r="F4" s="3">
        <v>4</v>
      </c>
    </row>
    <row r="5" spans="2:6" x14ac:dyDescent="0.2">
      <c r="B5" s="3" t="s">
        <v>123</v>
      </c>
      <c r="C5" s="1">
        <v>-1000</v>
      </c>
      <c r="D5" s="1">
        <v>400</v>
      </c>
      <c r="E5" s="1">
        <v>350</v>
      </c>
      <c r="F5" s="1">
        <v>400</v>
      </c>
    </row>
    <row r="6" spans="2:6" x14ac:dyDescent="0.2">
      <c r="B6" s="3" t="s">
        <v>124</v>
      </c>
      <c r="C6" s="1">
        <v>-900</v>
      </c>
      <c r="D6" s="1">
        <v>100</v>
      </c>
      <c r="E6" s="1">
        <v>100</v>
      </c>
      <c r="F6" s="1">
        <v>1000</v>
      </c>
    </row>
    <row r="8" spans="2:6" x14ac:dyDescent="0.2">
      <c r="C8" s="3" t="s">
        <v>125</v>
      </c>
      <c r="D8" s="18">
        <f>NPV($D$2,C5:F5)</f>
        <v>-219.03561687738724</v>
      </c>
    </row>
    <row r="9" spans="2:6" x14ac:dyDescent="0.2">
      <c r="C9" s="3" t="s">
        <v>126</v>
      </c>
      <c r="D9" s="18">
        <f>NPV($D$2,C6:F6)</f>
        <v>-219.03557795987933</v>
      </c>
    </row>
    <row r="10" spans="2:6" x14ac:dyDescent="0.2">
      <c r="C10" s="3" t="s">
        <v>127</v>
      </c>
      <c r="D10" s="18">
        <f>D8-D9</f>
        <v>-3.8917507907854088E-5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8B00-1090-487A-B4C1-7B3237C719A4}">
  <sheetPr codeName="Sheet26"/>
  <dimension ref="D3:E14"/>
  <sheetViews>
    <sheetView tabSelected="1" topLeftCell="B2" workbookViewId="0">
      <selection activeCell="D14" sqref="D14"/>
    </sheetView>
  </sheetViews>
  <sheetFormatPr defaultRowHeight="12.75" x14ac:dyDescent="0.2"/>
  <cols>
    <col min="1" max="3" width="9.140625" style="3"/>
    <col min="4" max="4" width="18.85546875" style="3" bestFit="1" customWidth="1"/>
    <col min="5" max="5" width="11.28515625" style="3" bestFit="1" customWidth="1"/>
    <col min="6" max="16384" width="9.140625" style="3"/>
  </cols>
  <sheetData>
    <row r="3" spans="4:5" x14ac:dyDescent="0.2">
      <c r="D3" s="3" t="s">
        <v>128</v>
      </c>
      <c r="E3" s="4">
        <v>41.666666666666664</v>
      </c>
    </row>
    <row r="4" spans="4:5" x14ac:dyDescent="0.2">
      <c r="D4" s="3" t="s">
        <v>129</v>
      </c>
      <c r="E4" s="3">
        <v>10</v>
      </c>
    </row>
    <row r="5" spans="4:5" x14ac:dyDescent="0.2">
      <c r="D5" s="3" t="s">
        <v>130</v>
      </c>
      <c r="E5" s="1">
        <v>15000</v>
      </c>
    </row>
    <row r="6" spans="4:5" x14ac:dyDescent="0.2">
      <c r="D6" s="3" t="s">
        <v>131</v>
      </c>
      <c r="E6" s="1">
        <v>300</v>
      </c>
    </row>
    <row r="7" spans="4:5" x14ac:dyDescent="0.2">
      <c r="D7" s="3" t="s">
        <v>132</v>
      </c>
      <c r="E7" s="1">
        <v>700</v>
      </c>
    </row>
    <row r="8" spans="4:5" x14ac:dyDescent="0.2">
      <c r="D8" s="3" t="s">
        <v>133</v>
      </c>
      <c r="E8" s="1">
        <v>900</v>
      </c>
    </row>
    <row r="10" spans="4:5" x14ac:dyDescent="0.2">
      <c r="D10" s="3" t="s">
        <v>9</v>
      </c>
      <c r="E10" s="3">
        <f>registrationfee*paidregistrants-speakers*speakersfee-(paidregistrants+speakers)*Foodandlodgingcosts-FC</f>
        <v>0</v>
      </c>
    </row>
    <row r="12" spans="4:5" x14ac:dyDescent="0.2">
      <c r="D12" s="3" t="s">
        <v>134</v>
      </c>
    </row>
    <row r="13" spans="4:5" x14ac:dyDescent="0.2">
      <c r="D13" s="3" t="s">
        <v>135</v>
      </c>
    </row>
    <row r="14" spans="4:5" x14ac:dyDescent="0.2">
      <c r="D14" s="3" t="s">
        <v>136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4042-8825-4283-88BF-02F4383591CF}">
  <sheetPr codeName="Sheet3"/>
  <dimension ref="B2:C11"/>
  <sheetViews>
    <sheetView workbookViewId="0">
      <selection activeCell="F12" sqref="F12"/>
    </sheetView>
  </sheetViews>
  <sheetFormatPr defaultRowHeight="12.75" x14ac:dyDescent="0.2"/>
  <cols>
    <col min="1" max="1" width="9.140625" style="3"/>
    <col min="2" max="2" width="18.7109375" style="3" customWidth="1"/>
    <col min="3" max="16384" width="9.140625" style="3"/>
  </cols>
  <sheetData>
    <row r="2" spans="2:3" x14ac:dyDescent="0.2">
      <c r="B2" s="3" t="s">
        <v>27</v>
      </c>
      <c r="C2" s="4">
        <v>2.4874371859296502</v>
      </c>
    </row>
    <row r="3" spans="2:3" x14ac:dyDescent="0.2">
      <c r="B3" s="3" t="s">
        <v>28</v>
      </c>
      <c r="C3" s="3">
        <v>11</v>
      </c>
    </row>
    <row r="4" spans="2:3" x14ac:dyDescent="0.2">
      <c r="B4" s="3" t="s">
        <v>29</v>
      </c>
      <c r="C4" s="3">
        <v>5</v>
      </c>
    </row>
    <row r="5" spans="2:3" x14ac:dyDescent="0.2">
      <c r="B5" s="3" t="s">
        <v>30</v>
      </c>
      <c r="C5" s="3">
        <v>9</v>
      </c>
    </row>
    <row r="7" spans="2:3" x14ac:dyDescent="0.2">
      <c r="B7" s="3" t="s">
        <v>31</v>
      </c>
      <c r="C7" s="3">
        <f>timeforjob*((1/time1)+(1/time2)+(1/time3))</f>
        <v>1.0000000000000007</v>
      </c>
    </row>
    <row r="11" spans="2:3" x14ac:dyDescent="0.2">
      <c r="B11" s="3" t="s">
        <v>32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95BB-D654-462D-A2A9-F6C35639EDEB}">
  <sheetPr codeName="Sheet4"/>
  <dimension ref="B2:C11"/>
  <sheetViews>
    <sheetView workbookViewId="0">
      <selection activeCell="B9" sqref="B9"/>
    </sheetView>
  </sheetViews>
  <sheetFormatPr defaultRowHeight="12.75" x14ac:dyDescent="0.2"/>
  <cols>
    <col min="1" max="1" width="9.140625" style="3"/>
    <col min="2" max="2" width="17.140625" style="3" customWidth="1"/>
    <col min="3" max="16384" width="9.140625" style="3"/>
  </cols>
  <sheetData>
    <row r="2" spans="2:3" x14ac:dyDescent="0.2">
      <c r="B2" s="3" t="s">
        <v>33</v>
      </c>
      <c r="C2" s="3">
        <v>40</v>
      </c>
    </row>
    <row r="3" spans="2:3" x14ac:dyDescent="0.2">
      <c r="B3" s="3" t="s">
        <v>34</v>
      </c>
      <c r="C3" s="3">
        <v>5</v>
      </c>
    </row>
    <row r="4" spans="2:3" x14ac:dyDescent="0.2">
      <c r="B4" s="3" t="s">
        <v>35</v>
      </c>
      <c r="C4" s="4">
        <v>17.433980762298546</v>
      </c>
    </row>
    <row r="6" spans="2:3" x14ac:dyDescent="0.2">
      <c r="B6" s="3" t="s">
        <v>36</v>
      </c>
      <c r="C6" s="3">
        <f>distanceeachway/(myspeed-riverspeed)</f>
        <v>3.2169906616942199</v>
      </c>
    </row>
    <row r="7" spans="2:3" x14ac:dyDescent="0.2">
      <c r="B7" s="3" t="s">
        <v>37</v>
      </c>
      <c r="C7" s="3">
        <f>distanceeachway/(myspeed+riverspeed)</f>
        <v>1.7830094633593538</v>
      </c>
    </row>
    <row r="8" spans="2:3" x14ac:dyDescent="0.2">
      <c r="B8" s="3" t="s">
        <v>38</v>
      </c>
      <c r="C8" s="3">
        <f>timeupstream+timedownstream</f>
        <v>5.0000001250535737</v>
      </c>
    </row>
    <row r="11" spans="2:3" x14ac:dyDescent="0.2">
      <c r="B11" s="3" t="s">
        <v>39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FA65-7DDD-414C-8426-5CADBE38CCFD}">
  <sheetPr codeName="Sheet5"/>
  <dimension ref="A3:G18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30.85546875" style="6" customWidth="1"/>
    <col min="3" max="5" width="9.140625" style="6"/>
    <col min="6" max="6" width="16.5703125" style="6" customWidth="1"/>
    <col min="7" max="16384" width="9.140625" style="6"/>
  </cols>
  <sheetData>
    <row r="3" spans="1:7" x14ac:dyDescent="0.2">
      <c r="B3" s="6" t="s">
        <v>40</v>
      </c>
      <c r="C3" s="6">
        <v>0.13397460037638753</v>
      </c>
    </row>
    <row r="4" spans="1:7" x14ac:dyDescent="0.2">
      <c r="A4" s="6" t="s">
        <v>41</v>
      </c>
      <c r="B4" s="6" t="s">
        <v>42</v>
      </c>
      <c r="C4" s="6">
        <v>0</v>
      </c>
      <c r="D4" s="6">
        <v>1</v>
      </c>
      <c r="E4" s="6">
        <v>2</v>
      </c>
      <c r="F4" s="6" t="s">
        <v>43</v>
      </c>
    </row>
    <row r="5" spans="1:7" x14ac:dyDescent="0.2">
      <c r="A5" s="6">
        <f>SUM(C7:E7)</f>
        <v>277.16534029873583</v>
      </c>
      <c r="B5" s="6" t="s">
        <v>44</v>
      </c>
      <c r="C5" s="6">
        <v>-10000</v>
      </c>
      <c r="D5" s="6">
        <v>24000</v>
      </c>
      <c r="E5" s="6">
        <v>-14000</v>
      </c>
      <c r="F5" s="6">
        <f>SUM(C5:E5)</f>
        <v>0</v>
      </c>
    </row>
    <row r="6" spans="1:7" x14ac:dyDescent="0.2">
      <c r="A6" s="6">
        <f>SUM(C8:E8)</f>
        <v>277.16531788090845</v>
      </c>
      <c r="B6" s="6" t="s">
        <v>45</v>
      </c>
      <c r="C6" s="6">
        <v>-6000</v>
      </c>
      <c r="D6" s="6">
        <v>8000</v>
      </c>
      <c r="E6" s="6">
        <v>-1000</v>
      </c>
      <c r="F6" s="6">
        <f>SUM(C6:E6)</f>
        <v>1000</v>
      </c>
      <c r="G6" s="6" t="s">
        <v>46</v>
      </c>
    </row>
    <row r="7" spans="1:7" x14ac:dyDescent="0.2">
      <c r="B7" s="6" t="s">
        <v>47</v>
      </c>
      <c r="C7" s="6">
        <f>C5</f>
        <v>-10000</v>
      </c>
      <c r="D7" s="6">
        <f>D5/(1+r_)^D$4</f>
        <v>21164.495211827449</v>
      </c>
      <c r="E7" s="6">
        <f>E5/(1+r_)^E$4</f>
        <v>-10887.329871528713</v>
      </c>
      <c r="G7" s="6" t="s">
        <v>48</v>
      </c>
    </row>
    <row r="8" spans="1:7" x14ac:dyDescent="0.2">
      <c r="B8" s="6" t="s">
        <v>49</v>
      </c>
      <c r="C8" s="6">
        <f>C6</f>
        <v>-6000</v>
      </c>
      <c r="D8" s="6">
        <f>D6/(1+r_)^D$4</f>
        <v>7054.8317372758165</v>
      </c>
      <c r="E8" s="6">
        <f>E6/(1+r_)^E$4</f>
        <v>-777.66641939490808</v>
      </c>
      <c r="G8" s="6" t="s">
        <v>50</v>
      </c>
    </row>
    <row r="9" spans="1:7" x14ac:dyDescent="0.2">
      <c r="G9" s="6" t="s">
        <v>51</v>
      </c>
    </row>
    <row r="10" spans="1:7" x14ac:dyDescent="0.2">
      <c r="B10" s="6" t="s">
        <v>52</v>
      </c>
    </row>
    <row r="11" spans="1:7" x14ac:dyDescent="0.2">
      <c r="B11" s="6" t="s">
        <v>53</v>
      </c>
      <c r="C11" s="7">
        <f>C7+NPV(r_,D5:E5)</f>
        <v>277.16534029873765</v>
      </c>
      <c r="D11" s="7">
        <f>(1+r_)*C14</f>
        <v>277.16534029873583</v>
      </c>
      <c r="G11" s="6" t="s">
        <v>54</v>
      </c>
    </row>
    <row r="12" spans="1:7" x14ac:dyDescent="0.2">
      <c r="B12" s="6" t="s">
        <v>55</v>
      </c>
      <c r="C12" s="7">
        <f>C8+NPV(r_,D6:E6)</f>
        <v>277.16531788090833</v>
      </c>
      <c r="D12" s="7">
        <f>(1+r_)*C15</f>
        <v>277.16531788090845</v>
      </c>
      <c r="G12" s="7">
        <f>C11-C12</f>
        <v>2.2417829313781112E-5</v>
      </c>
    </row>
    <row r="13" spans="1:7" x14ac:dyDescent="0.2">
      <c r="B13" s="6" t="s">
        <v>56</v>
      </c>
    </row>
    <row r="14" spans="1:7" x14ac:dyDescent="0.2">
      <c r="B14" s="6" t="s">
        <v>53</v>
      </c>
      <c r="C14" s="7">
        <f>NPV(r_,C5:E5)</f>
        <v>244.41935490154668</v>
      </c>
    </row>
    <row r="15" spans="1:7" x14ac:dyDescent="0.2">
      <c r="B15" s="6" t="s">
        <v>55</v>
      </c>
      <c r="C15" s="7">
        <f>NPV(r_,C6:E6)</f>
        <v>244.41933513229665</v>
      </c>
    </row>
    <row r="16" spans="1:7" x14ac:dyDescent="0.2">
      <c r="B16" s="6" t="s">
        <v>57</v>
      </c>
    </row>
    <row r="17" spans="2:3" x14ac:dyDescent="0.2">
      <c r="B17" s="6" t="s">
        <v>53</v>
      </c>
      <c r="C17" s="7">
        <f>SQRT(1+r_)*C14</f>
        <v>260.27787780924581</v>
      </c>
    </row>
    <row r="18" spans="2:3" x14ac:dyDescent="0.2">
      <c r="B18" s="6" t="s">
        <v>55</v>
      </c>
      <c r="C18" s="7">
        <f>SQRT(1+r_)*C15</f>
        <v>260.27785675731866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5409-433C-4ED9-A4E1-6EA1B2C51AD0}">
  <sheetPr codeName="Sheet6"/>
  <dimension ref="A3:F8"/>
  <sheetViews>
    <sheetView workbookViewId="0">
      <selection activeCell="B9" sqref="B9"/>
    </sheetView>
  </sheetViews>
  <sheetFormatPr defaultRowHeight="12.75" x14ac:dyDescent="0.2"/>
  <cols>
    <col min="1" max="16384" width="9.140625" style="3"/>
  </cols>
  <sheetData>
    <row r="3" spans="1:6" x14ac:dyDescent="0.2">
      <c r="B3" s="3" t="s">
        <v>40</v>
      </c>
      <c r="C3" s="3">
        <v>0.02</v>
      </c>
    </row>
    <row r="4" spans="1:6" x14ac:dyDescent="0.2">
      <c r="A4" s="3" t="s">
        <v>41</v>
      </c>
      <c r="B4" s="3" t="s">
        <v>42</v>
      </c>
      <c r="C4" s="3">
        <v>0</v>
      </c>
      <c r="D4" s="3">
        <v>1</v>
      </c>
      <c r="E4" s="3">
        <v>2</v>
      </c>
      <c r="F4" s="3" t="s">
        <v>58</v>
      </c>
    </row>
    <row r="5" spans="1:6" x14ac:dyDescent="0.2">
      <c r="A5" s="3">
        <f>SUM(C7:E7)</f>
        <v>73.048827374084794</v>
      </c>
      <c r="B5" s="3" t="s">
        <v>59</v>
      </c>
      <c r="C5" s="3">
        <v>-10000</v>
      </c>
      <c r="D5" s="3">
        <v>24000</v>
      </c>
      <c r="E5" s="3">
        <v>-14000</v>
      </c>
      <c r="F5" s="3">
        <f>SUM(C5:E5)</f>
        <v>0</v>
      </c>
    </row>
    <row r="6" spans="1:6" x14ac:dyDescent="0.2">
      <c r="A6" s="3">
        <f>SUM(C8:E8)</f>
        <v>881.96847366397526</v>
      </c>
      <c r="B6" s="3" t="s">
        <v>60</v>
      </c>
      <c r="C6" s="3">
        <v>-6000</v>
      </c>
      <c r="D6" s="3">
        <v>8000</v>
      </c>
      <c r="E6" s="3">
        <v>-1000</v>
      </c>
      <c r="F6" s="3">
        <f>SUM(C6:E6)</f>
        <v>1000</v>
      </c>
    </row>
    <row r="7" spans="1:6" x14ac:dyDescent="0.2">
      <c r="B7" s="3" t="s">
        <v>61</v>
      </c>
      <c r="C7" s="3">
        <f>C5</f>
        <v>-10000</v>
      </c>
      <c r="D7" s="3">
        <f>D5/(1+r_)^D$4</f>
        <v>23529.411764705881</v>
      </c>
      <c r="E7" s="3">
        <f>E5/(1+r_)^E$4</f>
        <v>-13456.362937331796</v>
      </c>
    </row>
    <row r="8" spans="1:6" x14ac:dyDescent="0.2">
      <c r="B8" s="3" t="s">
        <v>62</v>
      </c>
      <c r="C8" s="3">
        <f>C6</f>
        <v>-6000</v>
      </c>
      <c r="D8" s="3">
        <f>D6/(1+r_)^D$4</f>
        <v>7843.1372549019607</v>
      </c>
      <c r="E8" s="3">
        <f>E6/(1+r_)^E$4</f>
        <v>-961.1687812379854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ADB9-7EC7-47D8-9FB6-9074978B0D92}">
  <sheetPr codeName="Sheet7"/>
  <dimension ref="D5:E14"/>
  <sheetViews>
    <sheetView workbookViewId="0">
      <selection activeCell="D14" sqref="D14"/>
    </sheetView>
  </sheetViews>
  <sheetFormatPr defaultRowHeight="15" x14ac:dyDescent="0.25"/>
  <cols>
    <col min="1" max="3" width="9.140625" style="8"/>
    <col min="4" max="4" width="46.42578125" style="8" bestFit="1" customWidth="1"/>
    <col min="5" max="5" width="11.85546875" style="8" bestFit="1" customWidth="1"/>
    <col min="6" max="16384" width="9.140625" style="8"/>
  </cols>
  <sheetData>
    <row r="5" spans="4:5" x14ac:dyDescent="0.25">
      <c r="D5" s="8" t="s">
        <v>63</v>
      </c>
    </row>
    <row r="6" spans="4:5" x14ac:dyDescent="0.25">
      <c r="D6" s="8" t="s">
        <v>64</v>
      </c>
    </row>
    <row r="7" spans="4:5" x14ac:dyDescent="0.25">
      <c r="D7" s="8" t="s">
        <v>65</v>
      </c>
      <c r="E7" s="8">
        <v>50000</v>
      </c>
    </row>
    <row r="8" spans="4:5" x14ac:dyDescent="0.25">
      <c r="D8" s="8" t="s">
        <v>66</v>
      </c>
      <c r="E8" s="8">
        <v>20</v>
      </c>
    </row>
    <row r="9" spans="4:5" x14ac:dyDescent="0.25">
      <c r="D9" s="8" t="s">
        <v>67</v>
      </c>
      <c r="E9" s="8">
        <v>8.9196073819594934E-2</v>
      </c>
    </row>
    <row r="10" spans="4:5" x14ac:dyDescent="0.25">
      <c r="D10" s="8" t="s">
        <v>68</v>
      </c>
      <c r="E10" s="9">
        <f>PV(E9,20,-E7,0,1)</f>
        <v>500000.00000017864</v>
      </c>
    </row>
    <row r="11" spans="4:5" x14ac:dyDescent="0.25">
      <c r="D11" s="8" t="s">
        <v>69</v>
      </c>
    </row>
    <row r="13" spans="4:5" x14ac:dyDescent="0.25">
      <c r="D13" s="10" t="s">
        <v>70</v>
      </c>
    </row>
    <row r="14" spans="4:5" x14ac:dyDescent="0.25">
      <c r="D14" s="10" t="s">
        <v>71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03AE-00E2-49AF-94B8-9D22E5B19018}">
  <sheetPr codeName="Sheet8"/>
  <dimension ref="D5:K40"/>
  <sheetViews>
    <sheetView topLeftCell="A24" workbookViewId="0">
      <selection activeCell="B28" sqref="B28"/>
    </sheetView>
  </sheetViews>
  <sheetFormatPr defaultRowHeight="15" x14ac:dyDescent="0.25"/>
  <cols>
    <col min="1" max="9" width="9.140625" style="8"/>
    <col min="10" max="10" width="19.7109375" style="8" customWidth="1"/>
    <col min="11" max="16384" width="9.140625" style="8"/>
  </cols>
  <sheetData>
    <row r="5" spans="5:5" x14ac:dyDescent="0.25">
      <c r="E5" s="8" t="s">
        <v>72</v>
      </c>
    </row>
    <row r="27" spans="4:11" x14ac:dyDescent="0.25">
      <c r="D27" s="11"/>
      <c r="E27" s="11"/>
      <c r="F27" s="11"/>
      <c r="G27" s="11"/>
      <c r="H27" s="11"/>
      <c r="I27" s="11"/>
    </row>
    <row r="28" spans="4:11" x14ac:dyDescent="0.25">
      <c r="D28" s="11"/>
      <c r="E28" s="11"/>
      <c r="F28" s="11"/>
      <c r="G28" s="11"/>
      <c r="H28" s="11"/>
      <c r="I28" s="11"/>
    </row>
    <row r="29" spans="4:11" x14ac:dyDescent="0.25">
      <c r="D29" s="11"/>
      <c r="E29" s="11"/>
      <c r="F29" s="11"/>
      <c r="G29" s="11"/>
      <c r="H29" s="11"/>
      <c r="I29" s="11"/>
      <c r="J29" s="8" t="s">
        <v>73</v>
      </c>
      <c r="K29" s="8">
        <v>45000</v>
      </c>
    </row>
    <row r="30" spans="4:11" x14ac:dyDescent="0.25">
      <c r="D30" s="11"/>
      <c r="E30" s="11"/>
      <c r="F30" s="11"/>
      <c r="G30" s="11"/>
      <c r="H30" s="11"/>
      <c r="I30" s="11"/>
      <c r="J30" s="8" t="s">
        <v>18</v>
      </c>
      <c r="K30" s="8">
        <v>125</v>
      </c>
    </row>
    <row r="31" spans="4:11" x14ac:dyDescent="0.25">
      <c r="D31" s="11"/>
      <c r="E31" s="11"/>
      <c r="F31" s="11"/>
      <c r="G31" s="11"/>
      <c r="H31" s="11"/>
      <c r="I31" s="11"/>
      <c r="J31" s="8" t="s">
        <v>74</v>
      </c>
      <c r="K31" s="8">
        <f>800-4*price</f>
        <v>300</v>
      </c>
    </row>
    <row r="32" spans="4:11" x14ac:dyDescent="0.25">
      <c r="D32" s="11"/>
      <c r="E32" s="11"/>
      <c r="F32" s="11"/>
      <c r="G32" s="11"/>
      <c r="H32" s="11"/>
      <c r="I32" s="11"/>
      <c r="J32" s="8" t="s">
        <v>75</v>
      </c>
      <c r="K32" s="8">
        <f>price*demand</f>
        <v>37500</v>
      </c>
    </row>
    <row r="33" spans="4:10" x14ac:dyDescent="0.25">
      <c r="D33" s="11"/>
      <c r="E33" s="11"/>
      <c r="F33" s="11"/>
      <c r="G33" s="11"/>
      <c r="H33" s="11"/>
      <c r="I33" s="11"/>
    </row>
    <row r="34" spans="4:10" x14ac:dyDescent="0.25">
      <c r="D34" s="11"/>
      <c r="E34" s="11"/>
      <c r="F34" s="11"/>
      <c r="G34" s="11"/>
      <c r="H34" s="11"/>
      <c r="I34" s="11"/>
    </row>
    <row r="35" spans="4:10" x14ac:dyDescent="0.25">
      <c r="D35" s="11"/>
      <c r="E35" s="11"/>
      <c r="F35" s="11"/>
      <c r="G35" s="11"/>
      <c r="H35" s="11"/>
      <c r="I35" s="11"/>
    </row>
    <row r="36" spans="4:10" x14ac:dyDescent="0.25">
      <c r="D36" s="11"/>
      <c r="E36" s="11"/>
      <c r="F36" s="11"/>
      <c r="G36" s="11"/>
      <c r="H36" s="11"/>
      <c r="I36" s="11"/>
    </row>
    <row r="37" spans="4:10" x14ac:dyDescent="0.25">
      <c r="D37" s="11"/>
      <c r="E37" s="11"/>
      <c r="F37" s="11"/>
      <c r="G37" s="11"/>
      <c r="H37" s="11"/>
      <c r="I37" s="11"/>
    </row>
    <row r="38" spans="4:10" x14ac:dyDescent="0.25">
      <c r="J38" s="8" t="s">
        <v>76</v>
      </c>
    </row>
    <row r="39" spans="4:10" x14ac:dyDescent="0.25">
      <c r="J39" s="8" t="s">
        <v>77</v>
      </c>
    </row>
    <row r="40" spans="4:10" x14ac:dyDescent="0.25">
      <c r="J40" s="8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26C-C9FD-4F50-8DAE-F8BDBBD3BB74}">
  <sheetPr codeName="Sheet9"/>
  <dimension ref="D4:K15"/>
  <sheetViews>
    <sheetView workbookViewId="0">
      <selection activeCell="D3" sqref="D3:G8"/>
    </sheetView>
  </sheetViews>
  <sheetFormatPr defaultRowHeight="15" x14ac:dyDescent="0.25"/>
  <cols>
    <col min="1" max="5" width="9.140625" style="8"/>
    <col min="6" max="6" width="16.85546875" style="8" customWidth="1"/>
    <col min="7" max="7" width="11.140625" style="8" bestFit="1" customWidth="1"/>
    <col min="8" max="16384" width="9.140625" style="8"/>
  </cols>
  <sheetData>
    <row r="4" spans="4:11" x14ac:dyDescent="0.25">
      <c r="D4" s="12"/>
      <c r="E4" s="12"/>
      <c r="F4" s="12"/>
      <c r="G4" s="12"/>
      <c r="H4" s="12"/>
      <c r="I4" s="12"/>
    </row>
    <row r="5" spans="4:11" x14ac:dyDescent="0.25">
      <c r="D5" s="12"/>
      <c r="E5" s="12"/>
      <c r="F5" s="12"/>
      <c r="G5" s="12"/>
      <c r="H5" s="12"/>
      <c r="I5" s="12"/>
    </row>
    <row r="6" spans="4:11" x14ac:dyDescent="0.25">
      <c r="D6" s="12"/>
      <c r="E6" s="12"/>
      <c r="F6" s="12"/>
      <c r="G6" s="12"/>
      <c r="H6" s="12"/>
      <c r="I6" s="12"/>
    </row>
    <row r="7" spans="4:11" x14ac:dyDescent="0.25">
      <c r="D7" s="12"/>
      <c r="E7" s="12"/>
      <c r="F7" s="12"/>
      <c r="G7" s="12"/>
      <c r="H7" s="12"/>
      <c r="I7" s="12"/>
    </row>
    <row r="8" spans="4:11" x14ac:dyDescent="0.25">
      <c r="D8" s="12"/>
      <c r="E8" s="12"/>
      <c r="F8" s="12"/>
      <c r="G8" s="12"/>
      <c r="H8" s="12"/>
      <c r="I8" s="12"/>
    </row>
    <row r="12" spans="4:11" x14ac:dyDescent="0.25">
      <c r="F12" s="8" t="s">
        <v>79</v>
      </c>
      <c r="G12" s="8">
        <v>0.05</v>
      </c>
      <c r="K12" s="8" t="s">
        <v>80</v>
      </c>
    </row>
    <row r="13" spans="4:11" x14ac:dyDescent="0.25">
      <c r="F13" s="8" t="s">
        <v>66</v>
      </c>
      <c r="G13" s="8">
        <v>20</v>
      </c>
      <c r="K13" s="8" t="s">
        <v>81</v>
      </c>
    </row>
    <row r="14" spans="4:11" x14ac:dyDescent="0.25">
      <c r="F14" s="8" t="s">
        <v>82</v>
      </c>
      <c r="G14" s="13">
        <v>454575.93922296766</v>
      </c>
      <c r="K14" s="8" t="s">
        <v>83</v>
      </c>
    </row>
    <row r="15" spans="4:11" x14ac:dyDescent="0.25">
      <c r="F15" s="8" t="s">
        <v>84</v>
      </c>
      <c r="G15" s="9">
        <f>-PMT(G12/12,G13*12,G14,0,0)</f>
        <v>2999.9999999999995</v>
      </c>
      <c r="H15" s="14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F1A2623-C78C-4555-BF1A-2F95C17B32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E67A60-1701-4D60-83DD-3DA787C46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38B676C-BE3E-4BE5-B546-57228D767209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133</vt:i4>
      </vt:variant>
    </vt:vector>
  </HeadingPairs>
  <TitlesOfParts>
    <vt:vector size="159" baseType="lpstr">
      <vt:lpstr>S18_1</vt:lpstr>
      <vt:lpstr>S18_10</vt:lpstr>
      <vt:lpstr>S18_11</vt:lpstr>
      <vt:lpstr>S18_12</vt:lpstr>
      <vt:lpstr>S18_13-1</vt:lpstr>
      <vt:lpstr>S18_13-2</vt:lpstr>
      <vt:lpstr>S18_14</vt:lpstr>
      <vt:lpstr>S18_15</vt:lpstr>
      <vt:lpstr>S18_16</vt:lpstr>
      <vt:lpstr>S18_17</vt:lpstr>
      <vt:lpstr>S18_2-1</vt:lpstr>
      <vt:lpstr>S18_2-2</vt:lpstr>
      <vt:lpstr>S18_2-3</vt:lpstr>
      <vt:lpstr>S18_2-4</vt:lpstr>
      <vt:lpstr>S18_2-5</vt:lpstr>
      <vt:lpstr>S18_3-1</vt:lpstr>
      <vt:lpstr>S18_3-2</vt:lpstr>
      <vt:lpstr>S18_3-3</vt:lpstr>
      <vt:lpstr>S18_3-4</vt:lpstr>
      <vt:lpstr>S18_3-5</vt:lpstr>
      <vt:lpstr>S18_4</vt:lpstr>
      <vt:lpstr>S18_5</vt:lpstr>
      <vt:lpstr>S18_6</vt:lpstr>
      <vt:lpstr>S18_7</vt:lpstr>
      <vt:lpstr>S18_8</vt:lpstr>
      <vt:lpstr>S18_9</vt:lpstr>
      <vt:lpstr>amt._borrowed</vt:lpstr>
      <vt:lpstr>annual_int_rate</vt:lpstr>
      <vt:lpstr>'S18_2-2'!costgrowth</vt:lpstr>
      <vt:lpstr>'S18_2-3'!costgrowth</vt:lpstr>
      <vt:lpstr>'S18_2-4'!costgrowth</vt:lpstr>
      <vt:lpstr>'S18_2-5'!costgrowth</vt:lpstr>
      <vt:lpstr>'S18_3-1'!costgrowth</vt:lpstr>
      <vt:lpstr>'S18_3-2'!costgrowth</vt:lpstr>
      <vt:lpstr>'S18_3-3'!costgrowth</vt:lpstr>
      <vt:lpstr>'S18_3-4'!costgrowth</vt:lpstr>
      <vt:lpstr>'S18_3-5'!costgrowth</vt:lpstr>
      <vt:lpstr>costgrowth</vt:lpstr>
      <vt:lpstr>costs</vt:lpstr>
      <vt:lpstr>demand</vt:lpstr>
      <vt:lpstr>distanceeachway</vt:lpstr>
      <vt:lpstr>FC</vt:lpstr>
      <vt:lpstr>fchard</vt:lpstr>
      <vt:lpstr>fcpaper</vt:lpstr>
      <vt:lpstr>fixed_cost</vt:lpstr>
      <vt:lpstr>fixed_costs</vt:lpstr>
      <vt:lpstr>Foodandlodgingcosts</vt:lpstr>
      <vt:lpstr>glassessold</vt:lpstr>
      <vt:lpstr>hard_vc</vt:lpstr>
      <vt:lpstr>hardemand</vt:lpstr>
      <vt:lpstr>hardprice</vt:lpstr>
      <vt:lpstr>hardrev</vt:lpstr>
      <vt:lpstr>'S18_2-2'!intrate</vt:lpstr>
      <vt:lpstr>'S18_2-3'!intrate</vt:lpstr>
      <vt:lpstr>'S18_2-4'!intrate</vt:lpstr>
      <vt:lpstr>'S18_2-5'!intrate</vt:lpstr>
      <vt:lpstr>'S18_3-1'!intrate</vt:lpstr>
      <vt:lpstr>'S18_3-2'!intrate</vt:lpstr>
      <vt:lpstr>'S18_3-3'!intrate</vt:lpstr>
      <vt:lpstr>'S18_3-4'!intrate</vt:lpstr>
      <vt:lpstr>'S18_3-5'!intrate</vt:lpstr>
      <vt:lpstr>intrate</vt:lpstr>
      <vt:lpstr>meanperpound</vt:lpstr>
      <vt:lpstr>Monthly_payment</vt:lpstr>
      <vt:lpstr>myspeed</vt:lpstr>
      <vt:lpstr>need_to_sell</vt:lpstr>
      <vt:lpstr>paidregistrants</vt:lpstr>
      <vt:lpstr>paper_vc</vt:lpstr>
      <vt:lpstr>paperdemand</vt:lpstr>
      <vt:lpstr>paperprice</vt:lpstr>
      <vt:lpstr>paperratiotohard</vt:lpstr>
      <vt:lpstr>paperrev</vt:lpstr>
      <vt:lpstr>pounds_at_6</vt:lpstr>
      <vt:lpstr>poundsat10</vt:lpstr>
      <vt:lpstr>poundscandy</vt:lpstr>
      <vt:lpstr>S18_17!price</vt:lpstr>
      <vt:lpstr>price</vt:lpstr>
      <vt:lpstr>'S18_2-2'!pricegrowth</vt:lpstr>
      <vt:lpstr>'S18_2-3'!pricegrowth</vt:lpstr>
      <vt:lpstr>'S18_2-4'!pricegrowth</vt:lpstr>
      <vt:lpstr>'S18_2-5'!pricegrowth</vt:lpstr>
      <vt:lpstr>'S18_3-1'!pricegrowth</vt:lpstr>
      <vt:lpstr>'S18_3-2'!pricegrowth</vt:lpstr>
      <vt:lpstr>'S18_3-3'!pricegrowth</vt:lpstr>
      <vt:lpstr>'S18_3-4'!pricegrowth</vt:lpstr>
      <vt:lpstr>'S18_3-5'!pricegrowth</vt:lpstr>
      <vt:lpstr>pricegrowth</vt:lpstr>
      <vt:lpstr>S18_17!profit</vt:lpstr>
      <vt:lpstr>profit</vt:lpstr>
      <vt:lpstr>'S18_13-2'!r_</vt:lpstr>
      <vt:lpstr>r_</vt:lpstr>
      <vt:lpstr>registrationfee</vt:lpstr>
      <vt:lpstr>restofmonthrevenue</vt:lpstr>
      <vt:lpstr>revenue</vt:lpstr>
      <vt:lpstr>riverspeed</vt:lpstr>
      <vt:lpstr>royalty</vt:lpstr>
      <vt:lpstr>royalty_exp</vt:lpstr>
      <vt:lpstr>'S18_2-2'!Sales_growth</vt:lpstr>
      <vt:lpstr>'S18_2-3'!Sales_growth</vt:lpstr>
      <vt:lpstr>'S18_2-4'!Sales_growth</vt:lpstr>
      <vt:lpstr>'S18_2-5'!Sales_growth</vt:lpstr>
      <vt:lpstr>'S18_3-1'!Sales_growth</vt:lpstr>
      <vt:lpstr>'S18_3-2'!Sales_growth</vt:lpstr>
      <vt:lpstr>'S18_3-3'!Sales_growth</vt:lpstr>
      <vt:lpstr>'S18_3-4'!Sales_growth</vt:lpstr>
      <vt:lpstr>'S18_3-5'!Sales_growth</vt:lpstr>
      <vt:lpstr>Sales_growth</vt:lpstr>
      <vt:lpstr>speakers</vt:lpstr>
      <vt:lpstr>speakersfee</vt:lpstr>
      <vt:lpstr>'S18_2-2'!taxrate</vt:lpstr>
      <vt:lpstr>'S18_2-3'!taxrate</vt:lpstr>
      <vt:lpstr>'S18_2-4'!taxrate</vt:lpstr>
      <vt:lpstr>'S18_2-5'!taxrate</vt:lpstr>
      <vt:lpstr>'S18_3-1'!taxrate</vt:lpstr>
      <vt:lpstr>'S18_3-2'!taxrate</vt:lpstr>
      <vt:lpstr>'S18_3-3'!taxrate</vt:lpstr>
      <vt:lpstr>'S18_3-4'!taxrate</vt:lpstr>
      <vt:lpstr>'S18_3-5'!taxrate</vt:lpstr>
      <vt:lpstr>taxrate</vt:lpstr>
      <vt:lpstr>time1</vt:lpstr>
      <vt:lpstr>time2</vt:lpstr>
      <vt:lpstr>time3</vt:lpstr>
      <vt:lpstr>timedownstream</vt:lpstr>
      <vt:lpstr>timeforjob</vt:lpstr>
      <vt:lpstr>timeupstream</vt:lpstr>
      <vt:lpstr>uchard</vt:lpstr>
      <vt:lpstr>ucpaper</vt:lpstr>
      <vt:lpstr>unitcost</vt:lpstr>
      <vt:lpstr>'S18_2-2'!Year1cost</vt:lpstr>
      <vt:lpstr>'S18_2-3'!Year1cost</vt:lpstr>
      <vt:lpstr>'S18_2-4'!Year1cost</vt:lpstr>
      <vt:lpstr>'S18_2-5'!Year1cost</vt:lpstr>
      <vt:lpstr>'S18_3-1'!Year1cost</vt:lpstr>
      <vt:lpstr>'S18_3-2'!Year1cost</vt:lpstr>
      <vt:lpstr>'S18_3-3'!Year1cost</vt:lpstr>
      <vt:lpstr>'S18_3-4'!Year1cost</vt:lpstr>
      <vt:lpstr>'S18_3-5'!Year1cost</vt:lpstr>
      <vt:lpstr>Year1cost</vt:lpstr>
      <vt:lpstr>'S18_2-2'!Year1price</vt:lpstr>
      <vt:lpstr>'S18_2-3'!Year1price</vt:lpstr>
      <vt:lpstr>'S18_2-4'!Year1price</vt:lpstr>
      <vt:lpstr>'S18_2-5'!Year1price</vt:lpstr>
      <vt:lpstr>'S18_3-1'!Year1price</vt:lpstr>
      <vt:lpstr>'S18_3-2'!Year1price</vt:lpstr>
      <vt:lpstr>'S18_3-3'!Year1price</vt:lpstr>
      <vt:lpstr>'S18_3-4'!Year1price</vt:lpstr>
      <vt:lpstr>'S18_3-5'!Year1price</vt:lpstr>
      <vt:lpstr>Year1price</vt:lpstr>
      <vt:lpstr>'S18_2-2'!Year1sales</vt:lpstr>
      <vt:lpstr>'S18_2-3'!Year1sales</vt:lpstr>
      <vt:lpstr>'S18_2-4'!Year1sales</vt:lpstr>
      <vt:lpstr>'S18_2-5'!Year1sales</vt:lpstr>
      <vt:lpstr>'S18_3-1'!Year1sales</vt:lpstr>
      <vt:lpstr>'S18_3-2'!Year1sales</vt:lpstr>
      <vt:lpstr>'S18_3-3'!Year1sales</vt:lpstr>
      <vt:lpstr>'S18_3-4'!Year1sales</vt:lpstr>
      <vt:lpstr>'S18_3-5'!Year1sales</vt:lpstr>
      <vt:lpstr>Year1sales</vt:lpstr>
      <vt:lpstr>years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2007-03-09T20:00:20Z</dcterms:created>
  <dcterms:modified xsi:type="dcterms:W3CDTF">2019-09-26T07:31:02Z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