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lia\Documents\Julian\IIASA\Artigos (Não publicados)\Electric Truck Hydropower\"/>
    </mc:Choice>
  </mc:AlternateContent>
  <xr:revisionPtr revIDLastSave="0" documentId="13_ncr:1_{66105BA3-AA2C-4E95-8F34-28FFA05A54E4}" xr6:coauthVersionLast="47" xr6:coauthVersionMax="47" xr10:uidLastSave="{00000000-0000-0000-0000-000000000000}"/>
  <bookViews>
    <workbookView xWindow="495" yWindow="0" windowWidth="14655" windowHeight="10920" tabRatio="706" xr2:uid="{434EA12C-1002-4D20-806D-D9613AB99CA7}"/>
  </bookViews>
  <sheets>
    <sheet name="Efficiency &amp; cost" sheetId="5" r:id="rId1"/>
    <sheet name="Topography and slope" sheetId="6" r:id="rId2"/>
    <sheet name="Potential" sheetId="7" r:id="rId3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29" i="5" l="1"/>
  <c r="AD29" i="5"/>
  <c r="M25" i="5"/>
  <c r="Z26" i="5"/>
  <c r="U28" i="5"/>
  <c r="AD28" i="5"/>
  <c r="D4" i="5"/>
  <c r="D38" i="7"/>
  <c r="D35" i="7" l="1"/>
  <c r="F34" i="7"/>
  <c r="F32" i="7"/>
  <c r="F31" i="7"/>
  <c r="V26" i="5"/>
  <c r="A16" i="5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4" i="6"/>
  <c r="H17" i="6"/>
  <c r="M20" i="6"/>
  <c r="N20" i="6" s="1"/>
  <c r="M16" i="6"/>
  <c r="N16" i="6" s="1"/>
  <c r="M14" i="6"/>
  <c r="N14" i="6" s="1"/>
  <c r="M12" i="6"/>
  <c r="N12" i="6" s="1"/>
  <c r="M8" i="6"/>
  <c r="N8" i="6" s="1"/>
  <c r="M6" i="6"/>
  <c r="N6" i="6" s="1"/>
  <c r="M5" i="6"/>
  <c r="N5" i="6" s="1"/>
  <c r="M7" i="6"/>
  <c r="N7" i="6" s="1"/>
  <c r="M9" i="6"/>
  <c r="N9" i="6" s="1"/>
  <c r="M10" i="6"/>
  <c r="N10" i="6" s="1"/>
  <c r="M11" i="6"/>
  <c r="N11" i="6" s="1"/>
  <c r="M13" i="6"/>
  <c r="N13" i="6" s="1"/>
  <c r="M15" i="6"/>
  <c r="N15" i="6" s="1"/>
  <c r="M17" i="6"/>
  <c r="N17" i="6" s="1"/>
  <c r="M18" i="6"/>
  <c r="N18" i="6" s="1"/>
  <c r="M19" i="6"/>
  <c r="N19" i="6" s="1"/>
  <c r="M21" i="6"/>
  <c r="N21" i="6" s="1"/>
  <c r="M3" i="6"/>
  <c r="N3" i="6" s="1"/>
  <c r="M4" i="6"/>
  <c r="N4" i="6" s="1"/>
  <c r="D4" i="6"/>
  <c r="H4" i="6" s="1"/>
  <c r="J4" i="7"/>
  <c r="K16" i="7"/>
  <c r="K17" i="7"/>
  <c r="K18" i="7"/>
  <c r="K19" i="7"/>
  <c r="K15" i="7"/>
  <c r="E15" i="7"/>
  <c r="E16" i="7"/>
  <c r="F16" i="7"/>
  <c r="G16" i="7"/>
  <c r="H16" i="7"/>
  <c r="I16" i="7"/>
  <c r="J16" i="7"/>
  <c r="E17" i="7"/>
  <c r="F17" i="7"/>
  <c r="G17" i="7"/>
  <c r="H17" i="7"/>
  <c r="I17" i="7"/>
  <c r="J17" i="7"/>
  <c r="E18" i="7"/>
  <c r="F18" i="7"/>
  <c r="G18" i="7"/>
  <c r="H18" i="7"/>
  <c r="I18" i="7"/>
  <c r="J18" i="7"/>
  <c r="E19" i="7"/>
  <c r="F19" i="7"/>
  <c r="G19" i="7"/>
  <c r="H19" i="7"/>
  <c r="I19" i="7"/>
  <c r="J19" i="7"/>
  <c r="J15" i="7"/>
  <c r="I15" i="7"/>
  <c r="H15" i="7"/>
  <c r="G15" i="7"/>
  <c r="F15" i="7"/>
  <c r="W32" i="5"/>
  <c r="V25" i="5"/>
  <c r="U25" i="5"/>
  <c r="W25" i="5"/>
  <c r="X25" i="5"/>
  <c r="U26" i="5"/>
  <c r="AC26" i="5" s="1"/>
  <c r="W26" i="5"/>
  <c r="X26" i="5"/>
  <c r="U27" i="5"/>
  <c r="V27" i="5"/>
  <c r="W27" i="5"/>
  <c r="X27" i="5"/>
  <c r="V28" i="5"/>
  <c r="W28" i="5"/>
  <c r="X28" i="5"/>
  <c r="U29" i="5"/>
  <c r="W29" i="5"/>
  <c r="X29" i="5"/>
  <c r="U30" i="5"/>
  <c r="V30" i="5"/>
  <c r="W30" i="5"/>
  <c r="X30" i="5"/>
  <c r="U31" i="5"/>
  <c r="V31" i="5"/>
  <c r="W31" i="5"/>
  <c r="X31" i="5"/>
  <c r="U32" i="5"/>
  <c r="V32" i="5"/>
  <c r="X32" i="5"/>
  <c r="U33" i="5"/>
  <c r="V33" i="5"/>
  <c r="W33" i="5"/>
  <c r="X33" i="5"/>
  <c r="U34" i="5"/>
  <c r="V34" i="5"/>
  <c r="W34" i="5"/>
  <c r="X34" i="5"/>
  <c r="E5" i="6"/>
  <c r="E6" i="6"/>
  <c r="E7" i="6"/>
  <c r="E8" i="6"/>
  <c r="E9" i="6"/>
  <c r="E4" i="6"/>
  <c r="D5" i="6"/>
  <c r="D6" i="6"/>
  <c r="D7" i="6"/>
  <c r="D8" i="6"/>
  <c r="D9" i="6"/>
  <c r="H9" i="6" s="1"/>
  <c r="D10" i="6"/>
  <c r="H10" i="6" s="1"/>
  <c r="D11" i="6"/>
  <c r="H11" i="6" s="1"/>
  <c r="D12" i="6"/>
  <c r="H12" i="6" s="1"/>
  <c r="D13" i="6"/>
  <c r="H13" i="6" s="1"/>
  <c r="D14" i="6"/>
  <c r="H14" i="6" s="1"/>
  <c r="D15" i="6"/>
  <c r="H15" i="6" s="1"/>
  <c r="D16" i="6"/>
  <c r="H16" i="6" s="1"/>
  <c r="D17" i="6"/>
  <c r="E3" i="6"/>
  <c r="B3" i="6"/>
  <c r="B2" i="6"/>
  <c r="J26" i="5"/>
  <c r="L26" i="5" s="1"/>
  <c r="J27" i="5"/>
  <c r="L27" i="5" s="1"/>
  <c r="J28" i="5"/>
  <c r="J29" i="5"/>
  <c r="J30" i="5"/>
  <c r="J31" i="5"/>
  <c r="J32" i="5"/>
  <c r="J33" i="5"/>
  <c r="J34" i="5"/>
  <c r="J25" i="5"/>
  <c r="Y26" i="5"/>
  <c r="Y27" i="5"/>
  <c r="Y28" i="5"/>
  <c r="Y29" i="5"/>
  <c r="Y30" i="5"/>
  <c r="Y31" i="5"/>
  <c r="Y32" i="5"/>
  <c r="Y33" i="5"/>
  <c r="Y34" i="5"/>
  <c r="Y25" i="5"/>
  <c r="M26" i="5"/>
  <c r="M27" i="5"/>
  <c r="M28" i="5"/>
  <c r="M29" i="5"/>
  <c r="M30" i="5"/>
  <c r="M31" i="5"/>
  <c r="M32" i="5"/>
  <c r="M33" i="5"/>
  <c r="M34" i="5"/>
  <c r="AA25" i="5"/>
  <c r="AB25" i="5"/>
  <c r="AA26" i="5"/>
  <c r="AB26" i="5"/>
  <c r="AA27" i="5"/>
  <c r="AB27" i="5"/>
  <c r="AA28" i="5"/>
  <c r="AB28" i="5"/>
  <c r="AA29" i="5"/>
  <c r="AB29" i="5"/>
  <c r="AA30" i="5"/>
  <c r="AB30" i="5"/>
  <c r="AA31" i="5"/>
  <c r="AB31" i="5"/>
  <c r="AA32" i="5"/>
  <c r="AB32" i="5"/>
  <c r="AA33" i="5"/>
  <c r="AB33" i="5"/>
  <c r="AA34" i="5"/>
  <c r="AB34" i="5"/>
  <c r="Z27" i="5"/>
  <c r="Z28" i="5"/>
  <c r="Z29" i="5"/>
  <c r="Z30" i="5"/>
  <c r="Z31" i="5"/>
  <c r="Z32" i="5"/>
  <c r="Z33" i="5"/>
  <c r="Z34" i="5"/>
  <c r="Z25" i="5"/>
  <c r="L25" i="5"/>
  <c r="P29" i="5"/>
  <c r="P30" i="5"/>
  <c r="P31" i="5"/>
  <c r="P33" i="5"/>
  <c r="P34" i="5"/>
  <c r="P25" i="5"/>
  <c r="O27" i="5"/>
  <c r="O28" i="5"/>
  <c r="O29" i="5"/>
  <c r="O31" i="5"/>
  <c r="O32" i="5"/>
  <c r="O33" i="5"/>
  <c r="O25" i="5"/>
  <c r="N26" i="5"/>
  <c r="N27" i="5"/>
  <c r="N29" i="5"/>
  <c r="N30" i="5"/>
  <c r="N31" i="5"/>
  <c r="N33" i="5"/>
  <c r="N34" i="5"/>
  <c r="N25" i="5"/>
  <c r="J21" i="5"/>
  <c r="P26" i="5" s="1"/>
  <c r="L33" i="5"/>
  <c r="G3" i="5"/>
  <c r="G2" i="5" s="1"/>
  <c r="E7" i="5"/>
  <c r="J7" i="5"/>
  <c r="K7" i="5"/>
  <c r="K8" i="5"/>
  <c r="L8" i="5"/>
  <c r="I9" i="5"/>
  <c r="M9" i="5"/>
  <c r="E11" i="5"/>
  <c r="K11" i="5"/>
  <c r="E12" i="5"/>
  <c r="I13" i="5"/>
  <c r="M13" i="5"/>
  <c r="D7" i="5"/>
  <c r="D8" i="5"/>
  <c r="D12" i="5"/>
  <c r="E2" i="5"/>
  <c r="E8" i="5" s="1"/>
  <c r="F2" i="5"/>
  <c r="F8" i="5" s="1"/>
  <c r="H2" i="5"/>
  <c r="H13" i="5" s="1"/>
  <c r="I2" i="5"/>
  <c r="J2" i="5"/>
  <c r="K2" i="5"/>
  <c r="K4" i="5" s="1"/>
  <c r="L2" i="5"/>
  <c r="L5" i="5" s="1"/>
  <c r="M2" i="5"/>
  <c r="D2" i="5"/>
  <c r="C5" i="5"/>
  <c r="M5" i="5" s="1"/>
  <c r="C6" i="5"/>
  <c r="M6" i="5" s="1"/>
  <c r="C7" i="5"/>
  <c r="C8" i="5"/>
  <c r="C9" i="5"/>
  <c r="C10" i="5"/>
  <c r="I10" i="5" s="1"/>
  <c r="C11" i="5"/>
  <c r="C12" i="5"/>
  <c r="C13" i="5"/>
  <c r="C4" i="5"/>
  <c r="E4" i="5" s="1"/>
  <c r="B12" i="5"/>
  <c r="B10" i="5"/>
  <c r="I4" i="5" s="1"/>
  <c r="J11" i="5"/>
  <c r="H8" i="6" l="1"/>
  <c r="H7" i="6"/>
  <c r="H6" i="6"/>
  <c r="H5" i="6"/>
  <c r="AF27" i="5"/>
  <c r="AD27" i="5"/>
  <c r="AE27" i="5"/>
  <c r="AC27" i="5"/>
  <c r="AD33" i="5"/>
  <c r="AF26" i="5"/>
  <c r="AC33" i="5"/>
  <c r="AD25" i="5"/>
  <c r="AC25" i="5"/>
  <c r="AE33" i="5"/>
  <c r="AE26" i="5"/>
  <c r="AF33" i="5"/>
  <c r="AD26" i="5"/>
  <c r="J6" i="5"/>
  <c r="L9" i="5"/>
  <c r="H5" i="5"/>
  <c r="M11" i="5"/>
  <c r="K9" i="5"/>
  <c r="H6" i="5"/>
  <c r="H12" i="5"/>
  <c r="M10" i="5"/>
  <c r="I6" i="5"/>
  <c r="D6" i="5"/>
  <c r="E13" i="5"/>
  <c r="L10" i="5"/>
  <c r="J8" i="5"/>
  <c r="I7" i="5"/>
  <c r="E5" i="5"/>
  <c r="D13" i="5"/>
  <c r="D5" i="5"/>
  <c r="M12" i="5"/>
  <c r="L11" i="5"/>
  <c r="K10" i="5"/>
  <c r="J9" i="5"/>
  <c r="I8" i="5"/>
  <c r="H7" i="5"/>
  <c r="E6" i="5"/>
  <c r="M4" i="5"/>
  <c r="N32" i="5"/>
  <c r="O34" i="5"/>
  <c r="O26" i="5"/>
  <c r="P28" i="5"/>
  <c r="P27" i="5"/>
  <c r="H4" i="5"/>
  <c r="I5" i="5"/>
  <c r="L12" i="5"/>
  <c r="J10" i="5"/>
  <c r="H8" i="5"/>
  <c r="L4" i="5"/>
  <c r="D11" i="5"/>
  <c r="L13" i="5"/>
  <c r="K12" i="5"/>
  <c r="H9" i="5"/>
  <c r="D10" i="5"/>
  <c r="K13" i="5"/>
  <c r="J12" i="5"/>
  <c r="I11" i="5"/>
  <c r="H10" i="5"/>
  <c r="E9" i="5"/>
  <c r="M7" i="5"/>
  <c r="L6" i="5"/>
  <c r="K5" i="5"/>
  <c r="J4" i="5"/>
  <c r="D9" i="5"/>
  <c r="J13" i="5"/>
  <c r="I12" i="5"/>
  <c r="H11" i="5"/>
  <c r="E10" i="5"/>
  <c r="M8" i="5"/>
  <c r="L7" i="5"/>
  <c r="K6" i="5"/>
  <c r="J5" i="5"/>
  <c r="L28" i="5"/>
  <c r="N28" i="5"/>
  <c r="O30" i="5"/>
  <c r="P32" i="5"/>
  <c r="L34" i="5"/>
  <c r="L31" i="5"/>
  <c r="L32" i="5"/>
  <c r="L30" i="5"/>
  <c r="L29" i="5"/>
  <c r="G4" i="5"/>
  <c r="G7" i="5"/>
  <c r="G10" i="5"/>
  <c r="G13" i="5"/>
  <c r="G5" i="5"/>
  <c r="G8" i="5"/>
  <c r="G11" i="5"/>
  <c r="G6" i="5"/>
  <c r="G9" i="5"/>
  <c r="G12" i="5"/>
  <c r="F7" i="5"/>
  <c r="F13" i="5"/>
  <c r="F12" i="5"/>
  <c r="F11" i="5"/>
  <c r="F10" i="5"/>
  <c r="F6" i="5"/>
  <c r="F5" i="5"/>
  <c r="F4" i="5"/>
  <c r="F9" i="5"/>
  <c r="AC32" i="5" l="1"/>
  <c r="AD32" i="5"/>
  <c r="AE32" i="5"/>
  <c r="AF32" i="5"/>
  <c r="AE34" i="5"/>
  <c r="AF34" i="5"/>
  <c r="AD34" i="5"/>
  <c r="AC34" i="5"/>
  <c r="AE29" i="5"/>
  <c r="AC29" i="5"/>
  <c r="AF29" i="5"/>
  <c r="AF30" i="5"/>
  <c r="AD30" i="5"/>
  <c r="AE30" i="5"/>
  <c r="AC30" i="5"/>
  <c r="AF31" i="5"/>
  <c r="AD31" i="5"/>
  <c r="AE31" i="5"/>
  <c r="AC31" i="5"/>
  <c r="AE28" i="5"/>
  <c r="AF28" i="5"/>
  <c r="AC28" i="5"/>
</calcChain>
</file>

<file path=xl/sharedStrings.xml><?xml version="1.0" encoding="utf-8"?>
<sst xmlns="http://schemas.openxmlformats.org/spreadsheetml/2006/main" count="83" uniqueCount="65">
  <si>
    <t>km</t>
  </si>
  <si>
    <t>Comparing different velocities</t>
  </si>
  <si>
    <t>Comparing different angles</t>
  </si>
  <si>
    <t>Create a graph similar to this</t>
  </si>
  <si>
    <t>X = efficiency of the system</t>
  </si>
  <si>
    <t>Y = Angle</t>
  </si>
  <si>
    <t>Z = Speed</t>
  </si>
  <si>
    <t>Different tests:</t>
  </si>
  <si>
    <t xml:space="preserve">Speed </t>
  </si>
  <si>
    <t>Angle</t>
  </si>
  <si>
    <t>Speed = 40</t>
  </si>
  <si>
    <t>H=1000</t>
  </si>
  <si>
    <t>angle = 0.1</t>
  </si>
  <si>
    <r>
      <t>volume(33.1 m</t>
    </r>
    <r>
      <rPr>
        <vertAlign val="superscript"/>
        <sz val="8"/>
        <color rgb="FF202122"/>
        <rFont val="Arial"/>
        <family val="2"/>
      </rPr>
      <t>3</t>
    </r>
    <r>
      <rPr>
        <sz val="11"/>
        <color rgb="FF202122"/>
        <rFont val="Arial"/>
        <family val="2"/>
      </rPr>
      <t>)</t>
    </r>
  </si>
  <si>
    <t>20 ft container</t>
  </si>
  <si>
    <t>Potential in MWh</t>
  </si>
  <si>
    <t>10 trucks generate 1 MW</t>
  </si>
  <si>
    <t>m (kg)</t>
  </si>
  <si>
    <t>truck weight (kg)</t>
  </si>
  <si>
    <t>área (m2)</t>
  </si>
  <si>
    <t>D3/1000*60*60</t>
  </si>
  <si>
    <t xml:space="preserve">Assuming a 10% slope. </t>
  </si>
  <si>
    <t>Investment cost =</t>
  </si>
  <si>
    <t>USD</t>
  </si>
  <si>
    <t>Life time =</t>
  </si>
  <si>
    <t xml:space="preserve">Power generation = </t>
  </si>
  <si>
    <t>km per cycle</t>
  </si>
  <si>
    <t>40 km/h</t>
  </si>
  <si>
    <t>60 km/h</t>
  </si>
  <si>
    <t>80 km/h</t>
  </si>
  <si>
    <t>Eficiencia</t>
  </si>
  <si>
    <t>Geração</t>
  </si>
  <si>
    <t xml:space="preserve">return rate = </t>
  </si>
  <si>
    <t>Discont factor</t>
  </si>
  <si>
    <t>Levelized costs</t>
  </si>
  <si>
    <t>20 km/h</t>
  </si>
  <si>
    <t>direct</t>
  </si>
  <si>
    <t>Diagonal</t>
  </si>
  <si>
    <t>15s</t>
  </si>
  <si>
    <t>5m</t>
  </si>
  <si>
    <t>TENHO QUE LEVAR EM CONTA A LATITUDE DA TERRA</t>
  </si>
  <si>
    <t>Road slope</t>
  </si>
  <si>
    <t>Trucks speed (km/h)</t>
  </si>
  <si>
    <t>Road index</t>
  </si>
  <si>
    <t>Velocity</t>
  </si>
  <si>
    <t>Number of trucks per hour</t>
  </si>
  <si>
    <t>Road description</t>
  </si>
  <si>
    <t xml:space="preserve">One lane, unpaved </t>
  </si>
  <si>
    <t>One lane, paved</t>
  </si>
  <si>
    <t>Two lanes, paved</t>
  </si>
  <si>
    <t>Three lanes, paved</t>
  </si>
  <si>
    <t>Four lanes, paved</t>
  </si>
  <si>
    <t>OS 70% do fator de capacidade está aqui</t>
  </si>
  <si>
    <t>One lane, unpaved</t>
  </si>
  <si>
    <t>Number of trucks per year</t>
  </si>
  <si>
    <t>MWh / truck / year</t>
  </si>
  <si>
    <t>water flow (m3/s)</t>
  </si>
  <si>
    <t>Generation</t>
  </si>
  <si>
    <t>Altitude required, assuming horizontal distance of 9km</t>
  </si>
  <si>
    <t>Generation costs</t>
  </si>
  <si>
    <t>Road length (km), assuming a horizontal distance of 9km and altitude diference shown below</t>
  </si>
  <si>
    <t>*1000*1000*1000*1000</t>
  </si>
  <si>
    <t>GWh</t>
  </si>
  <si>
    <t>GW</t>
  </si>
  <si>
    <t>*1000*1000*1000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</si>
</sst>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202122"/>
      <name val="Arial"/>
      <family val="2"/>
    </font>
    <font>
      <vertAlign val="superscript"/>
      <sz val="8"/>
      <color rgb="FF202122"/>
      <name val="Arial"/>
      <family val="2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rgb="FF000000"/>
      <name val="Calibri"/>
      <family val="2"/>
    </font>
    <font>
      <sz val="11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9" fontId="0" fillId="0" borderId="0" xfId="0" applyNumberFormat="1"/>
    <xf numFmtId="0" fontId="3" fillId="0" borderId="0" xfId="0" applyFont="1"/>
    <xf numFmtId="0" fontId="2" fillId="0" borderId="0" xfId="0" applyFont="1"/>
    <xf numFmtId="164" fontId="0" fillId="0" borderId="0" xfId="0" applyNumberFormat="1"/>
    <xf numFmtId="164" fontId="2" fillId="0" borderId="0" xfId="0" applyNumberFormat="1" applyFont="1"/>
    <xf numFmtId="0" fontId="7" fillId="0" borderId="4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right" vertical="center"/>
    </xf>
    <xf numFmtId="0" fontId="7" fillId="0" borderId="4" xfId="0" applyFont="1" applyBorder="1" applyAlignment="1">
      <alignment horizontal="right" vertical="center"/>
    </xf>
    <xf numFmtId="0" fontId="7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right" vertical="center"/>
    </xf>
    <xf numFmtId="0" fontId="5" fillId="0" borderId="10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5" fillId="0" borderId="10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8" fillId="0" borderId="5" xfId="0" applyFont="1" applyFill="1" applyBorder="1" applyAlignment="1">
      <alignment horizontal="center" vertical="center" wrapText="1"/>
    </xf>
    <xf numFmtId="0" fontId="8" fillId="0" borderId="6" xfId="0" applyFont="1" applyFill="1" applyBorder="1" applyAlignment="1">
      <alignment horizontal="center" vertical="center" wrapText="1"/>
    </xf>
    <xf numFmtId="0" fontId="7" fillId="0" borderId="6" xfId="0" applyFont="1" applyFill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'Efficiency &amp; cost'!$C$4</c:f>
              <c:strCache>
                <c:ptCount val="1"/>
                <c:pt idx="0">
                  <c:v>2.5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'Efficiency &amp; cost'!$D$3:$M$3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'Efficiency &amp; cost'!$D$4:$M$4</c:f>
              <c:numCache>
                <c:formatCode>General</c:formatCode>
                <c:ptCount val="10"/>
                <c:pt idx="0">
                  <c:v>0.1622549344305825</c:v>
                </c:pt>
                <c:pt idx="1">
                  <c:v>0.1390197377223302</c:v>
                </c:pt>
                <c:pt idx="2">
                  <c:v>0.10029440987524284</c:v>
                </c:pt>
                <c:pt idx="3">
                  <c:v>4.607895088932068E-2</c:v>
                </c:pt>
                <c:pt idx="4">
                  <c:v>-2.3626639235436196E-2</c:v>
                </c:pt>
                <c:pt idx="5">
                  <c:v>-0.1088223604990281</c:v>
                </c:pt>
                <c:pt idx="6">
                  <c:v>-0.20950821290145505</c:v>
                </c:pt>
                <c:pt idx="7">
                  <c:v>-0.32568419644271701</c:v>
                </c:pt>
                <c:pt idx="8">
                  <c:v>-0.45735031112281388</c:v>
                </c:pt>
                <c:pt idx="9">
                  <c:v>-0.60450655694174527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FA-4B9A-A224-2A104940E262}"/>
            </c:ext>
          </c:extLst>
        </c:ser>
        <c:ser>
          <c:idx val="1"/>
          <c:order val="1"/>
          <c:tx>
            <c:strRef>
              <c:f>'Efficiency &amp; cost'!$C$5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'Efficiency &amp; cost'!$D$3:$M$3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'Efficiency &amp; cost'!$D$5:$M$5</c:f>
              <c:numCache>
                <c:formatCode>General</c:formatCode>
                <c:ptCount val="10"/>
                <c:pt idx="0">
                  <c:v>0.48612746721529126</c:v>
                </c:pt>
                <c:pt idx="1">
                  <c:v>0.47450986886116503</c:v>
                </c:pt>
                <c:pt idx="2">
                  <c:v>0.4551472049376214</c:v>
                </c:pt>
                <c:pt idx="3">
                  <c:v>0.42803947544466031</c:v>
                </c:pt>
                <c:pt idx="4">
                  <c:v>0.39318668038228188</c:v>
                </c:pt>
                <c:pt idx="5">
                  <c:v>0.35058881975048595</c:v>
                </c:pt>
                <c:pt idx="6">
                  <c:v>0.30024589354927245</c:v>
                </c:pt>
                <c:pt idx="7">
                  <c:v>0.24215790177864149</c:v>
                </c:pt>
                <c:pt idx="8">
                  <c:v>0.17632484443859306</c:v>
                </c:pt>
                <c:pt idx="9">
                  <c:v>0.10274672152912734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FA-4B9A-A224-2A104940E262}"/>
            </c:ext>
          </c:extLst>
        </c:ser>
        <c:ser>
          <c:idx val="2"/>
          <c:order val="2"/>
          <c:tx>
            <c:strRef>
              <c:f>'Efficiency &amp; cost'!$C$6</c:f>
              <c:strCache>
                <c:ptCount val="1"/>
                <c:pt idx="0">
                  <c:v>7.5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'Efficiency &amp; cost'!$D$3:$M$3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'Efficiency &amp; cost'!$D$6:$M$6</c:f>
              <c:numCache>
                <c:formatCode>General</c:formatCode>
                <c:ptCount val="10"/>
                <c:pt idx="0">
                  <c:v>0.59408497814352745</c:v>
                </c:pt>
                <c:pt idx="1">
                  <c:v>0.58633991257411011</c:v>
                </c:pt>
                <c:pt idx="2">
                  <c:v>0.57343146995841421</c:v>
                </c:pt>
                <c:pt idx="3">
                  <c:v>0.5553596502964403</c:v>
                </c:pt>
                <c:pt idx="4">
                  <c:v>0.53212445358818794</c:v>
                </c:pt>
                <c:pt idx="5">
                  <c:v>0.50372587983365724</c:v>
                </c:pt>
                <c:pt idx="6">
                  <c:v>0.47016392903284826</c:v>
                </c:pt>
                <c:pt idx="7">
                  <c:v>0.43143860118576099</c:v>
                </c:pt>
                <c:pt idx="8">
                  <c:v>0.38754989629239545</c:v>
                </c:pt>
                <c:pt idx="9">
                  <c:v>0.33849781435275156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AFA-4B9A-A224-2A104940E262}"/>
            </c:ext>
          </c:extLst>
        </c:ser>
        <c:ser>
          <c:idx val="3"/>
          <c:order val="3"/>
          <c:tx>
            <c:strRef>
              <c:f>'Efficiency &amp; cost'!$C$7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'Efficiency &amp; cost'!$D$3:$M$3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'Efficiency &amp; cost'!$D$7:$M$7</c:f>
              <c:numCache>
                <c:formatCode>General</c:formatCode>
                <c:ptCount val="10"/>
                <c:pt idx="0">
                  <c:v>0.64806373360764558</c:v>
                </c:pt>
                <c:pt idx="1">
                  <c:v>0.64225493443058257</c:v>
                </c:pt>
                <c:pt idx="2">
                  <c:v>0.63257360246881067</c:v>
                </c:pt>
                <c:pt idx="3">
                  <c:v>0.61901973772233021</c:v>
                </c:pt>
                <c:pt idx="4">
                  <c:v>0.60159334019114086</c:v>
                </c:pt>
                <c:pt idx="5">
                  <c:v>0.58029440987524294</c:v>
                </c:pt>
                <c:pt idx="6">
                  <c:v>0.55512294677463625</c:v>
                </c:pt>
                <c:pt idx="7">
                  <c:v>0.52607895088932077</c:v>
                </c:pt>
                <c:pt idx="8">
                  <c:v>0.49316242221929651</c:v>
                </c:pt>
                <c:pt idx="9">
                  <c:v>0.45637336076456364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AFA-4B9A-A224-2A104940E262}"/>
            </c:ext>
          </c:extLst>
        </c:ser>
        <c:ser>
          <c:idx val="4"/>
          <c:order val="4"/>
          <c:tx>
            <c:strRef>
              <c:f>'Efficiency &amp; cost'!$C$8</c:f>
              <c:strCache>
                <c:ptCount val="1"/>
                <c:pt idx="0">
                  <c:v>12.5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'Efficiency &amp; cost'!$D$3:$M$3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'Efficiency &amp; cost'!$D$8:$M$8</c:f>
              <c:numCache>
                <c:formatCode>General</c:formatCode>
                <c:ptCount val="10"/>
                <c:pt idx="0">
                  <c:v>0.68045098688611649</c:v>
                </c:pt>
                <c:pt idx="1">
                  <c:v>0.67580394754446593</c:v>
                </c:pt>
                <c:pt idx="2">
                  <c:v>0.66805888197504859</c:v>
                </c:pt>
                <c:pt idx="3">
                  <c:v>0.65721579017786413</c:v>
                </c:pt>
                <c:pt idx="4">
                  <c:v>0.64327467215291279</c:v>
                </c:pt>
                <c:pt idx="5">
                  <c:v>0.62623552790019432</c:v>
                </c:pt>
                <c:pt idx="6">
                  <c:v>0.60609835741970897</c:v>
                </c:pt>
                <c:pt idx="7">
                  <c:v>0.58286316071145661</c:v>
                </c:pt>
                <c:pt idx="8">
                  <c:v>0.55652993777543724</c:v>
                </c:pt>
                <c:pt idx="9">
                  <c:v>0.52709868861165088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AFA-4B9A-A224-2A104940E262}"/>
            </c:ext>
          </c:extLst>
        </c:ser>
        <c:ser>
          <c:idx val="5"/>
          <c:order val="5"/>
          <c:tx>
            <c:strRef>
              <c:f>'Efficiency &amp; cost'!$C$9</c:f>
              <c:strCache>
                <c:ptCount val="1"/>
                <c:pt idx="0">
                  <c:v>15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'Efficiency &amp; cost'!$D$3:$M$3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'Efficiency &amp; cost'!$D$9:$M$9</c:f>
              <c:numCache>
                <c:formatCode>General</c:formatCode>
                <c:ptCount val="10"/>
                <c:pt idx="0">
                  <c:v>0.70204248907176381</c:v>
                </c:pt>
                <c:pt idx="1">
                  <c:v>0.69816995628705492</c:v>
                </c:pt>
                <c:pt idx="2">
                  <c:v>0.69171573497920713</c:v>
                </c:pt>
                <c:pt idx="3">
                  <c:v>0.68267982514822012</c:v>
                </c:pt>
                <c:pt idx="4">
                  <c:v>0.671062226794094</c:v>
                </c:pt>
                <c:pt idx="5">
                  <c:v>0.65686293991682865</c:v>
                </c:pt>
                <c:pt idx="6">
                  <c:v>0.64008196451642407</c:v>
                </c:pt>
                <c:pt idx="7">
                  <c:v>0.6207193005928805</c:v>
                </c:pt>
                <c:pt idx="8">
                  <c:v>0.59877494814619769</c:v>
                </c:pt>
                <c:pt idx="9">
                  <c:v>0.57424890717637578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AFA-4B9A-A224-2A104940E262}"/>
            </c:ext>
          </c:extLst>
        </c:ser>
        <c:ser>
          <c:idx val="6"/>
          <c:order val="6"/>
          <c:tx>
            <c:strRef>
              <c:f>'Efficiency &amp; cost'!$C$10</c:f>
              <c:strCache>
                <c:ptCount val="1"/>
                <c:pt idx="0">
                  <c:v>17.5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'Efficiency &amp; cost'!$D$3:$M$3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'Efficiency &amp; cost'!$D$10:$M$10</c:f>
              <c:numCache>
                <c:formatCode>General</c:formatCode>
                <c:ptCount val="10"/>
                <c:pt idx="0">
                  <c:v>0.71746499063294034</c:v>
                </c:pt>
                <c:pt idx="1">
                  <c:v>0.71414567681747565</c:v>
                </c:pt>
                <c:pt idx="2">
                  <c:v>0.70861348712503469</c:v>
                </c:pt>
                <c:pt idx="3">
                  <c:v>0.70086842155561724</c:v>
                </c:pt>
                <c:pt idx="4">
                  <c:v>0.6909104801092234</c:v>
                </c:pt>
                <c:pt idx="5">
                  <c:v>0.67873966278585307</c:v>
                </c:pt>
                <c:pt idx="6">
                  <c:v>0.66435596958550636</c:v>
                </c:pt>
                <c:pt idx="7">
                  <c:v>0.64775940050818326</c:v>
                </c:pt>
                <c:pt idx="8">
                  <c:v>0.62894995555388378</c:v>
                </c:pt>
                <c:pt idx="9">
                  <c:v>0.6079276347226078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AFA-4B9A-A224-2A104940E262}"/>
            </c:ext>
          </c:extLst>
        </c:ser>
        <c:ser>
          <c:idx val="7"/>
          <c:order val="7"/>
          <c:tx>
            <c:strRef>
              <c:f>'Efficiency &amp; cost'!$C$11</c:f>
              <c:strCache>
                <c:ptCount val="1"/>
                <c:pt idx="0">
                  <c:v>20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'Efficiency &amp; cost'!$D$3:$M$3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'Efficiency &amp; cost'!$D$11:$M$11</c:f>
              <c:numCache>
                <c:formatCode>General</c:formatCode>
                <c:ptCount val="10"/>
                <c:pt idx="0">
                  <c:v>0.72903186680382281</c:v>
                </c:pt>
                <c:pt idx="1">
                  <c:v>0.7261274672152912</c:v>
                </c:pt>
                <c:pt idx="2">
                  <c:v>0.72128680123440536</c:v>
                </c:pt>
                <c:pt idx="3">
                  <c:v>0.71450986886116508</c:v>
                </c:pt>
                <c:pt idx="4">
                  <c:v>0.70579667009557046</c:v>
                </c:pt>
                <c:pt idx="5">
                  <c:v>0.6951472049376215</c:v>
                </c:pt>
                <c:pt idx="6">
                  <c:v>0.6825614733873181</c:v>
                </c:pt>
                <c:pt idx="7">
                  <c:v>0.66803947544466036</c:v>
                </c:pt>
                <c:pt idx="8">
                  <c:v>0.65158121110964828</c:v>
                </c:pt>
                <c:pt idx="9">
                  <c:v>0.63318668038228176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AFA-4B9A-A224-2A104940E262}"/>
            </c:ext>
          </c:extLst>
        </c:ser>
        <c:ser>
          <c:idx val="8"/>
          <c:order val="8"/>
          <c:tx>
            <c:strRef>
              <c:f>'Efficiency &amp; cost'!$C$12</c:f>
              <c:strCache>
                <c:ptCount val="1"/>
                <c:pt idx="0">
                  <c:v>22.5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'Efficiency &amp; cost'!$D$3:$M$3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'Efficiency &amp; cost'!$D$12:$M$12</c:f>
              <c:numCache>
                <c:formatCode>General</c:formatCode>
                <c:ptCount val="10"/>
                <c:pt idx="0">
                  <c:v>0.73802832604784252</c:v>
                </c:pt>
                <c:pt idx="1">
                  <c:v>0.73544663752470341</c:v>
                </c:pt>
                <c:pt idx="2">
                  <c:v>0.73114382331947148</c:v>
                </c:pt>
                <c:pt idx="3">
                  <c:v>0.72511988343214673</c:v>
                </c:pt>
                <c:pt idx="4">
                  <c:v>0.71737481786272927</c:v>
                </c:pt>
                <c:pt idx="5">
                  <c:v>0.70790862661121912</c:v>
                </c:pt>
                <c:pt idx="6">
                  <c:v>0.69672130967761614</c:v>
                </c:pt>
                <c:pt idx="7">
                  <c:v>0.68381286706192035</c:v>
                </c:pt>
                <c:pt idx="8">
                  <c:v>0.66918329876413185</c:v>
                </c:pt>
                <c:pt idx="9">
                  <c:v>0.65283260478425043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AFA-4B9A-A224-2A104940E262}"/>
            </c:ext>
          </c:extLst>
        </c:ser>
        <c:ser>
          <c:idx val="9"/>
          <c:order val="9"/>
          <c:tx>
            <c:strRef>
              <c:f>'Efficiency &amp; cost'!$C$13</c:f>
              <c:strCache>
                <c:ptCount val="1"/>
                <c:pt idx="0">
                  <c:v>25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'Efficiency &amp; cost'!$D$3:$M$3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'Efficiency &amp; cost'!$D$13:$M$13</c:f>
              <c:numCache>
                <c:formatCode>General</c:formatCode>
                <c:ptCount val="10"/>
                <c:pt idx="0">
                  <c:v>0.74522549344305822</c:v>
                </c:pt>
                <c:pt idx="1">
                  <c:v>0.7429019737722331</c:v>
                </c:pt>
                <c:pt idx="2">
                  <c:v>0.73902944098752421</c:v>
                </c:pt>
                <c:pt idx="3">
                  <c:v>0.73360789508893209</c:v>
                </c:pt>
                <c:pt idx="4">
                  <c:v>0.72663733607645631</c:v>
                </c:pt>
                <c:pt idx="5">
                  <c:v>0.71811776395009708</c:v>
                </c:pt>
                <c:pt idx="6">
                  <c:v>0.70804917870985451</c:v>
                </c:pt>
                <c:pt idx="7">
                  <c:v>0.69643158035572827</c:v>
                </c:pt>
                <c:pt idx="8">
                  <c:v>0.6832649688877187</c:v>
                </c:pt>
                <c:pt idx="9">
                  <c:v>0.66854934430582547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AFA-4B9A-A224-2A104940E2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8436575"/>
        <c:axId val="1088440735"/>
      </c:scatterChart>
      <c:valAx>
        <c:axId val="1088436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440735"/>
        <c:crosses val="autoZero"/>
        <c:crossBetween val="midCat"/>
      </c:valAx>
      <c:valAx>
        <c:axId val="1088440735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4365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'Efficiency &amp; cost'!$AC$24</c:f>
              <c:strCache>
                <c:ptCount val="1"/>
                <c:pt idx="0">
                  <c:v>20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'Efficiency &amp; cost'!$I$28:$I$34</c:f>
              <c:numCache>
                <c:formatCode>General</c:formatCode>
                <c:ptCount val="7"/>
                <c:pt idx="0">
                  <c:v>10</c:v>
                </c:pt>
                <c:pt idx="1">
                  <c:v>12.5</c:v>
                </c:pt>
                <c:pt idx="2">
                  <c:v>15</c:v>
                </c:pt>
                <c:pt idx="3">
                  <c:v>17.5</c:v>
                </c:pt>
                <c:pt idx="4">
                  <c:v>20</c:v>
                </c:pt>
                <c:pt idx="5">
                  <c:v>22.5</c:v>
                </c:pt>
                <c:pt idx="6">
                  <c:v>25</c:v>
                </c:pt>
              </c:numCache>
            </c:numRef>
          </c:xVal>
          <c:yVal>
            <c:numRef>
              <c:f>'Efficiency &amp; cost'!$AC$28:$AC$34</c:f>
              <c:numCache>
                <c:formatCode>General</c:formatCode>
                <c:ptCount val="7"/>
                <c:pt idx="0">
                  <c:v>40.766570904188946</c:v>
                </c:pt>
                <c:pt idx="1">
                  <c:v>30.994233067934935</c:v>
                </c:pt>
                <c:pt idx="2">
                  <c:v>25.001105711920694</c:v>
                </c:pt>
                <c:pt idx="3">
                  <c:v>20.950132383321169</c:v>
                </c:pt>
                <c:pt idx="4">
                  <c:v>18.028880950778472</c:v>
                </c:pt>
                <c:pt idx="5">
                  <c:v>15.82260356397682</c:v>
                </c:pt>
                <c:pt idx="6">
                  <c:v>14.097435326538461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39-46E8-8A38-528DA77F759E}"/>
            </c:ext>
          </c:extLst>
        </c:ser>
        <c:ser>
          <c:idx val="1"/>
          <c:order val="1"/>
          <c:tx>
            <c:strRef>
              <c:f>'Efficiency &amp; cost'!$AD$24</c:f>
              <c:strCache>
                <c:ptCount val="1"/>
                <c:pt idx="0">
                  <c:v>40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'Efficiency &amp; cost'!$I$28:$I$34</c:f>
              <c:numCache>
                <c:formatCode>General</c:formatCode>
                <c:ptCount val="7"/>
                <c:pt idx="0">
                  <c:v>10</c:v>
                </c:pt>
                <c:pt idx="1">
                  <c:v>12.5</c:v>
                </c:pt>
                <c:pt idx="2">
                  <c:v>15</c:v>
                </c:pt>
                <c:pt idx="3">
                  <c:v>17.5</c:v>
                </c:pt>
                <c:pt idx="4">
                  <c:v>20</c:v>
                </c:pt>
                <c:pt idx="5">
                  <c:v>22.5</c:v>
                </c:pt>
                <c:pt idx="6">
                  <c:v>25</c:v>
                </c:pt>
              </c:numCache>
            </c:numRef>
          </c:xVal>
          <c:yVal>
            <c:numRef>
              <c:f>'Efficiency &amp; cost'!$AD$28:$AD$34</c:f>
              <c:numCache>
                <c:formatCode>General</c:formatCode>
                <c:ptCount val="7"/>
                <c:pt idx="0">
                  <c:v>37.522804039834298</c:v>
                </c:pt>
                <c:pt idx="1">
                  <c:v>28.273643649442491</c:v>
                </c:pt>
                <c:pt idx="2">
                  <c:v>22.6825279432679</c:v>
                </c:pt>
                <c:pt idx="3">
                  <c:v>18.93761315123901</c:v>
                </c:pt>
                <c:pt idx="4">
                  <c:v>16.25404863362208</c:v>
                </c:pt>
                <c:pt idx="5">
                  <c:v>14.236638257144826</c:v>
                </c:pt>
                <c:pt idx="6">
                  <c:v>12.664725377596362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F39-46E8-8A38-528DA77F759E}"/>
            </c:ext>
          </c:extLst>
        </c:ser>
        <c:ser>
          <c:idx val="2"/>
          <c:order val="2"/>
          <c:tx>
            <c:strRef>
              <c:f>'Efficiency &amp; cost'!$AE$24</c:f>
              <c:strCache>
                <c:ptCount val="1"/>
                <c:pt idx="0">
                  <c:v>60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'Efficiency &amp; cost'!$I$28:$I$34</c:f>
              <c:numCache>
                <c:formatCode>General</c:formatCode>
                <c:ptCount val="7"/>
                <c:pt idx="0">
                  <c:v>10</c:v>
                </c:pt>
                <c:pt idx="1">
                  <c:v>12.5</c:v>
                </c:pt>
                <c:pt idx="2">
                  <c:v>15</c:v>
                </c:pt>
                <c:pt idx="3">
                  <c:v>17.5</c:v>
                </c:pt>
                <c:pt idx="4">
                  <c:v>20</c:v>
                </c:pt>
                <c:pt idx="5">
                  <c:v>22.5</c:v>
                </c:pt>
                <c:pt idx="6">
                  <c:v>25</c:v>
                </c:pt>
              </c:numCache>
            </c:numRef>
          </c:xVal>
          <c:yVal>
            <c:numRef>
              <c:f>'Efficiency &amp; cost'!$AE$28:$AE$34</c:f>
              <c:numCache>
                <c:formatCode>General</c:formatCode>
                <c:ptCount val="7"/>
                <c:pt idx="0">
                  <c:v>38.414075424803428</c:v>
                </c:pt>
                <c:pt idx="1">
                  <c:v>28.476791541079166</c:v>
                </c:pt>
                <c:pt idx="2">
                  <c:v>22.624175075104606</c:v>
                </c:pt>
                <c:pt idx="3">
                  <c:v>18.767114110160449</c:v>
                </c:pt>
                <c:pt idx="4">
                  <c:v>16.03363508563606</c:v>
                </c:pt>
                <c:pt idx="5">
                  <c:v>13.995198056530958</c:v>
                </c:pt>
                <c:pt idx="6">
                  <c:v>12.416611507796338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F39-46E8-8A38-528DA77F759E}"/>
            </c:ext>
          </c:extLst>
        </c:ser>
        <c:ser>
          <c:idx val="3"/>
          <c:order val="3"/>
          <c:tx>
            <c:strRef>
              <c:f>'Efficiency &amp; cost'!$AF$24</c:f>
              <c:strCache>
                <c:ptCount val="1"/>
                <c:pt idx="0">
                  <c:v>80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'Efficiency &amp; cost'!$I$28:$I$34</c:f>
              <c:numCache>
                <c:formatCode>General</c:formatCode>
                <c:ptCount val="7"/>
                <c:pt idx="0">
                  <c:v>10</c:v>
                </c:pt>
                <c:pt idx="1">
                  <c:v>12.5</c:v>
                </c:pt>
                <c:pt idx="2">
                  <c:v>15</c:v>
                </c:pt>
                <c:pt idx="3">
                  <c:v>17.5</c:v>
                </c:pt>
                <c:pt idx="4">
                  <c:v>20</c:v>
                </c:pt>
                <c:pt idx="5">
                  <c:v>22.5</c:v>
                </c:pt>
                <c:pt idx="6">
                  <c:v>25</c:v>
                </c:pt>
              </c:numCache>
            </c:numRef>
          </c:xVal>
          <c:yVal>
            <c:numRef>
              <c:f>'Efficiency &amp; cost'!$AF$28:$AF$34</c:f>
              <c:numCache>
                <c:formatCode>General</c:formatCode>
                <c:ptCount val="7"/>
                <c:pt idx="0">
                  <c:v>41.501023539585233</c:v>
                </c:pt>
                <c:pt idx="1">
                  <c:v>29.966299325403725</c:v>
                </c:pt>
                <c:pt idx="2">
                  <c:v>23.448940504652562</c:v>
                </c:pt>
                <c:pt idx="3">
                  <c:v>19.260074393062453</c:v>
                </c:pt>
                <c:pt idx="4">
                  <c:v>16.340961669971414</c:v>
                </c:pt>
                <c:pt idx="5">
                  <c:v>14.190246728592202</c:v>
                </c:pt>
                <c:pt idx="6">
                  <c:v>12.539819009003633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F39-46E8-8A38-528DA77F75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6093487"/>
        <c:axId val="1086117199"/>
      </c:scatterChart>
      <c:valAx>
        <c:axId val="1086093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117199"/>
        <c:crosses val="autoZero"/>
        <c:crossBetween val="midCat"/>
      </c:valAx>
      <c:valAx>
        <c:axId val="1086117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0934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500"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'Efficiency &amp; cost'!$E$3</c:f>
              <c:strCache>
                <c:ptCount val="1"/>
                <c:pt idx="0">
                  <c:v>20</c:v>
                </c:pt>
              </c:strCache>
            </c:strRef>
          </c:tx>
          <c:spPr>
            <a:ln w="31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'Efficiency &amp; cost'!$C$4:$C$13</c:f>
              <c:numCache>
                <c:formatCode>General</c:formatCode>
                <c:ptCount val="10"/>
                <c:pt idx="0">
                  <c:v>2.5</c:v>
                </c:pt>
                <c:pt idx="1">
                  <c:v>5</c:v>
                </c:pt>
                <c:pt idx="2">
                  <c:v>7.5</c:v>
                </c:pt>
                <c:pt idx="3">
                  <c:v>10</c:v>
                </c:pt>
                <c:pt idx="4">
                  <c:v>12.5</c:v>
                </c:pt>
                <c:pt idx="5">
                  <c:v>15</c:v>
                </c:pt>
                <c:pt idx="6">
                  <c:v>17.5</c:v>
                </c:pt>
                <c:pt idx="7">
                  <c:v>20</c:v>
                </c:pt>
                <c:pt idx="8">
                  <c:v>22.5</c:v>
                </c:pt>
                <c:pt idx="9">
                  <c:v>25</c:v>
                </c:pt>
              </c:numCache>
            </c:numRef>
          </c:xVal>
          <c:yVal>
            <c:numRef>
              <c:f>'Efficiency &amp; cost'!$E$4:$E$13</c:f>
              <c:numCache>
                <c:formatCode>General</c:formatCode>
                <c:ptCount val="10"/>
                <c:pt idx="0">
                  <c:v>0.1390197377223302</c:v>
                </c:pt>
                <c:pt idx="1">
                  <c:v>0.47450986886116503</c:v>
                </c:pt>
                <c:pt idx="2">
                  <c:v>0.58633991257411011</c:v>
                </c:pt>
                <c:pt idx="3">
                  <c:v>0.64225493443058257</c:v>
                </c:pt>
                <c:pt idx="4">
                  <c:v>0.67580394754446593</c:v>
                </c:pt>
                <c:pt idx="5">
                  <c:v>0.69816995628705492</c:v>
                </c:pt>
                <c:pt idx="6">
                  <c:v>0.71414567681747565</c:v>
                </c:pt>
                <c:pt idx="7">
                  <c:v>0.7261274672152912</c:v>
                </c:pt>
                <c:pt idx="8">
                  <c:v>0.73544663752470341</c:v>
                </c:pt>
                <c:pt idx="9">
                  <c:v>0.7429019737722331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91-480B-8F53-4606606B463C}"/>
            </c:ext>
          </c:extLst>
        </c:ser>
        <c:ser>
          <c:idx val="1"/>
          <c:order val="1"/>
          <c:tx>
            <c:strRef>
              <c:f>'Efficiency &amp; cost'!$F$3</c:f>
              <c:strCache>
                <c:ptCount val="1"/>
                <c:pt idx="0">
                  <c:v>30</c:v>
                </c:pt>
              </c:strCache>
            </c:strRef>
          </c:tx>
          <c:spPr>
            <a:ln w="63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'Efficiency &amp; cost'!$C$4:$C$13</c:f>
              <c:numCache>
                <c:formatCode>General</c:formatCode>
                <c:ptCount val="10"/>
                <c:pt idx="0">
                  <c:v>2.5</c:v>
                </c:pt>
                <c:pt idx="1">
                  <c:v>5</c:v>
                </c:pt>
                <c:pt idx="2">
                  <c:v>7.5</c:v>
                </c:pt>
                <c:pt idx="3">
                  <c:v>10</c:v>
                </c:pt>
                <c:pt idx="4">
                  <c:v>12.5</c:v>
                </c:pt>
                <c:pt idx="5">
                  <c:v>15</c:v>
                </c:pt>
                <c:pt idx="6">
                  <c:v>17.5</c:v>
                </c:pt>
                <c:pt idx="7">
                  <c:v>20</c:v>
                </c:pt>
                <c:pt idx="8">
                  <c:v>22.5</c:v>
                </c:pt>
                <c:pt idx="9">
                  <c:v>25</c:v>
                </c:pt>
              </c:numCache>
            </c:numRef>
          </c:xVal>
          <c:yVal>
            <c:numRef>
              <c:f>'Efficiency &amp; cost'!$F$4:$F$13</c:f>
              <c:numCache>
                <c:formatCode>General</c:formatCode>
                <c:ptCount val="10"/>
                <c:pt idx="0">
                  <c:v>0.10029440987524284</c:v>
                </c:pt>
                <c:pt idx="1">
                  <c:v>0.4551472049376214</c:v>
                </c:pt>
                <c:pt idx="2">
                  <c:v>0.57343146995841421</c:v>
                </c:pt>
                <c:pt idx="3">
                  <c:v>0.63257360246881067</c:v>
                </c:pt>
                <c:pt idx="4">
                  <c:v>0.66805888197504859</c:v>
                </c:pt>
                <c:pt idx="5">
                  <c:v>0.69171573497920713</c:v>
                </c:pt>
                <c:pt idx="6">
                  <c:v>0.70861348712503469</c:v>
                </c:pt>
                <c:pt idx="7">
                  <c:v>0.72128680123440536</c:v>
                </c:pt>
                <c:pt idx="8">
                  <c:v>0.73114382331947148</c:v>
                </c:pt>
                <c:pt idx="9">
                  <c:v>0.73902944098752421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491-480B-8F53-4606606B463C}"/>
            </c:ext>
          </c:extLst>
        </c:ser>
        <c:ser>
          <c:idx val="2"/>
          <c:order val="2"/>
          <c:tx>
            <c:strRef>
              <c:f>'Efficiency &amp; cost'!$G$3</c:f>
              <c:strCache>
                <c:ptCount val="1"/>
                <c:pt idx="0">
                  <c:v>40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'Efficiency &amp; cost'!$C$4:$C$13</c:f>
              <c:numCache>
                <c:formatCode>General</c:formatCode>
                <c:ptCount val="10"/>
                <c:pt idx="0">
                  <c:v>2.5</c:v>
                </c:pt>
                <c:pt idx="1">
                  <c:v>5</c:v>
                </c:pt>
                <c:pt idx="2">
                  <c:v>7.5</c:v>
                </c:pt>
                <c:pt idx="3">
                  <c:v>10</c:v>
                </c:pt>
                <c:pt idx="4">
                  <c:v>12.5</c:v>
                </c:pt>
                <c:pt idx="5">
                  <c:v>15</c:v>
                </c:pt>
                <c:pt idx="6">
                  <c:v>17.5</c:v>
                </c:pt>
                <c:pt idx="7">
                  <c:v>20</c:v>
                </c:pt>
                <c:pt idx="8">
                  <c:v>22.5</c:v>
                </c:pt>
                <c:pt idx="9">
                  <c:v>25</c:v>
                </c:pt>
              </c:numCache>
            </c:numRef>
          </c:xVal>
          <c:yVal>
            <c:numRef>
              <c:f>'Efficiency &amp; cost'!$G$4:$G$13</c:f>
              <c:numCache>
                <c:formatCode>General</c:formatCode>
                <c:ptCount val="10"/>
                <c:pt idx="0">
                  <c:v>4.607895088932068E-2</c:v>
                </c:pt>
                <c:pt idx="1">
                  <c:v>0.42803947544466031</c:v>
                </c:pt>
                <c:pt idx="2">
                  <c:v>0.5553596502964403</c:v>
                </c:pt>
                <c:pt idx="3">
                  <c:v>0.61901973772233021</c:v>
                </c:pt>
                <c:pt idx="4">
                  <c:v>0.65721579017786413</c:v>
                </c:pt>
                <c:pt idx="5">
                  <c:v>0.68267982514822012</c:v>
                </c:pt>
                <c:pt idx="6">
                  <c:v>0.70086842155561724</c:v>
                </c:pt>
                <c:pt idx="7">
                  <c:v>0.71450986886116508</c:v>
                </c:pt>
                <c:pt idx="8">
                  <c:v>0.72511988343214673</c:v>
                </c:pt>
                <c:pt idx="9">
                  <c:v>0.73360789508893209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491-480B-8F53-4606606B463C}"/>
            </c:ext>
          </c:extLst>
        </c:ser>
        <c:ser>
          <c:idx val="3"/>
          <c:order val="3"/>
          <c:tx>
            <c:strRef>
              <c:f>'Efficiency &amp; cost'!$H$3</c:f>
              <c:strCache>
                <c:ptCount val="1"/>
                <c:pt idx="0">
                  <c:v>50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'Efficiency &amp; cost'!$C$4:$C$13</c:f>
              <c:numCache>
                <c:formatCode>General</c:formatCode>
                <c:ptCount val="10"/>
                <c:pt idx="0">
                  <c:v>2.5</c:v>
                </c:pt>
                <c:pt idx="1">
                  <c:v>5</c:v>
                </c:pt>
                <c:pt idx="2">
                  <c:v>7.5</c:v>
                </c:pt>
                <c:pt idx="3">
                  <c:v>10</c:v>
                </c:pt>
                <c:pt idx="4">
                  <c:v>12.5</c:v>
                </c:pt>
                <c:pt idx="5">
                  <c:v>15</c:v>
                </c:pt>
                <c:pt idx="6">
                  <c:v>17.5</c:v>
                </c:pt>
                <c:pt idx="7">
                  <c:v>20</c:v>
                </c:pt>
                <c:pt idx="8">
                  <c:v>22.5</c:v>
                </c:pt>
                <c:pt idx="9">
                  <c:v>25</c:v>
                </c:pt>
              </c:numCache>
            </c:numRef>
          </c:xVal>
          <c:yVal>
            <c:numRef>
              <c:f>'Efficiency &amp; cost'!$H$4:$H$13</c:f>
              <c:numCache>
                <c:formatCode>General</c:formatCode>
                <c:ptCount val="10"/>
                <c:pt idx="0">
                  <c:v>-2.3626639235436196E-2</c:v>
                </c:pt>
                <c:pt idx="1">
                  <c:v>0.39318668038228188</c:v>
                </c:pt>
                <c:pt idx="2">
                  <c:v>0.53212445358818794</c:v>
                </c:pt>
                <c:pt idx="3">
                  <c:v>0.60159334019114086</c:v>
                </c:pt>
                <c:pt idx="4">
                  <c:v>0.64327467215291279</c:v>
                </c:pt>
                <c:pt idx="5">
                  <c:v>0.671062226794094</c:v>
                </c:pt>
                <c:pt idx="6">
                  <c:v>0.6909104801092234</c:v>
                </c:pt>
                <c:pt idx="7">
                  <c:v>0.70579667009557046</c:v>
                </c:pt>
                <c:pt idx="8">
                  <c:v>0.71737481786272927</c:v>
                </c:pt>
                <c:pt idx="9">
                  <c:v>0.72663733607645631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491-480B-8F53-4606606B463C}"/>
            </c:ext>
          </c:extLst>
        </c:ser>
        <c:ser>
          <c:idx val="4"/>
          <c:order val="4"/>
          <c:tx>
            <c:strRef>
              <c:f>'Efficiency &amp; cost'!$I$3</c:f>
              <c:strCache>
                <c:ptCount val="1"/>
                <c:pt idx="0">
                  <c:v>60</c:v>
                </c:pt>
              </c:strCache>
            </c:strRef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'Efficiency &amp; cost'!$C$4:$C$13</c:f>
              <c:numCache>
                <c:formatCode>General</c:formatCode>
                <c:ptCount val="10"/>
                <c:pt idx="0">
                  <c:v>2.5</c:v>
                </c:pt>
                <c:pt idx="1">
                  <c:v>5</c:v>
                </c:pt>
                <c:pt idx="2">
                  <c:v>7.5</c:v>
                </c:pt>
                <c:pt idx="3">
                  <c:v>10</c:v>
                </c:pt>
                <c:pt idx="4">
                  <c:v>12.5</c:v>
                </c:pt>
                <c:pt idx="5">
                  <c:v>15</c:v>
                </c:pt>
                <c:pt idx="6">
                  <c:v>17.5</c:v>
                </c:pt>
                <c:pt idx="7">
                  <c:v>20</c:v>
                </c:pt>
                <c:pt idx="8">
                  <c:v>22.5</c:v>
                </c:pt>
                <c:pt idx="9">
                  <c:v>25</c:v>
                </c:pt>
              </c:numCache>
            </c:numRef>
          </c:xVal>
          <c:yVal>
            <c:numRef>
              <c:f>'Efficiency &amp; cost'!$I$4:$I$13</c:f>
              <c:numCache>
                <c:formatCode>General</c:formatCode>
                <c:ptCount val="10"/>
                <c:pt idx="0">
                  <c:v>-0.1088223604990281</c:v>
                </c:pt>
                <c:pt idx="1">
                  <c:v>0.35058881975048595</c:v>
                </c:pt>
                <c:pt idx="2">
                  <c:v>0.50372587983365724</c:v>
                </c:pt>
                <c:pt idx="3">
                  <c:v>0.58029440987524294</c:v>
                </c:pt>
                <c:pt idx="4">
                  <c:v>0.62623552790019432</c:v>
                </c:pt>
                <c:pt idx="5">
                  <c:v>0.65686293991682865</c:v>
                </c:pt>
                <c:pt idx="6">
                  <c:v>0.67873966278585307</c:v>
                </c:pt>
                <c:pt idx="7">
                  <c:v>0.6951472049376215</c:v>
                </c:pt>
                <c:pt idx="8">
                  <c:v>0.70790862661121912</c:v>
                </c:pt>
                <c:pt idx="9">
                  <c:v>0.71811776395009708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491-480B-8F53-4606606B463C}"/>
            </c:ext>
          </c:extLst>
        </c:ser>
        <c:ser>
          <c:idx val="5"/>
          <c:order val="5"/>
          <c:tx>
            <c:strRef>
              <c:f>'Efficiency &amp; cost'!$J$3</c:f>
              <c:strCache>
                <c:ptCount val="1"/>
                <c:pt idx="0">
                  <c:v>70</c:v>
                </c:pt>
              </c:strCache>
            </c:strRef>
          </c:tx>
          <c:spPr>
            <a:ln w="317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'Efficiency &amp; cost'!$C$4:$C$13</c:f>
              <c:numCache>
                <c:formatCode>General</c:formatCode>
                <c:ptCount val="10"/>
                <c:pt idx="0">
                  <c:v>2.5</c:v>
                </c:pt>
                <c:pt idx="1">
                  <c:v>5</c:v>
                </c:pt>
                <c:pt idx="2">
                  <c:v>7.5</c:v>
                </c:pt>
                <c:pt idx="3">
                  <c:v>10</c:v>
                </c:pt>
                <c:pt idx="4">
                  <c:v>12.5</c:v>
                </c:pt>
                <c:pt idx="5">
                  <c:v>15</c:v>
                </c:pt>
                <c:pt idx="6">
                  <c:v>17.5</c:v>
                </c:pt>
                <c:pt idx="7">
                  <c:v>20</c:v>
                </c:pt>
                <c:pt idx="8">
                  <c:v>22.5</c:v>
                </c:pt>
                <c:pt idx="9">
                  <c:v>25</c:v>
                </c:pt>
              </c:numCache>
            </c:numRef>
          </c:xVal>
          <c:yVal>
            <c:numRef>
              <c:f>'Efficiency &amp; cost'!$J$4:$J$13</c:f>
              <c:numCache>
                <c:formatCode>General</c:formatCode>
                <c:ptCount val="10"/>
                <c:pt idx="0">
                  <c:v>-0.20950821290145505</c:v>
                </c:pt>
                <c:pt idx="1">
                  <c:v>0.30024589354927245</c:v>
                </c:pt>
                <c:pt idx="2">
                  <c:v>0.47016392903284826</c:v>
                </c:pt>
                <c:pt idx="3">
                  <c:v>0.55512294677463625</c:v>
                </c:pt>
                <c:pt idx="4">
                  <c:v>0.60609835741970897</c:v>
                </c:pt>
                <c:pt idx="5">
                  <c:v>0.64008196451642407</c:v>
                </c:pt>
                <c:pt idx="6">
                  <c:v>0.66435596958550636</c:v>
                </c:pt>
                <c:pt idx="7">
                  <c:v>0.6825614733873181</c:v>
                </c:pt>
                <c:pt idx="8">
                  <c:v>0.69672130967761614</c:v>
                </c:pt>
                <c:pt idx="9">
                  <c:v>0.70804917870985451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491-480B-8F53-4606606B463C}"/>
            </c:ext>
          </c:extLst>
        </c:ser>
        <c:ser>
          <c:idx val="6"/>
          <c:order val="6"/>
          <c:tx>
            <c:strRef>
              <c:f>'Efficiency &amp; cost'!$K$3</c:f>
              <c:strCache>
                <c:ptCount val="1"/>
                <c:pt idx="0">
                  <c:v>80</c:v>
                </c:pt>
              </c:strCache>
            </c:strRef>
          </c:tx>
          <c:spPr>
            <a:ln w="381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'Efficiency &amp; cost'!$C$4:$C$13</c:f>
              <c:numCache>
                <c:formatCode>General</c:formatCode>
                <c:ptCount val="10"/>
                <c:pt idx="0">
                  <c:v>2.5</c:v>
                </c:pt>
                <c:pt idx="1">
                  <c:v>5</c:v>
                </c:pt>
                <c:pt idx="2">
                  <c:v>7.5</c:v>
                </c:pt>
                <c:pt idx="3">
                  <c:v>10</c:v>
                </c:pt>
                <c:pt idx="4">
                  <c:v>12.5</c:v>
                </c:pt>
                <c:pt idx="5">
                  <c:v>15</c:v>
                </c:pt>
                <c:pt idx="6">
                  <c:v>17.5</c:v>
                </c:pt>
                <c:pt idx="7">
                  <c:v>20</c:v>
                </c:pt>
                <c:pt idx="8">
                  <c:v>22.5</c:v>
                </c:pt>
                <c:pt idx="9">
                  <c:v>25</c:v>
                </c:pt>
              </c:numCache>
            </c:numRef>
          </c:xVal>
          <c:yVal>
            <c:numRef>
              <c:f>'Efficiency &amp; cost'!$K$4:$K$13</c:f>
              <c:numCache>
                <c:formatCode>General</c:formatCode>
                <c:ptCount val="10"/>
                <c:pt idx="0">
                  <c:v>-0.32568419644271701</c:v>
                </c:pt>
                <c:pt idx="1">
                  <c:v>0.24215790177864149</c:v>
                </c:pt>
                <c:pt idx="2">
                  <c:v>0.43143860118576099</c:v>
                </c:pt>
                <c:pt idx="3">
                  <c:v>0.52607895088932077</c:v>
                </c:pt>
                <c:pt idx="4">
                  <c:v>0.58286316071145661</c:v>
                </c:pt>
                <c:pt idx="5">
                  <c:v>0.6207193005928805</c:v>
                </c:pt>
                <c:pt idx="6">
                  <c:v>0.64775940050818326</c:v>
                </c:pt>
                <c:pt idx="7">
                  <c:v>0.66803947544466036</c:v>
                </c:pt>
                <c:pt idx="8">
                  <c:v>0.68381286706192035</c:v>
                </c:pt>
                <c:pt idx="9">
                  <c:v>0.69643158035572827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491-480B-8F53-4606606B463C}"/>
            </c:ext>
          </c:extLst>
        </c:ser>
        <c:ser>
          <c:idx val="7"/>
          <c:order val="7"/>
          <c:tx>
            <c:strRef>
              <c:f>'Efficiency &amp; cost'!$L$3</c:f>
              <c:strCache>
                <c:ptCount val="1"/>
                <c:pt idx="0">
                  <c:v>90</c:v>
                </c:pt>
              </c:strCache>
            </c:strRef>
          </c:tx>
          <c:spPr>
            <a:ln w="444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'Efficiency &amp; cost'!$C$4:$C$13</c:f>
              <c:numCache>
                <c:formatCode>General</c:formatCode>
                <c:ptCount val="10"/>
                <c:pt idx="0">
                  <c:v>2.5</c:v>
                </c:pt>
                <c:pt idx="1">
                  <c:v>5</c:v>
                </c:pt>
                <c:pt idx="2">
                  <c:v>7.5</c:v>
                </c:pt>
                <c:pt idx="3">
                  <c:v>10</c:v>
                </c:pt>
                <c:pt idx="4">
                  <c:v>12.5</c:v>
                </c:pt>
                <c:pt idx="5">
                  <c:v>15</c:v>
                </c:pt>
                <c:pt idx="6">
                  <c:v>17.5</c:v>
                </c:pt>
                <c:pt idx="7">
                  <c:v>20</c:v>
                </c:pt>
                <c:pt idx="8">
                  <c:v>22.5</c:v>
                </c:pt>
                <c:pt idx="9">
                  <c:v>25</c:v>
                </c:pt>
              </c:numCache>
            </c:numRef>
          </c:xVal>
          <c:yVal>
            <c:numRef>
              <c:f>'Efficiency &amp; cost'!$L$4:$L$13</c:f>
              <c:numCache>
                <c:formatCode>General</c:formatCode>
                <c:ptCount val="10"/>
                <c:pt idx="0">
                  <c:v>-0.45735031112281388</c:v>
                </c:pt>
                <c:pt idx="1">
                  <c:v>0.17632484443859306</c:v>
                </c:pt>
                <c:pt idx="2">
                  <c:v>0.38754989629239545</c:v>
                </c:pt>
                <c:pt idx="3">
                  <c:v>0.49316242221929651</c:v>
                </c:pt>
                <c:pt idx="4">
                  <c:v>0.55652993777543724</c:v>
                </c:pt>
                <c:pt idx="5">
                  <c:v>0.59877494814619769</c:v>
                </c:pt>
                <c:pt idx="6">
                  <c:v>0.62894995555388378</c:v>
                </c:pt>
                <c:pt idx="7">
                  <c:v>0.65158121110964828</c:v>
                </c:pt>
                <c:pt idx="8">
                  <c:v>0.66918329876413185</c:v>
                </c:pt>
                <c:pt idx="9">
                  <c:v>0.6832649688877187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491-480B-8F53-4606606B463C}"/>
            </c:ext>
          </c:extLst>
        </c:ser>
        <c:ser>
          <c:idx val="8"/>
          <c:order val="8"/>
          <c:tx>
            <c:strRef>
              <c:f>'Efficiency &amp; cost'!$M$3</c:f>
              <c:strCache>
                <c:ptCount val="1"/>
                <c:pt idx="0">
                  <c:v>100</c:v>
                </c:pt>
              </c:strCache>
            </c:strRef>
          </c:tx>
          <c:spPr>
            <a:ln w="508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'Efficiency &amp; cost'!$C$4:$C$13</c:f>
              <c:numCache>
                <c:formatCode>General</c:formatCode>
                <c:ptCount val="10"/>
                <c:pt idx="0">
                  <c:v>2.5</c:v>
                </c:pt>
                <c:pt idx="1">
                  <c:v>5</c:v>
                </c:pt>
                <c:pt idx="2">
                  <c:v>7.5</c:v>
                </c:pt>
                <c:pt idx="3">
                  <c:v>10</c:v>
                </c:pt>
                <c:pt idx="4">
                  <c:v>12.5</c:v>
                </c:pt>
                <c:pt idx="5">
                  <c:v>15</c:v>
                </c:pt>
                <c:pt idx="6">
                  <c:v>17.5</c:v>
                </c:pt>
                <c:pt idx="7">
                  <c:v>20</c:v>
                </c:pt>
                <c:pt idx="8">
                  <c:v>22.5</c:v>
                </c:pt>
                <c:pt idx="9">
                  <c:v>25</c:v>
                </c:pt>
              </c:numCache>
            </c:numRef>
          </c:xVal>
          <c:yVal>
            <c:numRef>
              <c:f>'Efficiency &amp; cost'!$M$4:$M$13</c:f>
              <c:numCache>
                <c:formatCode>General</c:formatCode>
                <c:ptCount val="10"/>
                <c:pt idx="0">
                  <c:v>-0.60450655694174527</c:v>
                </c:pt>
                <c:pt idx="1">
                  <c:v>0.10274672152912734</c:v>
                </c:pt>
                <c:pt idx="2">
                  <c:v>0.33849781435275156</c:v>
                </c:pt>
                <c:pt idx="3">
                  <c:v>0.45637336076456364</c:v>
                </c:pt>
                <c:pt idx="4">
                  <c:v>0.52709868861165088</c:v>
                </c:pt>
                <c:pt idx="5">
                  <c:v>0.57424890717637578</c:v>
                </c:pt>
                <c:pt idx="6">
                  <c:v>0.6079276347226078</c:v>
                </c:pt>
                <c:pt idx="7">
                  <c:v>0.63318668038228176</c:v>
                </c:pt>
                <c:pt idx="8">
                  <c:v>0.65283260478425043</c:v>
                </c:pt>
                <c:pt idx="9">
                  <c:v>0.66854934430582547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7491-480B-8F53-4606606B46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1632847"/>
        <c:axId val="1191634511"/>
      </c:scatterChart>
      <c:valAx>
        <c:axId val="1191632847"/>
        <c:scaling>
          <c:orientation val="minMax"/>
          <c:max val="25"/>
          <c:min val="2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1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Road slope gradient (% grade)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1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191634511"/>
        <c:crosses val="autoZero"/>
        <c:crossBetween val="midCat"/>
        <c:majorUnit val="2.5"/>
      </c:valAx>
      <c:valAx>
        <c:axId val="1191634511"/>
        <c:scaling>
          <c:orientation val="minMax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1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ETH efficiency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1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191632847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9363210697934372"/>
          <c:y val="0.88810904762022957"/>
          <c:w val="0.70477210414645242"/>
          <c:h val="6.75064575434614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1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'Topography and slope'!$D$3:$D$17</c:f>
              <c:numCache>
                <c:formatCode>General</c:formatCode>
                <c:ptCount val="15"/>
                <c:pt idx="0">
                  <c:v>0</c:v>
                </c:pt>
                <c:pt idx="1">
                  <c:v>5.5555555555555554</c:v>
                </c:pt>
                <c:pt idx="2">
                  <c:v>11.111111111111111</c:v>
                </c:pt>
                <c:pt idx="3">
                  <c:v>16.666666666666664</c:v>
                </c:pt>
                <c:pt idx="4">
                  <c:v>22.222222222222221</c:v>
                </c:pt>
                <c:pt idx="5">
                  <c:v>27.777777777777779</c:v>
                </c:pt>
                <c:pt idx="6">
                  <c:v>33.333333333333329</c:v>
                </c:pt>
                <c:pt idx="7">
                  <c:v>38.888888888888893</c:v>
                </c:pt>
                <c:pt idx="8">
                  <c:v>44.444444444444443</c:v>
                </c:pt>
                <c:pt idx="9">
                  <c:v>50</c:v>
                </c:pt>
                <c:pt idx="10">
                  <c:v>55.555555555555557</c:v>
                </c:pt>
                <c:pt idx="11">
                  <c:v>61.111111111111114</c:v>
                </c:pt>
                <c:pt idx="12">
                  <c:v>66.666666666666657</c:v>
                </c:pt>
                <c:pt idx="13">
                  <c:v>72.222222222222214</c:v>
                </c:pt>
                <c:pt idx="14">
                  <c:v>77.777777777777786</c:v>
                </c:pt>
              </c:numCache>
            </c:numRef>
          </c:xVal>
          <c:yVal>
            <c:numRef>
              <c:f>'Topography and slope'!$E$3:$E$17</c:f>
              <c:numCache>
                <c:formatCode>General</c:formatCode>
                <c:ptCount val="15"/>
                <c:pt idx="0">
                  <c:v>0</c:v>
                </c:pt>
                <c:pt idx="1">
                  <c:v>3.8888888888888884</c:v>
                </c:pt>
                <c:pt idx="2">
                  <c:v>7.2222222222222214</c:v>
                </c:pt>
                <c:pt idx="3">
                  <c:v>10</c:v>
                </c:pt>
                <c:pt idx="4">
                  <c:v>12.222222222222223</c:v>
                </c:pt>
                <c:pt idx="5">
                  <c:v>13.888888888888889</c:v>
                </c:pt>
                <c:pt idx="6">
                  <c:v>14.666666666666666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  <c:pt idx="13">
                  <c:v>15</c:v>
                </c:pt>
                <c:pt idx="14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CE-4AC8-BABD-EFDCC879F9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8213711"/>
        <c:axId val="1208217871"/>
      </c:scatterChart>
      <c:valAx>
        <c:axId val="1208213711"/>
        <c:scaling>
          <c:orientation val="minMax"/>
          <c:max val="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Mínimum theorétical</a:t>
                </a:r>
                <a:r>
                  <a:rPr lang="en-US" baseline="0"/>
                  <a:t> road slope </a:t>
                </a:r>
                <a:r>
                  <a:rPr lang="en-US"/>
                  <a:t>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08217871"/>
        <c:crosses val="autoZero"/>
        <c:crossBetween val="midCat"/>
        <c:majorUnit val="10"/>
      </c:valAx>
      <c:valAx>
        <c:axId val="1208217871"/>
        <c:scaling>
          <c:orientation val="minMax"/>
          <c:max val="1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Road slope applied (%)</a:t>
                </a:r>
              </a:p>
            </c:rich>
          </c:tx>
          <c:layout>
            <c:manualLayout>
              <c:xMode val="edge"/>
              <c:yMode val="edge"/>
              <c:x val="1.1323424831361215E-2"/>
              <c:y val="0.16781926133571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08213711"/>
        <c:crosses val="autoZero"/>
        <c:crossBetween val="midCat"/>
        <c:majorUnit val="3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'Topography and slope'!$G$26:$G$30</c:f>
              <c:numCache>
                <c:formatCode>General</c:formatCode>
                <c:ptCount val="5"/>
                <c:pt idx="0">
                  <c:v>5</c:v>
                </c:pt>
                <c:pt idx="1">
                  <c:v>7.5</c:v>
                </c:pt>
                <c:pt idx="2">
                  <c:v>10</c:v>
                </c:pt>
                <c:pt idx="3">
                  <c:v>12.5</c:v>
                </c:pt>
                <c:pt idx="4">
                  <c:v>15</c:v>
                </c:pt>
              </c:numCache>
            </c:numRef>
          </c:xVal>
          <c:yVal>
            <c:numRef>
              <c:f>'Topography and slope'!$H$26:$H$30</c:f>
              <c:numCache>
                <c:formatCode>General</c:formatCode>
                <c:ptCount val="5"/>
                <c:pt idx="0">
                  <c:v>108.529</c:v>
                </c:pt>
                <c:pt idx="1">
                  <c:v>55.765320000000003</c:v>
                </c:pt>
                <c:pt idx="2">
                  <c:v>37.522799999999997</c:v>
                </c:pt>
                <c:pt idx="3">
                  <c:v>28.27364</c:v>
                </c:pt>
                <c:pt idx="4">
                  <c:v>22.624179999999999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50-446C-B87B-92478220C7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5662223"/>
        <c:axId val="1205658895"/>
      </c:scatterChart>
      <c:valAx>
        <c:axId val="1205662223"/>
        <c:scaling>
          <c:orientation val="minMax"/>
          <c:max val="15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Road slope</a:t>
                </a:r>
                <a:r>
                  <a:rPr lang="en-US" baseline="0"/>
                  <a:t> applied</a:t>
                </a:r>
                <a:r>
                  <a:rPr lang="en-US"/>
                  <a:t>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05658895"/>
        <c:crosses val="autoZero"/>
        <c:crossBetween val="midCat"/>
      </c:valAx>
      <c:valAx>
        <c:axId val="1205658895"/>
        <c:scaling>
          <c:orientation val="minMax"/>
          <c:max val="1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ETH levelized cost (USD/MWh)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056622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numFmt formatCode="#,##0.0000000000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'Topography and slope'!$J$3:$J$21</c:f>
              <c:numCache>
                <c:formatCode>General</c:formatCode>
                <c:ptCount val="19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1000</c:v>
                </c:pt>
                <c:pt idx="7">
                  <c:v>1500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3500</c:v>
                </c:pt>
                <c:pt idx="12">
                  <c:v>4000</c:v>
                </c:pt>
                <c:pt idx="13">
                  <c:v>4500</c:v>
                </c:pt>
                <c:pt idx="14">
                  <c:v>5000</c:v>
                </c:pt>
                <c:pt idx="15">
                  <c:v>5500</c:v>
                </c:pt>
                <c:pt idx="16">
                  <c:v>6000</c:v>
                </c:pt>
                <c:pt idx="17">
                  <c:v>6500</c:v>
                </c:pt>
                <c:pt idx="18">
                  <c:v>7000</c:v>
                </c:pt>
              </c:numCache>
            </c:numRef>
          </c:xVal>
          <c:yVal>
            <c:numRef>
              <c:f>'Topography and slope'!$K$3:$K$21</c:f>
              <c:numCache>
                <c:formatCode>General</c:formatCode>
                <c:ptCount val="19"/>
                <c:pt idx="0">
                  <c:v>1.4</c:v>
                </c:pt>
                <c:pt idx="1">
                  <c:v>1.4016173139826928</c:v>
                </c:pt>
                <c:pt idx="2">
                  <c:v>1.4312603097177836</c:v>
                </c:pt>
                <c:pt idx="3">
                  <c:v>1.4437524685506449</c:v>
                </c:pt>
                <c:pt idx="4">
                  <c:v>1.4535256175456157</c:v>
                </c:pt>
                <c:pt idx="5">
                  <c:v>1.463480942374594</c:v>
                </c:pt>
                <c:pt idx="6">
                  <c:v>1.534787667492219</c:v>
                </c:pt>
                <c:pt idx="7">
                  <c:v>1.6498549474415449</c:v>
                </c:pt>
                <c:pt idx="8">
                  <c:v>1.8110033858583643</c:v>
                </c:pt>
                <c:pt idx="9">
                  <c:v>2.0205438782024165</c:v>
                </c:pt>
                <c:pt idx="10">
                  <c:v>2.2804326949120961</c:v>
                </c:pt>
                <c:pt idx="11">
                  <c:v>2.5899350276179982</c:v>
                </c:pt>
                <c:pt idx="12">
                  <c:v>2.9427473025982742</c:v>
                </c:pt>
                <c:pt idx="13">
                  <c:v>3.3247799048985915</c:v>
                </c:pt>
                <c:pt idx="14">
                  <c:v>3.7149867556877325</c:v>
                </c:pt>
                <c:pt idx="15">
                  <c:v>4.0918541764639276</c:v>
                </c:pt>
                <c:pt idx="16">
                  <c:v>4.4457319481031554</c:v>
                </c:pt>
                <c:pt idx="17">
                  <c:v>4.7935614004766638</c:v>
                </c:pt>
                <c:pt idx="18">
                  <c:v>5.194019569121278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01-4ED4-8EF8-ADA9F43AB3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1241311"/>
        <c:axId val="1186651599"/>
      </c:scatterChart>
      <c:valAx>
        <c:axId val="1091241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651599"/>
        <c:crosses val="autoZero"/>
        <c:crossBetween val="midCat"/>
      </c:valAx>
      <c:valAx>
        <c:axId val="1186651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1241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4.2751531058617676E-2"/>
                  <c:y val="-2.1887941090696996E-2"/>
                </c:manualLayout>
              </c:layout>
              <c:numFmt formatCode="#,##0.0000000000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Potential!$R$2:$R$12</c:f>
              <c:numCache>
                <c:formatCode>General</c:formatCode>
                <c:ptCount val="11"/>
                <c:pt idx="0">
                  <c:v>0</c:v>
                </c:pt>
                <c:pt idx="1">
                  <c:v>2.5</c:v>
                </c:pt>
                <c:pt idx="2">
                  <c:v>5</c:v>
                </c:pt>
                <c:pt idx="3">
                  <c:v>7.5</c:v>
                </c:pt>
                <c:pt idx="4">
                  <c:v>10</c:v>
                </c:pt>
                <c:pt idx="5">
                  <c:v>12.5</c:v>
                </c:pt>
                <c:pt idx="6">
                  <c:v>15</c:v>
                </c:pt>
                <c:pt idx="7">
                  <c:v>17.5</c:v>
                </c:pt>
              </c:numCache>
            </c:numRef>
          </c:xVal>
          <c:yVal>
            <c:numRef>
              <c:f>Potential!$S$2:$S$12</c:f>
              <c:numCache>
                <c:formatCode>General</c:formatCode>
                <c:ptCount val="11"/>
                <c:pt idx="0">
                  <c:v>0</c:v>
                </c:pt>
                <c:pt idx="1">
                  <c:v>12.742928125925912</c:v>
                </c:pt>
                <c:pt idx="2">
                  <c:v>236.7448114759259</c:v>
                </c:pt>
                <c:pt idx="3">
                  <c:v>460.74669482592594</c:v>
                </c:pt>
                <c:pt idx="4">
                  <c:v>684.7485781759259</c:v>
                </c:pt>
                <c:pt idx="5">
                  <c:v>908.75046152592586</c:v>
                </c:pt>
                <c:pt idx="6">
                  <c:v>1634.8726182687503</c:v>
                </c:pt>
                <c:pt idx="7">
                  <c:v>1970.8754432937503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BA-417B-B7A2-6E4896C94F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7006559"/>
        <c:axId val="1207769791"/>
      </c:scatterChart>
      <c:valAx>
        <c:axId val="1187006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7769791"/>
        <c:crosses val="autoZero"/>
        <c:crossBetween val="midCat"/>
      </c:valAx>
      <c:valAx>
        <c:axId val="1207769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7006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Potential!$G$21</c:f>
              <c:strCache>
                <c:ptCount val="1"/>
                <c:pt idx="0">
                  <c:v>Number of trucks per year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#,##0.0000000000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Potential!$F$22:$F$28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Potential!$G$22:$G$28</c:f>
              <c:numCache>
                <c:formatCode>General</c:formatCode>
                <c:ptCount val="7"/>
                <c:pt idx="0">
                  <c:v>0</c:v>
                </c:pt>
                <c:pt idx="1">
                  <c:v>200</c:v>
                </c:pt>
                <c:pt idx="2">
                  <c:v>300</c:v>
                </c:pt>
                <c:pt idx="3">
                  <c:v>600</c:v>
                </c:pt>
                <c:pt idx="4">
                  <c:v>900</c:v>
                </c:pt>
                <c:pt idx="5">
                  <c:v>1200</c:v>
                </c:pt>
                <c:pt idx="6">
                  <c:v>1500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F3-45C5-BEED-E3235A7D7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1663519"/>
        <c:axId val="1251675999"/>
      </c:scatterChart>
      <c:valAx>
        <c:axId val="1251663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1675999"/>
        <c:crosses val="autoZero"/>
        <c:crossBetween val="midCat"/>
      </c:valAx>
      <c:valAx>
        <c:axId val="1251675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16635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283369</xdr:colOff>
      <xdr:row>34</xdr:row>
      <xdr:rowOff>175419</xdr:rowOff>
    </xdr:from>
    <xdr:to>
      <xdr:col>5</xdr:col>
      <xdr:colOff>283369</xdr:colOff>
      <xdr:row>49</xdr:row>
      <xdr:rowOff>61119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13B669A-46D2-4CFD-B5DA-723F2D90D7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244928</xdr:colOff>
      <xdr:row>42</xdr:row>
      <xdr:rowOff>184151</xdr:rowOff>
    </xdr:from>
    <xdr:to>
      <xdr:col>18</xdr:col>
      <xdr:colOff>263071</xdr:colOff>
      <xdr:row>61</xdr:row>
      <xdr:rowOff>31751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1F64D5F3-4559-431C-8FFD-0FD00F9181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33</xdr:col>
      <xdr:colOff>95250</xdr:colOff>
      <xdr:row>1</xdr:row>
      <xdr:rowOff>95250</xdr:rowOff>
    </xdr:from>
    <xdr:to>
      <xdr:col>55</xdr:col>
      <xdr:colOff>327560</xdr:colOff>
      <xdr:row>29</xdr:row>
      <xdr:rowOff>71326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21C3C7E8-A776-4E77-873C-C3C9A23836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1780500" y="285750"/>
          <a:ext cx="13503810" cy="5310076"/>
        </a:xfrm>
        <a:prstGeom prst="rect">
          <a:avLst/>
        </a:prstGeom>
      </xdr:spPr>
    </xdr:pic>
    <xdr:clientData/>
  </xdr:twoCellAnchor>
  <xdr:twoCellAnchor>
    <xdr:from>
      <xdr:col>33</xdr:col>
      <xdr:colOff>94265</xdr:colOff>
      <xdr:row>2</xdr:row>
      <xdr:rowOff>56030</xdr:rowOff>
    </xdr:from>
    <xdr:to>
      <xdr:col>55</xdr:col>
      <xdr:colOff>196102</xdr:colOff>
      <xdr:row>28</xdr:row>
      <xdr:rowOff>14008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D66A82AF-F44D-4E98-8DF1-026EDC5D65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486568</xdr:colOff>
      <xdr:row>2</xdr:row>
      <xdr:rowOff>15875</xdr:rowOff>
    </xdr:from>
    <xdr:to>
      <xdr:col>33</xdr:col>
      <xdr:colOff>0</xdr:colOff>
      <xdr:row>22</xdr:row>
      <xdr:rowOff>113903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5630F04-56E2-482C-AFC7-7DA1254E36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279796</xdr:colOff>
      <xdr:row>23</xdr:row>
      <xdr:rowOff>194071</xdr:rowOff>
    </xdr:from>
    <xdr:to>
      <xdr:col>15</xdr:col>
      <xdr:colOff>565546</xdr:colOff>
      <xdr:row>37</xdr:row>
      <xdr:rowOff>127396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890F59B-6CE7-4D3B-B647-312FA29290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333375</xdr:colOff>
      <xdr:row>5</xdr:row>
      <xdr:rowOff>80962</xdr:rowOff>
    </xdr:from>
    <xdr:to>
      <xdr:col>22</xdr:col>
      <xdr:colOff>79375</xdr:colOff>
      <xdr:row>19</xdr:row>
      <xdr:rowOff>125412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F24B0137-CB53-4AFB-9971-7C365D424A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272143</xdr:colOff>
      <xdr:row>12</xdr:row>
      <xdr:rowOff>57150</xdr:rowOff>
    </xdr:from>
    <xdr:to>
      <xdr:col>24</xdr:col>
      <xdr:colOff>557893</xdr:colOff>
      <xdr:row>18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1CADB1A-80A1-40EB-89F5-336057B45C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340178</xdr:colOff>
      <xdr:row>20</xdr:row>
      <xdr:rowOff>111578</xdr:rowOff>
    </xdr:from>
    <xdr:to>
      <xdr:col>16</xdr:col>
      <xdr:colOff>13607</xdr:colOff>
      <xdr:row>25</xdr:row>
      <xdr:rowOff>310242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9E6806B-92FC-4A01-9DB4-0D4A3C7336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DF4E1-2B9C-46C1-8517-76869F417225}">
  <dimension ref="A1:AF44"/>
  <sheetViews>
    <sheetView tabSelected="1" topLeftCell="K12" zoomScale="80" zoomScaleNormal="80" workbookViewId="0">
      <selection activeCell="K29" sqref="K29"/>
    </sheetView>
  </sheetViews>
  <sheetFormatPr defaultRowHeight="15" x14ac:dyDescent="0.25"/>
  <cols>
    <col min="1" max="2" width="19.28515625" customWidth="1"/>
    <col min="4" max="4" width="11.7109375" bestFit="1" customWidth="1"/>
    <col min="10" max="10" width="12" customWidth="1"/>
  </cols>
  <sheetData>
    <row r="1" spans="1:15" x14ac:dyDescent="0.25">
      <c r="C1" t="s">
        <v>1</v>
      </c>
      <c r="F1" t="s">
        <v>2</v>
      </c>
    </row>
    <row r="2" spans="1:15" x14ac:dyDescent="0.25">
      <c r="B2" t="s">
        <v>20</v>
      </c>
      <c r="D2">
        <f>D3*1000/60/60</f>
        <v>2.7777777777777777</v>
      </c>
      <c r="E2">
        <f t="shared" ref="E2:M2" si="0">E3*1000/60/60</f>
        <v>5.5555555555555554</v>
      </c>
      <c r="F2">
        <f t="shared" si="0"/>
        <v>8.3333333333333339</v>
      </c>
      <c r="G2">
        <f t="shared" si="0"/>
        <v>11.111111111111111</v>
      </c>
      <c r="H2">
        <f t="shared" si="0"/>
        <v>13.888888888888889</v>
      </c>
      <c r="I2">
        <f t="shared" si="0"/>
        <v>16.666666666666668</v>
      </c>
      <c r="J2">
        <f t="shared" si="0"/>
        <v>19.444444444444446</v>
      </c>
      <c r="K2">
        <f t="shared" si="0"/>
        <v>22.222222222222221</v>
      </c>
      <c r="L2">
        <f t="shared" si="0"/>
        <v>25</v>
      </c>
      <c r="M2">
        <f t="shared" si="0"/>
        <v>27.777777777777779</v>
      </c>
    </row>
    <row r="3" spans="1:15" x14ac:dyDescent="0.25">
      <c r="A3" t="s">
        <v>10</v>
      </c>
      <c r="D3">
        <v>10</v>
      </c>
      <c r="E3">
        <v>20</v>
      </c>
      <c r="F3">
        <v>30</v>
      </c>
      <c r="G3">
        <f>40</f>
        <v>40</v>
      </c>
      <c r="H3">
        <v>50</v>
      </c>
      <c r="I3">
        <v>60</v>
      </c>
      <c r="J3">
        <v>70</v>
      </c>
      <c r="K3">
        <v>80</v>
      </c>
      <c r="L3">
        <v>90</v>
      </c>
      <c r="M3">
        <v>100</v>
      </c>
    </row>
    <row r="4" spans="1:15" x14ac:dyDescent="0.25">
      <c r="A4" t="s">
        <v>11</v>
      </c>
      <c r="B4">
        <v>1000</v>
      </c>
      <c r="C4">
        <f>O4*100</f>
        <v>2.5</v>
      </c>
      <c r="D4">
        <f>(33100*1000*9.81*0.9*0.9/1000/1000/60/60-((0.01*($B$10)*9.81+0.5*0.7*1.275*$B$12*D$2^2)+(0.01*($B$9+$B$10)*9.81+0.5*0.7*1.275*$B$12*D$2^2))*1000/($C4/100)/1000/1000/60/60)/$A$16</f>
        <v>0.1622549344305825</v>
      </c>
      <c r="E4">
        <f t="shared" ref="E4:M4" si="1">(33100*1000*9.81*0.9*0.9/1000/1000/60/60-((0.01*($B$10)*9.81+0.5*0.7*1.275*$B$12*E$2^2)+(0.01*($B$9+$B$10)*9.81+0.5*0.7*1.275*$B$12*E$2^2))*1000/($C4/100)/1000/1000/60/60)/$A$16</f>
        <v>0.1390197377223302</v>
      </c>
      <c r="F4">
        <f t="shared" si="1"/>
        <v>0.10029440987524284</v>
      </c>
      <c r="G4">
        <f t="shared" si="1"/>
        <v>4.607895088932068E-2</v>
      </c>
      <c r="H4">
        <f t="shared" si="1"/>
        <v>-2.3626639235436196E-2</v>
      </c>
      <c r="I4">
        <f t="shared" si="1"/>
        <v>-0.1088223604990281</v>
      </c>
      <c r="J4">
        <f t="shared" si="1"/>
        <v>-0.20950821290145505</v>
      </c>
      <c r="K4">
        <f t="shared" si="1"/>
        <v>-0.32568419644271701</v>
      </c>
      <c r="L4">
        <f t="shared" si="1"/>
        <v>-0.45735031112281388</v>
      </c>
      <c r="M4">
        <f t="shared" si="1"/>
        <v>-0.60450655694174527</v>
      </c>
      <c r="O4">
        <v>2.5000000000000001E-2</v>
      </c>
    </row>
    <row r="5" spans="1:15" x14ac:dyDescent="0.25">
      <c r="A5" t="s">
        <v>12</v>
      </c>
      <c r="C5">
        <f t="shared" ref="C5:C13" si="2">O5*100</f>
        <v>5</v>
      </c>
      <c r="D5">
        <f t="shared" ref="D5:M13" si="3">(33100*1000*9.81*0.9*0.9/1000/1000/60/60-((0.01*($B$10)*9.81+0.5*0.7*1.275*$B$12*D$2^2)+(0.01*($B$9+$B$10)*9.81+0.5*0.7*1.275*$B$12*D$2^2))*1000/($C5/100)/1000/1000/60/60)/$A$16</f>
        <v>0.48612746721529126</v>
      </c>
      <c r="E5">
        <f t="shared" si="3"/>
        <v>0.47450986886116503</v>
      </c>
      <c r="F5">
        <f t="shared" si="3"/>
        <v>0.4551472049376214</v>
      </c>
      <c r="G5">
        <f t="shared" si="3"/>
        <v>0.42803947544466031</v>
      </c>
      <c r="H5">
        <f t="shared" si="3"/>
        <v>0.39318668038228188</v>
      </c>
      <c r="I5">
        <f t="shared" si="3"/>
        <v>0.35058881975048595</v>
      </c>
      <c r="J5">
        <f t="shared" si="3"/>
        <v>0.30024589354927245</v>
      </c>
      <c r="K5">
        <f t="shared" si="3"/>
        <v>0.24215790177864149</v>
      </c>
      <c r="L5">
        <f t="shared" si="3"/>
        <v>0.17632484443859306</v>
      </c>
      <c r="M5">
        <f t="shared" si="3"/>
        <v>0.10274672152912734</v>
      </c>
      <c r="O5">
        <v>0.05</v>
      </c>
    </row>
    <row r="6" spans="1:15" x14ac:dyDescent="0.25">
      <c r="C6">
        <f t="shared" si="2"/>
        <v>7.5</v>
      </c>
      <c r="D6">
        <f t="shared" si="3"/>
        <v>0.59408497814352745</v>
      </c>
      <c r="E6">
        <f t="shared" si="3"/>
        <v>0.58633991257411011</v>
      </c>
      <c r="F6">
        <f t="shared" si="3"/>
        <v>0.57343146995841421</v>
      </c>
      <c r="G6">
        <f t="shared" si="3"/>
        <v>0.5553596502964403</v>
      </c>
      <c r="H6">
        <f t="shared" si="3"/>
        <v>0.53212445358818794</v>
      </c>
      <c r="I6">
        <f t="shared" si="3"/>
        <v>0.50372587983365724</v>
      </c>
      <c r="J6">
        <f t="shared" si="3"/>
        <v>0.47016392903284826</v>
      </c>
      <c r="K6">
        <f t="shared" si="3"/>
        <v>0.43143860118576099</v>
      </c>
      <c r="L6">
        <f t="shared" si="3"/>
        <v>0.38754989629239545</v>
      </c>
      <c r="M6">
        <f t="shared" si="3"/>
        <v>0.33849781435275156</v>
      </c>
      <c r="O6">
        <v>7.4999999999999997E-2</v>
      </c>
    </row>
    <row r="7" spans="1:15" x14ac:dyDescent="0.25">
      <c r="A7" t="s">
        <v>14</v>
      </c>
      <c r="C7">
        <f t="shared" si="2"/>
        <v>10</v>
      </c>
      <c r="D7">
        <f t="shared" si="3"/>
        <v>0.64806373360764558</v>
      </c>
      <c r="E7">
        <f t="shared" si="3"/>
        <v>0.64225493443058257</v>
      </c>
      <c r="F7">
        <f t="shared" si="3"/>
        <v>0.63257360246881067</v>
      </c>
      <c r="G7">
        <f t="shared" si="3"/>
        <v>0.61901973772233021</v>
      </c>
      <c r="H7">
        <f t="shared" si="3"/>
        <v>0.60159334019114086</v>
      </c>
      <c r="I7">
        <f t="shared" si="3"/>
        <v>0.58029440987524294</v>
      </c>
      <c r="J7">
        <f t="shared" si="3"/>
        <v>0.55512294677463625</v>
      </c>
      <c r="K7">
        <f t="shared" si="3"/>
        <v>0.52607895088932077</v>
      </c>
      <c r="L7">
        <f t="shared" si="3"/>
        <v>0.49316242221929651</v>
      </c>
      <c r="M7">
        <f t="shared" si="3"/>
        <v>0.45637336076456364</v>
      </c>
      <c r="O7">
        <v>0.1</v>
      </c>
    </row>
    <row r="8" spans="1:15" x14ac:dyDescent="0.25">
      <c r="A8" s="2" t="s">
        <v>13</v>
      </c>
      <c r="B8" s="2"/>
      <c r="C8">
        <f t="shared" si="2"/>
        <v>12.5</v>
      </c>
      <c r="D8">
        <f t="shared" si="3"/>
        <v>0.68045098688611649</v>
      </c>
      <c r="E8">
        <f t="shared" si="3"/>
        <v>0.67580394754446593</v>
      </c>
      <c r="F8">
        <f t="shared" si="3"/>
        <v>0.66805888197504859</v>
      </c>
      <c r="G8">
        <f t="shared" si="3"/>
        <v>0.65721579017786413</v>
      </c>
      <c r="H8">
        <f t="shared" si="3"/>
        <v>0.64327467215291279</v>
      </c>
      <c r="I8">
        <f t="shared" si="3"/>
        <v>0.62623552790019432</v>
      </c>
      <c r="J8">
        <f t="shared" si="3"/>
        <v>0.60609835741970897</v>
      </c>
      <c r="K8">
        <f t="shared" si="3"/>
        <v>0.58286316071145661</v>
      </c>
      <c r="L8">
        <f t="shared" si="3"/>
        <v>0.55652993777543724</v>
      </c>
      <c r="M8">
        <f t="shared" si="3"/>
        <v>0.52709868861165088</v>
      </c>
      <c r="O8">
        <v>0.125</v>
      </c>
    </row>
    <row r="9" spans="1:15" x14ac:dyDescent="0.25">
      <c r="A9" t="s">
        <v>17</v>
      </c>
      <c r="B9">
        <v>33100</v>
      </c>
      <c r="C9">
        <f t="shared" si="2"/>
        <v>15</v>
      </c>
      <c r="D9">
        <f t="shared" si="3"/>
        <v>0.70204248907176381</v>
      </c>
      <c r="E9">
        <f t="shared" si="3"/>
        <v>0.69816995628705492</v>
      </c>
      <c r="F9">
        <f t="shared" si="3"/>
        <v>0.69171573497920713</v>
      </c>
      <c r="G9">
        <f t="shared" si="3"/>
        <v>0.68267982514822012</v>
      </c>
      <c r="H9">
        <f t="shared" si="3"/>
        <v>0.671062226794094</v>
      </c>
      <c r="I9">
        <f t="shared" si="3"/>
        <v>0.65686293991682865</v>
      </c>
      <c r="J9">
        <f t="shared" si="3"/>
        <v>0.64008196451642407</v>
      </c>
      <c r="K9">
        <f t="shared" si="3"/>
        <v>0.6207193005928805</v>
      </c>
      <c r="L9">
        <f t="shared" si="3"/>
        <v>0.59877494814619769</v>
      </c>
      <c r="M9">
        <f t="shared" si="3"/>
        <v>0.57424890717637578</v>
      </c>
      <c r="O9">
        <v>0.15</v>
      </c>
    </row>
    <row r="10" spans="1:15" x14ac:dyDescent="0.25">
      <c r="A10" t="s">
        <v>18</v>
      </c>
      <c r="B10">
        <f>B9*0.3</f>
        <v>9930</v>
      </c>
      <c r="C10">
        <f t="shared" si="2"/>
        <v>17.5</v>
      </c>
      <c r="D10">
        <f t="shared" si="3"/>
        <v>0.71746499063294034</v>
      </c>
      <c r="E10">
        <f t="shared" si="3"/>
        <v>0.71414567681747565</v>
      </c>
      <c r="F10">
        <f t="shared" si="3"/>
        <v>0.70861348712503469</v>
      </c>
      <c r="G10">
        <f t="shared" si="3"/>
        <v>0.70086842155561724</v>
      </c>
      <c r="H10">
        <f t="shared" si="3"/>
        <v>0.6909104801092234</v>
      </c>
      <c r="I10">
        <f t="shared" si="3"/>
        <v>0.67873966278585307</v>
      </c>
      <c r="J10">
        <f t="shared" si="3"/>
        <v>0.66435596958550636</v>
      </c>
      <c r="K10">
        <f t="shared" si="3"/>
        <v>0.64775940050818326</v>
      </c>
      <c r="L10">
        <f t="shared" si="3"/>
        <v>0.62894995555388378</v>
      </c>
      <c r="M10">
        <f t="shared" si="3"/>
        <v>0.6079276347226078</v>
      </c>
      <c r="O10">
        <v>0.17499999999999999</v>
      </c>
    </row>
    <row r="11" spans="1:15" x14ac:dyDescent="0.25">
      <c r="C11">
        <f t="shared" si="2"/>
        <v>20</v>
      </c>
      <c r="D11">
        <f t="shared" si="3"/>
        <v>0.72903186680382281</v>
      </c>
      <c r="E11">
        <f t="shared" si="3"/>
        <v>0.7261274672152912</v>
      </c>
      <c r="F11">
        <f t="shared" si="3"/>
        <v>0.72128680123440536</v>
      </c>
      <c r="G11">
        <f t="shared" si="3"/>
        <v>0.71450986886116508</v>
      </c>
      <c r="H11">
        <f t="shared" si="3"/>
        <v>0.70579667009557046</v>
      </c>
      <c r="I11">
        <f t="shared" si="3"/>
        <v>0.6951472049376215</v>
      </c>
      <c r="J11">
        <f t="shared" si="3"/>
        <v>0.6825614733873181</v>
      </c>
      <c r="K11">
        <f t="shared" si="3"/>
        <v>0.66803947544466036</v>
      </c>
      <c r="L11">
        <f t="shared" si="3"/>
        <v>0.65158121110964828</v>
      </c>
      <c r="M11">
        <f t="shared" si="3"/>
        <v>0.63318668038228176</v>
      </c>
      <c r="O11">
        <v>0.2</v>
      </c>
    </row>
    <row r="12" spans="1:15" x14ac:dyDescent="0.25">
      <c r="A12" t="s">
        <v>19</v>
      </c>
      <c r="B12">
        <f>(2.385 +1.5) * 2.35</f>
        <v>9.1297499999999996</v>
      </c>
      <c r="C12">
        <f t="shared" si="2"/>
        <v>22.5</v>
      </c>
      <c r="D12">
        <f t="shared" si="3"/>
        <v>0.73802832604784252</v>
      </c>
      <c r="E12">
        <f t="shared" si="3"/>
        <v>0.73544663752470341</v>
      </c>
      <c r="F12">
        <f t="shared" si="3"/>
        <v>0.73114382331947148</v>
      </c>
      <c r="G12">
        <f t="shared" si="3"/>
        <v>0.72511988343214673</v>
      </c>
      <c r="H12">
        <f t="shared" si="3"/>
        <v>0.71737481786272927</v>
      </c>
      <c r="I12">
        <f t="shared" si="3"/>
        <v>0.70790862661121912</v>
      </c>
      <c r="J12">
        <f t="shared" si="3"/>
        <v>0.69672130967761614</v>
      </c>
      <c r="K12">
        <f t="shared" si="3"/>
        <v>0.68381286706192035</v>
      </c>
      <c r="L12">
        <f t="shared" si="3"/>
        <v>0.66918329876413185</v>
      </c>
      <c r="M12">
        <f t="shared" si="3"/>
        <v>0.65283260478425043</v>
      </c>
      <c r="O12">
        <v>0.22500000000000001</v>
      </c>
    </row>
    <row r="13" spans="1:15" x14ac:dyDescent="0.25">
      <c r="C13">
        <f t="shared" si="2"/>
        <v>25</v>
      </c>
      <c r="D13">
        <f t="shared" si="3"/>
        <v>0.74522549344305822</v>
      </c>
      <c r="E13">
        <f t="shared" si="3"/>
        <v>0.7429019737722331</v>
      </c>
      <c r="F13">
        <f t="shared" si="3"/>
        <v>0.73902944098752421</v>
      </c>
      <c r="G13">
        <f t="shared" si="3"/>
        <v>0.73360789508893209</v>
      </c>
      <c r="H13">
        <f t="shared" si="3"/>
        <v>0.72663733607645631</v>
      </c>
      <c r="I13">
        <f t="shared" si="3"/>
        <v>0.71811776395009708</v>
      </c>
      <c r="J13">
        <f t="shared" si="3"/>
        <v>0.70804917870985451</v>
      </c>
      <c r="K13">
        <f t="shared" si="3"/>
        <v>0.69643158035572827</v>
      </c>
      <c r="L13">
        <f t="shared" si="3"/>
        <v>0.6832649688877187</v>
      </c>
      <c r="M13">
        <f t="shared" si="3"/>
        <v>0.66854934430582547</v>
      </c>
      <c r="O13">
        <v>0.25</v>
      </c>
    </row>
    <row r="15" spans="1:15" x14ac:dyDescent="0.25">
      <c r="A15" t="s">
        <v>15</v>
      </c>
    </row>
    <row r="16" spans="1:15" x14ac:dyDescent="0.25">
      <c r="A16">
        <f>33100*1000*9.81/1000/1000/60/60</f>
        <v>9.01975E-2</v>
      </c>
    </row>
    <row r="17" spans="1:32" x14ac:dyDescent="0.25">
      <c r="C17" t="s">
        <v>3</v>
      </c>
    </row>
    <row r="18" spans="1:32" x14ac:dyDescent="0.25">
      <c r="C18" t="s">
        <v>4</v>
      </c>
      <c r="I18" t="s">
        <v>21</v>
      </c>
    </row>
    <row r="19" spans="1:32" x14ac:dyDescent="0.25">
      <c r="A19" t="s">
        <v>16</v>
      </c>
      <c r="C19" t="s">
        <v>5</v>
      </c>
      <c r="H19" t="s">
        <v>32</v>
      </c>
      <c r="J19" s="1">
        <v>0.04</v>
      </c>
    </row>
    <row r="20" spans="1:32" x14ac:dyDescent="0.25">
      <c r="C20" t="s">
        <v>6</v>
      </c>
      <c r="H20" t="s">
        <v>22</v>
      </c>
      <c r="J20">
        <v>145000</v>
      </c>
      <c r="K20" t="s">
        <v>23</v>
      </c>
    </row>
    <row r="21" spans="1:32" x14ac:dyDescent="0.25">
      <c r="H21" t="s">
        <v>24</v>
      </c>
      <c r="J21">
        <f>400000*4</f>
        <v>1600000</v>
      </c>
      <c r="K21" t="s">
        <v>0</v>
      </c>
    </row>
    <row r="22" spans="1:32" x14ac:dyDescent="0.25">
      <c r="C22" t="s">
        <v>7</v>
      </c>
      <c r="H22" t="s">
        <v>25</v>
      </c>
      <c r="M22" t="s">
        <v>52</v>
      </c>
    </row>
    <row r="23" spans="1:32" x14ac:dyDescent="0.25">
      <c r="C23" t="s">
        <v>8</v>
      </c>
      <c r="D23" t="s">
        <v>9</v>
      </c>
      <c r="R23" t="s">
        <v>30</v>
      </c>
      <c r="V23" t="s">
        <v>31</v>
      </c>
      <c r="Z23" t="s">
        <v>33</v>
      </c>
      <c r="AD23" t="s">
        <v>34</v>
      </c>
    </row>
    <row r="24" spans="1:32" x14ac:dyDescent="0.25">
      <c r="C24">
        <v>10</v>
      </c>
      <c r="D24">
        <v>0</v>
      </c>
      <c r="J24" t="s">
        <v>26</v>
      </c>
      <c r="L24" t="s">
        <v>24</v>
      </c>
      <c r="M24" t="s">
        <v>35</v>
      </c>
      <c r="N24" t="s">
        <v>27</v>
      </c>
      <c r="O24" t="s">
        <v>28</v>
      </c>
      <c r="P24" t="s">
        <v>29</v>
      </c>
      <c r="Q24">
        <v>20</v>
      </c>
      <c r="R24">
        <v>40</v>
      </c>
      <c r="S24">
        <v>60</v>
      </c>
      <c r="T24">
        <v>80</v>
      </c>
      <c r="U24">
        <v>20</v>
      </c>
      <c r="V24">
        <v>40</v>
      </c>
      <c r="W24">
        <v>60</v>
      </c>
      <c r="X24">
        <v>80</v>
      </c>
      <c r="Y24">
        <v>20</v>
      </c>
      <c r="Z24">
        <v>40</v>
      </c>
      <c r="AA24">
        <v>60</v>
      </c>
      <c r="AB24">
        <v>80</v>
      </c>
      <c r="AC24">
        <v>20</v>
      </c>
      <c r="AD24">
        <v>40</v>
      </c>
      <c r="AE24">
        <v>60</v>
      </c>
      <c r="AF24">
        <v>80</v>
      </c>
    </row>
    <row r="25" spans="1:32" x14ac:dyDescent="0.25">
      <c r="C25">
        <v>20</v>
      </c>
      <c r="D25">
        <v>2.5000000000000001E-2</v>
      </c>
      <c r="I25">
        <v>2.5</v>
      </c>
      <c r="J25">
        <f>2/(I25/100)</f>
        <v>80</v>
      </c>
      <c r="L25">
        <f>$J$21/J25</f>
        <v>20000</v>
      </c>
      <c r="M25">
        <f>$J$21/20/24/365/0.7</f>
        <v>13.046314416177431</v>
      </c>
      <c r="N25">
        <f>$J$21/40/24/365/0.7</f>
        <v>6.5231572080887155</v>
      </c>
      <c r="O25">
        <f>$J$21/60/24/365/0.7</f>
        <v>4.3487714720591431</v>
      </c>
      <c r="P25">
        <f>$J$21/80/24/365/0.7</f>
        <v>3.2615786040443577</v>
      </c>
      <c r="Q25">
        <v>0.1390197377223302</v>
      </c>
      <c r="R25">
        <v>4.607895088932068E-2</v>
      </c>
      <c r="S25">
        <v>0</v>
      </c>
      <c r="T25">
        <v>0</v>
      </c>
      <c r="U25">
        <f>Q25*$A$16*$L25/M25</f>
        <v>19.222643871990744</v>
      </c>
      <c r="V25">
        <f>R25*$A$16*$L25/N25</f>
        <v>12.742928125925912</v>
      </c>
      <c r="W25">
        <f t="shared" ref="W25:W34" si="4">S25*$A$16*$L25/O25</f>
        <v>0</v>
      </c>
      <c r="X25">
        <f t="shared" ref="X25:X34" si="5">T25*$A$16*$L25/P25</f>
        <v>0</v>
      </c>
      <c r="Y25">
        <f>((1+$J$19)^M25-1)/($J$19*(1+$J$19)^M25)</f>
        <v>10.012896427768354</v>
      </c>
      <c r="Z25">
        <f>((1+$J$19)^N25-1)/($J$19*(1+$J$19)^N25)</f>
        <v>5.6434096673564138</v>
      </c>
      <c r="AA25">
        <f t="shared" ref="AA25:AB34" si="6">((1+$J$19)^O25-1)/($J$19*(1+$J$19)^O25)</f>
        <v>3.9202280270241396</v>
      </c>
      <c r="AB25">
        <f t="shared" si="6"/>
        <v>3.0019373963048799</v>
      </c>
      <c r="AC25">
        <f>$J$20/Y25/U25</f>
        <v>753.34716499969238</v>
      </c>
      <c r="AD25">
        <f>$J$20/Z25/V25</f>
        <v>2016.3094746784111</v>
      </c>
    </row>
    <row r="26" spans="1:32" x14ac:dyDescent="0.25">
      <c r="C26">
        <v>30</v>
      </c>
      <c r="D26">
        <v>0.05</v>
      </c>
      <c r="I26">
        <v>5</v>
      </c>
      <c r="J26">
        <f t="shared" ref="J26:J34" si="7">2/(I26/100)</f>
        <v>40</v>
      </c>
      <c r="L26">
        <f t="shared" ref="L26:L33" si="8">$J$21/J26</f>
        <v>40000</v>
      </c>
      <c r="M26">
        <f t="shared" ref="M26:M34" si="9">$J$21/20/24/365/0.7</f>
        <v>13.046314416177431</v>
      </c>
      <c r="N26">
        <f t="shared" ref="N26:N34" si="10">$J$21/40/24/365/0.7</f>
        <v>6.5231572080887155</v>
      </c>
      <c r="O26">
        <f t="shared" ref="O26:O34" si="11">$J$21/60/24/365/0.7</f>
        <v>4.3487714720591431</v>
      </c>
      <c r="P26">
        <f t="shared" ref="P26:P34" si="12">$J$21/80/24/365/0.7</f>
        <v>3.2615786040443577</v>
      </c>
      <c r="Q26">
        <v>0.47450986886116503</v>
      </c>
      <c r="R26">
        <v>0.42803947544466031</v>
      </c>
      <c r="S26">
        <v>0.35058881975048595</v>
      </c>
      <c r="T26">
        <v>0.24215790177864149</v>
      </c>
      <c r="U26">
        <f>Q26*$A$16*$L26/M26</f>
        <v>131.22358554699073</v>
      </c>
      <c r="V26">
        <f>R26*$A$16*$L26/N26</f>
        <v>236.7448114759259</v>
      </c>
      <c r="W26">
        <f t="shared" si="4"/>
        <v>290.86131816875013</v>
      </c>
      <c r="X26">
        <f t="shared" si="5"/>
        <v>267.87074600740743</v>
      </c>
      <c r="Y26">
        <f t="shared" ref="Y26:Y34" si="13">((1+$J$19)^M26-1)/($J$19*(1+$J$19)^M26)</f>
        <v>10.012896427768354</v>
      </c>
      <c r="Z26">
        <f t="shared" ref="Z26:Z34" si="14">((1+$J$19)^N26-1)/($J$19*(1+$J$19)^N26)</f>
        <v>5.6434096673564138</v>
      </c>
      <c r="AA26">
        <f t="shared" si="6"/>
        <v>3.9202280270241396</v>
      </c>
      <c r="AB26">
        <f t="shared" si="6"/>
        <v>3.0019373963048799</v>
      </c>
      <c r="AC26">
        <f t="shared" ref="AC26:AC33" si="15">$J$20/Y26/U26</f>
        <v>110.35610865530894</v>
      </c>
      <c r="AD26">
        <f t="shared" ref="AD26:AD34" si="16">$J$20/Z26/V26</f>
        <v>108.52903831458694</v>
      </c>
      <c r="AE26">
        <f t="shared" ref="AE26:AE34" si="17">$J$20/AA26/W26</f>
        <v>127.16591045546869</v>
      </c>
      <c r="AF26">
        <f t="shared" ref="AF26:AF34" si="18">$J$20/AB26/X26</f>
        <v>180.31883134249784</v>
      </c>
    </row>
    <row r="27" spans="1:32" x14ac:dyDescent="0.25">
      <c r="C27">
        <v>40</v>
      </c>
      <c r="D27">
        <v>7.4999999999999997E-2</v>
      </c>
      <c r="I27">
        <v>7.5</v>
      </c>
      <c r="J27">
        <f t="shared" si="7"/>
        <v>26.666666666666668</v>
      </c>
      <c r="L27">
        <f t="shared" si="8"/>
        <v>60000</v>
      </c>
      <c r="M27">
        <f t="shared" si="9"/>
        <v>13.046314416177431</v>
      </c>
      <c r="N27">
        <f t="shared" si="10"/>
        <v>6.5231572080887155</v>
      </c>
      <c r="O27">
        <f t="shared" si="11"/>
        <v>4.3487714720591431</v>
      </c>
      <c r="P27">
        <f t="shared" si="12"/>
        <v>3.2615786040443577</v>
      </c>
      <c r="Q27">
        <v>0.58633991257411011</v>
      </c>
      <c r="R27">
        <v>0.5553596502964403</v>
      </c>
      <c r="S27">
        <v>0.50372587983365724</v>
      </c>
      <c r="T27">
        <v>0.43143860118576099</v>
      </c>
      <c r="U27">
        <f t="shared" ref="U27:U33" si="19">Q27*$A$16*$L27/M27</f>
        <v>243.22452722199071</v>
      </c>
      <c r="V27">
        <f>R27*$A$16*$L27/N27</f>
        <v>460.74669482592594</v>
      </c>
      <c r="W27">
        <f t="shared" si="4"/>
        <v>626.86414319375012</v>
      </c>
      <c r="X27">
        <f t="shared" si="5"/>
        <v>715.87451270740735</v>
      </c>
      <c r="Y27">
        <f t="shared" si="13"/>
        <v>10.012896427768354</v>
      </c>
      <c r="Z27">
        <f t="shared" si="14"/>
        <v>5.6434096673564138</v>
      </c>
      <c r="AA27">
        <f t="shared" si="6"/>
        <v>3.9202280270241396</v>
      </c>
      <c r="AB27">
        <f t="shared" si="6"/>
        <v>3.0019373963048799</v>
      </c>
      <c r="AC27">
        <f t="shared" si="15"/>
        <v>59.538914229426588</v>
      </c>
      <c r="AD27">
        <f t="shared" si="16"/>
        <v>55.765319651739922</v>
      </c>
      <c r="AE27">
        <f t="shared" si="17"/>
        <v>59.004243172630773</v>
      </c>
      <c r="AF27">
        <f t="shared" si="18"/>
        <v>67.472914614912199</v>
      </c>
    </row>
    <row r="28" spans="1:32" x14ac:dyDescent="0.25">
      <c r="C28">
        <v>50</v>
      </c>
      <c r="D28">
        <v>0.1</v>
      </c>
      <c r="I28">
        <v>10</v>
      </c>
      <c r="J28">
        <f t="shared" si="7"/>
        <v>20</v>
      </c>
      <c r="L28">
        <f t="shared" si="8"/>
        <v>80000</v>
      </c>
      <c r="M28">
        <f t="shared" si="9"/>
        <v>13.046314416177431</v>
      </c>
      <c r="N28">
        <f t="shared" si="10"/>
        <v>6.5231572080887155</v>
      </c>
      <c r="O28">
        <f t="shared" si="11"/>
        <v>4.3487714720591431</v>
      </c>
      <c r="P28">
        <f t="shared" si="12"/>
        <v>3.2615786040443577</v>
      </c>
      <c r="Q28">
        <v>0.64225493443058257</v>
      </c>
      <c r="R28">
        <v>0.61901973772233021</v>
      </c>
      <c r="S28">
        <v>0.58029440987524294</v>
      </c>
      <c r="T28">
        <v>0.52607895088932077</v>
      </c>
      <c r="U28">
        <f t="shared" si="19"/>
        <v>355.22546889699072</v>
      </c>
      <c r="V28">
        <f t="shared" ref="V28:V34" si="20">R28*$A$16*$L28/N28</f>
        <v>684.7485781759259</v>
      </c>
      <c r="W28">
        <f t="shared" si="4"/>
        <v>962.86696821875012</v>
      </c>
      <c r="X28">
        <f t="shared" si="5"/>
        <v>1163.8782794074075</v>
      </c>
      <c r="Y28">
        <f t="shared" si="13"/>
        <v>10.012896427768354</v>
      </c>
      <c r="Z28">
        <f t="shared" si="14"/>
        <v>5.6434096673564138</v>
      </c>
      <c r="AA28">
        <f t="shared" si="6"/>
        <v>3.9202280270241396</v>
      </c>
      <c r="AB28">
        <f t="shared" si="6"/>
        <v>3.0019373963048799</v>
      </c>
      <c r="AC28">
        <f t="shared" si="15"/>
        <v>40.766570904188946</v>
      </c>
      <c r="AD28">
        <f>$J$20/Z28/V28</f>
        <v>37.522804039834298</v>
      </c>
      <c r="AE28">
        <f t="shared" si="17"/>
        <v>38.414075424803428</v>
      </c>
      <c r="AF28">
        <f t="shared" si="18"/>
        <v>41.501023539585233</v>
      </c>
    </row>
    <row r="29" spans="1:32" x14ac:dyDescent="0.25">
      <c r="C29">
        <v>60</v>
      </c>
      <c r="D29">
        <v>0.125</v>
      </c>
      <c r="I29">
        <v>12.5</v>
      </c>
      <c r="J29">
        <f t="shared" si="7"/>
        <v>16</v>
      </c>
      <c r="L29">
        <f t="shared" si="8"/>
        <v>100000</v>
      </c>
      <c r="M29">
        <f t="shared" si="9"/>
        <v>13.046314416177431</v>
      </c>
      <c r="N29">
        <f t="shared" si="10"/>
        <v>6.5231572080887155</v>
      </c>
      <c r="O29">
        <f t="shared" si="11"/>
        <v>4.3487714720591431</v>
      </c>
      <c r="P29">
        <f t="shared" si="12"/>
        <v>3.2615786040443577</v>
      </c>
      <c r="Q29">
        <v>0.67580394754446593</v>
      </c>
      <c r="R29">
        <v>0.65721579017786413</v>
      </c>
      <c r="S29">
        <v>0.62623552790019432</v>
      </c>
      <c r="T29">
        <v>0.58286316071145661</v>
      </c>
      <c r="U29">
        <f t="shared" si="19"/>
        <v>467.22641057199064</v>
      </c>
      <c r="V29">
        <f>R29*$A$16*$L29/N29</f>
        <v>908.75046152592586</v>
      </c>
      <c r="W29">
        <f t="shared" si="4"/>
        <v>1298.8697932437501</v>
      </c>
      <c r="X29">
        <f t="shared" si="5"/>
        <v>1611.8820461074074</v>
      </c>
      <c r="Y29">
        <f t="shared" si="13"/>
        <v>10.012896427768354</v>
      </c>
      <c r="Z29">
        <f t="shared" si="14"/>
        <v>5.6434096673564138</v>
      </c>
      <c r="AA29">
        <f t="shared" si="6"/>
        <v>3.9202280270241396</v>
      </c>
      <c r="AB29">
        <f t="shared" si="6"/>
        <v>3.0019373963048799</v>
      </c>
      <c r="AC29">
        <f t="shared" si="15"/>
        <v>30.994233067934935</v>
      </c>
      <c r="AD29">
        <f>$J$20/Z29/V29</f>
        <v>28.273643649442491</v>
      </c>
      <c r="AE29">
        <f t="shared" si="17"/>
        <v>28.476791541079166</v>
      </c>
      <c r="AF29">
        <f t="shared" si="18"/>
        <v>29.966299325403725</v>
      </c>
    </row>
    <row r="30" spans="1:32" x14ac:dyDescent="0.25">
      <c r="C30">
        <v>70</v>
      </c>
      <c r="D30">
        <v>0.15</v>
      </c>
      <c r="I30">
        <v>15</v>
      </c>
      <c r="J30">
        <f t="shared" si="7"/>
        <v>13.333333333333334</v>
      </c>
      <c r="L30">
        <f t="shared" si="8"/>
        <v>120000</v>
      </c>
      <c r="M30">
        <f t="shared" si="9"/>
        <v>13.046314416177431</v>
      </c>
      <c r="N30">
        <f t="shared" si="10"/>
        <v>6.5231572080887155</v>
      </c>
      <c r="O30">
        <f t="shared" si="11"/>
        <v>4.3487714720591431</v>
      </c>
      <c r="P30">
        <f t="shared" si="12"/>
        <v>3.2615786040443577</v>
      </c>
      <c r="Q30">
        <v>0.69816995628705492</v>
      </c>
      <c r="R30">
        <v>0.68267982514822012</v>
      </c>
      <c r="S30">
        <v>0.65686293991682865</v>
      </c>
      <c r="T30">
        <v>0.6207193005928805</v>
      </c>
      <c r="U30">
        <f t="shared" si="19"/>
        <v>579.22735224699068</v>
      </c>
      <c r="V30">
        <f t="shared" si="20"/>
        <v>1132.7523448759259</v>
      </c>
      <c r="W30">
        <f t="shared" si="4"/>
        <v>1634.8726182687503</v>
      </c>
      <c r="X30">
        <f t="shared" si="5"/>
        <v>2059.8858128074071</v>
      </c>
      <c r="Y30">
        <f t="shared" si="13"/>
        <v>10.012896427768354</v>
      </c>
      <c r="Z30">
        <f t="shared" si="14"/>
        <v>5.6434096673564138</v>
      </c>
      <c r="AA30">
        <f t="shared" si="6"/>
        <v>3.9202280270241396</v>
      </c>
      <c r="AB30">
        <f t="shared" si="6"/>
        <v>3.0019373963048799</v>
      </c>
      <c r="AC30">
        <f t="shared" si="15"/>
        <v>25.001105711920694</v>
      </c>
      <c r="AD30">
        <f t="shared" si="16"/>
        <v>22.6825279432679</v>
      </c>
      <c r="AE30">
        <f t="shared" si="17"/>
        <v>22.624175075104606</v>
      </c>
      <c r="AF30">
        <f t="shared" si="18"/>
        <v>23.448940504652562</v>
      </c>
    </row>
    <row r="31" spans="1:32" x14ac:dyDescent="0.25">
      <c r="C31">
        <v>80</v>
      </c>
      <c r="D31">
        <v>0.17499999999999999</v>
      </c>
      <c r="I31">
        <v>17.5</v>
      </c>
      <c r="J31">
        <f t="shared" si="7"/>
        <v>11.428571428571429</v>
      </c>
      <c r="L31">
        <f t="shared" si="8"/>
        <v>140000</v>
      </c>
      <c r="M31">
        <f t="shared" si="9"/>
        <v>13.046314416177431</v>
      </c>
      <c r="N31">
        <f t="shared" si="10"/>
        <v>6.5231572080887155</v>
      </c>
      <c r="O31">
        <f t="shared" si="11"/>
        <v>4.3487714720591431</v>
      </c>
      <c r="P31">
        <f t="shared" si="12"/>
        <v>3.2615786040443577</v>
      </c>
      <c r="Q31">
        <v>0.71414567681747565</v>
      </c>
      <c r="R31">
        <v>0.70086842155561724</v>
      </c>
      <c r="S31">
        <v>0.67873966278585307</v>
      </c>
      <c r="T31">
        <v>0.64775940050818326</v>
      </c>
      <c r="U31">
        <f t="shared" si="19"/>
        <v>691.2282939219906</v>
      </c>
      <c r="V31">
        <f t="shared" si="20"/>
        <v>1356.7542282259258</v>
      </c>
      <c r="W31">
        <f t="shared" si="4"/>
        <v>1970.8754432937503</v>
      </c>
      <c r="X31">
        <f t="shared" si="5"/>
        <v>2507.8895795074072</v>
      </c>
      <c r="Y31">
        <f t="shared" si="13"/>
        <v>10.012896427768354</v>
      </c>
      <c r="Z31">
        <f t="shared" si="14"/>
        <v>5.6434096673564138</v>
      </c>
      <c r="AA31">
        <f t="shared" si="6"/>
        <v>3.9202280270241396</v>
      </c>
      <c r="AB31">
        <f t="shared" si="6"/>
        <v>3.0019373963048799</v>
      </c>
      <c r="AC31">
        <f t="shared" si="15"/>
        <v>20.950132383321169</v>
      </c>
      <c r="AD31">
        <f t="shared" si="16"/>
        <v>18.93761315123901</v>
      </c>
      <c r="AE31">
        <f t="shared" si="17"/>
        <v>18.767114110160449</v>
      </c>
      <c r="AF31">
        <f t="shared" si="18"/>
        <v>19.260074393062453</v>
      </c>
    </row>
    <row r="32" spans="1:32" x14ac:dyDescent="0.25">
      <c r="C32">
        <v>90</v>
      </c>
      <c r="D32">
        <v>0.2</v>
      </c>
      <c r="I32">
        <v>20</v>
      </c>
      <c r="J32">
        <f t="shared" si="7"/>
        <v>10</v>
      </c>
      <c r="L32">
        <f t="shared" si="8"/>
        <v>160000</v>
      </c>
      <c r="M32">
        <f t="shared" si="9"/>
        <v>13.046314416177431</v>
      </c>
      <c r="N32">
        <f t="shared" si="10"/>
        <v>6.5231572080887155</v>
      </c>
      <c r="O32">
        <f t="shared" si="11"/>
        <v>4.3487714720591431</v>
      </c>
      <c r="P32">
        <f t="shared" si="12"/>
        <v>3.2615786040443577</v>
      </c>
      <c r="Q32">
        <v>0.7261274672152912</v>
      </c>
      <c r="R32">
        <v>0.71450986886116508</v>
      </c>
      <c r="S32">
        <v>0.6951472049376215</v>
      </c>
      <c r="T32">
        <v>0.66803947544466036</v>
      </c>
      <c r="U32">
        <f t="shared" si="19"/>
        <v>803.22923559699063</v>
      </c>
      <c r="V32">
        <f t="shared" si="20"/>
        <v>1580.7561115759256</v>
      </c>
      <c r="W32">
        <f>S32*$A$16*$L32/O32</f>
        <v>2306.8782683187501</v>
      </c>
      <c r="X32">
        <f t="shared" si="5"/>
        <v>2955.8933462074069</v>
      </c>
      <c r="Y32">
        <f t="shared" si="13"/>
        <v>10.012896427768354</v>
      </c>
      <c r="Z32">
        <f t="shared" si="14"/>
        <v>5.6434096673564138</v>
      </c>
      <c r="AA32">
        <f t="shared" si="6"/>
        <v>3.9202280270241396</v>
      </c>
      <c r="AB32">
        <f t="shared" si="6"/>
        <v>3.0019373963048799</v>
      </c>
      <c r="AC32">
        <f t="shared" si="15"/>
        <v>18.028880950778472</v>
      </c>
      <c r="AD32">
        <f t="shared" si="16"/>
        <v>16.25404863362208</v>
      </c>
      <c r="AE32">
        <f t="shared" si="17"/>
        <v>16.03363508563606</v>
      </c>
      <c r="AF32">
        <f t="shared" si="18"/>
        <v>16.340961669971414</v>
      </c>
    </row>
    <row r="33" spans="3:32" x14ac:dyDescent="0.25">
      <c r="C33">
        <v>100</v>
      </c>
      <c r="D33">
        <v>0.22500000000000001</v>
      </c>
      <c r="I33">
        <v>22.5</v>
      </c>
      <c r="J33">
        <f t="shared" si="7"/>
        <v>8.8888888888888893</v>
      </c>
      <c r="L33">
        <f t="shared" si="8"/>
        <v>180000</v>
      </c>
      <c r="M33">
        <f t="shared" si="9"/>
        <v>13.046314416177431</v>
      </c>
      <c r="N33">
        <f t="shared" si="10"/>
        <v>6.5231572080887155</v>
      </c>
      <c r="O33">
        <f t="shared" si="11"/>
        <v>4.3487714720591431</v>
      </c>
      <c r="P33">
        <f t="shared" si="12"/>
        <v>3.2615786040443577</v>
      </c>
      <c r="Q33">
        <v>0.73544663752470341</v>
      </c>
      <c r="R33">
        <v>0.72511988343214673</v>
      </c>
      <c r="S33">
        <v>0.70790862661121912</v>
      </c>
      <c r="T33">
        <v>0.68381286706192035</v>
      </c>
      <c r="U33">
        <f t="shared" si="19"/>
        <v>915.23017727199078</v>
      </c>
      <c r="V33">
        <f t="shared" si="20"/>
        <v>1804.7579949259259</v>
      </c>
      <c r="W33">
        <f t="shared" si="4"/>
        <v>2642.8810933437503</v>
      </c>
      <c r="X33">
        <f t="shared" si="5"/>
        <v>3403.8971129074071</v>
      </c>
      <c r="Y33">
        <f t="shared" si="13"/>
        <v>10.012896427768354</v>
      </c>
      <c r="Z33">
        <f t="shared" si="14"/>
        <v>5.6434096673564138</v>
      </c>
      <c r="AA33">
        <f t="shared" si="6"/>
        <v>3.9202280270241396</v>
      </c>
      <c r="AB33">
        <f t="shared" si="6"/>
        <v>3.0019373963048799</v>
      </c>
      <c r="AC33">
        <f t="shared" si="15"/>
        <v>15.82260356397682</v>
      </c>
      <c r="AD33">
        <f t="shared" si="16"/>
        <v>14.236638257144826</v>
      </c>
      <c r="AE33">
        <f t="shared" si="17"/>
        <v>13.995198056530958</v>
      </c>
      <c r="AF33">
        <f t="shared" si="18"/>
        <v>14.190246728592202</v>
      </c>
    </row>
    <row r="34" spans="3:32" x14ac:dyDescent="0.25">
      <c r="D34">
        <v>0.25</v>
      </c>
      <c r="I34">
        <v>25</v>
      </c>
      <c r="J34">
        <f t="shared" si="7"/>
        <v>8</v>
      </c>
      <c r="L34">
        <f>$J$21/J34</f>
        <v>200000</v>
      </c>
      <c r="M34">
        <f t="shared" si="9"/>
        <v>13.046314416177431</v>
      </c>
      <c r="N34">
        <f t="shared" si="10"/>
        <v>6.5231572080887155</v>
      </c>
      <c r="O34">
        <f t="shared" si="11"/>
        <v>4.3487714720591431</v>
      </c>
      <c r="P34">
        <f t="shared" si="12"/>
        <v>3.2615786040443577</v>
      </c>
      <c r="Q34">
        <v>0.7429019737722331</v>
      </c>
      <c r="R34">
        <v>0.73360789508893209</v>
      </c>
      <c r="S34">
        <v>0.71811776395009708</v>
      </c>
      <c r="T34">
        <v>0.69643158035572827</v>
      </c>
      <c r="U34">
        <f>Q34*$A$16*$L34/M34</f>
        <v>1027.2311189469906</v>
      </c>
      <c r="V34">
        <f t="shared" si="20"/>
        <v>2028.759878275926</v>
      </c>
      <c r="W34">
        <f t="shared" si="4"/>
        <v>2978.8839183687501</v>
      </c>
      <c r="X34">
        <f t="shared" si="5"/>
        <v>3851.9008796074068</v>
      </c>
      <c r="Y34">
        <f t="shared" si="13"/>
        <v>10.012896427768354</v>
      </c>
      <c r="Z34">
        <f t="shared" si="14"/>
        <v>5.6434096673564138</v>
      </c>
      <c r="AA34">
        <f t="shared" si="6"/>
        <v>3.9202280270241396</v>
      </c>
      <c r="AB34">
        <f t="shared" si="6"/>
        <v>3.0019373963048799</v>
      </c>
      <c r="AC34">
        <f>$J$20/Y34/U34</f>
        <v>14.097435326538461</v>
      </c>
      <c r="AD34">
        <f t="shared" si="16"/>
        <v>12.664725377596362</v>
      </c>
      <c r="AE34">
        <f t="shared" si="17"/>
        <v>12.416611507796338</v>
      </c>
      <c r="AF34">
        <f t="shared" si="18"/>
        <v>12.539819009003633</v>
      </c>
    </row>
    <row r="35" spans="3:32" x14ac:dyDescent="0.25">
      <c r="AC35">
        <v>20</v>
      </c>
      <c r="AD35">
        <v>40</v>
      </c>
      <c r="AE35">
        <v>60</v>
      </c>
      <c r="AF35">
        <v>80</v>
      </c>
    </row>
    <row r="36" spans="3:32" x14ac:dyDescent="0.25">
      <c r="AB36">
        <v>5</v>
      </c>
      <c r="AC36" s="4">
        <v>110.35610865530894</v>
      </c>
      <c r="AD36" s="5">
        <v>108.52903831458694</v>
      </c>
      <c r="AE36" s="4">
        <v>127.16591045546869</v>
      </c>
      <c r="AF36" s="4">
        <v>180.31883134249784</v>
      </c>
    </row>
    <row r="37" spans="3:32" x14ac:dyDescent="0.25">
      <c r="AB37">
        <v>7.5</v>
      </c>
      <c r="AC37" s="4">
        <v>59.538914229426588</v>
      </c>
      <c r="AD37" s="5">
        <v>55.765319651739922</v>
      </c>
      <c r="AE37" s="4">
        <v>59.004243172630773</v>
      </c>
      <c r="AF37" s="4">
        <v>67.472914614912199</v>
      </c>
    </row>
    <row r="38" spans="3:32" x14ac:dyDescent="0.25">
      <c r="AB38">
        <v>10</v>
      </c>
      <c r="AC38" s="4">
        <v>40.766570904188946</v>
      </c>
      <c r="AD38" s="5">
        <v>37.522804039834298</v>
      </c>
      <c r="AE38" s="4">
        <v>38.414075424803428</v>
      </c>
      <c r="AF38" s="4">
        <v>41.501023539585233</v>
      </c>
    </row>
    <row r="39" spans="3:32" x14ac:dyDescent="0.25">
      <c r="AB39">
        <v>12.5</v>
      </c>
      <c r="AC39" s="4">
        <v>30.994233067934935</v>
      </c>
      <c r="AD39" s="5">
        <v>28.273643649442491</v>
      </c>
      <c r="AE39" s="4">
        <v>28.476791541079166</v>
      </c>
      <c r="AF39" s="4">
        <v>29.966299325403725</v>
      </c>
    </row>
    <row r="40" spans="3:32" x14ac:dyDescent="0.25">
      <c r="AB40">
        <v>15</v>
      </c>
      <c r="AC40" s="4">
        <v>25.001105711920694</v>
      </c>
      <c r="AD40" s="4">
        <v>22.6825279432679</v>
      </c>
      <c r="AE40" s="5">
        <v>22.624175075104606</v>
      </c>
      <c r="AF40" s="4">
        <v>23.448940504652562</v>
      </c>
    </row>
    <row r="41" spans="3:32" x14ac:dyDescent="0.25">
      <c r="AB41">
        <v>17.5</v>
      </c>
      <c r="AC41" s="4">
        <v>20.950132383321169</v>
      </c>
      <c r="AD41" s="4">
        <v>18.93761315123901</v>
      </c>
      <c r="AE41" s="5">
        <v>18.767114110160449</v>
      </c>
      <c r="AF41" s="4">
        <v>19.260074393062453</v>
      </c>
    </row>
    <row r="42" spans="3:32" x14ac:dyDescent="0.25">
      <c r="AB42">
        <v>20</v>
      </c>
      <c r="AC42" s="4">
        <v>18.028880950778472</v>
      </c>
      <c r="AD42" s="4">
        <v>16.25404863362208</v>
      </c>
      <c r="AE42" s="5">
        <v>16.03363508563606</v>
      </c>
      <c r="AF42" s="4">
        <v>16.340961669971414</v>
      </c>
    </row>
    <row r="43" spans="3:32" x14ac:dyDescent="0.25">
      <c r="AB43">
        <v>22.5</v>
      </c>
      <c r="AC43" s="4">
        <v>15.82260356397682</v>
      </c>
      <c r="AD43" s="4">
        <v>14.236638257144826</v>
      </c>
      <c r="AE43" s="5">
        <v>13.995198056530958</v>
      </c>
      <c r="AF43" s="4">
        <v>14.190246728592202</v>
      </c>
    </row>
    <row r="44" spans="3:32" x14ac:dyDescent="0.25">
      <c r="AB44">
        <v>25</v>
      </c>
      <c r="AC44" s="4">
        <v>14.097435326538461</v>
      </c>
      <c r="AD44" s="4">
        <v>12.664725377596362</v>
      </c>
      <c r="AE44" s="5">
        <v>12.416611507796338</v>
      </c>
      <c r="AF44" s="4">
        <v>12.539819009003633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D5704-7AED-4572-920A-117B07846236}">
  <dimension ref="A1:N42"/>
  <sheetViews>
    <sheetView topLeftCell="A5" zoomScale="60" zoomScaleNormal="60" workbookViewId="0">
      <selection activeCell="F20" sqref="F20"/>
    </sheetView>
  </sheetViews>
  <sheetFormatPr defaultRowHeight="15" x14ac:dyDescent="0.25"/>
  <cols>
    <col min="9" max="9" width="9.7109375" customWidth="1"/>
  </cols>
  <sheetData>
    <row r="1" spans="1:14" x14ac:dyDescent="0.25">
      <c r="A1" t="s">
        <v>38</v>
      </c>
      <c r="B1">
        <v>450</v>
      </c>
      <c r="E1" t="s">
        <v>36</v>
      </c>
      <c r="J1" t="s">
        <v>37</v>
      </c>
    </row>
    <row r="2" spans="1:14" x14ac:dyDescent="0.25">
      <c r="A2" t="s">
        <v>39</v>
      </c>
      <c r="B2">
        <f>B1*60/15*5</f>
        <v>9000</v>
      </c>
      <c r="E2">
        <v>9000</v>
      </c>
      <c r="F2" t="s">
        <v>40</v>
      </c>
      <c r="J2">
        <v>12727.922061357855</v>
      </c>
    </row>
    <row r="3" spans="1:14" x14ac:dyDescent="0.25">
      <c r="B3">
        <f>(9000^2+9000^2)^0.5</f>
        <v>12727.922061357855</v>
      </c>
      <c r="C3">
        <v>0</v>
      </c>
      <c r="D3">
        <v>0</v>
      </c>
      <c r="E3">
        <f t="shared" ref="E3" si="0">G3/$E$2*C3</f>
        <v>0</v>
      </c>
      <c r="G3">
        <v>0</v>
      </c>
      <c r="H3">
        <v>0</v>
      </c>
      <c r="J3">
        <v>0</v>
      </c>
      <c r="K3">
        <v>1.4</v>
      </c>
      <c r="M3">
        <f t="shared" ref="M3:M21" si="1">J3/9000*100</f>
        <v>0</v>
      </c>
      <c r="N3">
        <f t="shared" ref="N3:N21" si="2">9.479256881E-11*M3^6 - 6.164989263188E-08*M3^5 + 9.73488567068692E-06*M3^4 - 0.000532301559374559*M3^3 + 0.00174393702491216*M3^2 + 0.682497950761899*M3 + 0.0329663890424854</f>
        <v>3.2966389042485403E-2</v>
      </c>
    </row>
    <row r="4" spans="1:14" x14ac:dyDescent="0.25">
      <c r="C4">
        <v>0.7</v>
      </c>
      <c r="D4">
        <f>G4/9000*100</f>
        <v>5.5555555555555554</v>
      </c>
      <c r="E4">
        <f>G4/$E$2*C4*100</f>
        <v>3.8888888888888884</v>
      </c>
      <c r="G4">
        <v>500</v>
      </c>
      <c r="H4">
        <f>D4/E4</f>
        <v>1.4285714285714286</v>
      </c>
      <c r="J4">
        <v>100</v>
      </c>
      <c r="K4">
        <f>M4/N4</f>
        <v>1.4016173139826928</v>
      </c>
      <c r="M4">
        <f t="shared" si="1"/>
        <v>1.1111111111111112</v>
      </c>
      <c r="N4">
        <f t="shared" si="2"/>
        <v>0.792735006928454</v>
      </c>
    </row>
    <row r="5" spans="1:14" x14ac:dyDescent="0.25">
      <c r="C5">
        <v>0.65</v>
      </c>
      <c r="D5">
        <f t="shared" ref="D5:D17" si="3">G5/9000*100</f>
        <v>11.111111111111111</v>
      </c>
      <c r="E5">
        <f t="shared" ref="E5:E9" si="4">G5/$E$2*C5*100</f>
        <v>7.2222222222222214</v>
      </c>
      <c r="G5">
        <v>1000</v>
      </c>
      <c r="H5">
        <f t="shared" ref="H5:H16" si="5">D5/E5</f>
        <v>1.5384615384615385</v>
      </c>
      <c r="J5">
        <v>200</v>
      </c>
      <c r="K5">
        <f t="shared" ref="K5:K21" si="6">M5/N5</f>
        <v>1.4312603097177836</v>
      </c>
      <c r="M5">
        <f t="shared" si="1"/>
        <v>2.2222222222222223</v>
      </c>
      <c r="N5">
        <f t="shared" si="2"/>
        <v>1.5526331633275017</v>
      </c>
    </row>
    <row r="6" spans="1:14" x14ac:dyDescent="0.25">
      <c r="C6">
        <v>0.6</v>
      </c>
      <c r="D6">
        <f t="shared" si="3"/>
        <v>16.666666666666664</v>
      </c>
      <c r="E6">
        <f t="shared" si="4"/>
        <v>10</v>
      </c>
      <c r="G6">
        <v>1500</v>
      </c>
      <c r="H6">
        <f t="shared" si="5"/>
        <v>1.6666666666666665</v>
      </c>
      <c r="J6">
        <v>300</v>
      </c>
      <c r="K6">
        <f t="shared" si="6"/>
        <v>1.4437524685506449</v>
      </c>
      <c r="M6">
        <f t="shared" si="1"/>
        <v>3.3333333333333335</v>
      </c>
      <c r="N6">
        <f t="shared" si="2"/>
        <v>2.3087983611758616</v>
      </c>
    </row>
    <row r="7" spans="1:14" x14ac:dyDescent="0.25">
      <c r="C7">
        <v>0.55000000000000004</v>
      </c>
      <c r="D7">
        <f t="shared" si="3"/>
        <v>22.222222222222221</v>
      </c>
      <c r="E7">
        <f t="shared" si="4"/>
        <v>12.222222222222223</v>
      </c>
      <c r="G7">
        <v>2000</v>
      </c>
      <c r="H7">
        <f t="shared" si="5"/>
        <v>1.8181818181818179</v>
      </c>
      <c r="J7">
        <v>400</v>
      </c>
      <c r="K7">
        <f t="shared" si="6"/>
        <v>1.4535256175456157</v>
      </c>
      <c r="M7">
        <f t="shared" si="1"/>
        <v>4.4444444444444446</v>
      </c>
      <c r="N7">
        <f t="shared" si="2"/>
        <v>3.057699424623292</v>
      </c>
    </row>
    <row r="8" spans="1:14" x14ac:dyDescent="0.25">
      <c r="C8">
        <v>0.5</v>
      </c>
      <c r="D8">
        <f t="shared" si="3"/>
        <v>27.777777777777779</v>
      </c>
      <c r="E8">
        <f t="shared" si="4"/>
        <v>13.888888888888889</v>
      </c>
      <c r="G8">
        <v>2500</v>
      </c>
      <c r="H8">
        <f t="shared" si="5"/>
        <v>2</v>
      </c>
      <c r="J8">
        <v>500</v>
      </c>
      <c r="K8">
        <f t="shared" si="6"/>
        <v>1.463480942374594</v>
      </c>
      <c r="M8">
        <f t="shared" si="1"/>
        <v>5.5555555555555554</v>
      </c>
      <c r="N8">
        <f t="shared" si="2"/>
        <v>3.7961242915410307</v>
      </c>
    </row>
    <row r="9" spans="1:14" x14ac:dyDescent="0.25">
      <c r="C9">
        <v>0.44</v>
      </c>
      <c r="D9">
        <f t="shared" si="3"/>
        <v>33.333333333333329</v>
      </c>
      <c r="E9">
        <f t="shared" si="4"/>
        <v>14.666666666666666</v>
      </c>
      <c r="G9">
        <v>3000</v>
      </c>
      <c r="H9">
        <f t="shared" si="5"/>
        <v>2.2727272727272725</v>
      </c>
      <c r="J9">
        <v>1000</v>
      </c>
      <c r="K9">
        <f t="shared" si="6"/>
        <v>1.534787667492219</v>
      </c>
      <c r="M9">
        <f t="shared" si="1"/>
        <v>11.111111111111111</v>
      </c>
      <c r="N9">
        <f t="shared" si="2"/>
        <v>7.239510289567427</v>
      </c>
    </row>
    <row r="10" spans="1:14" x14ac:dyDescent="0.25">
      <c r="C10">
        <v>0.43</v>
      </c>
      <c r="D10">
        <f t="shared" si="3"/>
        <v>38.888888888888893</v>
      </c>
      <c r="E10">
        <v>15</v>
      </c>
      <c r="G10">
        <v>3500</v>
      </c>
      <c r="H10">
        <f t="shared" si="5"/>
        <v>2.592592592592593</v>
      </c>
      <c r="J10">
        <v>1500</v>
      </c>
      <c r="K10">
        <f t="shared" si="6"/>
        <v>1.6498549474415449</v>
      </c>
      <c r="M10">
        <f t="shared" si="1"/>
        <v>16.666666666666664</v>
      </c>
      <c r="N10">
        <f t="shared" si="2"/>
        <v>10.101898165358062</v>
      </c>
    </row>
    <row r="11" spans="1:14" x14ac:dyDescent="0.25">
      <c r="C11">
        <v>0.42</v>
      </c>
      <c r="D11">
        <f t="shared" si="3"/>
        <v>44.444444444444443</v>
      </c>
      <c r="E11">
        <v>15</v>
      </c>
      <c r="G11">
        <v>4000</v>
      </c>
      <c r="H11">
        <f t="shared" si="5"/>
        <v>2.9629629629629628</v>
      </c>
      <c r="J11">
        <v>2000</v>
      </c>
      <c r="K11">
        <f t="shared" si="6"/>
        <v>1.8110033858583643</v>
      </c>
      <c r="M11">
        <f t="shared" si="1"/>
        <v>22.222222222222221</v>
      </c>
      <c r="N11">
        <f t="shared" si="2"/>
        <v>12.270668512135066</v>
      </c>
    </row>
    <row r="12" spans="1:14" x14ac:dyDescent="0.25">
      <c r="C12">
        <v>0.41</v>
      </c>
      <c r="D12">
        <f t="shared" si="3"/>
        <v>50</v>
      </c>
      <c r="E12">
        <v>15</v>
      </c>
      <c r="G12">
        <v>4500</v>
      </c>
      <c r="H12">
        <f t="shared" si="5"/>
        <v>3.3333333333333335</v>
      </c>
      <c r="J12">
        <v>2500</v>
      </c>
      <c r="K12">
        <f t="shared" si="6"/>
        <v>2.0205438782024165</v>
      </c>
      <c r="M12">
        <f t="shared" si="1"/>
        <v>27.777777777777779</v>
      </c>
      <c r="N12">
        <f t="shared" si="2"/>
        <v>13.747673622653704</v>
      </c>
    </row>
    <row r="13" spans="1:14" x14ac:dyDescent="0.25">
      <c r="C13">
        <v>0.5</v>
      </c>
      <c r="D13">
        <f t="shared" si="3"/>
        <v>55.555555555555557</v>
      </c>
      <c r="E13">
        <v>15</v>
      </c>
      <c r="G13">
        <v>5000</v>
      </c>
      <c r="H13">
        <f t="shared" si="5"/>
        <v>3.7037037037037037</v>
      </c>
      <c r="J13">
        <v>3000</v>
      </c>
      <c r="K13">
        <f t="shared" si="6"/>
        <v>2.2804326949120961</v>
      </c>
      <c r="M13">
        <f t="shared" si="1"/>
        <v>33.333333333333329</v>
      </c>
      <c r="N13">
        <f t="shared" si="2"/>
        <v>14.617109028345267</v>
      </c>
    </row>
    <row r="14" spans="1:14" x14ac:dyDescent="0.25">
      <c r="C14">
        <v>0.5</v>
      </c>
      <c r="D14">
        <f t="shared" si="3"/>
        <v>61.111111111111114</v>
      </c>
      <c r="E14">
        <v>15</v>
      </c>
      <c r="G14">
        <v>5500</v>
      </c>
      <c r="H14">
        <f t="shared" si="5"/>
        <v>4.0740740740740744</v>
      </c>
      <c r="J14">
        <v>3500</v>
      </c>
      <c r="K14">
        <f t="shared" si="6"/>
        <v>2.5899350276179982</v>
      </c>
      <c r="M14">
        <f t="shared" si="1"/>
        <v>38.888888888888893</v>
      </c>
      <c r="N14">
        <f t="shared" si="2"/>
        <v>15.015391689055452</v>
      </c>
    </row>
    <row r="15" spans="1:14" x14ac:dyDescent="0.25">
      <c r="C15">
        <v>0.5</v>
      </c>
      <c r="D15">
        <f t="shared" si="3"/>
        <v>66.666666666666657</v>
      </c>
      <c r="E15">
        <v>15</v>
      </c>
      <c r="G15">
        <v>6000</v>
      </c>
      <c r="H15">
        <f t="shared" si="5"/>
        <v>4.4444444444444438</v>
      </c>
      <c r="J15">
        <v>4000</v>
      </c>
      <c r="K15">
        <f t="shared" si="6"/>
        <v>2.9427473025982742</v>
      </c>
      <c r="M15">
        <f t="shared" si="1"/>
        <v>44.444444444444443</v>
      </c>
      <c r="N15">
        <f t="shared" si="2"/>
        <v>15.103044833378179</v>
      </c>
    </row>
    <row r="16" spans="1:14" x14ac:dyDescent="0.25">
      <c r="C16">
        <v>0.5</v>
      </c>
      <c r="D16">
        <f t="shared" si="3"/>
        <v>72.222222222222214</v>
      </c>
      <c r="E16">
        <v>15</v>
      </c>
      <c r="G16">
        <v>6500</v>
      </c>
      <c r="H16">
        <f t="shared" si="5"/>
        <v>4.814814814814814</v>
      </c>
      <c r="J16">
        <v>4500</v>
      </c>
      <c r="K16">
        <f t="shared" si="6"/>
        <v>3.3247799048985915</v>
      </c>
      <c r="M16">
        <f t="shared" si="1"/>
        <v>50</v>
      </c>
      <c r="N16">
        <f t="shared" si="2"/>
        <v>15.038589449584947</v>
      </c>
    </row>
    <row r="17" spans="1:14" x14ac:dyDescent="0.25">
      <c r="C17">
        <v>0.5</v>
      </c>
      <c r="D17">
        <f t="shared" si="3"/>
        <v>77.777777777777786</v>
      </c>
      <c r="E17">
        <v>15</v>
      </c>
      <c r="G17">
        <v>7000</v>
      </c>
      <c r="H17">
        <f>D17/E17</f>
        <v>5.185185185185186</v>
      </c>
      <c r="J17">
        <v>5000</v>
      </c>
      <c r="K17">
        <f t="shared" si="6"/>
        <v>3.7149867556877325</v>
      </c>
      <c r="M17">
        <f t="shared" si="1"/>
        <v>55.555555555555557</v>
      </c>
      <c r="N17">
        <f t="shared" si="2"/>
        <v>14.954442427149623</v>
      </c>
    </row>
    <row r="18" spans="1:14" ht="15.75" thickBot="1" x14ac:dyDescent="0.3">
      <c r="J18">
        <v>5500</v>
      </c>
      <c r="K18">
        <f t="shared" si="6"/>
        <v>4.0918541764639276</v>
      </c>
      <c r="M18">
        <f t="shared" si="1"/>
        <v>61.111111111111114</v>
      </c>
      <c r="N18">
        <f t="shared" si="2"/>
        <v>14.934821348868724</v>
      </c>
    </row>
    <row r="19" spans="1:14" ht="15.75" customHeight="1" thickBot="1" x14ac:dyDescent="0.3">
      <c r="A19" s="24" t="s">
        <v>41</v>
      </c>
      <c r="B19" s="26" t="s">
        <v>42</v>
      </c>
      <c r="C19" s="27"/>
      <c r="D19" s="27"/>
      <c r="E19" s="28"/>
      <c r="J19">
        <v>6000</v>
      </c>
      <c r="K19">
        <f t="shared" si="6"/>
        <v>4.4457319481031554</v>
      </c>
      <c r="M19">
        <f t="shared" si="1"/>
        <v>66.666666666666657</v>
      </c>
      <c r="N19">
        <f t="shared" si="2"/>
        <v>14.995655933577165</v>
      </c>
    </row>
    <row r="20" spans="1:14" ht="15.75" customHeight="1" thickBot="1" x14ac:dyDescent="0.3">
      <c r="A20" s="25"/>
      <c r="B20" s="6">
        <v>20</v>
      </c>
      <c r="C20" s="6">
        <v>40</v>
      </c>
      <c r="D20" s="6">
        <v>60</v>
      </c>
      <c r="E20" s="6">
        <v>80</v>
      </c>
      <c r="G20" s="10"/>
      <c r="J20">
        <v>6500</v>
      </c>
      <c r="K20">
        <f t="shared" si="6"/>
        <v>4.7935614004766638</v>
      </c>
      <c r="M20">
        <f t="shared" si="1"/>
        <v>72.222222222222214</v>
      </c>
      <c r="N20">
        <f t="shared" si="2"/>
        <v>15.066506129459519</v>
      </c>
    </row>
    <row r="21" spans="1:14" ht="15.75" thickBot="1" x14ac:dyDescent="0.3">
      <c r="A21" s="7">
        <v>5</v>
      </c>
      <c r="B21" s="8">
        <v>110.3561</v>
      </c>
      <c r="C21" s="9">
        <v>108.529</v>
      </c>
      <c r="D21" s="8">
        <v>127.16589999999999</v>
      </c>
      <c r="E21" s="8">
        <v>180.31880000000001</v>
      </c>
      <c r="J21">
        <v>7000</v>
      </c>
      <c r="K21">
        <f t="shared" si="6"/>
        <v>5.194019569121278</v>
      </c>
      <c r="M21">
        <f t="shared" si="1"/>
        <v>77.777777777777786</v>
      </c>
      <c r="N21">
        <f t="shared" si="2"/>
        <v>14.974486857956947</v>
      </c>
    </row>
    <row r="22" spans="1:14" ht="15.75" thickBot="1" x14ac:dyDescent="0.3">
      <c r="A22" s="7">
        <v>7.5</v>
      </c>
      <c r="B22" s="8">
        <v>59.538910000000001</v>
      </c>
      <c r="C22" s="9">
        <v>55.765320000000003</v>
      </c>
      <c r="D22" s="8">
        <v>59.004240000000003</v>
      </c>
      <c r="E22" s="8">
        <v>67.472909999999999</v>
      </c>
    </row>
    <row r="23" spans="1:14" ht="15.75" thickBot="1" x14ac:dyDescent="0.3">
      <c r="A23" s="7">
        <v>10</v>
      </c>
      <c r="B23" s="8">
        <v>40.766570000000002</v>
      </c>
      <c r="C23" s="9">
        <v>37.522799999999997</v>
      </c>
      <c r="D23" s="8">
        <v>38.414079999999998</v>
      </c>
      <c r="E23" s="8">
        <v>41.501019999999997</v>
      </c>
    </row>
    <row r="24" spans="1:14" ht="15.75" customHeight="1" thickBot="1" x14ac:dyDescent="0.3">
      <c r="A24" s="7">
        <v>12.5</v>
      </c>
      <c r="B24" s="8">
        <v>30.994230000000002</v>
      </c>
      <c r="C24" s="9">
        <v>28.27364</v>
      </c>
      <c r="D24" s="8">
        <v>28.476790000000001</v>
      </c>
      <c r="E24" s="8">
        <v>29.9663</v>
      </c>
    </row>
    <row r="25" spans="1:14" ht="15.75" customHeight="1" thickBot="1" x14ac:dyDescent="0.3">
      <c r="A25" s="7">
        <v>15</v>
      </c>
      <c r="B25" s="8">
        <v>25.001110000000001</v>
      </c>
      <c r="C25" s="8">
        <v>22.68253</v>
      </c>
      <c r="D25" s="9">
        <v>22.624179999999999</v>
      </c>
      <c r="E25" s="8">
        <v>23.44894</v>
      </c>
      <c r="G25" s="11">
        <v>2.5</v>
      </c>
      <c r="H25">
        <v>753.34716499969238</v>
      </c>
    </row>
    <row r="26" spans="1:14" ht="15.75" thickBot="1" x14ac:dyDescent="0.3">
      <c r="A26" s="7">
        <v>17.5</v>
      </c>
      <c r="B26" s="8">
        <v>20.950130000000001</v>
      </c>
      <c r="C26" s="8">
        <v>18.937609999999999</v>
      </c>
      <c r="D26" s="9">
        <v>18.767109999999999</v>
      </c>
      <c r="E26" s="8">
        <v>19.260069999999999</v>
      </c>
      <c r="G26" s="11">
        <v>5</v>
      </c>
      <c r="H26" s="9">
        <v>108.529</v>
      </c>
    </row>
    <row r="27" spans="1:14" ht="15.75" thickBot="1" x14ac:dyDescent="0.3">
      <c r="A27" s="7">
        <v>20</v>
      </c>
      <c r="B27" s="8">
        <v>18.028880000000001</v>
      </c>
      <c r="C27" s="8">
        <v>16.254049999999999</v>
      </c>
      <c r="D27" s="9">
        <v>16.033639999999998</v>
      </c>
      <c r="E27" s="8">
        <v>16.340959999999999</v>
      </c>
      <c r="G27" s="11">
        <v>7.5</v>
      </c>
      <c r="H27" s="9">
        <v>55.765320000000003</v>
      </c>
    </row>
    <row r="28" spans="1:14" ht="15.75" thickBot="1" x14ac:dyDescent="0.3">
      <c r="A28" s="7">
        <v>22.5</v>
      </c>
      <c r="B28" s="8">
        <v>15.8226</v>
      </c>
      <c r="C28" s="8">
        <v>14.23664</v>
      </c>
      <c r="D28" s="9">
        <v>13.995200000000001</v>
      </c>
      <c r="E28" s="8">
        <v>14.190250000000001</v>
      </c>
      <c r="G28" s="11">
        <v>10</v>
      </c>
      <c r="H28" s="9">
        <v>37.522799999999997</v>
      </c>
    </row>
    <row r="29" spans="1:14" ht="15.75" thickBot="1" x14ac:dyDescent="0.3">
      <c r="A29" s="7">
        <v>25</v>
      </c>
      <c r="B29" s="8">
        <v>14.097440000000001</v>
      </c>
      <c r="C29" s="8">
        <v>12.66473</v>
      </c>
      <c r="D29" s="9">
        <v>12.41661</v>
      </c>
      <c r="E29" s="8">
        <v>12.539820000000001</v>
      </c>
      <c r="G29" s="11">
        <v>12.5</v>
      </c>
      <c r="H29" s="9">
        <v>28.27364</v>
      </c>
    </row>
    <row r="30" spans="1:14" ht="15.75" thickBot="1" x14ac:dyDescent="0.3">
      <c r="G30" s="11">
        <v>15</v>
      </c>
      <c r="H30" s="9">
        <v>22.624179999999999</v>
      </c>
    </row>
    <row r="31" spans="1:14" x14ac:dyDescent="0.25">
      <c r="G31" s="11"/>
    </row>
    <row r="32" spans="1:14" ht="15.75" thickBot="1" x14ac:dyDescent="0.3">
      <c r="B32" s="6">
        <v>20</v>
      </c>
      <c r="C32" s="6">
        <v>40</v>
      </c>
      <c r="D32" s="6">
        <v>60</v>
      </c>
      <c r="E32" s="6">
        <v>80</v>
      </c>
      <c r="G32" s="11"/>
    </row>
    <row r="33" spans="1:7" x14ac:dyDescent="0.25">
      <c r="A33">
        <v>2.5</v>
      </c>
      <c r="B33">
        <v>753.34716499969238</v>
      </c>
      <c r="C33">
        <v>2016.3094746784111</v>
      </c>
      <c r="G33" s="11"/>
    </row>
    <row r="34" spans="1:7" ht="15.75" thickBot="1" x14ac:dyDescent="0.3">
      <c r="A34" s="7">
        <v>5</v>
      </c>
      <c r="B34">
        <v>110.35610865530894</v>
      </c>
      <c r="C34">
        <v>108.52903831458694</v>
      </c>
      <c r="D34">
        <v>127.16591045546869</v>
      </c>
      <c r="E34">
        <v>180.31883134249784</v>
      </c>
      <c r="G34" s="11"/>
    </row>
    <row r="35" spans="1:7" ht="15.75" thickBot="1" x14ac:dyDescent="0.3">
      <c r="A35" s="7">
        <v>7.5</v>
      </c>
      <c r="B35">
        <v>59.538914229426588</v>
      </c>
      <c r="C35">
        <v>55.765319651739922</v>
      </c>
      <c r="D35">
        <v>59.004243172630773</v>
      </c>
      <c r="E35">
        <v>67.472914614912199</v>
      </c>
      <c r="G35" s="11"/>
    </row>
    <row r="36" spans="1:7" ht="15.75" thickBot="1" x14ac:dyDescent="0.3">
      <c r="A36" s="7">
        <v>10</v>
      </c>
      <c r="B36">
        <v>40.766570904188946</v>
      </c>
      <c r="C36">
        <v>37.522804039834298</v>
      </c>
      <c r="D36">
        <v>38.414075424803428</v>
      </c>
      <c r="E36">
        <v>41.501023539585233</v>
      </c>
      <c r="G36" s="11"/>
    </row>
    <row r="37" spans="1:7" ht="15.75" thickBot="1" x14ac:dyDescent="0.3">
      <c r="A37" s="7">
        <v>12.5</v>
      </c>
      <c r="B37">
        <v>30.994233067934935</v>
      </c>
      <c r="C37">
        <v>28.273643649442491</v>
      </c>
      <c r="D37">
        <v>28.476791541079166</v>
      </c>
      <c r="E37">
        <v>29.966299325403725</v>
      </c>
      <c r="G37" s="11"/>
    </row>
    <row r="38" spans="1:7" ht="15.75" thickBot="1" x14ac:dyDescent="0.3">
      <c r="A38" s="7">
        <v>15</v>
      </c>
      <c r="B38">
        <v>25.001105711920694</v>
      </c>
      <c r="C38">
        <v>22.6825279432679</v>
      </c>
      <c r="D38">
        <v>22.624175075104606</v>
      </c>
      <c r="E38">
        <v>23.448940504652562</v>
      </c>
      <c r="G38" s="11"/>
    </row>
    <row r="39" spans="1:7" ht="15.75" thickBot="1" x14ac:dyDescent="0.3">
      <c r="A39" s="7">
        <v>17.5</v>
      </c>
      <c r="B39">
        <v>20.950132383321169</v>
      </c>
      <c r="C39">
        <v>18.93761315123901</v>
      </c>
      <c r="D39">
        <v>18.767114110160449</v>
      </c>
      <c r="E39">
        <v>19.260074393062453</v>
      </c>
      <c r="G39" s="11"/>
    </row>
    <row r="40" spans="1:7" ht="15.75" thickBot="1" x14ac:dyDescent="0.3">
      <c r="A40" s="7">
        <v>20</v>
      </c>
      <c r="B40">
        <v>18.028880950778472</v>
      </c>
      <c r="C40">
        <v>16.25404863362208</v>
      </c>
      <c r="D40">
        <v>16.03363508563606</v>
      </c>
      <c r="E40">
        <v>16.340961669971414</v>
      </c>
    </row>
    <row r="41" spans="1:7" ht="15.75" thickBot="1" x14ac:dyDescent="0.3">
      <c r="A41" s="7">
        <v>22.5</v>
      </c>
      <c r="B41">
        <v>15.82260356397682</v>
      </c>
      <c r="C41">
        <v>14.236638257144826</v>
      </c>
      <c r="D41">
        <v>13.995198056530958</v>
      </c>
      <c r="E41">
        <v>14.190246728592202</v>
      </c>
    </row>
    <row r="42" spans="1:7" ht="15.75" thickBot="1" x14ac:dyDescent="0.3">
      <c r="A42" s="7">
        <v>25</v>
      </c>
      <c r="B42">
        <v>14.097435326538461</v>
      </c>
      <c r="C42">
        <v>12.664725377596362</v>
      </c>
      <c r="D42">
        <v>12.416611507796338</v>
      </c>
      <c r="E42">
        <v>12.539819009003633</v>
      </c>
    </row>
  </sheetData>
  <mergeCells count="2">
    <mergeCell ref="A19:A20"/>
    <mergeCell ref="B19:E19"/>
  </mergeCell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F6D41-8D58-4CAE-B3AD-83BB42896593}">
  <dimension ref="A1:T38"/>
  <sheetViews>
    <sheetView zoomScale="30" zoomScaleNormal="30" workbookViewId="0">
      <selection activeCell="V38" sqref="V38"/>
    </sheetView>
  </sheetViews>
  <sheetFormatPr defaultRowHeight="15" x14ac:dyDescent="0.25"/>
  <cols>
    <col min="3" max="3" width="9.140625" customWidth="1"/>
    <col min="4" max="4" width="16.28515625" customWidth="1"/>
    <col min="5" max="5" width="12.42578125" bestFit="1" customWidth="1"/>
    <col min="11" max="11" width="13.5703125" bestFit="1" customWidth="1"/>
    <col min="12" max="12" width="16.85546875" customWidth="1"/>
  </cols>
  <sheetData>
    <row r="1" spans="1:20" ht="15.75" customHeight="1" thickBot="1" x14ac:dyDescent="0.3">
      <c r="B1" t="s">
        <v>59</v>
      </c>
      <c r="G1" t="s">
        <v>31</v>
      </c>
      <c r="H1" t="s">
        <v>55</v>
      </c>
      <c r="S1" t="s">
        <v>57</v>
      </c>
      <c r="T1" t="s">
        <v>58</v>
      </c>
    </row>
    <row r="2" spans="1:20" ht="15.75" customHeight="1" thickBot="1" x14ac:dyDescent="0.3">
      <c r="A2" s="24" t="s">
        <v>41</v>
      </c>
      <c r="B2" s="26" t="s">
        <v>42</v>
      </c>
      <c r="C2" s="27"/>
      <c r="D2" s="27"/>
      <c r="E2" s="28"/>
      <c r="K2" t="s">
        <v>60</v>
      </c>
      <c r="R2">
        <v>0</v>
      </c>
      <c r="S2">
        <v>0</v>
      </c>
    </row>
    <row r="3" spans="1:20" ht="15.75" thickBot="1" x14ac:dyDescent="0.3">
      <c r="A3" s="25"/>
      <c r="B3" s="6">
        <v>20</v>
      </c>
      <c r="C3" s="6">
        <v>40</v>
      </c>
      <c r="D3" s="6">
        <v>60</v>
      </c>
      <c r="E3" s="6">
        <v>80</v>
      </c>
      <c r="F3">
        <v>20</v>
      </c>
      <c r="G3">
        <v>40</v>
      </c>
      <c r="H3">
        <v>60</v>
      </c>
      <c r="I3">
        <v>80</v>
      </c>
      <c r="J3" s="23">
        <v>500</v>
      </c>
      <c r="K3" s="23">
        <v>1000</v>
      </c>
      <c r="L3" s="23">
        <v>2000</v>
      </c>
      <c r="M3" s="23">
        <v>3000</v>
      </c>
      <c r="N3" s="3"/>
      <c r="R3">
        <v>2.5</v>
      </c>
      <c r="S3" s="3">
        <v>12.742928125925912</v>
      </c>
    </row>
    <row r="4" spans="1:20" ht="15.75" thickBot="1" x14ac:dyDescent="0.3">
      <c r="A4" s="7">
        <v>5</v>
      </c>
      <c r="B4" s="8">
        <v>110.3561</v>
      </c>
      <c r="C4" s="9">
        <v>108.529</v>
      </c>
      <c r="D4" s="8">
        <v>127.16589999999999</v>
      </c>
      <c r="E4" s="8">
        <v>180.31880000000001</v>
      </c>
      <c r="F4">
        <v>131.22358554699073</v>
      </c>
      <c r="G4" s="3">
        <v>236.7448114759259</v>
      </c>
      <c r="H4">
        <v>290.86131816875013</v>
      </c>
      <c r="I4">
        <v>267.87074600740743</v>
      </c>
      <c r="J4">
        <f>9*J3</f>
        <v>4500</v>
      </c>
      <c r="R4">
        <v>5</v>
      </c>
      <c r="S4" s="3">
        <v>236.7448114759259</v>
      </c>
    </row>
    <row r="5" spans="1:20" ht="15.75" thickBot="1" x14ac:dyDescent="0.3">
      <c r="A5" s="7">
        <v>7.5</v>
      </c>
      <c r="B5" s="8">
        <v>59.538910000000001</v>
      </c>
      <c r="C5" s="9">
        <v>55.765320000000003</v>
      </c>
      <c r="D5" s="8">
        <v>59.004240000000003</v>
      </c>
      <c r="E5" s="8">
        <v>67.472909999999999</v>
      </c>
      <c r="F5">
        <v>243.22452722199071</v>
      </c>
      <c r="G5" s="3">
        <v>460.74669482592594</v>
      </c>
      <c r="H5">
        <v>626.86414319375012</v>
      </c>
      <c r="I5">
        <v>715.87451270740735</v>
      </c>
      <c r="R5">
        <v>7.5</v>
      </c>
      <c r="S5" s="3">
        <v>460.74669482592594</v>
      </c>
    </row>
    <row r="6" spans="1:20" ht="15.75" thickBot="1" x14ac:dyDescent="0.3">
      <c r="A6" s="7">
        <v>10</v>
      </c>
      <c r="B6" s="8">
        <v>40.766570000000002</v>
      </c>
      <c r="C6" s="9">
        <v>37.522799999999997</v>
      </c>
      <c r="D6" s="8">
        <v>38.414079999999998</v>
      </c>
      <c r="E6" s="8">
        <v>41.501019999999997</v>
      </c>
      <c r="F6">
        <v>355.22546889699072</v>
      </c>
      <c r="G6" s="3">
        <v>684.7485781759259</v>
      </c>
      <c r="H6">
        <v>962.86696821875012</v>
      </c>
      <c r="I6">
        <v>1163.8782794074075</v>
      </c>
      <c r="R6">
        <v>10</v>
      </c>
      <c r="S6" s="3">
        <v>684.7485781759259</v>
      </c>
    </row>
    <row r="7" spans="1:20" ht="15.75" thickBot="1" x14ac:dyDescent="0.3">
      <c r="A7" s="7">
        <v>12.5</v>
      </c>
      <c r="B7" s="8">
        <v>30.994230000000002</v>
      </c>
      <c r="C7" s="9">
        <v>28.27364</v>
      </c>
      <c r="D7" s="8">
        <v>28.476790000000001</v>
      </c>
      <c r="E7" s="8">
        <v>29.9663</v>
      </c>
      <c r="F7">
        <v>467.22641057199064</v>
      </c>
      <c r="G7" s="3">
        <v>908.75046152592586</v>
      </c>
      <c r="H7">
        <v>1298.8697932437501</v>
      </c>
      <c r="I7">
        <v>1611.8820461074074</v>
      </c>
      <c r="R7">
        <v>12.5</v>
      </c>
      <c r="S7" s="3">
        <v>908.75046152592586</v>
      </c>
    </row>
    <row r="8" spans="1:20" ht="15.75" thickBot="1" x14ac:dyDescent="0.3">
      <c r="A8" s="7">
        <v>15</v>
      </c>
      <c r="B8" s="8">
        <v>25.001110000000001</v>
      </c>
      <c r="C8" s="8">
        <v>22.68253</v>
      </c>
      <c r="D8" s="9">
        <v>22.624179999999999</v>
      </c>
      <c r="E8" s="8">
        <v>23.44894</v>
      </c>
      <c r="F8">
        <v>579.22735224699068</v>
      </c>
      <c r="G8">
        <v>1132.7523448759259</v>
      </c>
      <c r="H8" s="3">
        <v>1634.8726182687503</v>
      </c>
      <c r="I8">
        <v>2059.8858128074071</v>
      </c>
      <c r="R8">
        <v>15</v>
      </c>
      <c r="S8" s="3">
        <v>1634.8726182687503</v>
      </c>
    </row>
    <row r="9" spans="1:20" ht="15.75" thickBot="1" x14ac:dyDescent="0.3">
      <c r="A9" s="7">
        <v>17.5</v>
      </c>
      <c r="B9" s="8">
        <v>20.950130000000001</v>
      </c>
      <c r="C9" s="8">
        <v>18.937609999999999</v>
      </c>
      <c r="D9" s="9">
        <v>18.767109999999999</v>
      </c>
      <c r="E9" s="8">
        <v>19.260069999999999</v>
      </c>
      <c r="F9">
        <v>691.2282939219906</v>
      </c>
      <c r="G9">
        <v>1356.7542282259258</v>
      </c>
      <c r="H9" s="3">
        <v>1970.8754432937503</v>
      </c>
      <c r="I9">
        <v>2507.8895795074072</v>
      </c>
      <c r="R9">
        <v>17.5</v>
      </c>
      <c r="S9" s="3">
        <v>1970.8754432937503</v>
      </c>
    </row>
    <row r="10" spans="1:20" ht="15.75" thickBot="1" x14ac:dyDescent="0.3">
      <c r="A10" s="7">
        <v>20</v>
      </c>
      <c r="B10" s="8">
        <v>18.028880000000001</v>
      </c>
      <c r="C10" s="8">
        <v>16.254049999999999</v>
      </c>
      <c r="D10" s="9">
        <v>16.033639999999998</v>
      </c>
      <c r="E10" s="8">
        <v>16.340959999999999</v>
      </c>
      <c r="F10">
        <v>803.22923559699063</v>
      </c>
      <c r="G10">
        <v>1580.7561115759256</v>
      </c>
      <c r="H10" s="3">
        <v>2306.8782683187501</v>
      </c>
      <c r="I10">
        <v>2955.8933462074069</v>
      </c>
      <c r="S10" s="3"/>
    </row>
    <row r="11" spans="1:20" ht="15.75" thickBot="1" x14ac:dyDescent="0.3">
      <c r="A11" s="7">
        <v>22.5</v>
      </c>
      <c r="B11" s="8">
        <v>15.8226</v>
      </c>
      <c r="C11" s="8">
        <v>14.23664</v>
      </c>
      <c r="D11" s="9">
        <v>13.995200000000001</v>
      </c>
      <c r="E11" s="8">
        <v>14.190250000000001</v>
      </c>
      <c r="F11">
        <v>915.23017727199078</v>
      </c>
      <c r="G11">
        <v>1804.7579949259259</v>
      </c>
      <c r="H11" s="3">
        <v>2642.8810933437503</v>
      </c>
      <c r="I11">
        <v>3403.8971129074071</v>
      </c>
      <c r="S11" s="3"/>
    </row>
    <row r="12" spans="1:20" ht="15.75" thickBot="1" x14ac:dyDescent="0.3">
      <c r="A12" s="7">
        <v>25</v>
      </c>
      <c r="B12" s="8">
        <v>14.097440000000001</v>
      </c>
      <c r="C12" s="8">
        <v>12.66473</v>
      </c>
      <c r="D12" s="9">
        <v>12.41661</v>
      </c>
      <c r="E12" s="8">
        <v>12.539820000000001</v>
      </c>
      <c r="F12">
        <v>1027.2311189469906</v>
      </c>
      <c r="G12">
        <v>2028.759878275926</v>
      </c>
      <c r="H12" s="3">
        <v>2978.8839183687501</v>
      </c>
      <c r="I12">
        <v>3851.9008796074068</v>
      </c>
      <c r="S12" s="3"/>
    </row>
    <row r="13" spans="1:20" x14ac:dyDescent="0.25">
      <c r="K13">
        <v>33.1</v>
      </c>
    </row>
    <row r="14" spans="1:20" ht="45" x14ac:dyDescent="0.25">
      <c r="A14" s="12" t="s">
        <v>43</v>
      </c>
      <c r="B14" s="12" t="s">
        <v>44</v>
      </c>
      <c r="C14" s="12" t="s">
        <v>46</v>
      </c>
      <c r="D14" s="12" t="s">
        <v>45</v>
      </c>
      <c r="E14" s="13">
        <v>2.5</v>
      </c>
      <c r="F14" s="13">
        <v>5</v>
      </c>
      <c r="G14" s="13">
        <v>7.5</v>
      </c>
      <c r="H14" s="13">
        <v>10</v>
      </c>
      <c r="I14" s="13">
        <v>12.5</v>
      </c>
      <c r="J14" s="13">
        <v>15</v>
      </c>
      <c r="K14" t="s">
        <v>56</v>
      </c>
    </row>
    <row r="15" spans="1:20" ht="30" x14ac:dyDescent="0.25">
      <c r="A15" s="12">
        <v>1</v>
      </c>
      <c r="B15" s="12">
        <v>40</v>
      </c>
      <c r="C15" s="12" t="s">
        <v>47</v>
      </c>
      <c r="D15" s="12">
        <v>200</v>
      </c>
      <c r="E15" s="14">
        <f>$D15*$N$3/1000</f>
        <v>0</v>
      </c>
      <c r="F15" s="14">
        <f>$D15*$G$4/1000</f>
        <v>47.348962295185181</v>
      </c>
      <c r="G15" s="14">
        <f>$D15*$G$5/1000</f>
        <v>92.149338965185194</v>
      </c>
      <c r="H15" s="14">
        <f>$D15*$G$6/1000</f>
        <v>136.94971563518519</v>
      </c>
      <c r="I15" s="14">
        <f>$D15*$G$7/1000</f>
        <v>181.75009230518515</v>
      </c>
      <c r="J15" s="14">
        <f>$D15*$H$8/1000</f>
        <v>326.97452365375005</v>
      </c>
      <c r="K15" s="4">
        <f>D15*$K$13/60/60</f>
        <v>1.8388888888888888</v>
      </c>
    </row>
    <row r="16" spans="1:20" ht="30" x14ac:dyDescent="0.25">
      <c r="A16" s="12">
        <v>2</v>
      </c>
      <c r="B16" s="12">
        <v>60</v>
      </c>
      <c r="C16" s="12" t="s">
        <v>48</v>
      </c>
      <c r="D16" s="12">
        <v>300</v>
      </c>
      <c r="E16" s="14">
        <f>$D16*$N$3/1000</f>
        <v>0</v>
      </c>
      <c r="F16" s="14">
        <f>$D16*$G$4/1000</f>
        <v>71.023443442777776</v>
      </c>
      <c r="G16" s="14">
        <f>$D16*$G$5/1000</f>
        <v>138.22400844777778</v>
      </c>
      <c r="H16" s="14">
        <f>$D16*$G$6/1000</f>
        <v>205.42457345277779</v>
      </c>
      <c r="I16" s="14">
        <f>$D16*$G$7/1000</f>
        <v>272.62513845777772</v>
      </c>
      <c r="J16" s="14">
        <f>$D16*$H$8/1000</f>
        <v>490.46178548062511</v>
      </c>
      <c r="K16" s="4">
        <f>D16*$K$13/60/60</f>
        <v>2.7583333333333333</v>
      </c>
    </row>
    <row r="17" spans="1:11" ht="45" x14ac:dyDescent="0.25">
      <c r="A17" s="12">
        <v>3</v>
      </c>
      <c r="B17" s="12">
        <v>60</v>
      </c>
      <c r="C17" s="12" t="s">
        <v>49</v>
      </c>
      <c r="D17" s="12">
        <v>600</v>
      </c>
      <c r="E17" s="14">
        <f>$D17*$N$3/1000</f>
        <v>0</v>
      </c>
      <c r="F17" s="14">
        <f>$D17*$G$4/1000</f>
        <v>142.04688688555555</v>
      </c>
      <c r="G17" s="14">
        <f>$D17*$G$5/1000</f>
        <v>276.44801689555555</v>
      </c>
      <c r="H17" s="14">
        <f>$D17*$G$6/1000</f>
        <v>410.84914690555559</v>
      </c>
      <c r="I17" s="14">
        <f>$D17*$G$7/1000</f>
        <v>545.25027691555545</v>
      </c>
      <c r="J17" s="14">
        <f>$D17*$H$8/1000</f>
        <v>980.92357096125022</v>
      </c>
      <c r="K17" s="4">
        <f>D17*$K$13/60/60</f>
        <v>5.5166666666666666</v>
      </c>
    </row>
    <row r="18" spans="1:11" ht="45" x14ac:dyDescent="0.25">
      <c r="A18" s="15">
        <v>4</v>
      </c>
      <c r="B18" s="12">
        <v>60</v>
      </c>
      <c r="C18" s="15" t="s">
        <v>50</v>
      </c>
      <c r="D18" s="15">
        <v>900</v>
      </c>
      <c r="E18" s="14">
        <f>$D18*$N$3/1000</f>
        <v>0</v>
      </c>
      <c r="F18" s="14">
        <f>$D18*$G$4/1000</f>
        <v>213.07033032833331</v>
      </c>
      <c r="G18" s="14">
        <f>$D18*$G$5/1000</f>
        <v>414.67202534333336</v>
      </c>
      <c r="H18" s="14">
        <f>$D18*$G$6/1000</f>
        <v>616.27372035833332</v>
      </c>
      <c r="I18" s="14">
        <f>$D18*$G$7/1000</f>
        <v>817.87541537333323</v>
      </c>
      <c r="J18" s="14">
        <f>$D18*$H$8/1000</f>
        <v>1471.3853564418753</v>
      </c>
      <c r="K18" s="4">
        <f>D18*$K$13/60/60</f>
        <v>8.2750000000000004</v>
      </c>
    </row>
    <row r="19" spans="1:11" ht="45" x14ac:dyDescent="0.25">
      <c r="A19" s="15">
        <v>5</v>
      </c>
      <c r="B19" s="12">
        <v>60</v>
      </c>
      <c r="C19" s="15" t="s">
        <v>51</v>
      </c>
      <c r="D19" s="15">
        <v>1200</v>
      </c>
      <c r="E19" s="14">
        <f>$D19*$N$3/1000</f>
        <v>0</v>
      </c>
      <c r="F19" s="14">
        <f>$D19*$G$4/1000</f>
        <v>284.0937737711111</v>
      </c>
      <c r="G19" s="14">
        <f>$D19*$G$5/1000</f>
        <v>552.89603379111111</v>
      </c>
      <c r="H19" s="14">
        <f>$D19*$G$6/1000</f>
        <v>821.69829381111117</v>
      </c>
      <c r="I19" s="14">
        <f>$D19*$G$7/1000</f>
        <v>1090.5005538311109</v>
      </c>
      <c r="J19" s="14">
        <f>$D19*$H$8/1000</f>
        <v>1961.8471419225004</v>
      </c>
      <c r="K19" s="4">
        <f>D19*$K$13/60/60</f>
        <v>11.033333333333333</v>
      </c>
    </row>
    <row r="20" spans="1:11" ht="15.75" thickBot="1" x14ac:dyDescent="0.3"/>
    <row r="21" spans="1:11" ht="45.75" thickBot="1" x14ac:dyDescent="0.3">
      <c r="A21" s="16" t="s">
        <v>43</v>
      </c>
      <c r="B21" s="17" t="s">
        <v>44</v>
      </c>
      <c r="C21" s="17" t="s">
        <v>46</v>
      </c>
      <c r="D21" s="17" t="s">
        <v>45</v>
      </c>
      <c r="F21" s="16" t="s">
        <v>43</v>
      </c>
      <c r="G21" s="17" t="s">
        <v>54</v>
      </c>
    </row>
    <row r="22" spans="1:11" ht="30.75" thickBot="1" x14ac:dyDescent="0.3">
      <c r="A22" s="18">
        <v>0.5</v>
      </c>
      <c r="B22" s="19">
        <v>40</v>
      </c>
      <c r="C22" s="19" t="s">
        <v>53</v>
      </c>
      <c r="D22" s="19">
        <v>200</v>
      </c>
      <c r="F22" s="20">
        <v>0</v>
      </c>
      <c r="G22" s="20">
        <v>0</v>
      </c>
    </row>
    <row r="23" spans="1:11" ht="30.75" thickBot="1" x14ac:dyDescent="0.3">
      <c r="A23" s="18">
        <v>1</v>
      </c>
      <c r="B23" s="19">
        <v>60</v>
      </c>
      <c r="C23" s="19" t="s">
        <v>48</v>
      </c>
      <c r="D23" s="19">
        <v>300</v>
      </c>
      <c r="F23" s="18">
        <v>1</v>
      </c>
      <c r="G23" s="19">
        <v>200</v>
      </c>
    </row>
    <row r="24" spans="1:11" ht="45.75" thickBot="1" x14ac:dyDescent="0.3">
      <c r="A24" s="18">
        <v>0.5</v>
      </c>
      <c r="B24" s="19">
        <v>60</v>
      </c>
      <c r="C24" s="19" t="s">
        <v>49</v>
      </c>
      <c r="D24" s="19">
        <v>600</v>
      </c>
      <c r="F24" s="18">
        <v>2</v>
      </c>
      <c r="G24" s="19">
        <v>300</v>
      </c>
    </row>
    <row r="25" spans="1:11" ht="45.75" thickBot="1" x14ac:dyDescent="0.3">
      <c r="A25" s="18">
        <v>1</v>
      </c>
      <c r="B25" s="19">
        <v>60</v>
      </c>
      <c r="C25" s="19" t="s">
        <v>50</v>
      </c>
      <c r="D25" s="19">
        <v>900</v>
      </c>
      <c r="F25" s="18">
        <v>3</v>
      </c>
      <c r="G25" s="19">
        <v>600</v>
      </c>
    </row>
    <row r="26" spans="1:11" ht="45.75" thickBot="1" x14ac:dyDescent="0.3">
      <c r="A26" s="18">
        <v>5</v>
      </c>
      <c r="B26" s="19">
        <v>60</v>
      </c>
      <c r="C26" s="19" t="s">
        <v>51</v>
      </c>
      <c r="D26" s="19">
        <v>1200</v>
      </c>
      <c r="F26" s="18">
        <v>4</v>
      </c>
      <c r="G26" s="19">
        <v>900</v>
      </c>
    </row>
    <row r="27" spans="1:11" ht="15.75" thickBot="1" x14ac:dyDescent="0.3">
      <c r="F27" s="18">
        <v>5</v>
      </c>
      <c r="G27" s="19">
        <v>1200</v>
      </c>
    </row>
    <row r="28" spans="1:11" x14ac:dyDescent="0.25">
      <c r="F28" s="21">
        <v>6</v>
      </c>
      <c r="G28" s="22">
        <v>1500</v>
      </c>
    </row>
    <row r="31" spans="1:11" x14ac:dyDescent="0.25">
      <c r="A31" t="s">
        <v>61</v>
      </c>
      <c r="D31">
        <v>35800</v>
      </c>
      <c r="E31" t="s">
        <v>62</v>
      </c>
      <c r="F31">
        <f>D31/24/365</f>
        <v>4.0867579908675804</v>
      </c>
      <c r="G31" t="s">
        <v>63</v>
      </c>
    </row>
    <row r="32" spans="1:11" x14ac:dyDescent="0.25">
      <c r="A32" t="s">
        <v>64</v>
      </c>
      <c r="D32">
        <v>28000</v>
      </c>
      <c r="E32" t="s">
        <v>62</v>
      </c>
      <c r="F32">
        <f>D32/24/365</f>
        <v>3.1963470319634704</v>
      </c>
      <c r="G32" t="s">
        <v>63</v>
      </c>
    </row>
    <row r="34" spans="4:7" x14ac:dyDescent="0.25">
      <c r="D34">
        <v>3127840.4435112402</v>
      </c>
      <c r="E34" t="s">
        <v>62</v>
      </c>
      <c r="F34">
        <f>D34/24/365</f>
        <v>357.05941135973063</v>
      </c>
      <c r="G34" t="s">
        <v>63</v>
      </c>
    </row>
    <row r="35" spans="4:7" x14ac:dyDescent="0.25">
      <c r="D35">
        <f>D34/1000/1000</f>
        <v>3.1278404435112401</v>
      </c>
    </row>
    <row r="37" spans="4:7" x14ac:dyDescent="0.25">
      <c r="D37">
        <v>2662458</v>
      </c>
      <c r="E37" t="s">
        <v>62</v>
      </c>
    </row>
    <row r="38" spans="4:7" x14ac:dyDescent="0.25">
      <c r="D38">
        <f>D37/1000/1000</f>
        <v>2.662458</v>
      </c>
    </row>
  </sheetData>
  <mergeCells count="2">
    <mergeCell ref="A2:A3"/>
    <mergeCell ref="B2:E2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Efficiency &amp; cost</vt:lpstr>
      <vt:lpstr>Topography and slope</vt:lpstr>
      <vt:lpstr>Potential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David Hunt</dc:creator>
  <cp:lastModifiedBy>Julian David Hunt</cp:lastModifiedBy>
  <dcterms:created xsi:type="dcterms:W3CDTF">2021-04-09T19:55:48Z</dcterms:created>
  <dcterms:modified xsi:type="dcterms:W3CDTF">2022-01-06T02:02:33Z</dcterms:modified>
</cp:coreProperties>
</file>