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7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20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21.xml" ContentType="application/vnd.openxmlformats-officedocument.drawing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22.xml" ContentType="application/vnd.openxmlformats-officedocument.drawing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DSU\460\"/>
    </mc:Choice>
  </mc:AlternateContent>
  <xr:revisionPtr revIDLastSave="0" documentId="13_ncr:1_{70C4B2F6-72FF-4E3C-8125-AD8253CAFE1D}" xr6:coauthVersionLast="46" xr6:coauthVersionMax="46" xr10:uidLastSave="{00000000-0000-0000-0000-000000000000}"/>
  <bookViews>
    <workbookView xWindow="-120" yWindow="-120" windowWidth="51840" windowHeight="21240" tabRatio="767" activeTab="9" xr2:uid="{3EA2E97A-0650-40CD-BC04-E7FA13CE1E55}"/>
  </bookViews>
  <sheets>
    <sheet name="QUESTIONS" sheetId="9" r:id="rId1"/>
    <sheet name="Weight Estimates" sheetId="1" r:id="rId2"/>
    <sheet name="Wing Sizing" sheetId="2" r:id="rId3"/>
    <sheet name="Necessary Graphs" sheetId="4" r:id="rId4"/>
    <sheet name="Roskam Notes" sheetId="6" r:id="rId5"/>
    <sheet name="C1 Drag" sheetId="3" r:id="rId6"/>
    <sheet name="C1 C_L_max" sheetId="12" r:id="rId7"/>
    <sheet name="Airfoil" sheetId="11" r:id="rId8"/>
    <sheet name="Sub C_L_α" sheetId="8" r:id="rId9"/>
    <sheet name="Sub C_D_0" sheetId="7" r:id="rId10"/>
    <sheet name="Subsonic C_D_0 Notes" sheetId="5" r:id="rId11"/>
    <sheet name="wetted areas" sheetId="22" r:id="rId12"/>
    <sheet name="RCR Cruves" sheetId="20" r:id="rId13"/>
    <sheet name="CC L&amp;D" sheetId="14" r:id="rId14"/>
    <sheet name="WCB L&amp;D" sheetId="15" r:id="rId15"/>
    <sheet name="WCR L&amp;D" sheetId="16" r:id="rId16"/>
    <sheet name="WTO L&amp;D" sheetId="17" r:id="rId17"/>
    <sheet name="WL L&amp;D" sheetId="18" r:id="rId18"/>
    <sheet name="FC L&amp;D" sheetId="19" r:id="rId19"/>
    <sheet name="C_L vs. α" sheetId="13" r:id="rId20"/>
    <sheet name="C_L vs. α curves" sheetId="25" r:id="rId21"/>
    <sheet name="C_L vs. C_m" sheetId="21" r:id="rId22"/>
    <sheet name="C_L vs. C_m curves" sheetId="26" r:id="rId23"/>
    <sheet name="trim" sheetId="24" r:id="rId24"/>
    <sheet name="596hw4" sheetId="23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29" i="24" l="1"/>
  <c r="AG29" i="24"/>
  <c r="AF29" i="24"/>
  <c r="AE29" i="24"/>
  <c r="AD29" i="24"/>
  <c r="B9" i="14"/>
  <c r="B47" i="2"/>
  <c r="C369" i="13"/>
  <c r="B369" i="13"/>
  <c r="B370" i="13" s="1"/>
  <c r="R215" i="21"/>
  <c r="M215" i="21"/>
  <c r="K215" i="21"/>
  <c r="C370" i="13"/>
  <c r="C368" i="13"/>
  <c r="B368" i="13"/>
  <c r="C367" i="13"/>
  <c r="B367" i="13"/>
  <c r="B330" i="13"/>
  <c r="B327" i="13"/>
  <c r="AB319" i="13"/>
  <c r="B27" i="13"/>
  <c r="U303" i="13"/>
  <c r="AA319" i="13"/>
  <c r="B154" i="21"/>
  <c r="Z319" i="13"/>
  <c r="Z317" i="13"/>
  <c r="Z318" i="13"/>
  <c r="Z320" i="13"/>
  <c r="Z321" i="13"/>
  <c r="Z322" i="13"/>
  <c r="Z323" i="13"/>
  <c r="Z324" i="13"/>
  <c r="Z325" i="13"/>
  <c r="Z326" i="13"/>
  <c r="Z327" i="13"/>
  <c r="Z328" i="13"/>
  <c r="Z329" i="13"/>
  <c r="Z330" i="13"/>
  <c r="Z331" i="13"/>
  <c r="Z332" i="13"/>
  <c r="Z333" i="13"/>
  <c r="Z334" i="13"/>
  <c r="Z335" i="13"/>
  <c r="Z316" i="13"/>
  <c r="X319" i="13"/>
  <c r="T319" i="13"/>
  <c r="S319" i="13"/>
  <c r="R319" i="13"/>
  <c r="Q319" i="13"/>
  <c r="B132" i="13"/>
  <c r="N262" i="13"/>
  <c r="P319" i="13"/>
  <c r="C78" i="13"/>
  <c r="O319" i="13"/>
  <c r="N319" i="13"/>
  <c r="M319" i="13"/>
  <c r="M316" i="13"/>
  <c r="L319" i="13"/>
  <c r="K319" i="13"/>
  <c r="AG375" i="21"/>
  <c r="H316" i="13"/>
  <c r="O316" i="13" s="1"/>
  <c r="BC11" i="7"/>
  <c r="BC12" i="7"/>
  <c r="BC13" i="7"/>
  <c r="BC14" i="7"/>
  <c r="BC15" i="7"/>
  <c r="BC16" i="7"/>
  <c r="BC17" i="7"/>
  <c r="BC18" i="7"/>
  <c r="BC19" i="7"/>
  <c r="BC20" i="7"/>
  <c r="BC21" i="7"/>
  <c r="BC22" i="7"/>
  <c r="BC23" i="7"/>
  <c r="BC24" i="7"/>
  <c r="BC25" i="7"/>
  <c r="BC26" i="7"/>
  <c r="BC27" i="7"/>
  <c r="BC28" i="7"/>
  <c r="BC29" i="7"/>
  <c r="BC10" i="7"/>
  <c r="AV13" i="7"/>
  <c r="AP13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10" i="7"/>
  <c r="AW13" i="7"/>
  <c r="AQ13" i="7"/>
  <c r="AD13" i="7"/>
  <c r="AL13" i="7"/>
  <c r="Z13" i="7"/>
  <c r="AB11" i="7"/>
  <c r="X11" i="7"/>
  <c r="L13" i="7"/>
  <c r="M13" i="7"/>
  <c r="I13" i="7"/>
  <c r="H8" i="7"/>
  <c r="H13" i="7"/>
  <c r="G13" i="7"/>
  <c r="E13" i="7"/>
  <c r="F13" i="7" s="1"/>
  <c r="C13" i="7"/>
  <c r="F10" i="7"/>
  <c r="P4" i="22"/>
  <c r="P3" i="22"/>
  <c r="V116" i="21"/>
  <c r="V117" i="21"/>
  <c r="V119" i="21"/>
  <c r="V120" i="21"/>
  <c r="V121" i="21"/>
  <c r="V122" i="21"/>
  <c r="V123" i="21"/>
  <c r="V124" i="21"/>
  <c r="V125" i="21"/>
  <c r="I185" i="21"/>
  <c r="J8" i="22"/>
  <c r="J9" i="22" s="1"/>
  <c r="J16" i="22" s="1"/>
  <c r="I16" i="22"/>
  <c r="L13" i="22"/>
  <c r="K13" i="22"/>
  <c r="L12" i="22"/>
  <c r="BE32" i="7"/>
  <c r="BD31" i="7"/>
  <c r="BL31" i="7" s="1"/>
  <c r="BD36" i="7"/>
  <c r="BH33" i="7"/>
  <c r="BH31" i="7" s="1"/>
  <c r="BI33" i="7"/>
  <c r="BI31" i="7" s="1"/>
  <c r="BM31" i="7"/>
  <c r="BH34" i="7"/>
  <c r="BE31" i="7"/>
  <c r="BD34" i="7"/>
  <c r="BD33" i="7"/>
  <c r="AL3" i="7"/>
  <c r="AK3" i="7"/>
  <c r="AK1" i="7"/>
  <c r="Z1" i="7"/>
  <c r="Z2" i="7"/>
  <c r="AF2" i="7"/>
  <c r="L11" i="22"/>
  <c r="K11" i="22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40" i="7"/>
  <c r="AL11" i="7"/>
  <c r="AL12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10" i="7"/>
  <c r="AM10" i="7"/>
  <c r="L9" i="22"/>
  <c r="K9" i="22"/>
  <c r="L6" i="22"/>
  <c r="K6" i="22"/>
  <c r="J6" i="22"/>
  <c r="I6" i="22"/>
  <c r="E20" i="22"/>
  <c r="F20" i="22"/>
  <c r="D15" i="22"/>
  <c r="E15" i="22"/>
  <c r="F15" i="22"/>
  <c r="D11" i="22"/>
  <c r="E11" i="22"/>
  <c r="F11" i="22"/>
  <c r="C11" i="22"/>
  <c r="C24" i="22" s="1"/>
  <c r="K52" i="20"/>
  <c r="K48" i="20"/>
  <c r="G9" i="13"/>
  <c r="G8" i="13"/>
  <c r="K9" i="13"/>
  <c r="S517" i="13"/>
  <c r="S518" i="13"/>
  <c r="S519" i="13"/>
  <c r="S520" i="13"/>
  <c r="S521" i="13"/>
  <c r="S522" i="13"/>
  <c r="S523" i="13"/>
  <c r="S524" i="13"/>
  <c r="S525" i="13"/>
  <c r="S526" i="13"/>
  <c r="S527" i="13"/>
  <c r="S528" i="13"/>
  <c r="S529" i="13"/>
  <c r="S530" i="13"/>
  <c r="S531" i="13"/>
  <c r="S532" i="13"/>
  <c r="S533" i="13"/>
  <c r="S534" i="13"/>
  <c r="S535" i="13"/>
  <c r="S516" i="13"/>
  <c r="S492" i="13"/>
  <c r="S493" i="13"/>
  <c r="S494" i="13"/>
  <c r="N376" i="21" s="1"/>
  <c r="S495" i="13"/>
  <c r="S496" i="13"/>
  <c r="S497" i="13"/>
  <c r="S498" i="13"/>
  <c r="S499" i="13"/>
  <c r="N381" i="21" s="1"/>
  <c r="S500" i="13"/>
  <c r="S501" i="13"/>
  <c r="S502" i="13"/>
  <c r="N384" i="21" s="1"/>
  <c r="S503" i="13"/>
  <c r="S504" i="13"/>
  <c r="S505" i="13"/>
  <c r="S506" i="13"/>
  <c r="S507" i="13"/>
  <c r="N389" i="21" s="1"/>
  <c r="S508" i="13"/>
  <c r="S509" i="13"/>
  <c r="S510" i="13"/>
  <c r="S491" i="13"/>
  <c r="S467" i="13"/>
  <c r="S468" i="13"/>
  <c r="S469" i="13"/>
  <c r="S470" i="13"/>
  <c r="S471" i="13"/>
  <c r="S472" i="13"/>
  <c r="N356" i="21" s="1"/>
  <c r="S473" i="13"/>
  <c r="N357" i="21" s="1"/>
  <c r="S474" i="13"/>
  <c r="N358" i="21" s="1"/>
  <c r="S475" i="13"/>
  <c r="S476" i="13"/>
  <c r="S477" i="13"/>
  <c r="S478" i="13"/>
  <c r="S479" i="13"/>
  <c r="S480" i="13"/>
  <c r="N364" i="21" s="1"/>
  <c r="S481" i="13"/>
  <c r="N365" i="21" s="1"/>
  <c r="S482" i="13"/>
  <c r="N366" i="21" s="1"/>
  <c r="S483" i="13"/>
  <c r="S484" i="13"/>
  <c r="S485" i="13"/>
  <c r="S466" i="13"/>
  <c r="S442" i="13"/>
  <c r="S443" i="13"/>
  <c r="S444" i="13"/>
  <c r="N330" i="21" s="1"/>
  <c r="S445" i="13"/>
  <c r="S446" i="13"/>
  <c r="S447" i="13"/>
  <c r="S448" i="13"/>
  <c r="S449" i="13"/>
  <c r="N335" i="21" s="1"/>
  <c r="S450" i="13"/>
  <c r="S451" i="13"/>
  <c r="S452" i="13"/>
  <c r="N338" i="21" s="1"/>
  <c r="S453" i="13"/>
  <c r="N339" i="21" s="1"/>
  <c r="S454" i="13"/>
  <c r="S455" i="13"/>
  <c r="S456" i="13"/>
  <c r="S457" i="13"/>
  <c r="N343" i="21" s="1"/>
  <c r="S458" i="13"/>
  <c r="S459" i="13"/>
  <c r="S460" i="13"/>
  <c r="S441" i="13"/>
  <c r="N327" i="21"/>
  <c r="S417" i="13"/>
  <c r="S418" i="13"/>
  <c r="S419" i="13"/>
  <c r="N307" i="21" s="1"/>
  <c r="S420" i="13"/>
  <c r="N308" i="21" s="1"/>
  <c r="S421" i="13"/>
  <c r="S422" i="13"/>
  <c r="S423" i="13"/>
  <c r="N311" i="21" s="1"/>
  <c r="S424" i="13"/>
  <c r="N312" i="21" s="1"/>
  <c r="S425" i="13"/>
  <c r="S426" i="13"/>
  <c r="S427" i="13"/>
  <c r="N315" i="21" s="1"/>
  <c r="S428" i="13"/>
  <c r="N316" i="21" s="1"/>
  <c r="S429" i="13"/>
  <c r="S430" i="13"/>
  <c r="S431" i="13"/>
  <c r="N319" i="21" s="1"/>
  <c r="S432" i="13"/>
  <c r="N320" i="21" s="1"/>
  <c r="S433" i="13"/>
  <c r="S434" i="13"/>
  <c r="S435" i="13"/>
  <c r="S416" i="13"/>
  <c r="S392" i="13"/>
  <c r="S393" i="13"/>
  <c r="S394" i="13"/>
  <c r="N284" i="21" s="1"/>
  <c r="S395" i="13"/>
  <c r="S396" i="13"/>
  <c r="S397" i="13"/>
  <c r="S398" i="13"/>
  <c r="S399" i="13"/>
  <c r="N289" i="21" s="1"/>
  <c r="S400" i="13"/>
  <c r="S401" i="13"/>
  <c r="S402" i="13"/>
  <c r="N292" i="21" s="1"/>
  <c r="S403" i="13"/>
  <c r="S404" i="13"/>
  <c r="S405" i="13"/>
  <c r="S406" i="13"/>
  <c r="S407" i="13"/>
  <c r="N297" i="21" s="1"/>
  <c r="S408" i="13"/>
  <c r="S409" i="13"/>
  <c r="S410" i="13"/>
  <c r="S391" i="13"/>
  <c r="S367" i="13"/>
  <c r="N259" i="21" s="1"/>
  <c r="S368" i="13"/>
  <c r="S369" i="13"/>
  <c r="S370" i="13"/>
  <c r="N262" i="21" s="1"/>
  <c r="S371" i="13"/>
  <c r="S372" i="13"/>
  <c r="S373" i="13"/>
  <c r="S374" i="13"/>
  <c r="N266" i="21" s="1"/>
  <c r="S375" i="13"/>
  <c r="N267" i="21" s="1"/>
  <c r="S376" i="13"/>
  <c r="S377" i="13"/>
  <c r="S378" i="13"/>
  <c r="N270" i="21" s="1"/>
  <c r="S379" i="13"/>
  <c r="S380" i="13"/>
  <c r="S381" i="13"/>
  <c r="S382" i="13"/>
  <c r="N274" i="21" s="1"/>
  <c r="S383" i="13"/>
  <c r="N275" i="21" s="1"/>
  <c r="S384" i="13"/>
  <c r="S385" i="13"/>
  <c r="S366" i="13"/>
  <c r="S342" i="13"/>
  <c r="S343" i="13"/>
  <c r="S344" i="13"/>
  <c r="S345" i="13"/>
  <c r="N239" i="21" s="1"/>
  <c r="S346" i="13"/>
  <c r="S347" i="13"/>
  <c r="S348" i="13"/>
  <c r="S349" i="13"/>
  <c r="N243" i="21" s="1"/>
  <c r="S350" i="13"/>
  <c r="S351" i="13"/>
  <c r="S352" i="13"/>
  <c r="S353" i="13"/>
  <c r="N247" i="21" s="1"/>
  <c r="S354" i="13"/>
  <c r="S355" i="13"/>
  <c r="S356" i="13"/>
  <c r="S357" i="13"/>
  <c r="N251" i="21" s="1"/>
  <c r="S358" i="13"/>
  <c r="S359" i="13"/>
  <c r="S360" i="13"/>
  <c r="S341" i="13"/>
  <c r="S317" i="13"/>
  <c r="S318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AH322" i="13"/>
  <c r="CK352" i="21"/>
  <c r="CC352" i="21"/>
  <c r="BU352" i="21"/>
  <c r="BM352" i="21"/>
  <c r="AH27" i="24"/>
  <c r="AH28" i="24"/>
  <c r="AH30" i="24"/>
  <c r="AH31" i="24"/>
  <c r="AH32" i="24"/>
  <c r="AH33" i="24"/>
  <c r="AH34" i="24"/>
  <c r="AH35" i="24"/>
  <c r="AH36" i="24"/>
  <c r="AH37" i="24"/>
  <c r="AH38" i="24"/>
  <c r="AH39" i="24"/>
  <c r="AH40" i="24"/>
  <c r="AH41" i="24"/>
  <c r="AH42" i="24"/>
  <c r="AH43" i="24"/>
  <c r="AH44" i="24"/>
  <c r="AH45" i="24"/>
  <c r="AH26" i="24"/>
  <c r="AG27" i="24"/>
  <c r="AG28" i="24"/>
  <c r="AG30" i="24"/>
  <c r="AG31" i="24"/>
  <c r="AG32" i="24"/>
  <c r="AG33" i="24"/>
  <c r="AG34" i="24"/>
  <c r="AG35" i="24"/>
  <c r="AG36" i="24"/>
  <c r="AG37" i="24"/>
  <c r="AG38" i="24"/>
  <c r="AG39" i="24"/>
  <c r="AG40" i="24"/>
  <c r="AG41" i="24"/>
  <c r="AG42" i="24"/>
  <c r="AG43" i="24"/>
  <c r="AG44" i="24"/>
  <c r="AG45" i="24"/>
  <c r="AG26" i="24"/>
  <c r="F31" i="24"/>
  <c r="AF27" i="24"/>
  <c r="AF28" i="24"/>
  <c r="AF30" i="24"/>
  <c r="AF31" i="24"/>
  <c r="AF32" i="24"/>
  <c r="AF33" i="24"/>
  <c r="AF34" i="24"/>
  <c r="AF35" i="24"/>
  <c r="AF36" i="24"/>
  <c r="AF37" i="24"/>
  <c r="AF38" i="24"/>
  <c r="AF39" i="24"/>
  <c r="AF40" i="24"/>
  <c r="AF41" i="24"/>
  <c r="AF42" i="24"/>
  <c r="AF43" i="24"/>
  <c r="AF44" i="24"/>
  <c r="AF45" i="24"/>
  <c r="AF26" i="24"/>
  <c r="AE26" i="24"/>
  <c r="AE27" i="24"/>
  <c r="AE28" i="24"/>
  <c r="AE30" i="24"/>
  <c r="AE31" i="24"/>
  <c r="AE32" i="24"/>
  <c r="AE33" i="24"/>
  <c r="AE34" i="24"/>
  <c r="AE35" i="24"/>
  <c r="AE36" i="24"/>
  <c r="AE37" i="24"/>
  <c r="AE38" i="24"/>
  <c r="AE39" i="24"/>
  <c r="AE40" i="24"/>
  <c r="AE41" i="24"/>
  <c r="AE42" i="24"/>
  <c r="AE43" i="24"/>
  <c r="AE44" i="24"/>
  <c r="AE45" i="24"/>
  <c r="AD27" i="24"/>
  <c r="AD28" i="24"/>
  <c r="AD30" i="24"/>
  <c r="AD31" i="24"/>
  <c r="AD32" i="24"/>
  <c r="AD33" i="24"/>
  <c r="AD34" i="24"/>
  <c r="AD35" i="24"/>
  <c r="AD36" i="24"/>
  <c r="AD37" i="24"/>
  <c r="AD38" i="24"/>
  <c r="AD39" i="24"/>
  <c r="AD40" i="24"/>
  <c r="AD41" i="24"/>
  <c r="AD42" i="24"/>
  <c r="AD43" i="24"/>
  <c r="AD44" i="24"/>
  <c r="AD45" i="24"/>
  <c r="AD26" i="24"/>
  <c r="AC27" i="24"/>
  <c r="AC28" i="24"/>
  <c r="AC29" i="24"/>
  <c r="AC30" i="24"/>
  <c r="AC31" i="24"/>
  <c r="AC32" i="24"/>
  <c r="AC33" i="24"/>
  <c r="AC34" i="24"/>
  <c r="AC35" i="24"/>
  <c r="AC36" i="24"/>
  <c r="AC37" i="24"/>
  <c r="AC38" i="24"/>
  <c r="AC39" i="24"/>
  <c r="AC40" i="24"/>
  <c r="AC41" i="24"/>
  <c r="AC42" i="24"/>
  <c r="AC43" i="24"/>
  <c r="AC44" i="24"/>
  <c r="AC45" i="24"/>
  <c r="AC26" i="24"/>
  <c r="AB27" i="24"/>
  <c r="AB28" i="24"/>
  <c r="AB29" i="24"/>
  <c r="AB30" i="24"/>
  <c r="AB31" i="24"/>
  <c r="AB32" i="24"/>
  <c r="AB33" i="24"/>
  <c r="AB34" i="24"/>
  <c r="AB35" i="24"/>
  <c r="AB36" i="24"/>
  <c r="AB37" i="24"/>
  <c r="AB38" i="24"/>
  <c r="AB39" i="24"/>
  <c r="AB40" i="24"/>
  <c r="AB41" i="24"/>
  <c r="AB42" i="24"/>
  <c r="AB43" i="24"/>
  <c r="AB44" i="24"/>
  <c r="AB45" i="24"/>
  <c r="AB26" i="24"/>
  <c r="B9" i="15"/>
  <c r="B166" i="21"/>
  <c r="AW260" i="21"/>
  <c r="B87" i="7"/>
  <c r="AO283" i="21"/>
  <c r="AG283" i="21"/>
  <c r="AO260" i="21"/>
  <c r="AW306" i="21"/>
  <c r="AO306" i="21"/>
  <c r="AO329" i="21"/>
  <c r="AG329" i="21"/>
  <c r="BE352" i="21"/>
  <c r="AW352" i="21"/>
  <c r="AG260" i="21"/>
  <c r="L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3" i="24"/>
  <c r="K3" i="24"/>
  <c r="Y375" i="21"/>
  <c r="AO352" i="21"/>
  <c r="AG352" i="21"/>
  <c r="Y352" i="21"/>
  <c r="Y329" i="21"/>
  <c r="AG306" i="21"/>
  <c r="Y306" i="21"/>
  <c r="Y283" i="21"/>
  <c r="B167" i="21"/>
  <c r="B165" i="21"/>
  <c r="L205" i="21" s="1"/>
  <c r="Y260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396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73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50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27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04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81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58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35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396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73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50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27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04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81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58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35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396" i="21"/>
  <c r="N374" i="21"/>
  <c r="N375" i="21"/>
  <c r="N377" i="21"/>
  <c r="N378" i="21"/>
  <c r="N379" i="21"/>
  <c r="N380" i="21"/>
  <c r="N382" i="21"/>
  <c r="N383" i="21"/>
  <c r="N385" i="21"/>
  <c r="N386" i="21"/>
  <c r="N387" i="21"/>
  <c r="N388" i="21"/>
  <c r="N390" i="21"/>
  <c r="N373" i="21"/>
  <c r="N351" i="21"/>
  <c r="N352" i="21"/>
  <c r="N353" i="21"/>
  <c r="N354" i="21"/>
  <c r="N355" i="21"/>
  <c r="N359" i="21"/>
  <c r="N360" i="21"/>
  <c r="N361" i="21"/>
  <c r="N362" i="21"/>
  <c r="N363" i="21"/>
  <c r="N367" i="21"/>
  <c r="N350" i="21"/>
  <c r="N328" i="21"/>
  <c r="N329" i="21"/>
  <c r="N331" i="21"/>
  <c r="N332" i="21"/>
  <c r="N333" i="21"/>
  <c r="N334" i="21"/>
  <c r="N336" i="21"/>
  <c r="N337" i="21"/>
  <c r="N340" i="21"/>
  <c r="N341" i="21"/>
  <c r="N342" i="21"/>
  <c r="N344" i="21"/>
  <c r="N305" i="21"/>
  <c r="N306" i="21"/>
  <c r="N309" i="21"/>
  <c r="N310" i="21"/>
  <c r="N313" i="21"/>
  <c r="N314" i="21"/>
  <c r="N317" i="21"/>
  <c r="N318" i="21"/>
  <c r="N321" i="21"/>
  <c r="N304" i="21"/>
  <c r="N282" i="21"/>
  <c r="N283" i="21"/>
  <c r="N285" i="21"/>
  <c r="N286" i="21"/>
  <c r="N287" i="21"/>
  <c r="N288" i="21"/>
  <c r="N290" i="21"/>
  <c r="N291" i="21"/>
  <c r="N293" i="21"/>
  <c r="N294" i="21"/>
  <c r="N295" i="21"/>
  <c r="N296" i="21"/>
  <c r="N298" i="21"/>
  <c r="N281" i="21"/>
  <c r="N260" i="21"/>
  <c r="N261" i="21"/>
  <c r="N263" i="21"/>
  <c r="N264" i="21"/>
  <c r="N265" i="21"/>
  <c r="N268" i="21"/>
  <c r="N269" i="21"/>
  <c r="N271" i="21"/>
  <c r="N272" i="21"/>
  <c r="N273" i="21"/>
  <c r="N258" i="21"/>
  <c r="N236" i="21"/>
  <c r="N237" i="21"/>
  <c r="N238" i="21"/>
  <c r="N240" i="21"/>
  <c r="N241" i="21"/>
  <c r="N242" i="21"/>
  <c r="N244" i="21"/>
  <c r="N245" i="21"/>
  <c r="N246" i="21"/>
  <c r="N248" i="21"/>
  <c r="N249" i="21"/>
  <c r="N250" i="21"/>
  <c r="N252" i="21"/>
  <c r="N235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396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73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50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27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04" i="21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16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491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66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41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16" i="13"/>
  <c r="O410" i="13"/>
  <c r="O392" i="13"/>
  <c r="O393" i="13"/>
  <c r="L283" i="21" s="1"/>
  <c r="O394" i="13"/>
  <c r="O395" i="13"/>
  <c r="O396" i="13"/>
  <c r="O397" i="13"/>
  <c r="O398" i="13"/>
  <c r="L288" i="21" s="1"/>
  <c r="O399" i="13"/>
  <c r="L289" i="21" s="1"/>
  <c r="O400" i="13"/>
  <c r="O401" i="13"/>
  <c r="L291" i="21" s="1"/>
  <c r="O402" i="13"/>
  <c r="O403" i="13"/>
  <c r="L293" i="21" s="1"/>
  <c r="O404" i="13"/>
  <c r="O405" i="13"/>
  <c r="O406" i="13"/>
  <c r="L296" i="21" s="1"/>
  <c r="O407" i="13"/>
  <c r="O408" i="13"/>
  <c r="O409" i="13"/>
  <c r="O391" i="13"/>
  <c r="L281" i="21" s="1"/>
  <c r="O367" i="13"/>
  <c r="O368" i="13"/>
  <c r="O369" i="13"/>
  <c r="O370" i="13"/>
  <c r="O371" i="13"/>
  <c r="L263" i="21" s="1"/>
  <c r="O372" i="13"/>
  <c r="L264" i="21" s="1"/>
  <c r="O373" i="13"/>
  <c r="L265" i="21" s="1"/>
  <c r="O374" i="13"/>
  <c r="L266" i="21" s="1"/>
  <c r="O375" i="13"/>
  <c r="O376" i="13"/>
  <c r="O377" i="13"/>
  <c r="O378" i="13"/>
  <c r="O379" i="13"/>
  <c r="L271" i="21" s="1"/>
  <c r="O380" i="13"/>
  <c r="L272" i="21" s="1"/>
  <c r="O381" i="13"/>
  <c r="L273" i="21" s="1"/>
  <c r="O382" i="13"/>
  <c r="L274" i="21" s="1"/>
  <c r="O383" i="13"/>
  <c r="O384" i="13"/>
  <c r="O385" i="13"/>
  <c r="O366" i="13"/>
  <c r="L258" i="21" s="1"/>
  <c r="L282" i="21"/>
  <c r="L284" i="21"/>
  <c r="L285" i="21"/>
  <c r="L286" i="21"/>
  <c r="L287" i="21"/>
  <c r="L290" i="21"/>
  <c r="L292" i="21"/>
  <c r="L294" i="21"/>
  <c r="L295" i="21"/>
  <c r="L298" i="21"/>
  <c r="L259" i="21"/>
  <c r="L260" i="21"/>
  <c r="L261" i="21"/>
  <c r="L262" i="21"/>
  <c r="L267" i="21"/>
  <c r="L268" i="21"/>
  <c r="L269" i="21"/>
  <c r="L270" i="21"/>
  <c r="L27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35" i="21"/>
  <c r="K212" i="21"/>
  <c r="J352" i="21"/>
  <c r="J355" i="21"/>
  <c r="K355" i="21" s="1"/>
  <c r="J358" i="21"/>
  <c r="J360" i="21"/>
  <c r="J335" i="21"/>
  <c r="K335" i="21" s="1"/>
  <c r="J308" i="21"/>
  <c r="J309" i="21"/>
  <c r="J312" i="21"/>
  <c r="J313" i="21"/>
  <c r="K313" i="21" s="1"/>
  <c r="J317" i="21"/>
  <c r="J320" i="21"/>
  <c r="J321" i="21"/>
  <c r="K321" i="21" s="1"/>
  <c r="J284" i="21"/>
  <c r="J285" i="21"/>
  <c r="K285" i="21" s="1"/>
  <c r="J288" i="21"/>
  <c r="J292" i="21"/>
  <c r="J293" i="21"/>
  <c r="K293" i="21" s="1"/>
  <c r="J296" i="21"/>
  <c r="J281" i="21"/>
  <c r="J243" i="21"/>
  <c r="J246" i="21"/>
  <c r="J251" i="21"/>
  <c r="J212" i="21"/>
  <c r="I394" i="21"/>
  <c r="J403" i="21" s="1"/>
  <c r="I393" i="21"/>
  <c r="W413" i="21"/>
  <c r="V413" i="21"/>
  <c r="I413" i="21"/>
  <c r="W412" i="21"/>
  <c r="V412" i="21"/>
  <c r="I412" i="21"/>
  <c r="W411" i="21"/>
  <c r="V411" i="21"/>
  <c r="I411" i="21"/>
  <c r="W410" i="21"/>
  <c r="V410" i="21"/>
  <c r="I410" i="21"/>
  <c r="W409" i="21"/>
  <c r="I409" i="21"/>
  <c r="W408" i="21"/>
  <c r="I408" i="21"/>
  <c r="W407" i="21"/>
  <c r="I407" i="21"/>
  <c r="W406" i="21"/>
  <c r="I406" i="21"/>
  <c r="W405" i="21"/>
  <c r="I405" i="21"/>
  <c r="W404" i="21"/>
  <c r="I404" i="21"/>
  <c r="W403" i="21"/>
  <c r="I403" i="21"/>
  <c r="W402" i="21"/>
  <c r="I402" i="21"/>
  <c r="W401" i="21"/>
  <c r="I401" i="21"/>
  <c r="W400" i="21"/>
  <c r="I400" i="21"/>
  <c r="W399" i="21"/>
  <c r="I399" i="21"/>
  <c r="W398" i="21"/>
  <c r="I398" i="21"/>
  <c r="W397" i="21"/>
  <c r="I397" i="21"/>
  <c r="W396" i="21"/>
  <c r="I396" i="21"/>
  <c r="I371" i="21"/>
  <c r="J378" i="21" s="1"/>
  <c r="I370" i="21"/>
  <c r="W390" i="21"/>
  <c r="I390" i="21"/>
  <c r="W389" i="21"/>
  <c r="V389" i="21"/>
  <c r="I389" i="21"/>
  <c r="W388" i="21"/>
  <c r="V388" i="21"/>
  <c r="I388" i="21"/>
  <c r="W387" i="21"/>
  <c r="V387" i="21"/>
  <c r="I387" i="21"/>
  <c r="W386" i="21"/>
  <c r="V386" i="21"/>
  <c r="I386" i="21"/>
  <c r="W385" i="21"/>
  <c r="V385" i="21"/>
  <c r="I385" i="21"/>
  <c r="W384" i="21"/>
  <c r="I384" i="21"/>
  <c r="W383" i="21"/>
  <c r="I383" i="21"/>
  <c r="W382" i="21"/>
  <c r="I382" i="21"/>
  <c r="W381" i="21"/>
  <c r="I381" i="21"/>
  <c r="W380" i="21"/>
  <c r="I380" i="21"/>
  <c r="W379" i="21"/>
  <c r="I379" i="21"/>
  <c r="W378" i="21"/>
  <c r="I378" i="21"/>
  <c r="W377" i="21"/>
  <c r="I377" i="21"/>
  <c r="W376" i="21"/>
  <c r="I376" i="21"/>
  <c r="W375" i="21"/>
  <c r="I375" i="21"/>
  <c r="W374" i="21"/>
  <c r="I374" i="21"/>
  <c r="W373" i="21"/>
  <c r="I373" i="21"/>
  <c r="I348" i="21"/>
  <c r="J353" i="21" s="1"/>
  <c r="I347" i="21"/>
  <c r="W367" i="21"/>
  <c r="I367" i="21"/>
  <c r="W366" i="21"/>
  <c r="I366" i="21"/>
  <c r="W365" i="21"/>
  <c r="I365" i="21"/>
  <c r="W364" i="21"/>
  <c r="V364" i="21"/>
  <c r="I364" i="21"/>
  <c r="W363" i="21"/>
  <c r="V363" i="21"/>
  <c r="I363" i="21"/>
  <c r="W362" i="21"/>
  <c r="V362" i="21"/>
  <c r="I362" i="21"/>
  <c r="W361" i="21"/>
  <c r="V361" i="21"/>
  <c r="I361" i="21"/>
  <c r="W360" i="21"/>
  <c r="V360" i="21"/>
  <c r="I360" i="21"/>
  <c r="W359" i="21"/>
  <c r="I359" i="21"/>
  <c r="W358" i="21"/>
  <c r="I358" i="21"/>
  <c r="W357" i="21"/>
  <c r="I357" i="21"/>
  <c r="W356" i="21"/>
  <c r="I356" i="21"/>
  <c r="W355" i="21"/>
  <c r="I355" i="21"/>
  <c r="W354" i="21"/>
  <c r="I354" i="21"/>
  <c r="W353" i="21"/>
  <c r="I353" i="21"/>
  <c r="W352" i="21"/>
  <c r="I352" i="21"/>
  <c r="W351" i="21"/>
  <c r="I351" i="21"/>
  <c r="W350" i="21"/>
  <c r="I350" i="21"/>
  <c r="I325" i="21"/>
  <c r="J328" i="21" s="1"/>
  <c r="I324" i="21"/>
  <c r="W344" i="21"/>
  <c r="I344" i="21"/>
  <c r="W343" i="21"/>
  <c r="I343" i="21"/>
  <c r="W342" i="21"/>
  <c r="I342" i="21"/>
  <c r="W341" i="21"/>
  <c r="I341" i="21"/>
  <c r="W340" i="21"/>
  <c r="I340" i="21"/>
  <c r="W339" i="21"/>
  <c r="V339" i="21"/>
  <c r="I339" i="21"/>
  <c r="W338" i="21"/>
  <c r="V338" i="21"/>
  <c r="I338" i="21"/>
  <c r="W337" i="21"/>
  <c r="V337" i="21"/>
  <c r="I337" i="21"/>
  <c r="W336" i="21"/>
  <c r="V336" i="21"/>
  <c r="I336" i="21"/>
  <c r="W335" i="21"/>
  <c r="V335" i="21"/>
  <c r="I335" i="21"/>
  <c r="W334" i="21"/>
  <c r="I334" i="21"/>
  <c r="W333" i="21"/>
  <c r="I333" i="21"/>
  <c r="W332" i="21"/>
  <c r="I332" i="21"/>
  <c r="W331" i="21"/>
  <c r="I331" i="21"/>
  <c r="W330" i="21"/>
  <c r="I330" i="21"/>
  <c r="W329" i="21"/>
  <c r="I329" i="21"/>
  <c r="W328" i="21"/>
  <c r="I328" i="21"/>
  <c r="W327" i="21"/>
  <c r="I327" i="21"/>
  <c r="I302" i="21"/>
  <c r="J311" i="21" s="1"/>
  <c r="I301" i="21"/>
  <c r="W321" i="21"/>
  <c r="I321" i="21"/>
  <c r="W320" i="21"/>
  <c r="I320" i="21"/>
  <c r="W319" i="21"/>
  <c r="I319" i="21"/>
  <c r="W318" i="21"/>
  <c r="I318" i="21"/>
  <c r="W317" i="21"/>
  <c r="I317" i="21"/>
  <c r="W316" i="21"/>
  <c r="I316" i="21"/>
  <c r="W315" i="21"/>
  <c r="I315" i="21"/>
  <c r="W314" i="21"/>
  <c r="V314" i="21"/>
  <c r="I314" i="21"/>
  <c r="W313" i="21"/>
  <c r="V313" i="21"/>
  <c r="I313" i="21"/>
  <c r="W312" i="21"/>
  <c r="V312" i="21"/>
  <c r="I312" i="21"/>
  <c r="W311" i="21"/>
  <c r="V311" i="21"/>
  <c r="I311" i="21"/>
  <c r="W310" i="21"/>
  <c r="V310" i="21"/>
  <c r="I310" i="21"/>
  <c r="W309" i="21"/>
  <c r="I309" i="21"/>
  <c r="W308" i="21"/>
  <c r="I308" i="21"/>
  <c r="W307" i="21"/>
  <c r="I307" i="21"/>
  <c r="W306" i="21"/>
  <c r="I306" i="21"/>
  <c r="W305" i="21"/>
  <c r="I305" i="21"/>
  <c r="W304" i="21"/>
  <c r="I304" i="21"/>
  <c r="I279" i="21"/>
  <c r="J286" i="21" s="1"/>
  <c r="I278" i="21"/>
  <c r="K286" i="21" s="1"/>
  <c r="W298" i="21"/>
  <c r="I298" i="21"/>
  <c r="W297" i="21"/>
  <c r="I297" i="21"/>
  <c r="W296" i="21"/>
  <c r="I296" i="21"/>
  <c r="W295" i="21"/>
  <c r="I295" i="21"/>
  <c r="W294" i="21"/>
  <c r="I294" i="21"/>
  <c r="W293" i="21"/>
  <c r="I293" i="21"/>
  <c r="W292" i="21"/>
  <c r="I292" i="21"/>
  <c r="W291" i="21"/>
  <c r="I291" i="21"/>
  <c r="W290" i="21"/>
  <c r="I290" i="21"/>
  <c r="W289" i="21"/>
  <c r="V289" i="21"/>
  <c r="I289" i="21"/>
  <c r="W288" i="21"/>
  <c r="V288" i="21"/>
  <c r="I288" i="21"/>
  <c r="W287" i="21"/>
  <c r="V287" i="21"/>
  <c r="I287" i="21"/>
  <c r="W286" i="21"/>
  <c r="V286" i="21"/>
  <c r="I286" i="21"/>
  <c r="W285" i="21"/>
  <c r="V285" i="21"/>
  <c r="I285" i="21"/>
  <c r="I284" i="21"/>
  <c r="I283" i="21"/>
  <c r="I282" i="21"/>
  <c r="I281" i="21"/>
  <c r="I256" i="21"/>
  <c r="J261" i="21" s="1"/>
  <c r="I255" i="21"/>
  <c r="I275" i="21"/>
  <c r="I274" i="21"/>
  <c r="I273" i="21"/>
  <c r="I272" i="21"/>
  <c r="I271" i="21"/>
  <c r="I270" i="21"/>
  <c r="I269" i="21"/>
  <c r="I268" i="21"/>
  <c r="I267" i="21"/>
  <c r="I266" i="21"/>
  <c r="I265" i="21"/>
  <c r="I264" i="21"/>
  <c r="I263" i="21"/>
  <c r="I262" i="21"/>
  <c r="I261" i="21"/>
  <c r="I260" i="21"/>
  <c r="I259" i="21"/>
  <c r="I258" i="21"/>
  <c r="I233" i="21"/>
  <c r="J236" i="21" s="1"/>
  <c r="I232" i="21"/>
  <c r="K243" i="21" s="1"/>
  <c r="I252" i="21"/>
  <c r="I251" i="21"/>
  <c r="I250" i="21"/>
  <c r="I249" i="21"/>
  <c r="I248" i="21"/>
  <c r="I247" i="21"/>
  <c r="I246" i="21"/>
  <c r="I245" i="21"/>
  <c r="I244" i="21"/>
  <c r="I243" i="21"/>
  <c r="I242" i="21"/>
  <c r="I241" i="21"/>
  <c r="I240" i="21"/>
  <c r="I239" i="21"/>
  <c r="I238" i="21"/>
  <c r="I237" i="21"/>
  <c r="I236" i="21"/>
  <c r="I235" i="21"/>
  <c r="S116" i="2"/>
  <c r="S117" i="2"/>
  <c r="S115" i="2"/>
  <c r="Q441" i="13"/>
  <c r="R441" i="13"/>
  <c r="AE322" i="13"/>
  <c r="D24" i="18" s="1"/>
  <c r="O317" i="13"/>
  <c r="O318" i="13"/>
  <c r="AL301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AD344" i="13"/>
  <c r="AE344" i="13" s="1"/>
  <c r="Z341" i="13"/>
  <c r="AB345" i="13"/>
  <c r="AB341" i="13"/>
  <c r="AB342" i="13"/>
  <c r="AB343" i="13"/>
  <c r="AB344" i="13"/>
  <c r="AB346" i="13"/>
  <c r="AB347" i="13"/>
  <c r="AB348" i="13"/>
  <c r="AB349" i="13"/>
  <c r="AB350" i="13"/>
  <c r="AB351" i="13"/>
  <c r="AB352" i="13"/>
  <c r="AB353" i="13"/>
  <c r="AB354" i="13"/>
  <c r="AB355" i="13"/>
  <c r="AB356" i="13"/>
  <c r="AB357" i="13"/>
  <c r="AB358" i="13"/>
  <c r="AB359" i="13"/>
  <c r="AB360" i="13"/>
  <c r="Z342" i="13"/>
  <c r="Z343" i="13"/>
  <c r="Z344" i="13"/>
  <c r="Z345" i="13"/>
  <c r="Z346" i="13"/>
  <c r="Z347" i="13"/>
  <c r="Z348" i="13"/>
  <c r="Z349" i="13"/>
  <c r="Z350" i="13"/>
  <c r="Z351" i="13"/>
  <c r="Z352" i="13"/>
  <c r="Z353" i="13"/>
  <c r="Z354" i="13"/>
  <c r="Z355" i="13"/>
  <c r="Z356" i="13"/>
  <c r="Z357" i="13"/>
  <c r="Z358" i="13"/>
  <c r="Z359" i="13"/>
  <c r="Z360" i="13"/>
  <c r="P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41" i="13"/>
  <c r="M341" i="13"/>
  <c r="J377" i="21" l="1"/>
  <c r="J404" i="21"/>
  <c r="K404" i="21" s="1"/>
  <c r="J363" i="21"/>
  <c r="K363" i="21" s="1"/>
  <c r="J351" i="21"/>
  <c r="K351" i="21" s="1"/>
  <c r="M351" i="21" s="1"/>
  <c r="J376" i="21"/>
  <c r="J402" i="21"/>
  <c r="K402" i="21" s="1"/>
  <c r="J329" i="21"/>
  <c r="K329" i="21" s="1"/>
  <c r="M329" i="21" s="1"/>
  <c r="J337" i="21"/>
  <c r="K337" i="21" s="1"/>
  <c r="M337" i="21" s="1"/>
  <c r="J366" i="21"/>
  <c r="K292" i="21"/>
  <c r="J245" i="21"/>
  <c r="K245" i="21" s="1"/>
  <c r="M245" i="21" s="1"/>
  <c r="J291" i="21"/>
  <c r="J318" i="21"/>
  <c r="J305" i="21"/>
  <c r="K305" i="21" s="1"/>
  <c r="J334" i="21"/>
  <c r="K334" i="21" s="1"/>
  <c r="M334" i="21" s="1"/>
  <c r="J362" i="21"/>
  <c r="J388" i="21"/>
  <c r="K388" i="21" s="1"/>
  <c r="J413" i="21"/>
  <c r="K413" i="21" s="1"/>
  <c r="J401" i="21"/>
  <c r="K401" i="21" s="1"/>
  <c r="M401" i="21" s="1"/>
  <c r="J387" i="21"/>
  <c r="K387" i="21" s="1"/>
  <c r="M387" i="21" s="1"/>
  <c r="J412" i="21"/>
  <c r="K412" i="21" s="1"/>
  <c r="J400" i="21"/>
  <c r="K400" i="21" s="1"/>
  <c r="M400" i="21" s="1"/>
  <c r="K288" i="21"/>
  <c r="M288" i="21" s="1"/>
  <c r="J327" i="21"/>
  <c r="K327" i="21" s="1"/>
  <c r="J333" i="21"/>
  <c r="K328" i="21"/>
  <c r="K403" i="21"/>
  <c r="M403" i="21" s="1"/>
  <c r="J238" i="21"/>
  <c r="K238" i="21" s="1"/>
  <c r="M238" i="21" s="1"/>
  <c r="J287" i="21"/>
  <c r="K287" i="21" s="1"/>
  <c r="J316" i="21"/>
  <c r="J343" i="21"/>
  <c r="K343" i="21" s="1"/>
  <c r="J330" i="21"/>
  <c r="K330" i="21" s="1"/>
  <c r="J359" i="21"/>
  <c r="J385" i="21"/>
  <c r="J410" i="21"/>
  <c r="K410" i="21" s="1"/>
  <c r="M410" i="21" s="1"/>
  <c r="J397" i="21"/>
  <c r="K397" i="21" s="1"/>
  <c r="M397" i="21" s="1"/>
  <c r="K14" i="22"/>
  <c r="K16" i="22" s="1"/>
  <c r="J384" i="21"/>
  <c r="J409" i="21"/>
  <c r="K409" i="21" s="1"/>
  <c r="J380" i="21"/>
  <c r="K380" i="21" s="1"/>
  <c r="J408" i="21"/>
  <c r="J342" i="21"/>
  <c r="K342" i="21" s="1"/>
  <c r="M342" i="21" s="1"/>
  <c r="K296" i="21"/>
  <c r="M296" i="21" s="1"/>
  <c r="K284" i="21"/>
  <c r="J341" i="21"/>
  <c r="K341" i="21" s="1"/>
  <c r="M341" i="21" s="1"/>
  <c r="J350" i="21"/>
  <c r="K261" i="21"/>
  <c r="K353" i="21"/>
  <c r="J235" i="21"/>
  <c r="J295" i="21"/>
  <c r="K295" i="21" s="1"/>
  <c r="M295" i="21" s="1"/>
  <c r="J283" i="21"/>
  <c r="K283" i="21" s="1"/>
  <c r="M283" i="21" s="1"/>
  <c r="J310" i="21"/>
  <c r="K310" i="21" s="1"/>
  <c r="M310" i="21" s="1"/>
  <c r="J338" i="21"/>
  <c r="K338" i="21" s="1"/>
  <c r="J367" i="21"/>
  <c r="J354" i="21"/>
  <c r="J379" i="21"/>
  <c r="J405" i="21"/>
  <c r="K405" i="21" s="1"/>
  <c r="S316" i="13"/>
  <c r="K311" i="21"/>
  <c r="M311" i="21" s="1"/>
  <c r="K378" i="21"/>
  <c r="J268" i="21"/>
  <c r="K268" i="21" s="1"/>
  <c r="J260" i="21"/>
  <c r="K260" i="21" s="1"/>
  <c r="M260" i="21" s="1"/>
  <c r="K318" i="21"/>
  <c r="K350" i="21"/>
  <c r="M350" i="21" s="1"/>
  <c r="K360" i="21"/>
  <c r="K352" i="21"/>
  <c r="K385" i="21"/>
  <c r="K377" i="21"/>
  <c r="M377" i="21" s="1"/>
  <c r="M285" i="21"/>
  <c r="M305" i="21"/>
  <c r="M338" i="21"/>
  <c r="M330" i="21"/>
  <c r="M388" i="21"/>
  <c r="M413" i="21"/>
  <c r="J263" i="21"/>
  <c r="K263" i="21" s="1"/>
  <c r="M263" i="21" s="1"/>
  <c r="M327" i="21"/>
  <c r="J250" i="21"/>
  <c r="K250" i="21" s="1"/>
  <c r="M250" i="21" s="1"/>
  <c r="J267" i="21"/>
  <c r="K267" i="21" s="1"/>
  <c r="K317" i="21"/>
  <c r="M317" i="21" s="1"/>
  <c r="K309" i="21"/>
  <c r="K367" i="21"/>
  <c r="M367" i="21" s="1"/>
  <c r="K384" i="21"/>
  <c r="M284" i="21"/>
  <c r="J249" i="21"/>
  <c r="K249" i="21" s="1"/>
  <c r="M249" i="21" s="1"/>
  <c r="J241" i="21"/>
  <c r="K241" i="21" s="1"/>
  <c r="M241" i="21" s="1"/>
  <c r="J274" i="21"/>
  <c r="K274" i="21" s="1"/>
  <c r="M274" i="21" s="1"/>
  <c r="J266" i="21"/>
  <c r="K266" i="21" s="1"/>
  <c r="M266" i="21" s="1"/>
  <c r="J373" i="21"/>
  <c r="J383" i="21"/>
  <c r="J375" i="21"/>
  <c r="K248" i="21"/>
  <c r="M248" i="21" s="1"/>
  <c r="K281" i="21"/>
  <c r="K291" i="21"/>
  <c r="M291" i="21" s="1"/>
  <c r="K316" i="21"/>
  <c r="M316" i="21" s="1"/>
  <c r="K308" i="21"/>
  <c r="M308" i="21" s="1"/>
  <c r="K333" i="21"/>
  <c r="K366" i="21"/>
  <c r="K358" i="21"/>
  <c r="M358" i="21" s="1"/>
  <c r="K373" i="21"/>
  <c r="K383" i="21"/>
  <c r="K375" i="21"/>
  <c r="M375" i="21" s="1"/>
  <c r="K408" i="21"/>
  <c r="M408" i="21" s="1"/>
  <c r="M378" i="21"/>
  <c r="J242" i="21"/>
  <c r="K242" i="21" s="1"/>
  <c r="M242" i="21" s="1"/>
  <c r="K359" i="21"/>
  <c r="M359" i="21" s="1"/>
  <c r="K376" i="21"/>
  <c r="J248" i="21"/>
  <c r="J240" i="21"/>
  <c r="K240" i="21" s="1"/>
  <c r="M240" i="21" s="1"/>
  <c r="J273" i="21"/>
  <c r="K273" i="21" s="1"/>
  <c r="M273" i="21" s="1"/>
  <c r="J265" i="21"/>
  <c r="J298" i="21"/>
  <c r="J290" i="21"/>
  <c r="K290" i="21" s="1"/>
  <c r="M290" i="21" s="1"/>
  <c r="J282" i="21"/>
  <c r="K282" i="21" s="1"/>
  <c r="M282" i="21" s="1"/>
  <c r="J315" i="21"/>
  <c r="J307" i="21"/>
  <c r="J340" i="21"/>
  <c r="K340" i="21" s="1"/>
  <c r="M340" i="21" s="1"/>
  <c r="J332" i="21"/>
  <c r="K332" i="21" s="1"/>
  <c r="M332" i="21" s="1"/>
  <c r="J365" i="21"/>
  <c r="J357" i="21"/>
  <c r="K357" i="21" s="1"/>
  <c r="M357" i="21" s="1"/>
  <c r="J390" i="21"/>
  <c r="K390" i="21" s="1"/>
  <c r="M390" i="21" s="1"/>
  <c r="J382" i="21"/>
  <c r="K382" i="21" s="1"/>
  <c r="M382" i="21" s="1"/>
  <c r="J374" i="21"/>
  <c r="J407" i="21"/>
  <c r="J399" i="21"/>
  <c r="K399" i="21" s="1"/>
  <c r="M399" i="21" s="1"/>
  <c r="K265" i="21"/>
  <c r="M265" i="21" s="1"/>
  <c r="K298" i="21"/>
  <c r="M298" i="21" s="1"/>
  <c r="K315" i="21"/>
  <c r="M315" i="21" s="1"/>
  <c r="K307" i="21"/>
  <c r="K365" i="21"/>
  <c r="M365" i="21" s="1"/>
  <c r="K374" i="21"/>
  <c r="K407" i="21"/>
  <c r="M352" i="21"/>
  <c r="M385" i="21"/>
  <c r="M402" i="21"/>
  <c r="J271" i="21"/>
  <c r="K271" i="21" s="1"/>
  <c r="M271" i="21" s="1"/>
  <c r="J258" i="21"/>
  <c r="K258" i="21" s="1"/>
  <c r="M258" i="21" s="1"/>
  <c r="J275" i="21"/>
  <c r="K275" i="21" s="1"/>
  <c r="M275" i="21" s="1"/>
  <c r="J259" i="21"/>
  <c r="K259" i="21" s="1"/>
  <c r="M259" i="21" s="1"/>
  <c r="J247" i="21"/>
  <c r="K247" i="21" s="1"/>
  <c r="M247" i="21" s="1"/>
  <c r="J239" i="21"/>
  <c r="K239" i="21" s="1"/>
  <c r="M239" i="21" s="1"/>
  <c r="J272" i="21"/>
  <c r="J264" i="21"/>
  <c r="K264" i="21" s="1"/>
  <c r="M264" i="21" s="1"/>
  <c r="J297" i="21"/>
  <c r="K297" i="21" s="1"/>
  <c r="J289" i="21"/>
  <c r="J304" i="21"/>
  <c r="J314" i="21"/>
  <c r="K314" i="21" s="1"/>
  <c r="M314" i="21" s="1"/>
  <c r="J306" i="21"/>
  <c r="K306" i="21" s="1"/>
  <c r="M306" i="21" s="1"/>
  <c r="J339" i="21"/>
  <c r="K339" i="21" s="1"/>
  <c r="M339" i="21" s="1"/>
  <c r="J331" i="21"/>
  <c r="J364" i="21"/>
  <c r="K364" i="21" s="1"/>
  <c r="M364" i="21" s="1"/>
  <c r="J356" i="21"/>
  <c r="K356" i="21" s="1"/>
  <c r="M356" i="21" s="1"/>
  <c r="J389" i="21"/>
  <c r="J381" i="21"/>
  <c r="J396" i="21"/>
  <c r="K396" i="21" s="1"/>
  <c r="M396" i="21" s="1"/>
  <c r="J406" i="21"/>
  <c r="K406" i="21" s="1"/>
  <c r="M406" i="21" s="1"/>
  <c r="J398" i="21"/>
  <c r="K398" i="21" s="1"/>
  <c r="M398" i="21" s="1"/>
  <c r="K246" i="21"/>
  <c r="K272" i="21"/>
  <c r="K289" i="21"/>
  <c r="M289" i="21" s="1"/>
  <c r="K304" i="21"/>
  <c r="M304" i="21" s="1"/>
  <c r="K331" i="21"/>
  <c r="M331" i="21" s="1"/>
  <c r="K389" i="21"/>
  <c r="M389" i="21" s="1"/>
  <c r="K381" i="21"/>
  <c r="M267" i="21"/>
  <c r="M292" i="21"/>
  <c r="M373" i="21"/>
  <c r="M383" i="21"/>
  <c r="M374" i="21"/>
  <c r="K235" i="21"/>
  <c r="M235" i="21" s="1"/>
  <c r="J237" i="21"/>
  <c r="K237" i="21" s="1"/>
  <c r="J270" i="21"/>
  <c r="K270" i="21" s="1"/>
  <c r="M270" i="21" s="1"/>
  <c r="J262" i="21"/>
  <c r="K262" i="21" s="1"/>
  <c r="M262" i="21" s="1"/>
  <c r="K236" i="21"/>
  <c r="M236" i="21" s="1"/>
  <c r="K320" i="21"/>
  <c r="M320" i="21" s="1"/>
  <c r="K312" i="21"/>
  <c r="M312" i="21" s="1"/>
  <c r="K362" i="21"/>
  <c r="M362" i="21" s="1"/>
  <c r="K354" i="21"/>
  <c r="M354" i="21" s="1"/>
  <c r="K379" i="21"/>
  <c r="M379" i="21" s="1"/>
  <c r="M261" i="21"/>
  <c r="M287" i="21"/>
  <c r="M293" i="21"/>
  <c r="J252" i="21"/>
  <c r="K252" i="21" s="1"/>
  <c r="M252" i="21" s="1"/>
  <c r="J244" i="21"/>
  <c r="K244" i="21" s="1"/>
  <c r="M244" i="21" s="1"/>
  <c r="J269" i="21"/>
  <c r="J294" i="21"/>
  <c r="K294" i="21" s="1"/>
  <c r="M294" i="21" s="1"/>
  <c r="J319" i="21"/>
  <c r="K319" i="21" s="1"/>
  <c r="M319" i="21" s="1"/>
  <c r="J344" i="21"/>
  <c r="K344" i="21" s="1"/>
  <c r="M344" i="21" s="1"/>
  <c r="J336" i="21"/>
  <c r="J361" i="21"/>
  <c r="J386" i="21"/>
  <c r="K386" i="21" s="1"/>
  <c r="M386" i="21" s="1"/>
  <c r="J411" i="21"/>
  <c r="K411" i="21" s="1"/>
  <c r="M411" i="21" s="1"/>
  <c r="K251" i="21"/>
  <c r="M251" i="21" s="1"/>
  <c r="K269" i="21"/>
  <c r="M269" i="21" s="1"/>
  <c r="K336" i="21"/>
  <c r="M336" i="21" s="1"/>
  <c r="K361" i="21"/>
  <c r="M361" i="21" s="1"/>
  <c r="M286" i="21"/>
  <c r="M281" i="21"/>
  <c r="L14" i="22"/>
  <c r="L16" i="22" s="1"/>
  <c r="BD37" i="7"/>
  <c r="BQ31" i="7"/>
  <c r="BP31" i="7"/>
  <c r="F24" i="22"/>
  <c r="E24" i="22"/>
  <c r="D24" i="22"/>
  <c r="AE335" i="13"/>
  <c r="D37" i="18" s="1"/>
  <c r="AE331" i="13"/>
  <c r="D33" i="18" s="1"/>
  <c r="AD341" i="13"/>
  <c r="V235" i="21" s="1"/>
  <c r="AE330" i="13"/>
  <c r="D32" i="18" s="1"/>
  <c r="AD373" i="13"/>
  <c r="V265" i="21" s="1"/>
  <c r="AE327" i="13"/>
  <c r="V223" i="21" s="1"/>
  <c r="AD381" i="13"/>
  <c r="V273" i="21" s="1"/>
  <c r="AE323" i="13"/>
  <c r="D25" i="18" s="1"/>
  <c r="AE332" i="13"/>
  <c r="V228" i="21" s="1"/>
  <c r="AE324" i="13"/>
  <c r="V220" i="21" s="1"/>
  <c r="AD372" i="13"/>
  <c r="V264" i="21" s="1"/>
  <c r="AD380" i="13"/>
  <c r="V272" i="21" s="1"/>
  <c r="AD366" i="13"/>
  <c r="V258" i="21" s="1"/>
  <c r="AD374" i="13"/>
  <c r="V266" i="21" s="1"/>
  <c r="AD382" i="13"/>
  <c r="AE329" i="13"/>
  <c r="D31" i="18" s="1"/>
  <c r="AE321" i="13"/>
  <c r="D23" i="18" s="1"/>
  <c r="AD367" i="13"/>
  <c r="V259" i="21" s="1"/>
  <c r="AD375" i="13"/>
  <c r="V267" i="21" s="1"/>
  <c r="AD383" i="13"/>
  <c r="AE328" i="13"/>
  <c r="D30" i="18" s="1"/>
  <c r="AE320" i="13"/>
  <c r="D22" i="18" s="1"/>
  <c r="AD368" i="13"/>
  <c r="V260" i="21" s="1"/>
  <c r="AD376" i="13"/>
  <c r="V268" i="21" s="1"/>
  <c r="AD384" i="13"/>
  <c r="W283" i="21" s="1"/>
  <c r="AD369" i="13"/>
  <c r="V261" i="21" s="1"/>
  <c r="AD377" i="13"/>
  <c r="V269" i="21" s="1"/>
  <c r="AD385" i="13"/>
  <c r="W284" i="21" s="1"/>
  <c r="AE334" i="13"/>
  <c r="D36" i="18" s="1"/>
  <c r="AE326" i="13"/>
  <c r="V222" i="21" s="1"/>
  <c r="AE318" i="13"/>
  <c r="V214" i="21" s="1"/>
  <c r="AD370" i="13"/>
  <c r="V262" i="21" s="1"/>
  <c r="AD378" i="13"/>
  <c r="V270" i="21" s="1"/>
  <c r="AE333" i="13"/>
  <c r="V229" i="21" s="1"/>
  <c r="AE325" i="13"/>
  <c r="V221" i="21" s="1"/>
  <c r="AE317" i="13"/>
  <c r="V213" i="21" s="1"/>
  <c r="AD371" i="13"/>
  <c r="V263" i="21" s="1"/>
  <c r="AD379" i="13"/>
  <c r="V271" i="21" s="1"/>
  <c r="V218" i="21"/>
  <c r="V238" i="21"/>
  <c r="M309" i="21"/>
  <c r="M313" i="21"/>
  <c r="M237" i="21"/>
  <c r="M355" i="21"/>
  <c r="M363" i="21"/>
  <c r="M376" i="21"/>
  <c r="M360" i="21"/>
  <c r="M405" i="21"/>
  <c r="M409" i="21"/>
  <c r="M381" i="21"/>
  <c r="M353" i="21"/>
  <c r="M318" i="21"/>
  <c r="M333" i="21"/>
  <c r="M321" i="21"/>
  <c r="M328" i="21"/>
  <c r="L297" i="21"/>
  <c r="M307" i="21"/>
  <c r="M268" i="21"/>
  <c r="M272" i="21"/>
  <c r="M246" i="21"/>
  <c r="M243" i="21"/>
  <c r="M407" i="21"/>
  <c r="M412" i="21"/>
  <c r="M404" i="21"/>
  <c r="M384" i="21"/>
  <c r="M366" i="21"/>
  <c r="M343" i="21"/>
  <c r="M335" i="21"/>
  <c r="M380" i="21"/>
  <c r="AD358" i="13"/>
  <c r="AD343" i="13"/>
  <c r="AD359" i="13"/>
  <c r="AE359" i="13" s="1"/>
  <c r="AD356" i="13"/>
  <c r="AD351" i="13"/>
  <c r="AD350" i="13"/>
  <c r="AD342" i="13"/>
  <c r="AD348" i="13"/>
  <c r="AD357" i="13"/>
  <c r="AD349" i="13"/>
  <c r="AD355" i="13"/>
  <c r="AD347" i="13"/>
  <c r="AD354" i="13"/>
  <c r="AD346" i="13"/>
  <c r="AD353" i="13"/>
  <c r="AD345" i="13"/>
  <c r="AD360" i="13"/>
  <c r="AE360" i="13" s="1"/>
  <c r="AD352" i="13"/>
  <c r="AM336" i="13"/>
  <c r="AK33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16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491" i="13"/>
  <c r="I466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41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16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391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66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41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16" i="13"/>
  <c r="O214" i="21"/>
  <c r="O215" i="21"/>
  <c r="O222" i="21"/>
  <c r="O223" i="21"/>
  <c r="O212" i="21"/>
  <c r="N229" i="21"/>
  <c r="S206" i="21"/>
  <c r="L218" i="21"/>
  <c r="M218" i="21" s="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74" i="21"/>
  <c r="B168" i="21" s="1"/>
  <c r="B190" i="21" s="1"/>
  <c r="K218" i="21"/>
  <c r="K220" i="21"/>
  <c r="K221" i="21"/>
  <c r="K228" i="21"/>
  <c r="J213" i="21"/>
  <c r="K213" i="21" s="1"/>
  <c r="J214" i="21"/>
  <c r="K214" i="21" s="1"/>
  <c r="J215" i="21"/>
  <c r="J216" i="21"/>
  <c r="K216" i="21" s="1"/>
  <c r="J217" i="21"/>
  <c r="K217" i="21" s="1"/>
  <c r="J218" i="21"/>
  <c r="J219" i="21"/>
  <c r="K219" i="21" s="1"/>
  <c r="J220" i="21"/>
  <c r="J221" i="21"/>
  <c r="J222" i="21"/>
  <c r="K222" i="21" s="1"/>
  <c r="J223" i="21"/>
  <c r="K223" i="21" s="1"/>
  <c r="J224" i="21"/>
  <c r="K224" i="21" s="1"/>
  <c r="J225" i="21"/>
  <c r="K225" i="21" s="1"/>
  <c r="J226" i="21"/>
  <c r="K226" i="21" s="1"/>
  <c r="J227" i="21"/>
  <c r="K227" i="21" s="1"/>
  <c r="J228" i="21"/>
  <c r="J229" i="21"/>
  <c r="K229" i="21" s="1"/>
  <c r="I229" i="21"/>
  <c r="I228" i="21"/>
  <c r="I227" i="21"/>
  <c r="I226" i="21"/>
  <c r="I225" i="21"/>
  <c r="I224" i="21"/>
  <c r="I223" i="21"/>
  <c r="I222" i="21"/>
  <c r="I221" i="21"/>
  <c r="I220" i="21"/>
  <c r="I219" i="21"/>
  <c r="I218" i="21"/>
  <c r="I217" i="21"/>
  <c r="I216" i="21"/>
  <c r="I215" i="21"/>
  <c r="I214" i="21"/>
  <c r="I213" i="21"/>
  <c r="I212" i="21"/>
  <c r="B142" i="21"/>
  <c r="I206" i="21" s="1"/>
  <c r="S277" i="13"/>
  <c r="T321" i="13"/>
  <c r="T329" i="13"/>
  <c r="E124" i="21"/>
  <c r="B122" i="21" s="1"/>
  <c r="N23" i="21"/>
  <c r="B106" i="21"/>
  <c r="I94" i="21"/>
  <c r="J94" i="21" s="1"/>
  <c r="I95" i="21"/>
  <c r="J95" i="21" s="1"/>
  <c r="I96" i="21"/>
  <c r="J96" i="21" s="1"/>
  <c r="I97" i="21"/>
  <c r="J97" i="21" s="1"/>
  <c r="I98" i="21"/>
  <c r="J98" i="21" s="1"/>
  <c r="I99" i="21"/>
  <c r="J99" i="21" s="1"/>
  <c r="I100" i="21"/>
  <c r="J100" i="21" s="1"/>
  <c r="I101" i="21"/>
  <c r="J101" i="21" s="1"/>
  <c r="I102" i="21"/>
  <c r="J102" i="21" s="1"/>
  <c r="I103" i="21"/>
  <c r="J103" i="21" s="1"/>
  <c r="I104" i="21"/>
  <c r="J104" i="21" s="1"/>
  <c r="I105" i="21"/>
  <c r="J105" i="21" s="1"/>
  <c r="I106" i="21"/>
  <c r="J106" i="21" s="1"/>
  <c r="I107" i="21"/>
  <c r="J107" i="21" s="1"/>
  <c r="I108" i="21"/>
  <c r="J108" i="21" s="1"/>
  <c r="I109" i="21"/>
  <c r="J109" i="21" s="1"/>
  <c r="I110" i="21"/>
  <c r="J110" i="21" s="1"/>
  <c r="I93" i="21"/>
  <c r="J93" i="21" s="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93" i="21"/>
  <c r="B86" i="21"/>
  <c r="M416" i="13"/>
  <c r="B36" i="21"/>
  <c r="M25" i="21"/>
  <c r="L23" i="21"/>
  <c r="P23" i="21" s="1"/>
  <c r="B56" i="21"/>
  <c r="H23" i="21"/>
  <c r="J23" i="21" s="1"/>
  <c r="H24" i="21"/>
  <c r="J24" i="21" s="1"/>
  <c r="H25" i="21"/>
  <c r="J25" i="21" s="1"/>
  <c r="H26" i="21"/>
  <c r="J26" i="21" s="1"/>
  <c r="H27" i="21"/>
  <c r="J27" i="21" s="1"/>
  <c r="H28" i="21"/>
  <c r="J28" i="21" s="1"/>
  <c r="H29" i="21"/>
  <c r="J29" i="21" s="1"/>
  <c r="H30" i="21"/>
  <c r="H31" i="21"/>
  <c r="J31" i="21" s="1"/>
  <c r="H32" i="21"/>
  <c r="J32" i="21" s="1"/>
  <c r="H22" i="21"/>
  <c r="J22" i="21" s="1"/>
  <c r="B37" i="21"/>
  <c r="B53" i="21"/>
  <c r="B52" i="21"/>
  <c r="W301" i="13"/>
  <c r="B34" i="13"/>
  <c r="U307" i="13"/>
  <c r="U305" i="13"/>
  <c r="U301" i="13"/>
  <c r="U300" i="13"/>
  <c r="K316" i="13"/>
  <c r="L316" i="13" s="1"/>
  <c r="Q318" i="13"/>
  <c r="W335" i="13"/>
  <c r="U335" i="13"/>
  <c r="Q335" i="13"/>
  <c r="R335" i="13" s="1"/>
  <c r="K335" i="13"/>
  <c r="L335" i="13" s="1"/>
  <c r="H335" i="13"/>
  <c r="W334" i="13"/>
  <c r="U334" i="13"/>
  <c r="Q334" i="13"/>
  <c r="R334" i="13" s="1"/>
  <c r="T334" i="13" s="1"/>
  <c r="K334" i="13"/>
  <c r="L334" i="13" s="1"/>
  <c r="H334" i="13"/>
  <c r="W333" i="13"/>
  <c r="U333" i="13"/>
  <c r="R333" i="13"/>
  <c r="Q333" i="13"/>
  <c r="K333" i="13"/>
  <c r="L333" i="13" s="1"/>
  <c r="O229" i="21" s="1"/>
  <c r="H333" i="13"/>
  <c r="T333" i="13" s="1"/>
  <c r="W332" i="13"/>
  <c r="U332" i="13"/>
  <c r="Q332" i="13"/>
  <c r="R332" i="13" s="1"/>
  <c r="K332" i="13"/>
  <c r="L332" i="13" s="1"/>
  <c r="O228" i="21" s="1"/>
  <c r="H332" i="13"/>
  <c r="W331" i="13"/>
  <c r="U331" i="13"/>
  <c r="Q331" i="13"/>
  <c r="R331" i="13" s="1"/>
  <c r="K331" i="13"/>
  <c r="L331" i="13" s="1"/>
  <c r="O227" i="21" s="1"/>
  <c r="H331" i="13"/>
  <c r="W330" i="13"/>
  <c r="U330" i="13"/>
  <c r="Q330" i="13"/>
  <c r="R330" i="13" s="1"/>
  <c r="T330" i="13" s="1"/>
  <c r="K330" i="13"/>
  <c r="L330" i="13" s="1"/>
  <c r="O226" i="21" s="1"/>
  <c r="H330" i="13"/>
  <c r="W329" i="13"/>
  <c r="U329" i="13"/>
  <c r="Q329" i="13"/>
  <c r="R329" i="13" s="1"/>
  <c r="K329" i="13"/>
  <c r="L329" i="13" s="1"/>
  <c r="O225" i="21" s="1"/>
  <c r="H329" i="13"/>
  <c r="N225" i="21" s="1"/>
  <c r="W328" i="13"/>
  <c r="U328" i="13"/>
  <c r="Q328" i="13"/>
  <c r="R328" i="13" s="1"/>
  <c r="K328" i="13"/>
  <c r="L328" i="13" s="1"/>
  <c r="O224" i="21" s="1"/>
  <c r="H328" i="13"/>
  <c r="W327" i="13"/>
  <c r="U327" i="13"/>
  <c r="Q327" i="13"/>
  <c r="R327" i="13" s="1"/>
  <c r="K327" i="13"/>
  <c r="L327" i="13" s="1"/>
  <c r="H327" i="13"/>
  <c r="W326" i="13"/>
  <c r="U326" i="13"/>
  <c r="Q326" i="13"/>
  <c r="R326" i="13" s="1"/>
  <c r="N222" i="21" s="1"/>
  <c r="K326" i="13"/>
  <c r="L326" i="13" s="1"/>
  <c r="H326" i="13"/>
  <c r="W325" i="13"/>
  <c r="U325" i="13"/>
  <c r="R325" i="13"/>
  <c r="Q325" i="13"/>
  <c r="K325" i="13"/>
  <c r="L325" i="13" s="1"/>
  <c r="O221" i="21" s="1"/>
  <c r="H325" i="13"/>
  <c r="W324" i="13"/>
  <c r="U324" i="13"/>
  <c r="Q324" i="13"/>
  <c r="R324" i="13" s="1"/>
  <c r="K324" i="13"/>
  <c r="L324" i="13" s="1"/>
  <c r="O220" i="21" s="1"/>
  <c r="H324" i="13"/>
  <c r="W323" i="13"/>
  <c r="U323" i="13"/>
  <c r="Q323" i="13"/>
  <c r="R323" i="13" s="1"/>
  <c r="K323" i="13"/>
  <c r="L323" i="13" s="1"/>
  <c r="O219" i="21" s="1"/>
  <c r="H323" i="13"/>
  <c r="W322" i="13"/>
  <c r="U322" i="13"/>
  <c r="Q322" i="13"/>
  <c r="R322" i="13" s="1"/>
  <c r="T322" i="13" s="1"/>
  <c r="K322" i="13"/>
  <c r="L322" i="13" s="1"/>
  <c r="O218" i="21" s="1"/>
  <c r="H322" i="13"/>
  <c r="W321" i="13"/>
  <c r="U321" i="13"/>
  <c r="Q321" i="13"/>
  <c r="R321" i="13" s="1"/>
  <c r="K321" i="13"/>
  <c r="L321" i="13" s="1"/>
  <c r="O217" i="21" s="1"/>
  <c r="H321" i="13"/>
  <c r="N217" i="21" s="1"/>
  <c r="W320" i="13"/>
  <c r="U320" i="13"/>
  <c r="Q320" i="13"/>
  <c r="R320" i="13" s="1"/>
  <c r="K320" i="13"/>
  <c r="L320" i="13" s="1"/>
  <c r="O216" i="21" s="1"/>
  <c r="H320" i="13"/>
  <c r="W319" i="13"/>
  <c r="U319" i="13"/>
  <c r="H319" i="13"/>
  <c r="W318" i="13"/>
  <c r="U318" i="13"/>
  <c r="R318" i="13"/>
  <c r="N214" i="21" s="1"/>
  <c r="K318" i="13"/>
  <c r="L318" i="13" s="1"/>
  <c r="H318" i="13"/>
  <c r="W317" i="13"/>
  <c r="U317" i="13"/>
  <c r="Q317" i="13"/>
  <c r="R317" i="13" s="1"/>
  <c r="K317" i="13"/>
  <c r="L317" i="13" s="1"/>
  <c r="O213" i="21" s="1"/>
  <c r="H317" i="13"/>
  <c r="W316" i="13"/>
  <c r="U316" i="13"/>
  <c r="Q316" i="13"/>
  <c r="R316" i="13" s="1"/>
  <c r="V360" i="13"/>
  <c r="T360" i="13"/>
  <c r="Q360" i="13"/>
  <c r="R360" i="13" s="1"/>
  <c r="K360" i="13"/>
  <c r="L360" i="13" s="1"/>
  <c r="H360" i="13"/>
  <c r="V359" i="13"/>
  <c r="T359" i="13"/>
  <c r="Q359" i="13"/>
  <c r="R359" i="13" s="1"/>
  <c r="K359" i="13"/>
  <c r="L359" i="13" s="1"/>
  <c r="H359" i="13"/>
  <c r="V358" i="13"/>
  <c r="T358" i="13"/>
  <c r="Q358" i="13"/>
  <c r="R358" i="13" s="1"/>
  <c r="K358" i="13"/>
  <c r="L358" i="13" s="1"/>
  <c r="H358" i="13"/>
  <c r="V357" i="13"/>
  <c r="T357" i="13"/>
  <c r="Q357" i="13"/>
  <c r="R357" i="13" s="1"/>
  <c r="K357" i="13"/>
  <c r="L357" i="13" s="1"/>
  <c r="H357" i="13"/>
  <c r="V356" i="13"/>
  <c r="T356" i="13"/>
  <c r="Q356" i="13"/>
  <c r="R356" i="13" s="1"/>
  <c r="K356" i="13"/>
  <c r="L356" i="13" s="1"/>
  <c r="H356" i="13"/>
  <c r="V355" i="13"/>
  <c r="T355" i="13"/>
  <c r="Q355" i="13"/>
  <c r="R355" i="13" s="1"/>
  <c r="K355" i="13"/>
  <c r="L355" i="13" s="1"/>
  <c r="H355" i="13"/>
  <c r="V354" i="13"/>
  <c r="T354" i="13"/>
  <c r="Q354" i="13"/>
  <c r="R354" i="13" s="1"/>
  <c r="K354" i="13"/>
  <c r="L354" i="13" s="1"/>
  <c r="H354" i="13"/>
  <c r="V353" i="13"/>
  <c r="T353" i="13"/>
  <c r="Q353" i="13"/>
  <c r="R353" i="13" s="1"/>
  <c r="K353" i="13"/>
  <c r="L353" i="13" s="1"/>
  <c r="H353" i="13"/>
  <c r="V352" i="13"/>
  <c r="T352" i="13"/>
  <c r="Q352" i="13"/>
  <c r="R352" i="13" s="1"/>
  <c r="K352" i="13"/>
  <c r="L352" i="13" s="1"/>
  <c r="H352" i="13"/>
  <c r="V351" i="13"/>
  <c r="T351" i="13"/>
  <c r="Q351" i="13"/>
  <c r="R351" i="13" s="1"/>
  <c r="K351" i="13"/>
  <c r="L351" i="13" s="1"/>
  <c r="H351" i="13"/>
  <c r="V350" i="13"/>
  <c r="T350" i="13"/>
  <c r="R350" i="13"/>
  <c r="Q350" i="13"/>
  <c r="K350" i="13"/>
  <c r="L350" i="13" s="1"/>
  <c r="H350" i="13"/>
  <c r="V349" i="13"/>
  <c r="T349" i="13"/>
  <c r="Q349" i="13"/>
  <c r="R349" i="13" s="1"/>
  <c r="K349" i="13"/>
  <c r="L349" i="13" s="1"/>
  <c r="H349" i="13"/>
  <c r="V348" i="13"/>
  <c r="T348" i="13"/>
  <c r="Q348" i="13"/>
  <c r="R348" i="13" s="1"/>
  <c r="K348" i="13"/>
  <c r="L348" i="13" s="1"/>
  <c r="H348" i="13"/>
  <c r="V347" i="13"/>
  <c r="T347" i="13"/>
  <c r="Q347" i="13"/>
  <c r="R347" i="13" s="1"/>
  <c r="K347" i="13"/>
  <c r="L347" i="13" s="1"/>
  <c r="H347" i="13"/>
  <c r="V346" i="13"/>
  <c r="T346" i="13"/>
  <c r="Q346" i="13"/>
  <c r="R346" i="13" s="1"/>
  <c r="K346" i="13"/>
  <c r="L346" i="13" s="1"/>
  <c r="H346" i="13"/>
  <c r="V345" i="13"/>
  <c r="T345" i="13"/>
  <c r="Q345" i="13"/>
  <c r="R345" i="13" s="1"/>
  <c r="K345" i="13"/>
  <c r="L345" i="13" s="1"/>
  <c r="H345" i="13"/>
  <c r="V344" i="13"/>
  <c r="T344" i="13"/>
  <c r="Q344" i="13"/>
  <c r="R344" i="13" s="1"/>
  <c r="K344" i="13"/>
  <c r="L344" i="13" s="1"/>
  <c r="H344" i="13"/>
  <c r="V343" i="13"/>
  <c r="T343" i="13"/>
  <c r="Q343" i="13"/>
  <c r="R343" i="13" s="1"/>
  <c r="K343" i="13"/>
  <c r="L343" i="13" s="1"/>
  <c r="H343" i="13"/>
  <c r="V342" i="13"/>
  <c r="T342" i="13"/>
  <c r="Q342" i="13"/>
  <c r="R342" i="13" s="1"/>
  <c r="K342" i="13"/>
  <c r="L342" i="13" s="1"/>
  <c r="H342" i="13"/>
  <c r="V341" i="13"/>
  <c r="T341" i="13"/>
  <c r="Q341" i="13"/>
  <c r="R341" i="13" s="1"/>
  <c r="K341" i="13"/>
  <c r="L341" i="13" s="1"/>
  <c r="H341" i="13"/>
  <c r="V385" i="13"/>
  <c r="T385" i="13"/>
  <c r="Q385" i="13"/>
  <c r="R385" i="13" s="1"/>
  <c r="K385" i="13"/>
  <c r="L385" i="13" s="1"/>
  <c r="H385" i="13"/>
  <c r="V384" i="13"/>
  <c r="T384" i="13"/>
  <c r="Q384" i="13"/>
  <c r="R384" i="13" s="1"/>
  <c r="K384" i="13"/>
  <c r="L384" i="13" s="1"/>
  <c r="H384" i="13"/>
  <c r="V383" i="13"/>
  <c r="T383" i="13"/>
  <c r="Q383" i="13"/>
  <c r="R383" i="13" s="1"/>
  <c r="K383" i="13"/>
  <c r="L383" i="13" s="1"/>
  <c r="H383" i="13"/>
  <c r="V382" i="13"/>
  <c r="T382" i="13"/>
  <c r="Q382" i="13"/>
  <c r="R382" i="13" s="1"/>
  <c r="K382" i="13"/>
  <c r="L382" i="13" s="1"/>
  <c r="H382" i="13"/>
  <c r="V381" i="13"/>
  <c r="T381" i="13"/>
  <c r="Q381" i="13"/>
  <c r="R381" i="13" s="1"/>
  <c r="K381" i="13"/>
  <c r="L381" i="13" s="1"/>
  <c r="H381" i="13"/>
  <c r="V380" i="13"/>
  <c r="T380" i="13"/>
  <c r="Q380" i="13"/>
  <c r="R380" i="13" s="1"/>
  <c r="K380" i="13"/>
  <c r="L380" i="13" s="1"/>
  <c r="H380" i="13"/>
  <c r="V379" i="13"/>
  <c r="T379" i="13"/>
  <c r="Q379" i="13"/>
  <c r="R379" i="13" s="1"/>
  <c r="K379" i="13"/>
  <c r="L379" i="13" s="1"/>
  <c r="H379" i="13"/>
  <c r="V378" i="13"/>
  <c r="T378" i="13"/>
  <c r="Q378" i="13"/>
  <c r="R378" i="13" s="1"/>
  <c r="K378" i="13"/>
  <c r="L378" i="13" s="1"/>
  <c r="H378" i="13"/>
  <c r="V377" i="13"/>
  <c r="T377" i="13"/>
  <c r="Q377" i="13"/>
  <c r="R377" i="13" s="1"/>
  <c r="K377" i="13"/>
  <c r="L377" i="13" s="1"/>
  <c r="H377" i="13"/>
  <c r="V376" i="13"/>
  <c r="T376" i="13"/>
  <c r="Q376" i="13"/>
  <c r="R376" i="13" s="1"/>
  <c r="K376" i="13"/>
  <c r="L376" i="13" s="1"/>
  <c r="H376" i="13"/>
  <c r="V375" i="13"/>
  <c r="T375" i="13"/>
  <c r="Q375" i="13"/>
  <c r="R375" i="13" s="1"/>
  <c r="K375" i="13"/>
  <c r="L375" i="13" s="1"/>
  <c r="H375" i="13"/>
  <c r="V374" i="13"/>
  <c r="T374" i="13"/>
  <c r="Q374" i="13"/>
  <c r="R374" i="13" s="1"/>
  <c r="K374" i="13"/>
  <c r="L374" i="13" s="1"/>
  <c r="H374" i="13"/>
  <c r="V373" i="13"/>
  <c r="T373" i="13"/>
  <c r="Q373" i="13"/>
  <c r="R373" i="13" s="1"/>
  <c r="K373" i="13"/>
  <c r="L373" i="13" s="1"/>
  <c r="H373" i="13"/>
  <c r="V372" i="13"/>
  <c r="T372" i="13"/>
  <c r="Q372" i="13"/>
  <c r="R372" i="13" s="1"/>
  <c r="K372" i="13"/>
  <c r="L372" i="13" s="1"/>
  <c r="H372" i="13"/>
  <c r="V371" i="13"/>
  <c r="T371" i="13"/>
  <c r="Q371" i="13"/>
  <c r="R371" i="13" s="1"/>
  <c r="K371" i="13"/>
  <c r="L371" i="13" s="1"/>
  <c r="H371" i="13"/>
  <c r="V370" i="13"/>
  <c r="T370" i="13"/>
  <c r="Q370" i="13"/>
  <c r="R370" i="13" s="1"/>
  <c r="K370" i="13"/>
  <c r="L370" i="13" s="1"/>
  <c r="H370" i="13"/>
  <c r="V369" i="13"/>
  <c r="T369" i="13"/>
  <c r="Q369" i="13"/>
  <c r="R369" i="13" s="1"/>
  <c r="K369" i="13"/>
  <c r="L369" i="13" s="1"/>
  <c r="H369" i="13"/>
  <c r="V368" i="13"/>
  <c r="T368" i="13"/>
  <c r="Q368" i="13"/>
  <c r="R368" i="13" s="1"/>
  <c r="K368" i="13"/>
  <c r="L368" i="13" s="1"/>
  <c r="H368" i="13"/>
  <c r="V367" i="13"/>
  <c r="T367" i="13"/>
  <c r="Q367" i="13"/>
  <c r="R367" i="13" s="1"/>
  <c r="K367" i="13"/>
  <c r="L367" i="13" s="1"/>
  <c r="H367" i="13"/>
  <c r="V366" i="13"/>
  <c r="T366" i="13"/>
  <c r="R366" i="13"/>
  <c r="Q366" i="13"/>
  <c r="K366" i="13"/>
  <c r="L366" i="13" s="1"/>
  <c r="H366" i="13"/>
  <c r="H391" i="13"/>
  <c r="K391" i="13"/>
  <c r="L391" i="13" s="1"/>
  <c r="Q391" i="13"/>
  <c r="R391" i="13" s="1"/>
  <c r="T391" i="13"/>
  <c r="V391" i="13"/>
  <c r="H392" i="13"/>
  <c r="K392" i="13"/>
  <c r="L392" i="13" s="1"/>
  <c r="Q392" i="13"/>
  <c r="R392" i="13"/>
  <c r="T392" i="13"/>
  <c r="V392" i="13"/>
  <c r="V410" i="13"/>
  <c r="T410" i="13"/>
  <c r="Q410" i="13"/>
  <c r="R410" i="13" s="1"/>
  <c r="K410" i="13"/>
  <c r="L410" i="13" s="1"/>
  <c r="H410" i="13"/>
  <c r="V409" i="13"/>
  <c r="T409" i="13"/>
  <c r="Q409" i="13"/>
  <c r="R409" i="13" s="1"/>
  <c r="K409" i="13"/>
  <c r="L409" i="13" s="1"/>
  <c r="H409" i="13"/>
  <c r="V408" i="13"/>
  <c r="T408" i="13"/>
  <c r="Q408" i="13"/>
  <c r="R408" i="13" s="1"/>
  <c r="K408" i="13"/>
  <c r="L408" i="13" s="1"/>
  <c r="H408" i="13"/>
  <c r="V407" i="13"/>
  <c r="T407" i="13"/>
  <c r="Q407" i="13"/>
  <c r="R407" i="13" s="1"/>
  <c r="K407" i="13"/>
  <c r="L407" i="13" s="1"/>
  <c r="H407" i="13"/>
  <c r="V406" i="13"/>
  <c r="T406" i="13"/>
  <c r="Q406" i="13"/>
  <c r="R406" i="13" s="1"/>
  <c r="K406" i="13"/>
  <c r="L406" i="13" s="1"/>
  <c r="H406" i="13"/>
  <c r="V405" i="13"/>
  <c r="T405" i="13"/>
  <c r="Q405" i="13"/>
  <c r="R405" i="13" s="1"/>
  <c r="K405" i="13"/>
  <c r="L405" i="13" s="1"/>
  <c r="H405" i="13"/>
  <c r="V404" i="13"/>
  <c r="T404" i="13"/>
  <c r="Q404" i="13"/>
  <c r="R404" i="13" s="1"/>
  <c r="K404" i="13"/>
  <c r="L404" i="13" s="1"/>
  <c r="H404" i="13"/>
  <c r="V403" i="13"/>
  <c r="T403" i="13"/>
  <c r="Q403" i="13"/>
  <c r="R403" i="13" s="1"/>
  <c r="K403" i="13"/>
  <c r="L403" i="13" s="1"/>
  <c r="H403" i="13"/>
  <c r="V402" i="13"/>
  <c r="T402" i="13"/>
  <c r="Q402" i="13"/>
  <c r="R402" i="13" s="1"/>
  <c r="K402" i="13"/>
  <c r="L402" i="13" s="1"/>
  <c r="H402" i="13"/>
  <c r="V401" i="13"/>
  <c r="T401" i="13"/>
  <c r="Q401" i="13"/>
  <c r="R401" i="13" s="1"/>
  <c r="K401" i="13"/>
  <c r="L401" i="13" s="1"/>
  <c r="H401" i="13"/>
  <c r="V400" i="13"/>
  <c r="T400" i="13"/>
  <c r="Q400" i="13"/>
  <c r="R400" i="13" s="1"/>
  <c r="K400" i="13"/>
  <c r="L400" i="13" s="1"/>
  <c r="H400" i="13"/>
  <c r="V399" i="13"/>
  <c r="T399" i="13"/>
  <c r="Q399" i="13"/>
  <c r="R399" i="13" s="1"/>
  <c r="K399" i="13"/>
  <c r="L399" i="13" s="1"/>
  <c r="H399" i="13"/>
  <c r="V398" i="13"/>
  <c r="T398" i="13"/>
  <c r="Q398" i="13"/>
  <c r="R398" i="13" s="1"/>
  <c r="K398" i="13"/>
  <c r="L398" i="13" s="1"/>
  <c r="H398" i="13"/>
  <c r="V397" i="13"/>
  <c r="T397" i="13"/>
  <c r="Q397" i="13"/>
  <c r="R397" i="13" s="1"/>
  <c r="K397" i="13"/>
  <c r="L397" i="13" s="1"/>
  <c r="H397" i="13"/>
  <c r="V396" i="13"/>
  <c r="T396" i="13"/>
  <c r="R396" i="13"/>
  <c r="Q396" i="13"/>
  <c r="K396" i="13"/>
  <c r="L396" i="13" s="1"/>
  <c r="H396" i="13"/>
  <c r="V395" i="13"/>
  <c r="T395" i="13"/>
  <c r="R395" i="13"/>
  <c r="Q395" i="13"/>
  <c r="K395" i="13"/>
  <c r="L395" i="13" s="1"/>
  <c r="H395" i="13"/>
  <c r="V394" i="13"/>
  <c r="T394" i="13"/>
  <c r="Q394" i="13"/>
  <c r="R394" i="13" s="1"/>
  <c r="K394" i="13"/>
  <c r="L394" i="13" s="1"/>
  <c r="H394" i="13"/>
  <c r="V393" i="13"/>
  <c r="T393" i="13"/>
  <c r="Q393" i="13"/>
  <c r="R393" i="13" s="1"/>
  <c r="K393" i="13"/>
  <c r="L393" i="13" s="1"/>
  <c r="H393" i="13"/>
  <c r="V435" i="13"/>
  <c r="T435" i="13"/>
  <c r="Q435" i="13"/>
  <c r="R435" i="13" s="1"/>
  <c r="K435" i="13"/>
  <c r="L435" i="13" s="1"/>
  <c r="H435" i="13"/>
  <c r="V434" i="13"/>
  <c r="T434" i="13"/>
  <c r="Q434" i="13"/>
  <c r="R434" i="13" s="1"/>
  <c r="K434" i="13"/>
  <c r="L434" i="13" s="1"/>
  <c r="H434" i="13"/>
  <c r="V433" i="13"/>
  <c r="T433" i="13"/>
  <c r="Q433" i="13"/>
  <c r="R433" i="13" s="1"/>
  <c r="K433" i="13"/>
  <c r="L433" i="13" s="1"/>
  <c r="H433" i="13"/>
  <c r="V432" i="13"/>
  <c r="T432" i="13"/>
  <c r="Q432" i="13"/>
  <c r="R432" i="13" s="1"/>
  <c r="K432" i="13"/>
  <c r="L432" i="13" s="1"/>
  <c r="H432" i="13"/>
  <c r="V431" i="13"/>
  <c r="T431" i="13"/>
  <c r="Q431" i="13"/>
  <c r="R431" i="13" s="1"/>
  <c r="K431" i="13"/>
  <c r="L431" i="13" s="1"/>
  <c r="H431" i="13"/>
  <c r="V430" i="13"/>
  <c r="T430" i="13"/>
  <c r="Q430" i="13"/>
  <c r="R430" i="13" s="1"/>
  <c r="K430" i="13"/>
  <c r="L430" i="13" s="1"/>
  <c r="H430" i="13"/>
  <c r="V429" i="13"/>
  <c r="T429" i="13"/>
  <c r="Q429" i="13"/>
  <c r="R429" i="13" s="1"/>
  <c r="K429" i="13"/>
  <c r="L429" i="13" s="1"/>
  <c r="H429" i="13"/>
  <c r="V428" i="13"/>
  <c r="T428" i="13"/>
  <c r="R428" i="13"/>
  <c r="Q428" i="13"/>
  <c r="K428" i="13"/>
  <c r="L428" i="13" s="1"/>
  <c r="H428" i="13"/>
  <c r="V427" i="13"/>
  <c r="T427" i="13"/>
  <c r="Q427" i="13"/>
  <c r="R427" i="13" s="1"/>
  <c r="K427" i="13"/>
  <c r="L427" i="13" s="1"/>
  <c r="H427" i="13"/>
  <c r="V426" i="13"/>
  <c r="T426" i="13"/>
  <c r="Q426" i="13"/>
  <c r="R426" i="13" s="1"/>
  <c r="K426" i="13"/>
  <c r="L426" i="13" s="1"/>
  <c r="H426" i="13"/>
  <c r="V425" i="13"/>
  <c r="T425" i="13"/>
  <c r="Q425" i="13"/>
  <c r="R425" i="13" s="1"/>
  <c r="K425" i="13"/>
  <c r="L425" i="13" s="1"/>
  <c r="H425" i="13"/>
  <c r="V424" i="13"/>
  <c r="T424" i="13"/>
  <c r="Q424" i="13"/>
  <c r="R424" i="13" s="1"/>
  <c r="K424" i="13"/>
  <c r="L424" i="13" s="1"/>
  <c r="H424" i="13"/>
  <c r="V423" i="13"/>
  <c r="T423" i="13"/>
  <c r="Q423" i="13"/>
  <c r="R423" i="13" s="1"/>
  <c r="K423" i="13"/>
  <c r="L423" i="13" s="1"/>
  <c r="H423" i="13"/>
  <c r="V422" i="13"/>
  <c r="T422" i="13"/>
  <c r="Q422" i="13"/>
  <c r="R422" i="13" s="1"/>
  <c r="K422" i="13"/>
  <c r="L422" i="13" s="1"/>
  <c r="H422" i="13"/>
  <c r="V421" i="13"/>
  <c r="T421" i="13"/>
  <c r="Q421" i="13"/>
  <c r="R421" i="13" s="1"/>
  <c r="K421" i="13"/>
  <c r="L421" i="13" s="1"/>
  <c r="H421" i="13"/>
  <c r="V420" i="13"/>
  <c r="T420" i="13"/>
  <c r="Q420" i="13"/>
  <c r="R420" i="13" s="1"/>
  <c r="K420" i="13"/>
  <c r="L420" i="13" s="1"/>
  <c r="H420" i="13"/>
  <c r="V419" i="13"/>
  <c r="T419" i="13"/>
  <c r="Q419" i="13"/>
  <c r="R419" i="13" s="1"/>
  <c r="K419" i="13"/>
  <c r="L419" i="13" s="1"/>
  <c r="H419" i="13"/>
  <c r="V418" i="13"/>
  <c r="T418" i="13"/>
  <c r="Q418" i="13"/>
  <c r="R418" i="13" s="1"/>
  <c r="K418" i="13"/>
  <c r="L418" i="13" s="1"/>
  <c r="H418" i="13"/>
  <c r="V417" i="13"/>
  <c r="T417" i="13"/>
  <c r="Q417" i="13"/>
  <c r="R417" i="13" s="1"/>
  <c r="K417" i="13"/>
  <c r="L417" i="13" s="1"/>
  <c r="H417" i="13"/>
  <c r="V416" i="13"/>
  <c r="T416" i="13"/>
  <c r="Q416" i="13"/>
  <c r="R416" i="13" s="1"/>
  <c r="K416" i="13"/>
  <c r="L416" i="13" s="1"/>
  <c r="H416" i="13"/>
  <c r="V535" i="13"/>
  <c r="T535" i="13"/>
  <c r="Q535" i="13"/>
  <c r="R535" i="13" s="1"/>
  <c r="K535" i="13"/>
  <c r="L535" i="13" s="1"/>
  <c r="H535" i="13"/>
  <c r="V534" i="13"/>
  <c r="T534" i="13"/>
  <c r="Q534" i="13"/>
  <c r="R534" i="13" s="1"/>
  <c r="K534" i="13"/>
  <c r="L534" i="13" s="1"/>
  <c r="H534" i="13"/>
  <c r="V533" i="13"/>
  <c r="T533" i="13"/>
  <c r="Q533" i="13"/>
  <c r="R533" i="13" s="1"/>
  <c r="K533" i="13"/>
  <c r="L533" i="13" s="1"/>
  <c r="H533" i="13"/>
  <c r="V532" i="13"/>
  <c r="T532" i="13"/>
  <c r="Q532" i="13"/>
  <c r="R532" i="13" s="1"/>
  <c r="K532" i="13"/>
  <c r="L532" i="13" s="1"/>
  <c r="H532" i="13"/>
  <c r="V531" i="13"/>
  <c r="T531" i="13"/>
  <c r="Q531" i="13"/>
  <c r="R531" i="13" s="1"/>
  <c r="K531" i="13"/>
  <c r="L531" i="13" s="1"/>
  <c r="H531" i="13"/>
  <c r="V530" i="13"/>
  <c r="T530" i="13"/>
  <c r="Q530" i="13"/>
  <c r="R530" i="13" s="1"/>
  <c r="K530" i="13"/>
  <c r="L530" i="13" s="1"/>
  <c r="H530" i="13"/>
  <c r="V529" i="13"/>
  <c r="T529" i="13"/>
  <c r="Q529" i="13"/>
  <c r="R529" i="13" s="1"/>
  <c r="K529" i="13"/>
  <c r="L529" i="13" s="1"/>
  <c r="H529" i="13"/>
  <c r="V528" i="13"/>
  <c r="T528" i="13"/>
  <c r="Q528" i="13"/>
  <c r="R528" i="13" s="1"/>
  <c r="K528" i="13"/>
  <c r="L528" i="13" s="1"/>
  <c r="H528" i="13"/>
  <c r="V527" i="13"/>
  <c r="T527" i="13"/>
  <c r="Q527" i="13"/>
  <c r="R527" i="13" s="1"/>
  <c r="K527" i="13"/>
  <c r="L527" i="13" s="1"/>
  <c r="H527" i="13"/>
  <c r="V526" i="13"/>
  <c r="T526" i="13"/>
  <c r="Q526" i="13"/>
  <c r="R526" i="13" s="1"/>
  <c r="K526" i="13"/>
  <c r="L526" i="13" s="1"/>
  <c r="H526" i="13"/>
  <c r="V525" i="13"/>
  <c r="T525" i="13"/>
  <c r="Q525" i="13"/>
  <c r="R525" i="13" s="1"/>
  <c r="K525" i="13"/>
  <c r="L525" i="13" s="1"/>
  <c r="H525" i="13"/>
  <c r="V524" i="13"/>
  <c r="T524" i="13"/>
  <c r="Q524" i="13"/>
  <c r="R524" i="13" s="1"/>
  <c r="K524" i="13"/>
  <c r="L524" i="13" s="1"/>
  <c r="H524" i="13"/>
  <c r="V523" i="13"/>
  <c r="T523" i="13"/>
  <c r="Q523" i="13"/>
  <c r="R523" i="13" s="1"/>
  <c r="K523" i="13"/>
  <c r="L523" i="13" s="1"/>
  <c r="H523" i="13"/>
  <c r="V522" i="13"/>
  <c r="T522" i="13"/>
  <c r="Q522" i="13"/>
  <c r="R522" i="13" s="1"/>
  <c r="K522" i="13"/>
  <c r="L522" i="13" s="1"/>
  <c r="H522" i="13"/>
  <c r="V521" i="13"/>
  <c r="T521" i="13"/>
  <c r="Q521" i="13"/>
  <c r="R521" i="13" s="1"/>
  <c r="K521" i="13"/>
  <c r="L521" i="13" s="1"/>
  <c r="H521" i="13"/>
  <c r="V520" i="13"/>
  <c r="T520" i="13"/>
  <c r="Q520" i="13"/>
  <c r="R520" i="13" s="1"/>
  <c r="K520" i="13"/>
  <c r="L520" i="13" s="1"/>
  <c r="H520" i="13"/>
  <c r="V519" i="13"/>
  <c r="T519" i="13"/>
  <c r="Q519" i="13"/>
  <c r="R519" i="13" s="1"/>
  <c r="K519" i="13"/>
  <c r="L519" i="13" s="1"/>
  <c r="H519" i="13"/>
  <c r="V518" i="13"/>
  <c r="T518" i="13"/>
  <c r="Q518" i="13"/>
  <c r="R518" i="13" s="1"/>
  <c r="K518" i="13"/>
  <c r="L518" i="13" s="1"/>
  <c r="H518" i="13"/>
  <c r="V517" i="13"/>
  <c r="T517" i="13"/>
  <c r="R517" i="13"/>
  <c r="Q517" i="13"/>
  <c r="K517" i="13"/>
  <c r="L517" i="13" s="1"/>
  <c r="H517" i="13"/>
  <c r="V516" i="13"/>
  <c r="T516" i="13"/>
  <c r="Q516" i="13"/>
  <c r="R516" i="13" s="1"/>
  <c r="K516" i="13"/>
  <c r="L516" i="13" s="1"/>
  <c r="H516" i="13"/>
  <c r="V510" i="13"/>
  <c r="T510" i="13"/>
  <c r="Q510" i="13"/>
  <c r="R510" i="13" s="1"/>
  <c r="K510" i="13"/>
  <c r="L510" i="13" s="1"/>
  <c r="H510" i="13"/>
  <c r="V509" i="13"/>
  <c r="T509" i="13"/>
  <c r="Q509" i="13"/>
  <c r="R509" i="13" s="1"/>
  <c r="K509" i="13"/>
  <c r="L509" i="13" s="1"/>
  <c r="H509" i="13"/>
  <c r="V508" i="13"/>
  <c r="T508" i="13"/>
  <c r="R508" i="13"/>
  <c r="Q508" i="13"/>
  <c r="K508" i="13"/>
  <c r="L508" i="13" s="1"/>
  <c r="H508" i="13"/>
  <c r="V507" i="13"/>
  <c r="T507" i="13"/>
  <c r="Q507" i="13"/>
  <c r="R507" i="13" s="1"/>
  <c r="K507" i="13"/>
  <c r="L507" i="13" s="1"/>
  <c r="H507" i="13"/>
  <c r="V506" i="13"/>
  <c r="T506" i="13"/>
  <c r="Q506" i="13"/>
  <c r="R506" i="13" s="1"/>
  <c r="K506" i="13"/>
  <c r="L506" i="13" s="1"/>
  <c r="H506" i="13"/>
  <c r="V505" i="13"/>
  <c r="T505" i="13"/>
  <c r="Q505" i="13"/>
  <c r="R505" i="13" s="1"/>
  <c r="K505" i="13"/>
  <c r="L505" i="13" s="1"/>
  <c r="H505" i="13"/>
  <c r="V504" i="13"/>
  <c r="T504" i="13"/>
  <c r="Q504" i="13"/>
  <c r="R504" i="13" s="1"/>
  <c r="K504" i="13"/>
  <c r="L504" i="13" s="1"/>
  <c r="H504" i="13"/>
  <c r="V503" i="13"/>
  <c r="T503" i="13"/>
  <c r="Q503" i="13"/>
  <c r="R503" i="13" s="1"/>
  <c r="K503" i="13"/>
  <c r="L503" i="13" s="1"/>
  <c r="H503" i="13"/>
  <c r="V502" i="13"/>
  <c r="T502" i="13"/>
  <c r="Q502" i="13"/>
  <c r="R502" i="13" s="1"/>
  <c r="K502" i="13"/>
  <c r="L502" i="13" s="1"/>
  <c r="H502" i="13"/>
  <c r="V501" i="13"/>
  <c r="T501" i="13"/>
  <c r="Q501" i="13"/>
  <c r="R501" i="13" s="1"/>
  <c r="K501" i="13"/>
  <c r="L501" i="13" s="1"/>
  <c r="H501" i="13"/>
  <c r="V500" i="13"/>
  <c r="T500" i="13"/>
  <c r="R500" i="13"/>
  <c r="Q500" i="13"/>
  <c r="K500" i="13"/>
  <c r="L500" i="13" s="1"/>
  <c r="H500" i="13"/>
  <c r="V499" i="13"/>
  <c r="T499" i="13"/>
  <c r="Q499" i="13"/>
  <c r="R499" i="13" s="1"/>
  <c r="K499" i="13"/>
  <c r="L499" i="13" s="1"/>
  <c r="H499" i="13"/>
  <c r="V498" i="13"/>
  <c r="T498" i="13"/>
  <c r="Q498" i="13"/>
  <c r="R498" i="13" s="1"/>
  <c r="K498" i="13"/>
  <c r="L498" i="13" s="1"/>
  <c r="H498" i="13"/>
  <c r="V497" i="13"/>
  <c r="T497" i="13"/>
  <c r="Q497" i="13"/>
  <c r="R497" i="13" s="1"/>
  <c r="K497" i="13"/>
  <c r="L497" i="13" s="1"/>
  <c r="H497" i="13"/>
  <c r="V496" i="13"/>
  <c r="T496" i="13"/>
  <c r="Q496" i="13"/>
  <c r="R496" i="13" s="1"/>
  <c r="K496" i="13"/>
  <c r="L496" i="13" s="1"/>
  <c r="H496" i="13"/>
  <c r="V495" i="13"/>
  <c r="T495" i="13"/>
  <c r="Q495" i="13"/>
  <c r="R495" i="13" s="1"/>
  <c r="K495" i="13"/>
  <c r="L495" i="13" s="1"/>
  <c r="H495" i="13"/>
  <c r="V494" i="13"/>
  <c r="T494" i="13"/>
  <c r="Q494" i="13"/>
  <c r="R494" i="13" s="1"/>
  <c r="K494" i="13"/>
  <c r="L494" i="13" s="1"/>
  <c r="H494" i="13"/>
  <c r="V493" i="13"/>
  <c r="T493" i="13"/>
  <c r="Q493" i="13"/>
  <c r="R493" i="13" s="1"/>
  <c r="K493" i="13"/>
  <c r="L493" i="13" s="1"/>
  <c r="H493" i="13"/>
  <c r="V492" i="13"/>
  <c r="T492" i="13"/>
  <c r="Q492" i="13"/>
  <c r="R492" i="13" s="1"/>
  <c r="K492" i="13"/>
  <c r="L492" i="13" s="1"/>
  <c r="H492" i="13"/>
  <c r="V491" i="13"/>
  <c r="T491" i="13"/>
  <c r="Q491" i="13"/>
  <c r="R491" i="13" s="1"/>
  <c r="K491" i="13"/>
  <c r="L491" i="13" s="1"/>
  <c r="H491" i="13"/>
  <c r="V485" i="13"/>
  <c r="T485" i="13"/>
  <c r="Q485" i="13"/>
  <c r="R485" i="13" s="1"/>
  <c r="K485" i="13"/>
  <c r="L485" i="13" s="1"/>
  <c r="H485" i="13"/>
  <c r="V484" i="13"/>
  <c r="T484" i="13"/>
  <c r="Q484" i="13"/>
  <c r="R484" i="13" s="1"/>
  <c r="K484" i="13"/>
  <c r="L484" i="13" s="1"/>
  <c r="H484" i="13"/>
  <c r="V483" i="13"/>
  <c r="T483" i="13"/>
  <c r="Q483" i="13"/>
  <c r="R483" i="13" s="1"/>
  <c r="K483" i="13"/>
  <c r="L483" i="13" s="1"/>
  <c r="H483" i="13"/>
  <c r="V482" i="13"/>
  <c r="T482" i="13"/>
  <c r="R482" i="13"/>
  <c r="Q482" i="13"/>
  <c r="K482" i="13"/>
  <c r="L482" i="13" s="1"/>
  <c r="H482" i="13"/>
  <c r="V481" i="13"/>
  <c r="T481" i="13"/>
  <c r="Q481" i="13"/>
  <c r="R481" i="13" s="1"/>
  <c r="K481" i="13"/>
  <c r="L481" i="13" s="1"/>
  <c r="H481" i="13"/>
  <c r="V480" i="13"/>
  <c r="T480" i="13"/>
  <c r="R480" i="13"/>
  <c r="Q480" i="13"/>
  <c r="K480" i="13"/>
  <c r="L480" i="13" s="1"/>
  <c r="H480" i="13"/>
  <c r="V479" i="13"/>
  <c r="T479" i="13"/>
  <c r="Q479" i="13"/>
  <c r="R479" i="13" s="1"/>
  <c r="K479" i="13"/>
  <c r="L479" i="13" s="1"/>
  <c r="H479" i="13"/>
  <c r="V478" i="13"/>
  <c r="T478" i="13"/>
  <c r="Q478" i="13"/>
  <c r="R478" i="13" s="1"/>
  <c r="K478" i="13"/>
  <c r="L478" i="13" s="1"/>
  <c r="H478" i="13"/>
  <c r="V477" i="13"/>
  <c r="T477" i="13"/>
  <c r="Q477" i="13"/>
  <c r="R477" i="13" s="1"/>
  <c r="K477" i="13"/>
  <c r="L477" i="13" s="1"/>
  <c r="H477" i="13"/>
  <c r="V476" i="13"/>
  <c r="T476" i="13"/>
  <c r="Q476" i="13"/>
  <c r="R476" i="13" s="1"/>
  <c r="K476" i="13"/>
  <c r="L476" i="13" s="1"/>
  <c r="H476" i="13"/>
  <c r="V475" i="13"/>
  <c r="T475" i="13"/>
  <c r="Q475" i="13"/>
  <c r="R475" i="13" s="1"/>
  <c r="K475" i="13"/>
  <c r="L475" i="13" s="1"/>
  <c r="H475" i="13"/>
  <c r="V474" i="13"/>
  <c r="T474" i="13"/>
  <c r="Q474" i="13"/>
  <c r="R474" i="13" s="1"/>
  <c r="K474" i="13"/>
  <c r="L474" i="13" s="1"/>
  <c r="H474" i="13"/>
  <c r="V473" i="13"/>
  <c r="T473" i="13"/>
  <c r="Q473" i="13"/>
  <c r="R473" i="13" s="1"/>
  <c r="K473" i="13"/>
  <c r="L473" i="13" s="1"/>
  <c r="H473" i="13"/>
  <c r="V472" i="13"/>
  <c r="T472" i="13"/>
  <c r="R472" i="13"/>
  <c r="Q472" i="13"/>
  <c r="K472" i="13"/>
  <c r="L472" i="13" s="1"/>
  <c r="H472" i="13"/>
  <c r="V471" i="13"/>
  <c r="T471" i="13"/>
  <c r="Q471" i="13"/>
  <c r="R471" i="13" s="1"/>
  <c r="K471" i="13"/>
  <c r="L471" i="13" s="1"/>
  <c r="H471" i="13"/>
  <c r="V470" i="13"/>
  <c r="T470" i="13"/>
  <c r="Q470" i="13"/>
  <c r="R470" i="13" s="1"/>
  <c r="K470" i="13"/>
  <c r="L470" i="13" s="1"/>
  <c r="H470" i="13"/>
  <c r="V469" i="13"/>
  <c r="T469" i="13"/>
  <c r="Q469" i="13"/>
  <c r="R469" i="13" s="1"/>
  <c r="K469" i="13"/>
  <c r="L469" i="13" s="1"/>
  <c r="H469" i="13"/>
  <c r="V468" i="13"/>
  <c r="T468" i="13"/>
  <c r="Q468" i="13"/>
  <c r="R468" i="13" s="1"/>
  <c r="K468" i="13"/>
  <c r="L468" i="13" s="1"/>
  <c r="H468" i="13"/>
  <c r="V467" i="13"/>
  <c r="T467" i="13"/>
  <c r="Q467" i="13"/>
  <c r="R467" i="13" s="1"/>
  <c r="K467" i="13"/>
  <c r="L467" i="13" s="1"/>
  <c r="H467" i="13"/>
  <c r="V466" i="13"/>
  <c r="T466" i="13"/>
  <c r="R466" i="13"/>
  <c r="Q466" i="13"/>
  <c r="K466" i="13"/>
  <c r="L466" i="13" s="1"/>
  <c r="H466" i="13"/>
  <c r="H441" i="13"/>
  <c r="K441" i="13"/>
  <c r="L441" i="13" s="1"/>
  <c r="T441" i="13"/>
  <c r="V441" i="13"/>
  <c r="H442" i="13"/>
  <c r="K442" i="13"/>
  <c r="L442" i="13" s="1"/>
  <c r="Q442" i="13"/>
  <c r="R442" i="13" s="1"/>
  <c r="T442" i="13"/>
  <c r="V442" i="13"/>
  <c r="H443" i="13"/>
  <c r="K443" i="13"/>
  <c r="L443" i="13" s="1"/>
  <c r="Q443" i="13"/>
  <c r="R443" i="13" s="1"/>
  <c r="T443" i="13"/>
  <c r="V443" i="13"/>
  <c r="H444" i="13"/>
  <c r="K444" i="13"/>
  <c r="L444" i="13" s="1"/>
  <c r="Q444" i="13"/>
  <c r="R444" i="13" s="1"/>
  <c r="T444" i="13"/>
  <c r="V444" i="13"/>
  <c r="H445" i="13"/>
  <c r="K445" i="13"/>
  <c r="L445" i="13" s="1"/>
  <c r="Q445" i="13"/>
  <c r="R445" i="13" s="1"/>
  <c r="T445" i="13"/>
  <c r="V445" i="13"/>
  <c r="H446" i="13"/>
  <c r="K446" i="13"/>
  <c r="L446" i="13" s="1"/>
  <c r="Q446" i="13"/>
  <c r="R446" i="13" s="1"/>
  <c r="T446" i="13"/>
  <c r="V446" i="13"/>
  <c r="H447" i="13"/>
  <c r="K447" i="13"/>
  <c r="L447" i="13" s="1"/>
  <c r="Q447" i="13"/>
  <c r="R447" i="13" s="1"/>
  <c r="T447" i="13"/>
  <c r="V447" i="13"/>
  <c r="H448" i="13"/>
  <c r="K448" i="13"/>
  <c r="L448" i="13" s="1"/>
  <c r="Q448" i="13"/>
  <c r="R448" i="13" s="1"/>
  <c r="T448" i="13"/>
  <c r="V448" i="13"/>
  <c r="H449" i="13"/>
  <c r="K449" i="13"/>
  <c r="L449" i="13" s="1"/>
  <c r="Q449" i="13"/>
  <c r="R449" i="13" s="1"/>
  <c r="T449" i="13"/>
  <c r="V449" i="13"/>
  <c r="H450" i="13"/>
  <c r="K450" i="13"/>
  <c r="L450" i="13" s="1"/>
  <c r="Q450" i="13"/>
  <c r="R450" i="13" s="1"/>
  <c r="T450" i="13"/>
  <c r="V450" i="13"/>
  <c r="H451" i="13"/>
  <c r="K451" i="13"/>
  <c r="L451" i="13" s="1"/>
  <c r="Q451" i="13"/>
  <c r="R451" i="13" s="1"/>
  <c r="T451" i="13"/>
  <c r="V451" i="13"/>
  <c r="H452" i="13"/>
  <c r="K452" i="13"/>
  <c r="L452" i="13" s="1"/>
  <c r="Q452" i="13"/>
  <c r="R452" i="13" s="1"/>
  <c r="T452" i="13"/>
  <c r="V452" i="13"/>
  <c r="H453" i="13"/>
  <c r="K453" i="13"/>
  <c r="L453" i="13" s="1"/>
  <c r="Q453" i="13"/>
  <c r="R453" i="13" s="1"/>
  <c r="T453" i="13"/>
  <c r="V453" i="13"/>
  <c r="H454" i="13"/>
  <c r="K454" i="13"/>
  <c r="L454" i="13" s="1"/>
  <c r="Q454" i="13"/>
  <c r="R454" i="13" s="1"/>
  <c r="T454" i="13"/>
  <c r="V454" i="13"/>
  <c r="H455" i="13"/>
  <c r="K455" i="13"/>
  <c r="L455" i="13" s="1"/>
  <c r="Q455" i="13"/>
  <c r="R455" i="13" s="1"/>
  <c r="T455" i="13"/>
  <c r="V455" i="13"/>
  <c r="H456" i="13"/>
  <c r="K456" i="13"/>
  <c r="L456" i="13" s="1"/>
  <c r="Q456" i="13"/>
  <c r="R456" i="13" s="1"/>
  <c r="T456" i="13"/>
  <c r="V456" i="13"/>
  <c r="H457" i="13"/>
  <c r="K457" i="13"/>
  <c r="L457" i="13" s="1"/>
  <c r="Q457" i="13"/>
  <c r="R457" i="13" s="1"/>
  <c r="T457" i="13"/>
  <c r="V457" i="13"/>
  <c r="H458" i="13"/>
  <c r="K458" i="13"/>
  <c r="L458" i="13" s="1"/>
  <c r="Q458" i="13"/>
  <c r="R458" i="13" s="1"/>
  <c r="T458" i="13"/>
  <c r="V458" i="13"/>
  <c r="H459" i="13"/>
  <c r="K459" i="13"/>
  <c r="L459" i="13" s="1"/>
  <c r="Q459" i="13"/>
  <c r="R459" i="13" s="1"/>
  <c r="T459" i="13"/>
  <c r="V459" i="13"/>
  <c r="H460" i="13"/>
  <c r="K460" i="13"/>
  <c r="L460" i="13" s="1"/>
  <c r="Q460" i="13"/>
  <c r="R460" i="13" s="1"/>
  <c r="T460" i="13"/>
  <c r="V460" i="13"/>
  <c r="J277" i="13"/>
  <c r="M3" i="24"/>
  <c r="Q16" i="24"/>
  <c r="Q15" i="24"/>
  <c r="Q8" i="24"/>
  <c r="Q7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B18" i="24"/>
  <c r="O3" i="24"/>
  <c r="Q3" i="24" s="1"/>
  <c r="O20" i="24"/>
  <c r="O19" i="24"/>
  <c r="Q19" i="24" s="1"/>
  <c r="O18" i="24"/>
  <c r="Q18" i="24" s="1"/>
  <c r="O17" i="24"/>
  <c r="O16" i="24"/>
  <c r="O15" i="24"/>
  <c r="O14" i="24"/>
  <c r="O13" i="24"/>
  <c r="O12" i="24"/>
  <c r="O11" i="24"/>
  <c r="Q11" i="24" s="1"/>
  <c r="O10" i="24"/>
  <c r="Q10" i="24" s="1"/>
  <c r="O9" i="24"/>
  <c r="O8" i="24"/>
  <c r="O7" i="24"/>
  <c r="O6" i="24"/>
  <c r="O5" i="24"/>
  <c r="O4" i="24"/>
  <c r="K4" i="24"/>
  <c r="K5" i="24"/>
  <c r="K6" i="24"/>
  <c r="K7" i="24"/>
  <c r="K8" i="24"/>
  <c r="M8" i="24" s="1"/>
  <c r="K9" i="24"/>
  <c r="K10" i="24"/>
  <c r="M10" i="24" s="1"/>
  <c r="K11" i="24"/>
  <c r="K12" i="24"/>
  <c r="K13" i="24"/>
  <c r="K14" i="24"/>
  <c r="K15" i="24"/>
  <c r="K16" i="24"/>
  <c r="K17" i="24"/>
  <c r="K18" i="24"/>
  <c r="M18" i="24" s="1"/>
  <c r="K19" i="24"/>
  <c r="K20" i="24"/>
  <c r="B7" i="24"/>
  <c r="B8" i="24" s="1"/>
  <c r="I20" i="24"/>
  <c r="I19" i="24"/>
  <c r="I18" i="24"/>
  <c r="I17" i="24"/>
  <c r="I16" i="24"/>
  <c r="I15" i="24"/>
  <c r="I14" i="24"/>
  <c r="I13" i="24"/>
  <c r="I12" i="24"/>
  <c r="I11" i="24"/>
  <c r="I10" i="24"/>
  <c r="I9" i="24"/>
  <c r="I8" i="24"/>
  <c r="I7" i="24"/>
  <c r="I6" i="24"/>
  <c r="I5" i="24"/>
  <c r="I4" i="24"/>
  <c r="I3" i="24"/>
  <c r="AF159" i="21"/>
  <c r="AD65" i="13"/>
  <c r="AD66" i="13"/>
  <c r="AD73" i="13"/>
  <c r="AD81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64" i="13"/>
  <c r="X65" i="13"/>
  <c r="X66" i="13"/>
  <c r="X67" i="13"/>
  <c r="AD67" i="13" s="1"/>
  <c r="X68" i="13"/>
  <c r="AD68" i="13" s="1"/>
  <c r="X69" i="13"/>
  <c r="AD69" i="13" s="1"/>
  <c r="X70" i="13"/>
  <c r="AD70" i="13" s="1"/>
  <c r="X71" i="13"/>
  <c r="AD71" i="13" s="1"/>
  <c r="X72" i="13"/>
  <c r="AD72" i="13" s="1"/>
  <c r="X73" i="13"/>
  <c r="X74" i="13"/>
  <c r="AD74" i="13" s="1"/>
  <c r="X75" i="13"/>
  <c r="AD75" i="13" s="1"/>
  <c r="X76" i="13"/>
  <c r="AD76" i="13" s="1"/>
  <c r="X77" i="13"/>
  <c r="AD77" i="13" s="1"/>
  <c r="X78" i="13"/>
  <c r="AD78" i="13" s="1"/>
  <c r="X79" i="13"/>
  <c r="AD79" i="13" s="1"/>
  <c r="X80" i="13"/>
  <c r="AD80" i="13" s="1"/>
  <c r="X81" i="13"/>
  <c r="X64" i="13"/>
  <c r="AD64" i="13" s="1"/>
  <c r="W73" i="13"/>
  <c r="AC73" i="13" s="1"/>
  <c r="T64" i="13"/>
  <c r="Z64" i="13" s="1"/>
  <c r="C91" i="13"/>
  <c r="T65" i="13"/>
  <c r="V65" i="13" s="1"/>
  <c r="AB65" i="13" s="1"/>
  <c r="T70" i="13"/>
  <c r="V70" i="13" s="1"/>
  <c r="AB70" i="13" s="1"/>
  <c r="T72" i="13"/>
  <c r="Z72" i="13" s="1"/>
  <c r="T80" i="13"/>
  <c r="Z80" i="13" s="1"/>
  <c r="T81" i="13"/>
  <c r="V81" i="13" s="1"/>
  <c r="AB81" i="13" s="1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64" i="13"/>
  <c r="Q81" i="13"/>
  <c r="Q80" i="13"/>
  <c r="Q79" i="13"/>
  <c r="T79" i="13" s="1"/>
  <c r="Q78" i="13"/>
  <c r="T78" i="13" s="1"/>
  <c r="Z78" i="13" s="1"/>
  <c r="Q77" i="13"/>
  <c r="T77" i="13" s="1"/>
  <c r="Q76" i="13"/>
  <c r="T76" i="13" s="1"/>
  <c r="Q75" i="13"/>
  <c r="T75" i="13" s="1"/>
  <c r="Z75" i="13" s="1"/>
  <c r="Q74" i="13"/>
  <c r="T74" i="13" s="1"/>
  <c r="Q73" i="13"/>
  <c r="T73" i="13" s="1"/>
  <c r="V73" i="13" s="1"/>
  <c r="AB73" i="13" s="1"/>
  <c r="Q72" i="13"/>
  <c r="Q71" i="13"/>
  <c r="T71" i="13" s="1"/>
  <c r="Q70" i="13"/>
  <c r="Q69" i="13"/>
  <c r="T69" i="13" s="1"/>
  <c r="Q68" i="13"/>
  <c r="T68" i="13" s="1"/>
  <c r="Q67" i="13"/>
  <c r="T67" i="13" s="1"/>
  <c r="Q66" i="13"/>
  <c r="T66" i="13" s="1"/>
  <c r="Q65" i="13"/>
  <c r="Q64" i="13"/>
  <c r="M290" i="13"/>
  <c r="M287" i="13"/>
  <c r="M282" i="13"/>
  <c r="M279" i="13"/>
  <c r="L278" i="13"/>
  <c r="M278" i="13" s="1"/>
  <c r="L279" i="13"/>
  <c r="L280" i="13"/>
  <c r="M280" i="13" s="1"/>
  <c r="L281" i="13"/>
  <c r="M281" i="13" s="1"/>
  <c r="L282" i="13"/>
  <c r="L283" i="13"/>
  <c r="M283" i="13" s="1"/>
  <c r="L284" i="13"/>
  <c r="M284" i="13" s="1"/>
  <c r="L285" i="13"/>
  <c r="M285" i="13" s="1"/>
  <c r="L286" i="13"/>
  <c r="M286" i="13" s="1"/>
  <c r="L287" i="13"/>
  <c r="L288" i="13"/>
  <c r="M288" i="13" s="1"/>
  <c r="L289" i="13"/>
  <c r="M289" i="13" s="1"/>
  <c r="L290" i="13"/>
  <c r="L291" i="13"/>
  <c r="M291" i="13" s="1"/>
  <c r="L292" i="13"/>
  <c r="M292" i="13" s="1"/>
  <c r="L293" i="13"/>
  <c r="M293" i="13" s="1"/>
  <c r="L294" i="13"/>
  <c r="M294" i="13" s="1"/>
  <c r="L295" i="13"/>
  <c r="M295" i="13" s="1"/>
  <c r="L296" i="13"/>
  <c r="M296" i="13" s="1"/>
  <c r="L277" i="13"/>
  <c r="M277" i="13" s="1"/>
  <c r="D8" i="8"/>
  <c r="I8" i="8" s="1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E146" i="7" s="1"/>
  <c r="AF146" i="7" s="1"/>
  <c r="AG146" i="7" s="1"/>
  <c r="AD147" i="7"/>
  <c r="AD148" i="7"/>
  <c r="AD149" i="7"/>
  <c r="AD130" i="7"/>
  <c r="X131" i="7"/>
  <c r="X132" i="7"/>
  <c r="X133" i="7"/>
  <c r="Y133" i="7" s="1"/>
  <c r="Z133" i="7" s="1"/>
  <c r="X134" i="7"/>
  <c r="X135" i="7"/>
  <c r="X136" i="7"/>
  <c r="X137" i="7"/>
  <c r="X138" i="7"/>
  <c r="X139" i="7"/>
  <c r="X140" i="7"/>
  <c r="X141" i="7"/>
  <c r="X142" i="7"/>
  <c r="X143" i="7"/>
  <c r="Y143" i="7" s="1"/>
  <c r="Z143" i="7" s="1"/>
  <c r="X144" i="7"/>
  <c r="X145" i="7"/>
  <c r="Y145" i="7" s="1"/>
  <c r="Z145" i="7" s="1"/>
  <c r="AA145" i="7" s="1"/>
  <c r="AB145" i="7" s="1"/>
  <c r="AC145" i="7" s="1"/>
  <c r="X146" i="7"/>
  <c r="X147" i="7"/>
  <c r="X148" i="7"/>
  <c r="Y148" i="7" s="1"/>
  <c r="Z148" i="7" s="1"/>
  <c r="X149" i="7"/>
  <c r="Y149" i="7" s="1"/>
  <c r="Z149" i="7" s="1"/>
  <c r="X130" i="7"/>
  <c r="G131" i="7"/>
  <c r="G132" i="7"/>
  <c r="H132" i="7" s="1"/>
  <c r="I132" i="7" s="1"/>
  <c r="G133" i="7"/>
  <c r="G134" i="7"/>
  <c r="G135" i="7"/>
  <c r="G136" i="7"/>
  <c r="G137" i="7"/>
  <c r="G138" i="7"/>
  <c r="H138" i="7" s="1"/>
  <c r="I138" i="7" s="1"/>
  <c r="G139" i="7"/>
  <c r="G140" i="7"/>
  <c r="G141" i="7"/>
  <c r="G142" i="7"/>
  <c r="G143" i="7"/>
  <c r="G144" i="7"/>
  <c r="G145" i="7"/>
  <c r="G146" i="7"/>
  <c r="H146" i="7" s="1"/>
  <c r="I146" i="7" s="1"/>
  <c r="G147" i="7"/>
  <c r="G148" i="7"/>
  <c r="G149" i="7"/>
  <c r="G130" i="7"/>
  <c r="C131" i="7"/>
  <c r="E131" i="7" s="1"/>
  <c r="F131" i="7" s="1"/>
  <c r="C132" i="7"/>
  <c r="E132" i="7" s="1"/>
  <c r="F132" i="7" s="1"/>
  <c r="C133" i="7"/>
  <c r="C134" i="7"/>
  <c r="C135" i="7"/>
  <c r="C136" i="7"/>
  <c r="C137" i="7"/>
  <c r="C138" i="7"/>
  <c r="E138" i="7" s="1"/>
  <c r="F138" i="7" s="1"/>
  <c r="C139" i="7"/>
  <c r="C140" i="7"/>
  <c r="C141" i="7"/>
  <c r="C142" i="7"/>
  <c r="C143" i="7"/>
  <c r="C144" i="7"/>
  <c r="C145" i="7"/>
  <c r="C146" i="7"/>
  <c r="E146" i="7" s="1"/>
  <c r="F146" i="7" s="1"/>
  <c r="C147" i="7"/>
  <c r="C148" i="7"/>
  <c r="C149" i="7"/>
  <c r="C130" i="7"/>
  <c r="AM149" i="7"/>
  <c r="AE149" i="7"/>
  <c r="AF149" i="7" s="1"/>
  <c r="AG149" i="7" s="1"/>
  <c r="M149" i="7"/>
  <c r="L149" i="7"/>
  <c r="E149" i="7"/>
  <c r="F149" i="7" s="1"/>
  <c r="B149" i="7"/>
  <c r="AM148" i="7"/>
  <c r="AE148" i="7"/>
  <c r="AF148" i="7" s="1"/>
  <c r="AG148" i="7" s="1"/>
  <c r="M148" i="7"/>
  <c r="L148" i="7"/>
  <c r="H148" i="7"/>
  <c r="I148" i="7" s="1"/>
  <c r="E148" i="7"/>
  <c r="F148" i="7" s="1"/>
  <c r="B148" i="7"/>
  <c r="AM147" i="7"/>
  <c r="AE147" i="7"/>
  <c r="AF147" i="7" s="1"/>
  <c r="AG147" i="7" s="1"/>
  <c r="M147" i="7"/>
  <c r="L147" i="7"/>
  <c r="H147" i="7"/>
  <c r="I147" i="7" s="1"/>
  <c r="E147" i="7"/>
  <c r="F147" i="7" s="1"/>
  <c r="B147" i="7"/>
  <c r="Y147" i="7" s="1"/>
  <c r="Z147" i="7" s="1"/>
  <c r="AM146" i="7"/>
  <c r="M146" i="7"/>
  <c r="L146" i="7"/>
  <c r="B146" i="7"/>
  <c r="AM145" i="7"/>
  <c r="M145" i="7"/>
  <c r="L145" i="7"/>
  <c r="H145" i="7"/>
  <c r="I145" i="7" s="1"/>
  <c r="B145" i="7"/>
  <c r="AM144" i="7"/>
  <c r="M144" i="7"/>
  <c r="L144" i="7"/>
  <c r="B144" i="7"/>
  <c r="AM143" i="7"/>
  <c r="M143" i="7"/>
  <c r="L143" i="7"/>
  <c r="B143" i="7"/>
  <c r="H143" i="7" s="1"/>
  <c r="I143" i="7" s="1"/>
  <c r="AM142" i="7"/>
  <c r="M142" i="7"/>
  <c r="L142" i="7"/>
  <c r="B142" i="7"/>
  <c r="AM141" i="7"/>
  <c r="AE141" i="7"/>
  <c r="AF141" i="7" s="1"/>
  <c r="AG141" i="7" s="1"/>
  <c r="Y141" i="7"/>
  <c r="Z141" i="7" s="1"/>
  <c r="M141" i="7"/>
  <c r="L141" i="7"/>
  <c r="E141" i="7"/>
  <c r="F141" i="7" s="1"/>
  <c r="B141" i="7"/>
  <c r="AM140" i="7"/>
  <c r="AE140" i="7"/>
  <c r="AF140" i="7" s="1"/>
  <c r="AG140" i="7" s="1"/>
  <c r="Y140" i="7"/>
  <c r="Z140" i="7" s="1"/>
  <c r="M140" i="7"/>
  <c r="L140" i="7"/>
  <c r="H140" i="7"/>
  <c r="I140" i="7" s="1"/>
  <c r="E140" i="7"/>
  <c r="F140" i="7" s="1"/>
  <c r="B140" i="7"/>
  <c r="AM139" i="7"/>
  <c r="AE139" i="7"/>
  <c r="AF139" i="7" s="1"/>
  <c r="AG139" i="7" s="1"/>
  <c r="M139" i="7"/>
  <c r="L139" i="7"/>
  <c r="H139" i="7"/>
  <c r="I139" i="7" s="1"/>
  <c r="E139" i="7"/>
  <c r="F139" i="7" s="1"/>
  <c r="B139" i="7"/>
  <c r="Y139" i="7" s="1"/>
  <c r="Z139" i="7" s="1"/>
  <c r="AM138" i="7"/>
  <c r="AE138" i="7"/>
  <c r="AF138" i="7" s="1"/>
  <c r="AG138" i="7" s="1"/>
  <c r="M138" i="7"/>
  <c r="L138" i="7"/>
  <c r="B138" i="7"/>
  <c r="AM137" i="7"/>
  <c r="Y137" i="7"/>
  <c r="Z137" i="7" s="1"/>
  <c r="AA137" i="7" s="1"/>
  <c r="AB137" i="7" s="1"/>
  <c r="AC137" i="7" s="1"/>
  <c r="M137" i="7"/>
  <c r="L137" i="7"/>
  <c r="H137" i="7"/>
  <c r="I137" i="7" s="1"/>
  <c r="B137" i="7"/>
  <c r="AM136" i="7"/>
  <c r="M136" i="7"/>
  <c r="L136" i="7"/>
  <c r="B136" i="7"/>
  <c r="AE136" i="7" s="1"/>
  <c r="AF136" i="7" s="1"/>
  <c r="AG136" i="7" s="1"/>
  <c r="AM135" i="7"/>
  <c r="Y135" i="7"/>
  <c r="Z135" i="7" s="1"/>
  <c r="M135" i="7"/>
  <c r="L135" i="7"/>
  <c r="B135" i="7"/>
  <c r="H135" i="7" s="1"/>
  <c r="I135" i="7" s="1"/>
  <c r="AM134" i="7"/>
  <c r="M134" i="7"/>
  <c r="L134" i="7"/>
  <c r="B134" i="7"/>
  <c r="AM133" i="7"/>
  <c r="AE133" i="7"/>
  <c r="AF133" i="7" s="1"/>
  <c r="AG133" i="7" s="1"/>
  <c r="M133" i="7"/>
  <c r="L133" i="7"/>
  <c r="E133" i="7"/>
  <c r="F133" i="7" s="1"/>
  <c r="B133" i="7"/>
  <c r="AM132" i="7"/>
  <c r="AE132" i="7"/>
  <c r="AF132" i="7" s="1"/>
  <c r="AG132" i="7" s="1"/>
  <c r="Y132" i="7"/>
  <c r="Z132" i="7" s="1"/>
  <c r="M132" i="7"/>
  <c r="L132" i="7"/>
  <c r="B132" i="7"/>
  <c r="AM131" i="7"/>
  <c r="AE131" i="7"/>
  <c r="AF131" i="7" s="1"/>
  <c r="AG131" i="7" s="1"/>
  <c r="M131" i="7"/>
  <c r="L131" i="7"/>
  <c r="H131" i="7"/>
  <c r="I131" i="7" s="1"/>
  <c r="B131" i="7"/>
  <c r="Y131" i="7" s="1"/>
  <c r="Z131" i="7" s="1"/>
  <c r="AM130" i="7"/>
  <c r="AG130" i="7"/>
  <c r="AF130" i="7"/>
  <c r="AA130" i="7"/>
  <c r="AB130" i="7" s="1"/>
  <c r="AC130" i="7" s="1"/>
  <c r="Z130" i="7"/>
  <c r="M130" i="7"/>
  <c r="L130" i="7"/>
  <c r="E130" i="7"/>
  <c r="F130" i="7" s="1"/>
  <c r="B130" i="7"/>
  <c r="R128" i="7"/>
  <c r="F123" i="7"/>
  <c r="F118" i="2"/>
  <c r="B171" i="21"/>
  <c r="D179" i="21" s="1"/>
  <c r="Q270" i="13"/>
  <c r="B108" i="13"/>
  <c r="N273" i="13"/>
  <c r="Q268" i="13"/>
  <c r="W66" i="13" s="1"/>
  <c r="AC66" i="13" s="1"/>
  <c r="Q267" i="13"/>
  <c r="M322" i="13" s="1"/>
  <c r="N322" i="13" s="1"/>
  <c r="J75" i="21" s="1"/>
  <c r="AR71" i="21" s="1"/>
  <c r="Q264" i="13"/>
  <c r="B123" i="13"/>
  <c r="B244" i="7"/>
  <c r="B214" i="7"/>
  <c r="B184" i="7"/>
  <c r="B154" i="7"/>
  <c r="B94" i="7"/>
  <c r="B64" i="7"/>
  <c r="B63" i="7"/>
  <c r="C72" i="7" s="1"/>
  <c r="B250" i="7"/>
  <c r="B220" i="7"/>
  <c r="B190" i="7"/>
  <c r="B160" i="7"/>
  <c r="B100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8" i="7"/>
  <c r="B89" i="7"/>
  <c r="B70" i="7"/>
  <c r="B71" i="7"/>
  <c r="AJ71" i="7" s="1"/>
  <c r="B11" i="7"/>
  <c r="C11" i="7" s="1"/>
  <c r="E11" i="7" s="1"/>
  <c r="B41" i="7"/>
  <c r="C8" i="8"/>
  <c r="AM89" i="7"/>
  <c r="AM88" i="7"/>
  <c r="AM87" i="7"/>
  <c r="AM86" i="7"/>
  <c r="L86" i="7"/>
  <c r="AM85" i="7"/>
  <c r="AM84" i="7"/>
  <c r="AM83" i="7"/>
  <c r="M83" i="7"/>
  <c r="L83" i="7"/>
  <c r="AM82" i="7"/>
  <c r="L82" i="7"/>
  <c r="AM81" i="7"/>
  <c r="L81" i="7"/>
  <c r="AM80" i="7"/>
  <c r="M80" i="7"/>
  <c r="L80" i="7"/>
  <c r="AM79" i="7"/>
  <c r="M79" i="7"/>
  <c r="AM78" i="7"/>
  <c r="M78" i="7"/>
  <c r="L78" i="7"/>
  <c r="AM77" i="7"/>
  <c r="M77" i="7"/>
  <c r="AM76" i="7"/>
  <c r="AM75" i="7"/>
  <c r="M75" i="7"/>
  <c r="L75" i="7"/>
  <c r="AM74" i="7"/>
  <c r="L74" i="7"/>
  <c r="AM73" i="7"/>
  <c r="L73" i="7"/>
  <c r="AM72" i="7"/>
  <c r="M72" i="7"/>
  <c r="L72" i="7"/>
  <c r="AM71" i="7"/>
  <c r="M71" i="7"/>
  <c r="AM70" i="7"/>
  <c r="AF70" i="7"/>
  <c r="AG70" i="7" s="1"/>
  <c r="L70" i="7"/>
  <c r="R68" i="7"/>
  <c r="F63" i="7"/>
  <c r="R8" i="7"/>
  <c r="L88" i="7" s="1"/>
  <c r="J186" i="21"/>
  <c r="K186" i="21" s="1"/>
  <c r="J187" i="21"/>
  <c r="K187" i="21" s="1"/>
  <c r="J188" i="21"/>
  <c r="K188" i="21" s="1"/>
  <c r="J189" i="21"/>
  <c r="K189" i="21" s="1"/>
  <c r="J190" i="21"/>
  <c r="K190" i="21" s="1"/>
  <c r="J191" i="21"/>
  <c r="K191" i="21" s="1"/>
  <c r="J192" i="21"/>
  <c r="K192" i="21" s="1"/>
  <c r="J193" i="21"/>
  <c r="K193" i="21" s="1"/>
  <c r="J194" i="21"/>
  <c r="K194" i="21" s="1"/>
  <c r="J195" i="21"/>
  <c r="K195" i="21" s="1"/>
  <c r="J196" i="21"/>
  <c r="K196" i="21" s="1"/>
  <c r="J197" i="21"/>
  <c r="K197" i="21" s="1"/>
  <c r="J198" i="21"/>
  <c r="K198" i="21" s="1"/>
  <c r="J199" i="21"/>
  <c r="K199" i="21" s="1"/>
  <c r="J200" i="21"/>
  <c r="K200" i="21" s="1"/>
  <c r="J201" i="21"/>
  <c r="K201" i="21" s="1"/>
  <c r="J202" i="21"/>
  <c r="K202" i="21" s="1"/>
  <c r="J185" i="21"/>
  <c r="K185" i="21" s="1"/>
  <c r="J139" i="21"/>
  <c r="K139" i="21"/>
  <c r="L139" i="21"/>
  <c r="M139" i="21"/>
  <c r="N139" i="21"/>
  <c r="O139" i="21"/>
  <c r="P139" i="21"/>
  <c r="Q139" i="21"/>
  <c r="R139" i="21"/>
  <c r="S139" i="21"/>
  <c r="T139" i="21"/>
  <c r="U139" i="21"/>
  <c r="V139" i="21"/>
  <c r="W139" i="21"/>
  <c r="X139" i="21"/>
  <c r="Y139" i="21"/>
  <c r="Z139" i="21"/>
  <c r="AA139" i="21"/>
  <c r="J140" i="21"/>
  <c r="K140" i="21"/>
  <c r="L140" i="21"/>
  <c r="M140" i="21"/>
  <c r="N140" i="21"/>
  <c r="O140" i="21"/>
  <c r="P140" i="21"/>
  <c r="Q140" i="21"/>
  <c r="R140" i="21"/>
  <c r="S140" i="21"/>
  <c r="T140" i="21"/>
  <c r="U140" i="21"/>
  <c r="V140" i="21"/>
  <c r="W140" i="21"/>
  <c r="X140" i="21"/>
  <c r="Y140" i="21"/>
  <c r="Z140" i="21"/>
  <c r="AA140" i="21"/>
  <c r="J141" i="21"/>
  <c r="K141" i="21"/>
  <c r="L141" i="21"/>
  <c r="M141" i="21"/>
  <c r="N141" i="21"/>
  <c r="O141" i="21"/>
  <c r="P141" i="21"/>
  <c r="Q141" i="21"/>
  <c r="R141" i="21"/>
  <c r="S141" i="21"/>
  <c r="T141" i="21"/>
  <c r="U141" i="21"/>
  <c r="V141" i="21"/>
  <c r="W141" i="21"/>
  <c r="X141" i="21"/>
  <c r="Y141" i="21"/>
  <c r="Z141" i="21"/>
  <c r="AA141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W142" i="21"/>
  <c r="X142" i="21"/>
  <c r="Y142" i="21"/>
  <c r="Z142" i="21"/>
  <c r="AA142" i="21"/>
  <c r="J143" i="21"/>
  <c r="K143" i="21"/>
  <c r="L143" i="21"/>
  <c r="M143" i="21"/>
  <c r="N143" i="21"/>
  <c r="O143" i="21"/>
  <c r="P143" i="21"/>
  <c r="Q143" i="21"/>
  <c r="R143" i="21"/>
  <c r="S143" i="21"/>
  <c r="T143" i="21"/>
  <c r="U143" i="21"/>
  <c r="V143" i="21"/>
  <c r="W143" i="21"/>
  <c r="X143" i="21"/>
  <c r="Y143" i="21"/>
  <c r="Z143" i="21"/>
  <c r="AA143" i="21"/>
  <c r="J144" i="21"/>
  <c r="K144" i="21"/>
  <c r="L144" i="21"/>
  <c r="M144" i="21"/>
  <c r="N144" i="21"/>
  <c r="O144" i="21"/>
  <c r="P144" i="21"/>
  <c r="Q144" i="21"/>
  <c r="R144" i="21"/>
  <c r="S144" i="21"/>
  <c r="T144" i="21"/>
  <c r="U144" i="21"/>
  <c r="V144" i="21"/>
  <c r="W144" i="21"/>
  <c r="X144" i="21"/>
  <c r="Y144" i="21"/>
  <c r="Z144" i="21"/>
  <c r="AA144" i="21"/>
  <c r="J145" i="21"/>
  <c r="K145" i="21"/>
  <c r="L145" i="21"/>
  <c r="M145" i="21"/>
  <c r="N145" i="21"/>
  <c r="O145" i="21"/>
  <c r="P145" i="21"/>
  <c r="Q145" i="21"/>
  <c r="R145" i="21"/>
  <c r="S145" i="21"/>
  <c r="T145" i="21"/>
  <c r="U145" i="21"/>
  <c r="V145" i="21"/>
  <c r="W145" i="21"/>
  <c r="X145" i="21"/>
  <c r="Y145" i="21"/>
  <c r="Z145" i="21"/>
  <c r="AA145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W146" i="21"/>
  <c r="X146" i="21"/>
  <c r="Y146" i="21"/>
  <c r="Z146" i="21"/>
  <c r="AA146" i="21"/>
  <c r="J147" i="21"/>
  <c r="K147" i="21"/>
  <c r="L147" i="21"/>
  <c r="M147" i="21"/>
  <c r="N147" i="21"/>
  <c r="O147" i="21"/>
  <c r="P147" i="21"/>
  <c r="Q147" i="21"/>
  <c r="R147" i="21"/>
  <c r="S147" i="21"/>
  <c r="T147" i="21"/>
  <c r="U147" i="21"/>
  <c r="V147" i="21"/>
  <c r="W147" i="21"/>
  <c r="X147" i="21"/>
  <c r="Y147" i="21"/>
  <c r="Z147" i="21"/>
  <c r="AA147" i="21"/>
  <c r="J148" i="21"/>
  <c r="K148" i="21"/>
  <c r="L148" i="21"/>
  <c r="M148" i="21"/>
  <c r="N148" i="21"/>
  <c r="O148" i="21"/>
  <c r="P148" i="21"/>
  <c r="Q148" i="21"/>
  <c r="R148" i="21"/>
  <c r="S148" i="21"/>
  <c r="T148" i="21"/>
  <c r="U148" i="21"/>
  <c r="V148" i="21"/>
  <c r="W148" i="21"/>
  <c r="X148" i="21"/>
  <c r="Y148" i="21"/>
  <c r="Z148" i="21"/>
  <c r="AA148" i="21"/>
  <c r="J149" i="21"/>
  <c r="K149" i="21"/>
  <c r="L149" i="21"/>
  <c r="M149" i="21"/>
  <c r="N149" i="21"/>
  <c r="O149" i="21"/>
  <c r="P149" i="21"/>
  <c r="Q149" i="21"/>
  <c r="R149" i="21"/>
  <c r="S149" i="21"/>
  <c r="T149" i="21"/>
  <c r="U149" i="21"/>
  <c r="V149" i="21"/>
  <c r="W149" i="21"/>
  <c r="X149" i="21"/>
  <c r="Y149" i="21"/>
  <c r="Z149" i="21"/>
  <c r="AA149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W150" i="21"/>
  <c r="X150" i="21"/>
  <c r="Y150" i="21"/>
  <c r="Z150" i="21"/>
  <c r="AA150" i="21"/>
  <c r="I140" i="21"/>
  <c r="I141" i="21"/>
  <c r="I142" i="21"/>
  <c r="I143" i="21"/>
  <c r="I144" i="21"/>
  <c r="I145" i="21"/>
  <c r="I146" i="21"/>
  <c r="I147" i="21"/>
  <c r="I148" i="21"/>
  <c r="I149" i="21"/>
  <c r="I150" i="21"/>
  <c r="I139" i="21"/>
  <c r="I202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B141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C124" i="21"/>
  <c r="J278" i="13"/>
  <c r="K278" i="13" s="1"/>
  <c r="L186" i="21" s="1"/>
  <c r="J279" i="13"/>
  <c r="K279" i="13" s="1"/>
  <c r="L187" i="21" s="1"/>
  <c r="J280" i="13"/>
  <c r="K280" i="13" s="1"/>
  <c r="L188" i="21" s="1"/>
  <c r="J281" i="13"/>
  <c r="K281" i="13" s="1"/>
  <c r="L189" i="21" s="1"/>
  <c r="J282" i="13"/>
  <c r="K282" i="13" s="1"/>
  <c r="L190" i="21" s="1"/>
  <c r="J283" i="13"/>
  <c r="K283" i="13" s="1"/>
  <c r="L191" i="21" s="1"/>
  <c r="J284" i="13"/>
  <c r="K284" i="13" s="1"/>
  <c r="L192" i="21" s="1"/>
  <c r="J285" i="13"/>
  <c r="K285" i="13" s="1"/>
  <c r="L193" i="21" s="1"/>
  <c r="J286" i="13"/>
  <c r="K286" i="13" s="1"/>
  <c r="L194" i="21" s="1"/>
  <c r="J287" i="13"/>
  <c r="K287" i="13" s="1"/>
  <c r="L195" i="21" s="1"/>
  <c r="J288" i="13"/>
  <c r="K288" i="13" s="1"/>
  <c r="L196" i="21" s="1"/>
  <c r="J289" i="13"/>
  <c r="K289" i="13" s="1"/>
  <c r="L197" i="21" s="1"/>
  <c r="J290" i="13"/>
  <c r="K290" i="13" s="1"/>
  <c r="L198" i="21" s="1"/>
  <c r="J291" i="13"/>
  <c r="K291" i="13" s="1"/>
  <c r="L199" i="21" s="1"/>
  <c r="J292" i="13"/>
  <c r="K292" i="13" s="1"/>
  <c r="L200" i="21" s="1"/>
  <c r="J293" i="13"/>
  <c r="K293" i="13" s="1"/>
  <c r="L201" i="21" s="1"/>
  <c r="J294" i="13"/>
  <c r="K294" i="13" s="1"/>
  <c r="L202" i="21" s="1"/>
  <c r="J295" i="13"/>
  <c r="K295" i="13" s="1"/>
  <c r="J296" i="13"/>
  <c r="K296" i="13" s="1"/>
  <c r="K277" i="13"/>
  <c r="L185" i="21" s="1"/>
  <c r="B165" i="13"/>
  <c r="B187" i="13" s="1"/>
  <c r="B173" i="13"/>
  <c r="N267" i="13" s="1"/>
  <c r="B3" i="18"/>
  <c r="B6" i="18" s="1"/>
  <c r="B7" i="18" s="1"/>
  <c r="B9" i="18" s="1"/>
  <c r="B3" i="17"/>
  <c r="B6" i="17" s="1"/>
  <c r="B7" i="17" s="1"/>
  <c r="B9" i="17" s="1"/>
  <c r="B3" i="15"/>
  <c r="B6" i="15" s="1"/>
  <c r="B7" i="15" s="1"/>
  <c r="F23" i="1"/>
  <c r="B3" i="16"/>
  <c r="B6" i="16" s="1"/>
  <c r="B7" i="16" s="1"/>
  <c r="B9" i="16" s="1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15" i="2"/>
  <c r="L115" i="2"/>
  <c r="B3" i="14"/>
  <c r="H51" i="13"/>
  <c r="G51" i="13"/>
  <c r="F9" i="13"/>
  <c r="G50" i="13"/>
  <c r="H50" i="13" s="1"/>
  <c r="F8" i="13"/>
  <c r="G49" i="13"/>
  <c r="F7" i="13"/>
  <c r="B37" i="8"/>
  <c r="C37" i="8"/>
  <c r="D37" i="8"/>
  <c r="I37" i="8"/>
  <c r="J37" i="8" s="1"/>
  <c r="B38" i="8"/>
  <c r="C38" i="8"/>
  <c r="D38" i="8"/>
  <c r="I38" i="8"/>
  <c r="J38" i="8" s="1"/>
  <c r="B39" i="8"/>
  <c r="C39" i="8"/>
  <c r="D39" i="8"/>
  <c r="I39" i="8"/>
  <c r="J39" i="8" s="1"/>
  <c r="B40" i="8"/>
  <c r="C40" i="8"/>
  <c r="D40" i="8"/>
  <c r="I40" i="8"/>
  <c r="J40" i="8" s="1"/>
  <c r="B41" i="8"/>
  <c r="C41" i="8"/>
  <c r="D41" i="8"/>
  <c r="I41" i="8"/>
  <c r="J41" i="8" s="1"/>
  <c r="B42" i="8"/>
  <c r="C42" i="8"/>
  <c r="D42" i="8"/>
  <c r="I42" i="8"/>
  <c r="J42" i="8" s="1"/>
  <c r="B31" i="8"/>
  <c r="C31" i="8"/>
  <c r="D31" i="8"/>
  <c r="I31" i="8"/>
  <c r="B32" i="8"/>
  <c r="C32" i="8"/>
  <c r="D32" i="8"/>
  <c r="I32" i="8"/>
  <c r="B33" i="8"/>
  <c r="C33" i="8"/>
  <c r="D33" i="8"/>
  <c r="I33" i="8"/>
  <c r="J33" i="8" s="1"/>
  <c r="B34" i="8"/>
  <c r="C34" i="8"/>
  <c r="D34" i="8"/>
  <c r="I34" i="8"/>
  <c r="J34" i="8" s="1"/>
  <c r="B35" i="8"/>
  <c r="C35" i="8"/>
  <c r="D35" i="8"/>
  <c r="I35" i="8"/>
  <c r="J35" i="8" s="1"/>
  <c r="B36" i="8"/>
  <c r="C36" i="8"/>
  <c r="D36" i="8"/>
  <c r="I36" i="8"/>
  <c r="J36" i="8" s="1"/>
  <c r="C30" i="8"/>
  <c r="C29" i="8"/>
  <c r="C28" i="8"/>
  <c r="C27" i="8"/>
  <c r="B28" i="8"/>
  <c r="D28" i="8"/>
  <c r="I28" i="8"/>
  <c r="B29" i="8"/>
  <c r="D29" i="8"/>
  <c r="I29" i="8"/>
  <c r="B30" i="8"/>
  <c r="D30" i="8"/>
  <c r="I30" i="8"/>
  <c r="Z263" i="13"/>
  <c r="W270" i="13"/>
  <c r="W269" i="13"/>
  <c r="T270" i="13"/>
  <c r="T269" i="13"/>
  <c r="T266" i="13"/>
  <c r="W266" i="13" s="1"/>
  <c r="B71" i="13"/>
  <c r="G67" i="13" s="1"/>
  <c r="H278" i="13"/>
  <c r="N278" i="13" s="1"/>
  <c r="N272" i="13"/>
  <c r="B169" i="13"/>
  <c r="N265" i="13" s="1"/>
  <c r="B171" i="13"/>
  <c r="N266" i="13" s="1"/>
  <c r="H277" i="13"/>
  <c r="N277" i="13" s="1"/>
  <c r="H279" i="13"/>
  <c r="H280" i="13"/>
  <c r="N280" i="13" s="1"/>
  <c r="H281" i="13"/>
  <c r="P281" i="13" s="1"/>
  <c r="H282" i="13"/>
  <c r="P282" i="13" s="1"/>
  <c r="H283" i="13"/>
  <c r="N283" i="13" s="1"/>
  <c r="H284" i="13"/>
  <c r="N284" i="13" s="1"/>
  <c r="H285" i="13"/>
  <c r="H286" i="13"/>
  <c r="P286" i="13" s="1"/>
  <c r="H287" i="13"/>
  <c r="H288" i="13"/>
  <c r="H289" i="13"/>
  <c r="P289" i="13" s="1"/>
  <c r="H290" i="13"/>
  <c r="P290" i="13" s="1"/>
  <c r="H291" i="13"/>
  <c r="N291" i="13" s="1"/>
  <c r="H292" i="13"/>
  <c r="N292" i="13" s="1"/>
  <c r="H293" i="13"/>
  <c r="H294" i="13"/>
  <c r="P294" i="13" s="1"/>
  <c r="H295" i="13"/>
  <c r="N295" i="13" s="1"/>
  <c r="H296" i="13"/>
  <c r="B67" i="13"/>
  <c r="B66" i="13" s="1"/>
  <c r="N264" i="13" s="1"/>
  <c r="B129" i="13"/>
  <c r="B164" i="13" s="1"/>
  <c r="B160" i="13" s="1"/>
  <c r="B190" i="13"/>
  <c r="B215" i="13"/>
  <c r="B214" i="13" s="1"/>
  <c r="B231" i="13" s="1"/>
  <c r="B198" i="13"/>
  <c r="B78" i="13"/>
  <c r="B102" i="13" s="1"/>
  <c r="B75" i="13"/>
  <c r="C75" i="13" s="1"/>
  <c r="H267" i="13"/>
  <c r="H268" i="13" s="1"/>
  <c r="B210" i="21"/>
  <c r="B199" i="21"/>
  <c r="B158" i="13"/>
  <c r="B183" i="13" s="1"/>
  <c r="B181" i="13" s="1"/>
  <c r="B193" i="21"/>
  <c r="B118" i="21"/>
  <c r="B149" i="21"/>
  <c r="B153" i="21" s="1"/>
  <c r="B157" i="21"/>
  <c r="H4" i="21"/>
  <c r="B194" i="21" s="1"/>
  <c r="B163" i="21"/>
  <c r="H6" i="21"/>
  <c r="B71" i="21" s="1"/>
  <c r="H14" i="21"/>
  <c r="B72" i="21" s="1"/>
  <c r="B69" i="21"/>
  <c r="B70" i="21"/>
  <c r="H11" i="21"/>
  <c r="B82" i="21" s="1"/>
  <c r="B110" i="21" s="1"/>
  <c r="B148" i="21"/>
  <c r="B137" i="21"/>
  <c r="C137" i="21" s="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B324" i="13"/>
  <c r="B318" i="13" s="1"/>
  <c r="B109" i="21"/>
  <c r="B108" i="21"/>
  <c r="H8" i="21"/>
  <c r="B81" i="21" s="1"/>
  <c r="H15" i="21"/>
  <c r="H13" i="21"/>
  <c r="H12" i="21"/>
  <c r="H10" i="21"/>
  <c r="H9" i="21"/>
  <c r="H7" i="21"/>
  <c r="H5" i="21"/>
  <c r="AV8" i="2"/>
  <c r="AV7" i="2"/>
  <c r="Q2" i="7"/>
  <c r="Q3" i="7" s="1"/>
  <c r="B357" i="13"/>
  <c r="B356" i="13" s="1"/>
  <c r="B362" i="13" s="1"/>
  <c r="B333" i="13"/>
  <c r="B332" i="13" s="1"/>
  <c r="B338" i="13" s="1"/>
  <c r="B354" i="13"/>
  <c r="B361" i="13" s="1"/>
  <c r="B351" i="13"/>
  <c r="C45" i="21"/>
  <c r="C46" i="21"/>
  <c r="C47" i="21"/>
  <c r="C48" i="21"/>
  <c r="C49" i="21"/>
  <c r="C44" i="21"/>
  <c r="AE53" i="2"/>
  <c r="AE52" i="2"/>
  <c r="AE50" i="2"/>
  <c r="AE49" i="2"/>
  <c r="B44" i="13"/>
  <c r="B45" i="13"/>
  <c r="W300" i="13"/>
  <c r="B57" i="21"/>
  <c r="B55" i="21"/>
  <c r="B40" i="21"/>
  <c r="B337" i="13"/>
  <c r="B36" i="13"/>
  <c r="B38" i="13"/>
  <c r="B118" i="13"/>
  <c r="B277" i="13"/>
  <c r="B284" i="13" s="1"/>
  <c r="B286" i="13"/>
  <c r="B237" i="13"/>
  <c r="T265" i="13" s="1"/>
  <c r="B246" i="13"/>
  <c r="B22" i="13"/>
  <c r="B20" i="13" s="1"/>
  <c r="W299" i="13" s="1"/>
  <c r="B103" i="13"/>
  <c r="B226" i="13"/>
  <c r="B227" i="13"/>
  <c r="B233" i="13"/>
  <c r="B26" i="13"/>
  <c r="B40" i="13"/>
  <c r="B76" i="13"/>
  <c r="C76" i="13" s="1"/>
  <c r="B77" i="13"/>
  <c r="C77" i="13" s="1"/>
  <c r="B79" i="13"/>
  <c r="C79" i="13" s="1"/>
  <c r="B80" i="13"/>
  <c r="C80" i="13" s="1"/>
  <c r="B81" i="13"/>
  <c r="C81" i="13" s="1"/>
  <c r="B82" i="13"/>
  <c r="C82" i="13" s="1"/>
  <c r="B83" i="13"/>
  <c r="C83" i="13" s="1"/>
  <c r="B84" i="13"/>
  <c r="C84" i="13" s="1"/>
  <c r="B85" i="13"/>
  <c r="C85" i="13" s="1"/>
  <c r="B86" i="13"/>
  <c r="C86" i="13" s="1"/>
  <c r="B87" i="13"/>
  <c r="C87" i="13" s="1"/>
  <c r="B88" i="13"/>
  <c r="C88" i="13" s="1"/>
  <c r="B89" i="13"/>
  <c r="C89" i="13" s="1"/>
  <c r="B90" i="13"/>
  <c r="C90" i="13" s="1"/>
  <c r="B91" i="13"/>
  <c r="B92" i="13"/>
  <c r="C92" i="13" s="1"/>
  <c r="B93" i="13"/>
  <c r="C93" i="13" s="1"/>
  <c r="B94" i="13"/>
  <c r="C94" i="13" s="1"/>
  <c r="B63" i="13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52" i="7"/>
  <c r="M15" i="7"/>
  <c r="M14" i="7"/>
  <c r="M12" i="7"/>
  <c r="M11" i="7"/>
  <c r="M10" i="7"/>
  <c r="M16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5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2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190" i="7"/>
  <c r="L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00" i="7"/>
  <c r="M41" i="7"/>
  <c r="M42" i="7"/>
  <c r="M43" i="7"/>
  <c r="M44" i="7"/>
  <c r="M45" i="7"/>
  <c r="M46" i="7"/>
  <c r="M47" i="7"/>
  <c r="M48" i="7"/>
  <c r="M49" i="7"/>
  <c r="M50" i="7"/>
  <c r="M51" i="7"/>
  <c r="M53" i="7"/>
  <c r="M54" i="7"/>
  <c r="M55" i="7"/>
  <c r="M56" i="7"/>
  <c r="M57" i="7"/>
  <c r="M58" i="7"/>
  <c r="M59" i="7"/>
  <c r="M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40" i="7"/>
  <c r="L11" i="7"/>
  <c r="L12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10" i="7"/>
  <c r="B3" i="19"/>
  <c r="B6" i="19"/>
  <c r="B7" i="19"/>
  <c r="B9" i="19" s="1"/>
  <c r="E13" i="19"/>
  <c r="F3" i="19"/>
  <c r="F6" i="19" s="1"/>
  <c r="F7" i="19" s="1"/>
  <c r="F9" i="19" s="1"/>
  <c r="E13" i="18"/>
  <c r="F3" i="18"/>
  <c r="F6" i="18" s="1"/>
  <c r="F7" i="18" s="1"/>
  <c r="F9" i="18" s="1"/>
  <c r="E13" i="17"/>
  <c r="F3" i="17"/>
  <c r="F6" i="17" s="1"/>
  <c r="F7" i="17" s="1"/>
  <c r="F9" i="17" s="1"/>
  <c r="E13" i="16"/>
  <c r="F3" i="16"/>
  <c r="F6" i="16" s="1"/>
  <c r="F7" i="16" s="1"/>
  <c r="F9" i="16" s="1"/>
  <c r="Y38" i="1"/>
  <c r="E13" i="15"/>
  <c r="F3" i="15"/>
  <c r="F6" i="15" s="1"/>
  <c r="F7" i="15" s="1"/>
  <c r="F9" i="15" s="1"/>
  <c r="B251" i="7"/>
  <c r="B252" i="7"/>
  <c r="B253" i="7"/>
  <c r="B254" i="7"/>
  <c r="B255" i="7"/>
  <c r="B256" i="7"/>
  <c r="B257" i="7"/>
  <c r="B258" i="7"/>
  <c r="B259" i="7"/>
  <c r="B260" i="7"/>
  <c r="B261" i="7"/>
  <c r="B262" i="7"/>
  <c r="AJ262" i="7" s="1"/>
  <c r="B263" i="7"/>
  <c r="AJ263" i="7" s="1"/>
  <c r="B264" i="7"/>
  <c r="B265" i="7"/>
  <c r="B266" i="7"/>
  <c r="B267" i="7"/>
  <c r="B268" i="7"/>
  <c r="B269" i="7"/>
  <c r="AM269" i="7"/>
  <c r="AM268" i="7"/>
  <c r="AM267" i="7"/>
  <c r="AM266" i="7"/>
  <c r="AM265" i="7"/>
  <c r="AM264" i="7"/>
  <c r="AM263" i="7"/>
  <c r="AM262" i="7"/>
  <c r="AM261" i="7"/>
  <c r="AM260" i="7"/>
  <c r="AM259" i="7"/>
  <c r="AM258" i="7"/>
  <c r="AM257" i="7"/>
  <c r="AM256" i="7"/>
  <c r="AM255" i="7"/>
  <c r="AM254" i="7"/>
  <c r="AM253" i="7"/>
  <c r="AM252" i="7"/>
  <c r="AM251" i="7"/>
  <c r="AM250" i="7"/>
  <c r="R248" i="7"/>
  <c r="B221" i="7"/>
  <c r="B222" i="7"/>
  <c r="B223" i="7"/>
  <c r="X223" i="7" s="1"/>
  <c r="Y223" i="7" s="1"/>
  <c r="Z223" i="7" s="1"/>
  <c r="B224" i="7"/>
  <c r="AD224" i="7" s="1"/>
  <c r="AE224" i="7" s="1"/>
  <c r="B225" i="7"/>
  <c r="B226" i="7"/>
  <c r="B227" i="7"/>
  <c r="B228" i="7"/>
  <c r="B229" i="7"/>
  <c r="B230" i="7"/>
  <c r="B231" i="7"/>
  <c r="AJ231" i="7" s="1"/>
  <c r="B232" i="7"/>
  <c r="B233" i="7"/>
  <c r="B234" i="7"/>
  <c r="B235" i="7"/>
  <c r="B236" i="7"/>
  <c r="B237" i="7"/>
  <c r="B238" i="7"/>
  <c r="B239" i="7"/>
  <c r="AM239" i="7"/>
  <c r="AM238" i="7"/>
  <c r="AM237" i="7"/>
  <c r="AM236" i="7"/>
  <c r="AM235" i="7"/>
  <c r="AM234" i="7"/>
  <c r="AM233" i="7"/>
  <c r="AM232" i="7"/>
  <c r="AM231" i="7"/>
  <c r="AM230" i="7"/>
  <c r="AM229" i="7"/>
  <c r="AM228" i="7"/>
  <c r="AM227" i="7"/>
  <c r="AM226" i="7"/>
  <c r="AM225" i="7"/>
  <c r="AM224" i="7"/>
  <c r="AM223" i="7"/>
  <c r="AM222" i="7"/>
  <c r="AM221" i="7"/>
  <c r="AM220" i="7"/>
  <c r="R218" i="7"/>
  <c r="AJ195" i="7"/>
  <c r="G192" i="7"/>
  <c r="H192" i="7" s="1"/>
  <c r="G200" i="7"/>
  <c r="H200" i="7" s="1"/>
  <c r="I200" i="7" s="1"/>
  <c r="J200" i="7" s="1"/>
  <c r="B191" i="7"/>
  <c r="C191" i="7" s="1"/>
  <c r="E191" i="7" s="1"/>
  <c r="F191" i="7" s="1"/>
  <c r="B192" i="7"/>
  <c r="B193" i="7"/>
  <c r="C193" i="7" s="1"/>
  <c r="E193" i="7" s="1"/>
  <c r="F193" i="7" s="1"/>
  <c r="B194" i="7"/>
  <c r="B195" i="7"/>
  <c r="C195" i="7" s="1"/>
  <c r="E195" i="7" s="1"/>
  <c r="F195" i="7" s="1"/>
  <c r="B196" i="7"/>
  <c r="C196" i="7" s="1"/>
  <c r="E196" i="7" s="1"/>
  <c r="F196" i="7" s="1"/>
  <c r="B197" i="7"/>
  <c r="C197" i="7" s="1"/>
  <c r="E197" i="7" s="1"/>
  <c r="F197" i="7" s="1"/>
  <c r="B198" i="7"/>
  <c r="C198" i="7" s="1"/>
  <c r="E198" i="7" s="1"/>
  <c r="F198" i="7" s="1"/>
  <c r="B199" i="7"/>
  <c r="C199" i="7" s="1"/>
  <c r="E199" i="7" s="1"/>
  <c r="F199" i="7" s="1"/>
  <c r="B200" i="7"/>
  <c r="B201" i="7"/>
  <c r="C201" i="7" s="1"/>
  <c r="E201" i="7" s="1"/>
  <c r="F201" i="7" s="1"/>
  <c r="B202" i="7"/>
  <c r="C202" i="7" s="1"/>
  <c r="E202" i="7" s="1"/>
  <c r="F202" i="7" s="1"/>
  <c r="B203" i="7"/>
  <c r="C203" i="7" s="1"/>
  <c r="E203" i="7" s="1"/>
  <c r="F203" i="7" s="1"/>
  <c r="B204" i="7"/>
  <c r="C204" i="7" s="1"/>
  <c r="E204" i="7" s="1"/>
  <c r="F204" i="7" s="1"/>
  <c r="B205" i="7"/>
  <c r="C205" i="7" s="1"/>
  <c r="E205" i="7" s="1"/>
  <c r="F205" i="7" s="1"/>
  <c r="B206" i="7"/>
  <c r="B207" i="7"/>
  <c r="C207" i="7" s="1"/>
  <c r="E207" i="7" s="1"/>
  <c r="F207" i="7" s="1"/>
  <c r="B208" i="7"/>
  <c r="C208" i="7" s="1"/>
  <c r="E208" i="7" s="1"/>
  <c r="F208" i="7" s="1"/>
  <c r="B209" i="7"/>
  <c r="C209" i="7" s="1"/>
  <c r="E209" i="7" s="1"/>
  <c r="F209" i="7" s="1"/>
  <c r="AM209" i="7"/>
  <c r="AM208" i="7"/>
  <c r="AM207" i="7"/>
  <c r="AM206" i="7"/>
  <c r="AM205" i="7"/>
  <c r="AM204" i="7"/>
  <c r="AM203" i="7"/>
  <c r="AM202" i="7"/>
  <c r="AM201" i="7"/>
  <c r="AM200" i="7"/>
  <c r="AM199" i="7"/>
  <c r="AM198" i="7"/>
  <c r="AM197" i="7"/>
  <c r="AM196" i="7"/>
  <c r="AM195" i="7"/>
  <c r="AM194" i="7"/>
  <c r="AM193" i="7"/>
  <c r="AM192" i="7"/>
  <c r="AM191" i="7"/>
  <c r="AM190" i="7"/>
  <c r="R188" i="7"/>
  <c r="B161" i="7"/>
  <c r="B162" i="7"/>
  <c r="B163" i="7"/>
  <c r="B164" i="7"/>
  <c r="B165" i="7"/>
  <c r="B166" i="7"/>
  <c r="B167" i="7"/>
  <c r="B168" i="7"/>
  <c r="B169" i="7"/>
  <c r="B170" i="7"/>
  <c r="G170" i="7" s="1"/>
  <c r="H170" i="7" s="1"/>
  <c r="B171" i="7"/>
  <c r="B172" i="7"/>
  <c r="X172" i="7" s="1"/>
  <c r="Y172" i="7" s="1"/>
  <c r="B173" i="7"/>
  <c r="B174" i="7"/>
  <c r="G174" i="7" s="1"/>
  <c r="H174" i="7" s="1"/>
  <c r="B175" i="7"/>
  <c r="B176" i="7"/>
  <c r="B177" i="7"/>
  <c r="B178" i="7"/>
  <c r="B179" i="7"/>
  <c r="AM179" i="7"/>
  <c r="AM178" i="7"/>
  <c r="AM177" i="7"/>
  <c r="AM176" i="7"/>
  <c r="AM175" i="7"/>
  <c r="AM174" i="7"/>
  <c r="AM173" i="7"/>
  <c r="AM172" i="7"/>
  <c r="AM171" i="7"/>
  <c r="AM170" i="7"/>
  <c r="AM169" i="7"/>
  <c r="AM168" i="7"/>
  <c r="AM167" i="7"/>
  <c r="AM166" i="7"/>
  <c r="AM165" i="7"/>
  <c r="AM164" i="7"/>
  <c r="AM163" i="7"/>
  <c r="AM162" i="7"/>
  <c r="AM161" i="7"/>
  <c r="AM160" i="7"/>
  <c r="R158" i="7"/>
  <c r="AJ102" i="7"/>
  <c r="B101" i="7"/>
  <c r="B102" i="7"/>
  <c r="B103" i="7"/>
  <c r="AJ103" i="7" s="1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R98" i="7"/>
  <c r="B42" i="7"/>
  <c r="C42" i="7" s="1"/>
  <c r="E42" i="7" s="1"/>
  <c r="B43" i="7"/>
  <c r="B44" i="7"/>
  <c r="AJ44" i="7" s="1"/>
  <c r="B45" i="7"/>
  <c r="B46" i="7"/>
  <c r="B47" i="7"/>
  <c r="B48" i="7"/>
  <c r="C48" i="7" s="1"/>
  <c r="B49" i="7"/>
  <c r="B50" i="7"/>
  <c r="C50" i="7" s="1"/>
  <c r="B51" i="7"/>
  <c r="B52" i="7"/>
  <c r="AJ52" i="7" s="1"/>
  <c r="B53" i="7"/>
  <c r="B54" i="7"/>
  <c r="B55" i="7"/>
  <c r="B56" i="7"/>
  <c r="C56" i="7" s="1"/>
  <c r="B57" i="7"/>
  <c r="B58" i="7"/>
  <c r="C58" i="7" s="1"/>
  <c r="B59" i="7"/>
  <c r="AM59" i="7"/>
  <c r="AM58" i="7"/>
  <c r="AM57" i="7"/>
  <c r="AM56" i="7"/>
  <c r="AM55" i="7"/>
  <c r="AM54" i="7"/>
  <c r="AM53" i="7"/>
  <c r="AM52" i="7"/>
  <c r="AM51" i="7"/>
  <c r="AM50" i="7"/>
  <c r="AM49" i="7"/>
  <c r="AM48" i="7"/>
  <c r="AM47" i="7"/>
  <c r="AM46" i="7"/>
  <c r="AM45" i="7"/>
  <c r="AM44" i="7"/>
  <c r="AM43" i="7"/>
  <c r="AM42" i="7"/>
  <c r="AM41" i="7"/>
  <c r="B40" i="7"/>
  <c r="AG40" i="7"/>
  <c r="AM40" i="7"/>
  <c r="R38" i="7"/>
  <c r="B4" i="7"/>
  <c r="Y11" i="7" s="1"/>
  <c r="Z11" i="7" s="1"/>
  <c r="Z70" i="7"/>
  <c r="Z4" i="7"/>
  <c r="Z3" i="7"/>
  <c r="AF40" i="7" s="1"/>
  <c r="AF4" i="7"/>
  <c r="B12" i="7"/>
  <c r="AJ12" i="7" s="1"/>
  <c r="B13" i="7"/>
  <c r="B14" i="7"/>
  <c r="B15" i="7"/>
  <c r="AJ15" i="7" s="1"/>
  <c r="B16" i="7"/>
  <c r="B17" i="7"/>
  <c r="B18" i="7"/>
  <c r="B19" i="7"/>
  <c r="X19" i="7" s="1"/>
  <c r="Y19" i="7" s="1"/>
  <c r="Z19" i="7" s="1"/>
  <c r="B20" i="7"/>
  <c r="B21" i="7"/>
  <c r="B22" i="7"/>
  <c r="B23" i="7"/>
  <c r="B24" i="7"/>
  <c r="B25" i="7"/>
  <c r="B26" i="7"/>
  <c r="AD26" i="7" s="1"/>
  <c r="AE26" i="7" s="1"/>
  <c r="AF26" i="7" s="1"/>
  <c r="AG26" i="7" s="1"/>
  <c r="B27" i="7"/>
  <c r="AJ27" i="7" s="1"/>
  <c r="B28" i="7"/>
  <c r="B29" i="7"/>
  <c r="G29" i="7" s="1"/>
  <c r="H29" i="7" s="1"/>
  <c r="I29" i="7" s="1"/>
  <c r="J29" i="7" s="1"/>
  <c r="B10" i="7"/>
  <c r="C10" i="7" s="1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C9" i="8"/>
  <c r="D9" i="8"/>
  <c r="C10" i="8"/>
  <c r="D10" i="8"/>
  <c r="C11" i="8"/>
  <c r="D11" i="8"/>
  <c r="C12" i="8"/>
  <c r="D12" i="8"/>
  <c r="C13" i="8"/>
  <c r="D13" i="8"/>
  <c r="C14" i="8"/>
  <c r="D14" i="8"/>
  <c r="C15" i="8"/>
  <c r="D15" i="8"/>
  <c r="C16" i="8"/>
  <c r="D16" i="8"/>
  <c r="C17" i="8"/>
  <c r="D17" i="8"/>
  <c r="C18" i="8"/>
  <c r="D18" i="8"/>
  <c r="C19" i="8"/>
  <c r="D19" i="8"/>
  <c r="C20" i="8"/>
  <c r="D20" i="8"/>
  <c r="C21" i="8"/>
  <c r="D21" i="8"/>
  <c r="C22" i="8"/>
  <c r="D22" i="8"/>
  <c r="C23" i="8"/>
  <c r="D23" i="8"/>
  <c r="C24" i="8"/>
  <c r="D24" i="8"/>
  <c r="C25" i="8"/>
  <c r="D25" i="8"/>
  <c r="C26" i="8"/>
  <c r="D26" i="8"/>
  <c r="D27" i="8"/>
  <c r="I11" i="8"/>
  <c r="I9" i="8"/>
  <c r="I10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E13" i="14"/>
  <c r="F59" i="12"/>
  <c r="B59" i="12"/>
  <c r="F57" i="12"/>
  <c r="B57" i="12"/>
  <c r="B52" i="12"/>
  <c r="B51" i="12"/>
  <c r="B50" i="11"/>
  <c r="E46" i="11"/>
  <c r="B46" i="11"/>
  <c r="B41" i="11"/>
  <c r="E38" i="11"/>
  <c r="B38" i="11"/>
  <c r="B33" i="11"/>
  <c r="E27" i="11"/>
  <c r="B27" i="11"/>
  <c r="E24" i="11"/>
  <c r="B24" i="11"/>
  <c r="O2" i="8"/>
  <c r="O1" i="8"/>
  <c r="B27" i="12"/>
  <c r="B48" i="12"/>
  <c r="B47" i="12"/>
  <c r="B34" i="7"/>
  <c r="AJ47" i="7" s="1"/>
  <c r="AD113" i="7"/>
  <c r="AE113" i="7" s="1"/>
  <c r="AF113" i="7" s="1"/>
  <c r="AG113" i="7" s="1"/>
  <c r="F33" i="7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F116" i="2"/>
  <c r="F117" i="2"/>
  <c r="F119" i="2"/>
  <c r="F120" i="2"/>
  <c r="F121" i="2"/>
  <c r="F122" i="2"/>
  <c r="F123" i="2"/>
  <c r="F124" i="2"/>
  <c r="F125" i="2"/>
  <c r="F126" i="2"/>
  <c r="F127" i="2"/>
  <c r="F128" i="2"/>
  <c r="F129" i="2"/>
  <c r="F115" i="2"/>
  <c r="I115" i="2"/>
  <c r="F3" i="14"/>
  <c r="F6" i="14"/>
  <c r="F7" i="14" s="1"/>
  <c r="F9" i="14" s="1"/>
  <c r="L3" i="5"/>
  <c r="J4" i="8"/>
  <c r="F3" i="7"/>
  <c r="F243" i="7" s="1"/>
  <c r="F242" i="7"/>
  <c r="F212" i="7"/>
  <c r="F182" i="7"/>
  <c r="F152" i="7"/>
  <c r="B34" i="12"/>
  <c r="B39" i="12"/>
  <c r="B42" i="12"/>
  <c r="G3" i="3"/>
  <c r="B2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3" i="3"/>
  <c r="B16" i="3"/>
  <c r="O11" i="3"/>
  <c r="B53" i="12"/>
  <c r="B32" i="12"/>
  <c r="B9" i="12"/>
  <c r="B6" i="12"/>
  <c r="B31" i="12"/>
  <c r="B44" i="12"/>
  <c r="C72" i="2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4" i="8"/>
  <c r="P10" i="5"/>
  <c r="N10" i="5"/>
  <c r="M10" i="5"/>
  <c r="L10" i="5"/>
  <c r="I10" i="5"/>
  <c r="V38" i="1"/>
  <c r="V42" i="1"/>
  <c r="V43" i="1"/>
  <c r="U38" i="1"/>
  <c r="U42" i="1"/>
  <c r="U43" i="1"/>
  <c r="V40" i="1"/>
  <c r="V41" i="1"/>
  <c r="U41" i="1"/>
  <c r="U40" i="1"/>
  <c r="V39" i="1"/>
  <c r="U39" i="1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O8" i="5"/>
  <c r="AE29" i="2"/>
  <c r="L23" i="5"/>
  <c r="H29" i="5"/>
  <c r="H11" i="5"/>
  <c r="H12" i="5"/>
  <c r="H13" i="5"/>
  <c r="I13" i="5"/>
  <c r="M13" i="5"/>
  <c r="H14" i="5"/>
  <c r="I14" i="5"/>
  <c r="M14" i="5"/>
  <c r="H15" i="5"/>
  <c r="L15" i="5"/>
  <c r="H16" i="5"/>
  <c r="L16" i="5"/>
  <c r="H17" i="5"/>
  <c r="H18" i="5"/>
  <c r="H19" i="5"/>
  <c r="H20" i="5"/>
  <c r="H21" i="5"/>
  <c r="I21" i="5"/>
  <c r="M21" i="5"/>
  <c r="H22" i="5"/>
  <c r="I22" i="5"/>
  <c r="M22" i="5"/>
  <c r="H23" i="5"/>
  <c r="I23" i="5"/>
  <c r="M23" i="5"/>
  <c r="H24" i="5"/>
  <c r="L24" i="5"/>
  <c r="H25" i="5"/>
  <c r="H26" i="5"/>
  <c r="H27" i="5"/>
  <c r="H28" i="5"/>
  <c r="H10" i="5"/>
  <c r="H4" i="5"/>
  <c r="L21" i="5"/>
  <c r="B26" i="5"/>
  <c r="B23" i="5"/>
  <c r="B22" i="5"/>
  <c r="B20" i="5"/>
  <c r="B13" i="5"/>
  <c r="B12" i="5"/>
  <c r="B6" i="5"/>
  <c r="B4" i="5"/>
  <c r="B2" i="5"/>
  <c r="C76" i="2"/>
  <c r="C75" i="2"/>
  <c r="F153" i="7"/>
  <c r="B38" i="12"/>
  <c r="B41" i="12"/>
  <c r="I16" i="5"/>
  <c r="M16" i="5"/>
  <c r="I15" i="5"/>
  <c r="M15" i="5"/>
  <c r="L28" i="5"/>
  <c r="L20" i="5"/>
  <c r="L12" i="5"/>
  <c r="I24" i="5"/>
  <c r="M24" i="5"/>
  <c r="L27" i="5"/>
  <c r="L19" i="5"/>
  <c r="L11" i="5"/>
  <c r="I26" i="5"/>
  <c r="M26" i="5"/>
  <c r="I18" i="5"/>
  <c r="M18" i="5"/>
  <c r="L29" i="5"/>
  <c r="I25" i="5"/>
  <c r="M25" i="5"/>
  <c r="I17" i="5"/>
  <c r="M17" i="5"/>
  <c r="P19" i="5"/>
  <c r="Q19" i="5"/>
  <c r="Q23" i="5"/>
  <c r="L18" i="5"/>
  <c r="P26" i="5"/>
  <c r="P18" i="5"/>
  <c r="L17" i="5"/>
  <c r="I29" i="5"/>
  <c r="M29" i="5"/>
  <c r="P25" i="5"/>
  <c r="P17" i="5"/>
  <c r="Q17" i="5"/>
  <c r="I28" i="5"/>
  <c r="M28" i="5"/>
  <c r="I20" i="5"/>
  <c r="M20" i="5"/>
  <c r="I12" i="5"/>
  <c r="M12" i="5"/>
  <c r="P16" i="5"/>
  <c r="Q16" i="5"/>
  <c r="L26" i="5"/>
  <c r="P22" i="5"/>
  <c r="P14" i="5"/>
  <c r="Q14" i="5"/>
  <c r="Q26" i="5"/>
  <c r="P27" i="5"/>
  <c r="P11" i="5"/>
  <c r="Q15" i="5"/>
  <c r="P24" i="5"/>
  <c r="Q24" i="5"/>
  <c r="I27" i="5"/>
  <c r="M27" i="5"/>
  <c r="I19" i="5"/>
  <c r="M19" i="5"/>
  <c r="I11" i="5"/>
  <c r="M11" i="5"/>
  <c r="P23" i="5"/>
  <c r="P15" i="5"/>
  <c r="Q27" i="5"/>
  <c r="Q11" i="5"/>
  <c r="L25" i="5"/>
  <c r="P29" i="5"/>
  <c r="P21" i="5"/>
  <c r="Q21" i="5"/>
  <c r="P13" i="5"/>
  <c r="Q13" i="5"/>
  <c r="P28" i="5"/>
  <c r="P20" i="5"/>
  <c r="Q20" i="5"/>
  <c r="P12" i="5"/>
  <c r="L13" i="5"/>
  <c r="L22" i="5"/>
  <c r="L14" i="5"/>
  <c r="B12" i="3"/>
  <c r="G11" i="3"/>
  <c r="H11" i="3"/>
  <c r="B13" i="3"/>
  <c r="I11" i="3"/>
  <c r="J11" i="3"/>
  <c r="B14" i="3"/>
  <c r="K11" i="3"/>
  <c r="L11" i="3"/>
  <c r="B15" i="3"/>
  <c r="M11" i="3"/>
  <c r="N11" i="3"/>
  <c r="O18" i="3"/>
  <c r="O17" i="3"/>
  <c r="O10" i="3"/>
  <c r="O9" i="3"/>
  <c r="O15" i="3"/>
  <c r="O7" i="3"/>
  <c r="O6" i="3"/>
  <c r="O16" i="3"/>
  <c r="O8" i="3"/>
  <c r="O13" i="3"/>
  <c r="O5" i="3"/>
  <c r="O12" i="3"/>
  <c r="O4" i="3"/>
  <c r="G15" i="3"/>
  <c r="H15" i="3"/>
  <c r="O14" i="3"/>
  <c r="O3" i="3"/>
  <c r="B143" i="2"/>
  <c r="C146" i="2"/>
  <c r="B140" i="2"/>
  <c r="B139" i="2"/>
  <c r="B137" i="2"/>
  <c r="B132" i="2"/>
  <c r="B74" i="1"/>
  <c r="B113" i="2"/>
  <c r="B71" i="1"/>
  <c r="B73" i="1"/>
  <c r="B72" i="1"/>
  <c r="B106" i="2"/>
  <c r="B101" i="2" s="1"/>
  <c r="B110" i="2"/>
  <c r="B109" i="2"/>
  <c r="C119" i="2"/>
  <c r="C120" i="2"/>
  <c r="H3" i="3"/>
  <c r="G10" i="3"/>
  <c r="H10" i="3"/>
  <c r="G5" i="3"/>
  <c r="H5" i="3"/>
  <c r="G13" i="3"/>
  <c r="H13" i="3"/>
  <c r="K15" i="3"/>
  <c r="L15" i="3"/>
  <c r="M10" i="3"/>
  <c r="N10" i="3"/>
  <c r="M18" i="3"/>
  <c r="N18" i="3"/>
  <c r="M3" i="3"/>
  <c r="N3" i="3"/>
  <c r="M4" i="3"/>
  <c r="N4" i="3"/>
  <c r="M16" i="3"/>
  <c r="N16" i="3"/>
  <c r="K8" i="3"/>
  <c r="L8" i="3"/>
  <c r="M6" i="3"/>
  <c r="N6" i="3"/>
  <c r="M13" i="3"/>
  <c r="N13" i="3"/>
  <c r="K5" i="3"/>
  <c r="L5" i="3"/>
  <c r="K13" i="3"/>
  <c r="L13" i="3"/>
  <c r="I8" i="3"/>
  <c r="J8" i="3"/>
  <c r="K10" i="3"/>
  <c r="L10" i="3"/>
  <c r="K18" i="3"/>
  <c r="L18" i="3"/>
  <c r="K16" i="3"/>
  <c r="L16" i="3"/>
  <c r="K3" i="3"/>
  <c r="L3" i="3"/>
  <c r="K7" i="3"/>
  <c r="L7" i="3"/>
  <c r="M14" i="3"/>
  <c r="N14" i="3"/>
  <c r="M12" i="3"/>
  <c r="N12" i="3"/>
  <c r="K6" i="3"/>
  <c r="L6" i="3"/>
  <c r="K4" i="3"/>
  <c r="L4" i="3"/>
  <c r="K9" i="3"/>
  <c r="L9" i="3"/>
  <c r="K14" i="3"/>
  <c r="L14" i="3"/>
  <c r="K12" i="3"/>
  <c r="L12" i="3"/>
  <c r="K17" i="3"/>
  <c r="L17" i="3"/>
  <c r="M7" i="3"/>
  <c r="N7" i="3"/>
  <c r="M15" i="3"/>
  <c r="N15" i="3"/>
  <c r="M5" i="3"/>
  <c r="N5" i="3"/>
  <c r="M8" i="3"/>
  <c r="N8" i="3"/>
  <c r="M17" i="3"/>
  <c r="N17" i="3"/>
  <c r="I4" i="3"/>
  <c r="J4" i="3"/>
  <c r="I16" i="3"/>
  <c r="J16" i="3"/>
  <c r="I15" i="3"/>
  <c r="J15" i="3"/>
  <c r="G17" i="3"/>
  <c r="H17" i="3"/>
  <c r="I12" i="3"/>
  <c r="J12" i="3"/>
  <c r="G8" i="3"/>
  <c r="H8" i="3"/>
  <c r="I9" i="3"/>
  <c r="J9" i="3"/>
  <c r="G4" i="3"/>
  <c r="H4" i="3"/>
  <c r="G16" i="3"/>
  <c r="H16" i="3"/>
  <c r="G12" i="3"/>
  <c r="H12" i="3"/>
  <c r="I7" i="3"/>
  <c r="J7" i="3"/>
  <c r="G18" i="3"/>
  <c r="H18" i="3"/>
  <c r="I18" i="3"/>
  <c r="J18" i="3"/>
  <c r="G6" i="3"/>
  <c r="H6" i="3"/>
  <c r="G7" i="3"/>
  <c r="H7" i="3"/>
  <c r="I5" i="3"/>
  <c r="J5" i="3"/>
  <c r="I10" i="3"/>
  <c r="J10" i="3"/>
  <c r="I3" i="3"/>
  <c r="J3" i="3"/>
  <c r="G14" i="3"/>
  <c r="H14" i="3"/>
  <c r="G9" i="3"/>
  <c r="H9" i="3"/>
  <c r="I13" i="3"/>
  <c r="J13" i="3"/>
  <c r="I6" i="3"/>
  <c r="J6" i="3"/>
  <c r="I17" i="3"/>
  <c r="J17" i="3"/>
  <c r="M9" i="3"/>
  <c r="N9" i="3"/>
  <c r="R10" i="5"/>
  <c r="R15" i="5"/>
  <c r="R13" i="5"/>
  <c r="R27" i="5"/>
  <c r="Q29" i="5"/>
  <c r="R29" i="5"/>
  <c r="R26" i="5"/>
  <c r="R16" i="5"/>
  <c r="R14" i="5"/>
  <c r="R19" i="5"/>
  <c r="R20" i="5"/>
  <c r="R24" i="5"/>
  <c r="Q22" i="5"/>
  <c r="R22" i="5"/>
  <c r="Q10" i="5"/>
  <c r="Q25" i="5"/>
  <c r="R25" i="5"/>
  <c r="R11" i="5"/>
  <c r="Q12" i="5"/>
  <c r="R12" i="5"/>
  <c r="R23" i="5"/>
  <c r="R21" i="5"/>
  <c r="Q18" i="5"/>
  <c r="R18" i="5"/>
  <c r="Q28" i="5"/>
  <c r="R28" i="5"/>
  <c r="R17" i="5"/>
  <c r="C126" i="2"/>
  <c r="C118" i="2"/>
  <c r="I14" i="3"/>
  <c r="J14" i="3"/>
  <c r="C153" i="2"/>
  <c r="C152" i="2"/>
  <c r="C150" i="2"/>
  <c r="C151" i="2"/>
  <c r="C145" i="2"/>
  <c r="C156" i="2"/>
  <c r="C148" i="2"/>
  <c r="C149" i="2"/>
  <c r="C155" i="2"/>
  <c r="C147" i="2"/>
  <c r="C154" i="2"/>
  <c r="C125" i="2"/>
  <c r="C124" i="2"/>
  <c r="C123" i="2"/>
  <c r="C115" i="2"/>
  <c r="C122" i="2"/>
  <c r="C129" i="2"/>
  <c r="C121" i="2"/>
  <c r="C128" i="2"/>
  <c r="C117" i="2"/>
  <c r="C127" i="2"/>
  <c r="C116" i="2"/>
  <c r="B83" i="2"/>
  <c r="B82" i="2"/>
  <c r="C74" i="2"/>
  <c r="C73" i="2"/>
  <c r="B64" i="2"/>
  <c r="B67" i="2"/>
  <c r="B66" i="2"/>
  <c r="B76" i="2"/>
  <c r="B38" i="2"/>
  <c r="B39" i="2"/>
  <c r="B40" i="2"/>
  <c r="I121" i="2"/>
  <c r="I127" i="2"/>
  <c r="I124" i="2"/>
  <c r="I117" i="2"/>
  <c r="I125" i="2"/>
  <c r="I128" i="2"/>
  <c r="I129" i="2"/>
  <c r="I118" i="2"/>
  <c r="I120" i="2"/>
  <c r="I122" i="2"/>
  <c r="I116" i="2"/>
  <c r="I123" i="2"/>
  <c r="I126" i="2"/>
  <c r="I119" i="2"/>
  <c r="K61" i="2"/>
  <c r="K69" i="2"/>
  <c r="K62" i="2"/>
  <c r="K70" i="2"/>
  <c r="K63" i="2"/>
  <c r="K71" i="2"/>
  <c r="K64" i="2"/>
  <c r="K72" i="2"/>
  <c r="K65" i="2"/>
  <c r="K73" i="2"/>
  <c r="K66" i="2"/>
  <c r="K74" i="2"/>
  <c r="K67" i="2"/>
  <c r="K75" i="2"/>
  <c r="K68" i="2"/>
  <c r="K60" i="2"/>
  <c r="B138" i="2"/>
  <c r="B146" i="2"/>
  <c r="D146" i="2"/>
  <c r="B73" i="2"/>
  <c r="B149" i="2"/>
  <c r="D149" i="2"/>
  <c r="B145" i="2"/>
  <c r="D145" i="2"/>
  <c r="B152" i="2"/>
  <c r="D152" i="2"/>
  <c r="B156" i="2"/>
  <c r="D156" i="2"/>
  <c r="B151" i="2"/>
  <c r="D151" i="2"/>
  <c r="B75" i="2"/>
  <c r="B107" i="2"/>
  <c r="B41" i="2"/>
  <c r="B42" i="2"/>
  <c r="B43" i="2"/>
  <c r="B72" i="2"/>
  <c r="B19" i="2"/>
  <c r="B74" i="2"/>
  <c r="B81" i="2"/>
  <c r="B91" i="2"/>
  <c r="B13" i="2"/>
  <c r="B17" i="2"/>
  <c r="B9" i="2"/>
  <c r="B6" i="2"/>
  <c r="B94" i="2"/>
  <c r="B93" i="2"/>
  <c r="B147" i="2"/>
  <c r="D147" i="2"/>
  <c r="B155" i="2"/>
  <c r="D155" i="2"/>
  <c r="B153" i="2"/>
  <c r="D153" i="2"/>
  <c r="B150" i="2"/>
  <c r="D150" i="2"/>
  <c r="B148" i="2"/>
  <c r="D148" i="2"/>
  <c r="B154" i="2"/>
  <c r="D154" i="2"/>
  <c r="J61" i="2"/>
  <c r="J62" i="2"/>
  <c r="J63" i="2"/>
  <c r="J64" i="2"/>
  <c r="J65" i="2"/>
  <c r="J73" i="2"/>
  <c r="J66" i="2"/>
  <c r="J74" i="2"/>
  <c r="J75" i="2"/>
  <c r="J67" i="2"/>
  <c r="J68" i="2"/>
  <c r="J60" i="2"/>
  <c r="J69" i="2"/>
  <c r="J70" i="2"/>
  <c r="J71" i="2"/>
  <c r="J72" i="2"/>
  <c r="I65" i="2"/>
  <c r="I73" i="2"/>
  <c r="I67" i="2"/>
  <c r="I75" i="2"/>
  <c r="I70" i="2"/>
  <c r="I71" i="2"/>
  <c r="I64" i="2"/>
  <c r="I66" i="2"/>
  <c r="I74" i="2"/>
  <c r="I62" i="2"/>
  <c r="I63" i="2"/>
  <c r="I68" i="2"/>
  <c r="I60" i="2"/>
  <c r="I61" i="2"/>
  <c r="I69" i="2"/>
  <c r="I72" i="2"/>
  <c r="G65" i="2"/>
  <c r="G73" i="2"/>
  <c r="G67" i="2"/>
  <c r="G69" i="2"/>
  <c r="G71" i="2"/>
  <c r="G72" i="2"/>
  <c r="G66" i="2"/>
  <c r="G74" i="2"/>
  <c r="G75" i="2"/>
  <c r="G62" i="2"/>
  <c r="G64" i="2"/>
  <c r="G68" i="2"/>
  <c r="G60" i="2"/>
  <c r="G61" i="2"/>
  <c r="G70" i="2"/>
  <c r="G63" i="2"/>
  <c r="H65" i="2"/>
  <c r="H73" i="2"/>
  <c r="H70" i="2"/>
  <c r="H71" i="2"/>
  <c r="H66" i="2"/>
  <c r="H74" i="2"/>
  <c r="H67" i="2"/>
  <c r="H75" i="2"/>
  <c r="H69" i="2"/>
  <c r="H64" i="2"/>
  <c r="H68" i="2"/>
  <c r="H60" i="2"/>
  <c r="H61" i="2"/>
  <c r="H62" i="2"/>
  <c r="H63" i="2"/>
  <c r="H72" i="2"/>
  <c r="B98" i="2"/>
  <c r="B97" i="2"/>
  <c r="B95" i="2"/>
  <c r="B87" i="2"/>
  <c r="B88" i="2"/>
  <c r="B22" i="2"/>
  <c r="B92" i="2"/>
  <c r="C47" i="2"/>
  <c r="D47" i="2"/>
  <c r="E47" i="2"/>
  <c r="F47" i="2"/>
  <c r="G47" i="2"/>
  <c r="H47" i="2"/>
  <c r="F23" i="2"/>
  <c r="B85" i="2"/>
  <c r="B89" i="2"/>
  <c r="B90" i="2"/>
  <c r="B96" i="2"/>
  <c r="B29" i="2"/>
  <c r="B28" i="2"/>
  <c r="C33" i="2"/>
  <c r="C25" i="2"/>
  <c r="D31" i="2"/>
  <c r="D23" i="2"/>
  <c r="E26" i="2"/>
  <c r="F29" i="2"/>
  <c r="B27" i="2"/>
  <c r="C32" i="2"/>
  <c r="C24" i="2"/>
  <c r="D30" i="2"/>
  <c r="E33" i="2"/>
  <c r="E25" i="2"/>
  <c r="F28" i="2"/>
  <c r="B26" i="2"/>
  <c r="C31" i="2"/>
  <c r="C23" i="2"/>
  <c r="D29" i="2"/>
  <c r="E32" i="2"/>
  <c r="E24" i="2"/>
  <c r="F27" i="2"/>
  <c r="E27" i="2"/>
  <c r="B33" i="2"/>
  <c r="B25" i="2"/>
  <c r="C30" i="2"/>
  <c r="D22" i="2"/>
  <c r="D28" i="2"/>
  <c r="E31" i="2"/>
  <c r="E23" i="2"/>
  <c r="F26" i="2"/>
  <c r="F30" i="2"/>
  <c r="B32" i="2"/>
  <c r="B24" i="2"/>
  <c r="C29" i="2"/>
  <c r="E22" i="2"/>
  <c r="D27" i="2"/>
  <c r="E30" i="2"/>
  <c r="F33" i="2"/>
  <c r="F25" i="2"/>
  <c r="C22" i="2"/>
  <c r="D24" i="2"/>
  <c r="B31" i="2"/>
  <c r="B23" i="2"/>
  <c r="C28" i="2"/>
  <c r="F22" i="2"/>
  <c r="D26" i="2"/>
  <c r="E29" i="2"/>
  <c r="F32" i="2"/>
  <c r="F24" i="2"/>
  <c r="C26" i="2"/>
  <c r="D32" i="2"/>
  <c r="B30" i="2"/>
  <c r="C27" i="2"/>
  <c r="D33" i="2"/>
  <c r="D25" i="2"/>
  <c r="E28" i="2"/>
  <c r="F31" i="2"/>
  <c r="B20" i="1"/>
  <c r="F31" i="1"/>
  <c r="F30" i="1"/>
  <c r="F21" i="1"/>
  <c r="F25" i="1"/>
  <c r="B31" i="1"/>
  <c r="F29" i="1"/>
  <c r="F27" i="1"/>
  <c r="F24" i="1"/>
  <c r="F22" i="1"/>
  <c r="B22" i="1"/>
  <c r="F26" i="1"/>
  <c r="D59" i="1"/>
  <c r="B59" i="1"/>
  <c r="B57" i="1"/>
  <c r="B67" i="1"/>
  <c r="D63" i="1"/>
  <c r="D62" i="1"/>
  <c r="B63" i="1"/>
  <c r="B62" i="1"/>
  <c r="D66" i="1"/>
  <c r="D65" i="1"/>
  <c r="D57" i="1"/>
  <c r="D67" i="1"/>
  <c r="B66" i="1"/>
  <c r="B65" i="1"/>
  <c r="P9" i="1"/>
  <c r="K48" i="1"/>
  <c r="F20" i="1"/>
  <c r="F19" i="1"/>
  <c r="D61" i="1"/>
  <c r="D68" i="1"/>
  <c r="D64" i="1"/>
  <c r="B61" i="1"/>
  <c r="B68" i="1"/>
  <c r="B64" i="1"/>
  <c r="L15" i="1"/>
  <c r="I40" i="1"/>
  <c r="I41" i="1"/>
  <c r="B36" i="1"/>
  <c r="D36" i="1"/>
  <c r="K36" i="1"/>
  <c r="M36" i="1"/>
  <c r="K41" i="1"/>
  <c r="M41" i="1"/>
  <c r="K42" i="1"/>
  <c r="N42" i="1"/>
  <c r="C36" i="1"/>
  <c r="F36" i="1"/>
  <c r="H36" i="1"/>
  <c r="L36" i="1"/>
  <c r="O36" i="1"/>
  <c r="Q36" i="1"/>
  <c r="B37" i="1"/>
  <c r="D37" i="1"/>
  <c r="C37" i="1"/>
  <c r="F37" i="1"/>
  <c r="H37" i="1"/>
  <c r="K37" i="1"/>
  <c r="M37" i="1"/>
  <c r="L37" i="1"/>
  <c r="O37" i="1"/>
  <c r="Q37" i="1"/>
  <c r="B38" i="1"/>
  <c r="C38" i="1"/>
  <c r="D38" i="1"/>
  <c r="E38" i="1"/>
  <c r="F38" i="1"/>
  <c r="H38" i="1"/>
  <c r="K38" i="1"/>
  <c r="M38" i="1"/>
  <c r="L38" i="1"/>
  <c r="O38" i="1"/>
  <c r="Q38" i="1"/>
  <c r="B39" i="1"/>
  <c r="E39" i="1"/>
  <c r="C39" i="1"/>
  <c r="F39" i="1"/>
  <c r="H39" i="1"/>
  <c r="K39" i="1"/>
  <c r="M39" i="1"/>
  <c r="L39" i="1"/>
  <c r="O39" i="1"/>
  <c r="Q39" i="1"/>
  <c r="B40" i="1"/>
  <c r="C40" i="1"/>
  <c r="D40" i="1"/>
  <c r="G40" i="1"/>
  <c r="E40" i="1"/>
  <c r="F40" i="1"/>
  <c r="H40" i="1"/>
  <c r="K40" i="1"/>
  <c r="M40" i="1"/>
  <c r="L40" i="1"/>
  <c r="O40" i="1"/>
  <c r="Q40" i="1"/>
  <c r="B41" i="1"/>
  <c r="C41" i="1"/>
  <c r="D41" i="1"/>
  <c r="G41" i="1"/>
  <c r="E41" i="1"/>
  <c r="F41" i="1"/>
  <c r="H41" i="1"/>
  <c r="L41" i="1"/>
  <c r="O41" i="1"/>
  <c r="Q41" i="1"/>
  <c r="L43" i="1"/>
  <c r="L44" i="1"/>
  <c r="L45" i="1"/>
  <c r="L46" i="1"/>
  <c r="L47" i="1"/>
  <c r="L48" i="1"/>
  <c r="L49" i="1"/>
  <c r="L50" i="1"/>
  <c r="L51" i="1"/>
  <c r="L52" i="1"/>
  <c r="L42" i="1"/>
  <c r="K43" i="1"/>
  <c r="N43" i="1"/>
  <c r="K44" i="1"/>
  <c r="N44" i="1"/>
  <c r="K45" i="1"/>
  <c r="N45" i="1"/>
  <c r="K46" i="1"/>
  <c r="N46" i="1"/>
  <c r="K47" i="1"/>
  <c r="K49" i="1"/>
  <c r="N49" i="1"/>
  <c r="K50" i="1"/>
  <c r="N50" i="1"/>
  <c r="K51" i="1"/>
  <c r="N51" i="1"/>
  <c r="K52" i="1"/>
  <c r="N52" i="1"/>
  <c r="Q52" i="1"/>
  <c r="Q51" i="1"/>
  <c r="Q50" i="1"/>
  <c r="O50" i="1"/>
  <c r="Q49" i="1"/>
  <c r="Q48" i="1"/>
  <c r="N48" i="1"/>
  <c r="Q47" i="1"/>
  <c r="O47" i="1"/>
  <c r="N47" i="1"/>
  <c r="Q46" i="1"/>
  <c r="Q45" i="1"/>
  <c r="Q44" i="1"/>
  <c r="O44" i="1"/>
  <c r="Q43" i="1"/>
  <c r="Q42" i="1"/>
  <c r="O42" i="1"/>
  <c r="F47" i="1"/>
  <c r="F48" i="1"/>
  <c r="F49" i="1"/>
  <c r="F50" i="1"/>
  <c r="E52" i="1"/>
  <c r="E42" i="1"/>
  <c r="C43" i="1"/>
  <c r="C44" i="1"/>
  <c r="C45" i="1"/>
  <c r="C46" i="1"/>
  <c r="C47" i="1"/>
  <c r="C48" i="1"/>
  <c r="C49" i="1"/>
  <c r="C50" i="1"/>
  <c r="D50" i="1"/>
  <c r="G50" i="1"/>
  <c r="I50" i="1"/>
  <c r="C51" i="1"/>
  <c r="C52" i="1"/>
  <c r="C42" i="1"/>
  <c r="B52" i="1"/>
  <c r="D52" i="1"/>
  <c r="B43" i="1"/>
  <c r="B44" i="1"/>
  <c r="D44" i="1"/>
  <c r="B45" i="1"/>
  <c r="D45" i="1"/>
  <c r="B46" i="1"/>
  <c r="D46" i="1"/>
  <c r="B47" i="1"/>
  <c r="D47" i="1"/>
  <c r="B48" i="1"/>
  <c r="B49" i="1"/>
  <c r="B50" i="1"/>
  <c r="E50" i="1"/>
  <c r="B51" i="1"/>
  <c r="B42" i="1"/>
  <c r="D42" i="1"/>
  <c r="H43" i="1"/>
  <c r="H44" i="1"/>
  <c r="H45" i="1"/>
  <c r="H46" i="1"/>
  <c r="H47" i="1"/>
  <c r="H48" i="1"/>
  <c r="H49" i="1"/>
  <c r="H50" i="1"/>
  <c r="H51" i="1"/>
  <c r="H52" i="1"/>
  <c r="H42" i="1"/>
  <c r="P10" i="1"/>
  <c r="L16" i="1"/>
  <c r="B30" i="1"/>
  <c r="B21" i="1"/>
  <c r="D1" i="1"/>
  <c r="B26" i="1"/>
  <c r="O52" i="1"/>
  <c r="B29" i="1"/>
  <c r="B27" i="1"/>
  <c r="B24" i="1"/>
  <c r="N37" i="1"/>
  <c r="P37" i="1"/>
  <c r="R37" i="1"/>
  <c r="N41" i="1"/>
  <c r="N40" i="1"/>
  <c r="P40" i="1"/>
  <c r="R40" i="1"/>
  <c r="N39" i="1"/>
  <c r="D39" i="1"/>
  <c r="G39" i="1"/>
  <c r="I39" i="1"/>
  <c r="G38" i="1"/>
  <c r="I38" i="1"/>
  <c r="E37" i="1"/>
  <c r="G37" i="1"/>
  <c r="I37" i="1"/>
  <c r="E36" i="1"/>
  <c r="G36" i="1"/>
  <c r="I36" i="1"/>
  <c r="N38" i="1"/>
  <c r="P38" i="1"/>
  <c r="R38" i="1"/>
  <c r="N36" i="1"/>
  <c r="P36" i="1"/>
  <c r="R36" i="1"/>
  <c r="P41" i="1"/>
  <c r="R41" i="1"/>
  <c r="P39" i="1"/>
  <c r="R39" i="1"/>
  <c r="E47" i="1"/>
  <c r="G47" i="1"/>
  <c r="I47" i="1"/>
  <c r="E46" i="1"/>
  <c r="G46" i="1"/>
  <c r="I46" i="1"/>
  <c r="E45" i="1"/>
  <c r="E44" i="1"/>
  <c r="G44" i="1"/>
  <c r="I44" i="1"/>
  <c r="D51" i="1"/>
  <c r="D43" i="1"/>
  <c r="E51" i="1"/>
  <c r="E43" i="1"/>
  <c r="F46" i="1"/>
  <c r="O45" i="1"/>
  <c r="O51" i="1"/>
  <c r="F42" i="1"/>
  <c r="G42" i="1"/>
  <c r="I42" i="1"/>
  <c r="F45" i="1"/>
  <c r="O48" i="1"/>
  <c r="D49" i="1"/>
  <c r="G49" i="1"/>
  <c r="I49" i="1"/>
  <c r="E49" i="1"/>
  <c r="F52" i="1"/>
  <c r="G52" i="1"/>
  <c r="I52" i="1"/>
  <c r="F44" i="1"/>
  <c r="O43" i="1"/>
  <c r="D48" i="1"/>
  <c r="E48" i="1"/>
  <c r="F51" i="1"/>
  <c r="F43" i="1"/>
  <c r="O46" i="1"/>
  <c r="O49" i="1"/>
  <c r="M42" i="1"/>
  <c r="P42" i="1"/>
  <c r="R42" i="1"/>
  <c r="M43" i="1"/>
  <c r="P43" i="1"/>
  <c r="R43" i="1"/>
  <c r="M44" i="1"/>
  <c r="P44" i="1"/>
  <c r="R44" i="1"/>
  <c r="M45" i="1"/>
  <c r="P45" i="1"/>
  <c r="R45" i="1"/>
  <c r="M46" i="1"/>
  <c r="P46" i="1"/>
  <c r="R46" i="1"/>
  <c r="M47" i="1"/>
  <c r="P47" i="1"/>
  <c r="R47" i="1"/>
  <c r="M48" i="1"/>
  <c r="M49" i="1"/>
  <c r="P49" i="1"/>
  <c r="R49" i="1"/>
  <c r="M50" i="1"/>
  <c r="P50" i="1"/>
  <c r="R50" i="1"/>
  <c r="M51" i="1"/>
  <c r="P51" i="1"/>
  <c r="R51" i="1"/>
  <c r="M52" i="1"/>
  <c r="P52" i="1"/>
  <c r="R52" i="1"/>
  <c r="B25" i="1"/>
  <c r="G43" i="1"/>
  <c r="I43" i="1"/>
  <c r="G45" i="1"/>
  <c r="I45" i="1"/>
  <c r="G51" i="1"/>
  <c r="I51" i="1"/>
  <c r="G48" i="1"/>
  <c r="I48" i="1"/>
  <c r="P48" i="1"/>
  <c r="R48" i="1"/>
  <c r="B23" i="1"/>
  <c r="B19" i="1"/>
  <c r="B6" i="14" l="1"/>
  <c r="B7" i="14" s="1"/>
  <c r="AB320" i="13"/>
  <c r="T216" i="21" s="1"/>
  <c r="AB321" i="13"/>
  <c r="N74" i="21" s="1"/>
  <c r="X316" i="13"/>
  <c r="Y316" i="13" s="1"/>
  <c r="W341" i="13"/>
  <c r="M297" i="21"/>
  <c r="D19" i="18"/>
  <c r="D20" i="18"/>
  <c r="AA524" i="13"/>
  <c r="T404" i="21" s="1"/>
  <c r="AA341" i="13"/>
  <c r="T235" i="21" s="1"/>
  <c r="AA356" i="13"/>
  <c r="T250" i="21" s="1"/>
  <c r="AA407" i="13"/>
  <c r="T297" i="21" s="1"/>
  <c r="AE341" i="13"/>
  <c r="V219" i="21"/>
  <c r="V217" i="21"/>
  <c r="D34" i="18"/>
  <c r="V227" i="21"/>
  <c r="V216" i="21"/>
  <c r="V224" i="21"/>
  <c r="D29" i="18"/>
  <c r="V226" i="21"/>
  <c r="D26" i="18"/>
  <c r="V274" i="21"/>
  <c r="W281" i="21"/>
  <c r="D28" i="18"/>
  <c r="V275" i="21"/>
  <c r="W282" i="21"/>
  <c r="D27" i="18"/>
  <c r="V225" i="21"/>
  <c r="D35" i="18"/>
  <c r="V249" i="21"/>
  <c r="AE355" i="13"/>
  <c r="AE352" i="13"/>
  <c r="V246" i="21"/>
  <c r="AE349" i="13"/>
  <c r="V243" i="21"/>
  <c r="AE343" i="13"/>
  <c r="V237" i="21"/>
  <c r="V250" i="21"/>
  <c r="AE356" i="13"/>
  <c r="AE357" i="13"/>
  <c r="V251" i="21"/>
  <c r="AE358" i="13"/>
  <c r="V252" i="21"/>
  <c r="AE351" i="13"/>
  <c r="V245" i="21"/>
  <c r="AE345" i="13"/>
  <c r="V239" i="21"/>
  <c r="V242" i="21"/>
  <c r="AE348" i="13"/>
  <c r="AE353" i="13"/>
  <c r="V247" i="21"/>
  <c r="AE342" i="13"/>
  <c r="V236" i="21"/>
  <c r="AE354" i="13"/>
  <c r="V248" i="21"/>
  <c r="V241" i="21"/>
  <c r="AE347" i="13"/>
  <c r="AE346" i="13"/>
  <c r="V240" i="21"/>
  <c r="AE350" i="13"/>
  <c r="V244" i="21"/>
  <c r="M17" i="24"/>
  <c r="M15" i="24"/>
  <c r="M7" i="24"/>
  <c r="M14" i="24"/>
  <c r="M13" i="24"/>
  <c r="M5" i="24"/>
  <c r="M20" i="24"/>
  <c r="M4" i="24"/>
  <c r="M12" i="24"/>
  <c r="M19" i="24"/>
  <c r="M9" i="24"/>
  <c r="M16" i="24"/>
  <c r="M6" i="24"/>
  <c r="M11" i="24"/>
  <c r="T326" i="13"/>
  <c r="T318" i="13"/>
  <c r="N226" i="21"/>
  <c r="N218" i="21"/>
  <c r="I207" i="21"/>
  <c r="I22" i="21"/>
  <c r="K22" i="21" s="1"/>
  <c r="W103" i="21"/>
  <c r="W95" i="21"/>
  <c r="AE93" i="21"/>
  <c r="AE96" i="21"/>
  <c r="W102" i="21"/>
  <c r="W94" i="21"/>
  <c r="AE103" i="21"/>
  <c r="AE95" i="21"/>
  <c r="W101" i="21"/>
  <c r="AE102" i="21"/>
  <c r="AE94" i="21"/>
  <c r="W100" i="21"/>
  <c r="AE101" i="21"/>
  <c r="W99" i="21"/>
  <c r="AE100" i="21"/>
  <c r="W98" i="21"/>
  <c r="AE99" i="21"/>
  <c r="W97" i="21"/>
  <c r="AE98" i="21"/>
  <c r="W93" i="21"/>
  <c r="W96" i="21"/>
  <c r="AE97" i="21"/>
  <c r="AR80" i="21"/>
  <c r="AR78" i="21"/>
  <c r="AR77" i="21"/>
  <c r="AR72" i="21"/>
  <c r="K94" i="21"/>
  <c r="B50" i="21"/>
  <c r="I29" i="21"/>
  <c r="K29" i="21" s="1"/>
  <c r="K109" i="21"/>
  <c r="K101" i="21"/>
  <c r="I28" i="21"/>
  <c r="K28" i="21" s="1"/>
  <c r="K108" i="21"/>
  <c r="K100" i="21"/>
  <c r="I27" i="21"/>
  <c r="K27" i="21" s="1"/>
  <c r="AR76" i="21"/>
  <c r="K107" i="21"/>
  <c r="K99" i="21"/>
  <c r="I26" i="21"/>
  <c r="K26" i="21" s="1"/>
  <c r="AR75" i="21"/>
  <c r="K106" i="21"/>
  <c r="K98" i="21"/>
  <c r="B38" i="21"/>
  <c r="B35" i="21" s="1"/>
  <c r="I25" i="21"/>
  <c r="K25" i="21" s="1"/>
  <c r="AR74" i="21"/>
  <c r="K105" i="21"/>
  <c r="K97" i="21"/>
  <c r="I24" i="21"/>
  <c r="K24" i="21" s="1"/>
  <c r="AR70" i="21"/>
  <c r="AS70" i="21" s="1"/>
  <c r="AR73" i="21"/>
  <c r="K104" i="21"/>
  <c r="K96" i="21"/>
  <c r="I32" i="21"/>
  <c r="K32" i="21" s="1"/>
  <c r="I23" i="21"/>
  <c r="K23" i="21" s="1"/>
  <c r="I30" i="21"/>
  <c r="K30" i="21" s="1"/>
  <c r="K93" i="21"/>
  <c r="K103" i="21"/>
  <c r="K95" i="21"/>
  <c r="I31" i="21"/>
  <c r="K31" i="21" s="1"/>
  <c r="AR79" i="21"/>
  <c r="AS79" i="21" s="1"/>
  <c r="K110" i="21"/>
  <c r="K102" i="21"/>
  <c r="J30" i="21"/>
  <c r="O175" i="21"/>
  <c r="AA406" i="13"/>
  <c r="T296" i="21" s="1"/>
  <c r="AA443" i="13"/>
  <c r="T329" i="21" s="1"/>
  <c r="AA494" i="13"/>
  <c r="T376" i="21" s="1"/>
  <c r="AA504" i="13"/>
  <c r="T386" i="21" s="1"/>
  <c r="M404" i="13"/>
  <c r="N404" i="13" s="1"/>
  <c r="M497" i="13"/>
  <c r="N497" i="13" s="1"/>
  <c r="M472" i="13"/>
  <c r="N472" i="13" s="1"/>
  <c r="Z472" i="13" s="1"/>
  <c r="D218" i="17" s="1"/>
  <c r="M496" i="13"/>
  <c r="N496" i="13" s="1"/>
  <c r="Z496" i="13" s="1"/>
  <c r="D241" i="17" s="1"/>
  <c r="M502" i="13"/>
  <c r="N502" i="13" s="1"/>
  <c r="Z502" i="13" s="1"/>
  <c r="M346" i="13"/>
  <c r="N346" i="13" s="1"/>
  <c r="M360" i="13"/>
  <c r="N360" i="13" s="1"/>
  <c r="M482" i="13"/>
  <c r="N482" i="13" s="1"/>
  <c r="P482" i="13" s="1"/>
  <c r="M483" i="13"/>
  <c r="N483" i="13" s="1"/>
  <c r="Z483" i="13" s="1"/>
  <c r="M484" i="13"/>
  <c r="N484" i="13" s="1"/>
  <c r="P484" i="13" s="1"/>
  <c r="M495" i="13"/>
  <c r="N495" i="13" s="1"/>
  <c r="M501" i="13"/>
  <c r="N501" i="13" s="1"/>
  <c r="M507" i="13"/>
  <c r="N507" i="13" s="1"/>
  <c r="M518" i="13"/>
  <c r="N518" i="13" s="1"/>
  <c r="P518" i="13" s="1"/>
  <c r="M523" i="13"/>
  <c r="N523" i="13" s="1"/>
  <c r="Z523" i="13" s="1"/>
  <c r="D267" i="17" s="1"/>
  <c r="M528" i="13"/>
  <c r="N528" i="13" s="1"/>
  <c r="M535" i="13"/>
  <c r="N535" i="13" s="1"/>
  <c r="Z535" i="13" s="1"/>
  <c r="D279" i="17" s="1"/>
  <c r="M420" i="13"/>
  <c r="N420" i="13" s="1"/>
  <c r="M429" i="13"/>
  <c r="N429" i="13" s="1"/>
  <c r="M433" i="13"/>
  <c r="N433" i="13" s="1"/>
  <c r="M394" i="13"/>
  <c r="N394" i="13" s="1"/>
  <c r="M370" i="13"/>
  <c r="N370" i="13" s="1"/>
  <c r="P370" i="13" s="1"/>
  <c r="M374" i="13"/>
  <c r="N374" i="13" s="1"/>
  <c r="Z374" i="13" s="1"/>
  <c r="M382" i="13"/>
  <c r="N382" i="13" s="1"/>
  <c r="Z382" i="13" s="1"/>
  <c r="N341" i="13"/>
  <c r="M351" i="13"/>
  <c r="N351" i="13" s="1"/>
  <c r="M355" i="13"/>
  <c r="N355" i="13" s="1"/>
  <c r="M332" i="13"/>
  <c r="N332" i="13" s="1"/>
  <c r="M334" i="13"/>
  <c r="N334" i="13" s="1"/>
  <c r="AA334" i="13" s="1"/>
  <c r="AA372" i="13"/>
  <c r="T264" i="21" s="1"/>
  <c r="AA422" i="13"/>
  <c r="T310" i="21" s="1"/>
  <c r="M371" i="13"/>
  <c r="N371" i="13" s="1"/>
  <c r="P371" i="13" s="1"/>
  <c r="M379" i="13"/>
  <c r="N379" i="13" s="1"/>
  <c r="P379" i="13" s="1"/>
  <c r="M356" i="13"/>
  <c r="N356" i="13" s="1"/>
  <c r="M470" i="13"/>
  <c r="N470" i="13" s="1"/>
  <c r="M485" i="13"/>
  <c r="N485" i="13" s="1"/>
  <c r="Z485" i="13" s="1"/>
  <c r="N416" i="13"/>
  <c r="M421" i="13"/>
  <c r="N421" i="13" s="1"/>
  <c r="M408" i="13"/>
  <c r="N408" i="13" s="1"/>
  <c r="M328" i="13"/>
  <c r="N328" i="13" s="1"/>
  <c r="M333" i="13"/>
  <c r="N333" i="13" s="1"/>
  <c r="M448" i="13"/>
  <c r="N448" i="13" s="1"/>
  <c r="M469" i="13"/>
  <c r="N469" i="13" s="1"/>
  <c r="Z469" i="13" s="1"/>
  <c r="D215" i="17" s="1"/>
  <c r="M500" i="13"/>
  <c r="N500" i="13" s="1"/>
  <c r="M517" i="13"/>
  <c r="N517" i="13" s="1"/>
  <c r="Z517" i="13" s="1"/>
  <c r="D261" i="17" s="1"/>
  <c r="M534" i="13"/>
  <c r="N534" i="13" s="1"/>
  <c r="Z534" i="13" s="1"/>
  <c r="D278" i="17" s="1"/>
  <c r="M424" i="13"/>
  <c r="N424" i="13" s="1"/>
  <c r="M428" i="13"/>
  <c r="N428" i="13" s="1"/>
  <c r="M401" i="13"/>
  <c r="N401" i="13" s="1"/>
  <c r="Z401" i="13" s="1"/>
  <c r="D149" i="17" s="1"/>
  <c r="M407" i="13"/>
  <c r="N407" i="13" s="1"/>
  <c r="M345" i="13"/>
  <c r="N345" i="13" s="1"/>
  <c r="M350" i="13"/>
  <c r="N350" i="13" s="1"/>
  <c r="M359" i="13"/>
  <c r="N359" i="13" s="1"/>
  <c r="M317" i="13"/>
  <c r="N317" i="13" s="1"/>
  <c r="M321" i="13"/>
  <c r="N321" i="13" s="1"/>
  <c r="AA423" i="13"/>
  <c r="T311" i="21" s="1"/>
  <c r="AA473" i="13"/>
  <c r="T357" i="21" s="1"/>
  <c r="AA509" i="13"/>
  <c r="Z501" i="13"/>
  <c r="Z497" i="13"/>
  <c r="Z466" i="13"/>
  <c r="Z426" i="13"/>
  <c r="D173" i="17" s="1"/>
  <c r="Z424" i="13"/>
  <c r="D171" i="17" s="1"/>
  <c r="Z407" i="13"/>
  <c r="Z405" i="13"/>
  <c r="Z391" i="13"/>
  <c r="AA321" i="13"/>
  <c r="Z500" i="13"/>
  <c r="AA322" i="13"/>
  <c r="M442" i="13"/>
  <c r="N442" i="13" s="1"/>
  <c r="M318" i="13"/>
  <c r="N318" i="13" s="1"/>
  <c r="M335" i="13"/>
  <c r="N335" i="13" s="1"/>
  <c r="M327" i="13"/>
  <c r="N327" i="13" s="1"/>
  <c r="N316" i="13"/>
  <c r="M331" i="13"/>
  <c r="N331" i="13" s="1"/>
  <c r="M323" i="13"/>
  <c r="N323" i="13" s="1"/>
  <c r="M357" i="13"/>
  <c r="N357" i="13" s="1"/>
  <c r="M342" i="13"/>
  <c r="N342" i="13" s="1"/>
  <c r="M383" i="13"/>
  <c r="N383" i="13" s="1"/>
  <c r="Z383" i="13" s="1"/>
  <c r="M378" i="13"/>
  <c r="N378" i="13" s="1"/>
  <c r="Z378" i="13" s="1"/>
  <c r="D126" i="17" s="1"/>
  <c r="M476" i="13"/>
  <c r="N476" i="13" s="1"/>
  <c r="M503" i="13"/>
  <c r="N503" i="13" s="1"/>
  <c r="M409" i="13"/>
  <c r="N409" i="13" s="1"/>
  <c r="Z409" i="13" s="1"/>
  <c r="M519" i="13"/>
  <c r="N519" i="13" s="1"/>
  <c r="Z519" i="13" s="1"/>
  <c r="D263" i="17" s="1"/>
  <c r="M396" i="13"/>
  <c r="N396" i="13" s="1"/>
  <c r="M397" i="13"/>
  <c r="N397" i="13" s="1"/>
  <c r="Z397" i="13" s="1"/>
  <c r="M403" i="13"/>
  <c r="N403" i="13" s="1"/>
  <c r="Z403" i="13" s="1"/>
  <c r="D151" i="17" s="1"/>
  <c r="M347" i="13"/>
  <c r="N347" i="13" s="1"/>
  <c r="M352" i="13"/>
  <c r="N352" i="13" s="1"/>
  <c r="M471" i="13"/>
  <c r="N471" i="13" s="1"/>
  <c r="M529" i="13"/>
  <c r="N529" i="13" s="1"/>
  <c r="Z529" i="13" s="1"/>
  <c r="D273" i="17" s="1"/>
  <c r="M366" i="13"/>
  <c r="N366" i="13" s="1"/>
  <c r="Z366" i="13" s="1"/>
  <c r="M454" i="13"/>
  <c r="N454" i="13" s="1"/>
  <c r="M466" i="13"/>
  <c r="N466" i="13" s="1"/>
  <c r="P466" i="13" s="1"/>
  <c r="M467" i="13"/>
  <c r="N467" i="13" s="1"/>
  <c r="Z467" i="13" s="1"/>
  <c r="M468" i="13"/>
  <c r="N468" i="13" s="1"/>
  <c r="Z468" i="13" s="1"/>
  <c r="M481" i="13"/>
  <c r="N481" i="13" s="1"/>
  <c r="Z481" i="13" s="1"/>
  <c r="M494" i="13"/>
  <c r="N494" i="13" s="1"/>
  <c r="Z494" i="13" s="1"/>
  <c r="D239" i="17" s="1"/>
  <c r="M499" i="13"/>
  <c r="N499" i="13" s="1"/>
  <c r="M506" i="13"/>
  <c r="N506" i="13" s="1"/>
  <c r="Z506" i="13" s="1"/>
  <c r="M516" i="13"/>
  <c r="N516" i="13" s="1"/>
  <c r="M522" i="13"/>
  <c r="N522" i="13" s="1"/>
  <c r="Z522" i="13" s="1"/>
  <c r="D266" i="17" s="1"/>
  <c r="M527" i="13"/>
  <c r="N527" i="13" s="1"/>
  <c r="Z527" i="13" s="1"/>
  <c r="D271" i="17" s="1"/>
  <c r="M533" i="13"/>
  <c r="N533" i="13" s="1"/>
  <c r="Z533" i="13" s="1"/>
  <c r="D277" i="17" s="1"/>
  <c r="M419" i="13"/>
  <c r="N419" i="13" s="1"/>
  <c r="Z419" i="13" s="1"/>
  <c r="M432" i="13"/>
  <c r="N432" i="13" s="1"/>
  <c r="Z432" i="13" s="1"/>
  <c r="M393" i="13"/>
  <c r="N393" i="13" s="1"/>
  <c r="Z393" i="13" s="1"/>
  <c r="M400" i="13"/>
  <c r="N400" i="13" s="1"/>
  <c r="Z400" i="13" s="1"/>
  <c r="D148" i="17" s="1"/>
  <c r="M406" i="13"/>
  <c r="N406" i="13" s="1"/>
  <c r="M391" i="13"/>
  <c r="N391" i="13" s="1"/>
  <c r="M369" i="13"/>
  <c r="N369" i="13" s="1"/>
  <c r="M373" i="13"/>
  <c r="N373" i="13" s="1"/>
  <c r="M377" i="13"/>
  <c r="N377" i="13" s="1"/>
  <c r="M381" i="13"/>
  <c r="N381" i="13" s="1"/>
  <c r="Z381" i="13" s="1"/>
  <c r="D129" i="17" s="1"/>
  <c r="M385" i="13"/>
  <c r="N385" i="13" s="1"/>
  <c r="M349" i="13"/>
  <c r="N349" i="13" s="1"/>
  <c r="M354" i="13"/>
  <c r="N354" i="13" s="1"/>
  <c r="AA391" i="13"/>
  <c r="T281" i="21" s="1"/>
  <c r="Z470" i="13"/>
  <c r="D216" i="17" s="1"/>
  <c r="M477" i="13"/>
  <c r="N477" i="13" s="1"/>
  <c r="Z477" i="13" s="1"/>
  <c r="M491" i="13"/>
  <c r="N491" i="13" s="1"/>
  <c r="M531" i="13"/>
  <c r="N531" i="13" s="1"/>
  <c r="M417" i="13"/>
  <c r="N417" i="13" s="1"/>
  <c r="Z417" i="13" s="1"/>
  <c r="M422" i="13"/>
  <c r="N422" i="13" s="1"/>
  <c r="M426" i="13"/>
  <c r="N426" i="13" s="1"/>
  <c r="M330" i="13"/>
  <c r="N330" i="13" s="1"/>
  <c r="W65" i="13"/>
  <c r="AC65" i="13" s="1"/>
  <c r="M367" i="13"/>
  <c r="N367" i="13" s="1"/>
  <c r="W367" i="13" s="1"/>
  <c r="Y367" i="13" s="1"/>
  <c r="Q259" i="21" s="1"/>
  <c r="M375" i="13"/>
  <c r="N375" i="13" s="1"/>
  <c r="Z375" i="13" s="1"/>
  <c r="AA359" i="13"/>
  <c r="AA357" i="13"/>
  <c r="T251" i="21" s="1"/>
  <c r="AA355" i="13"/>
  <c r="T249" i="21" s="1"/>
  <c r="AA353" i="13"/>
  <c r="T247" i="21" s="1"/>
  <c r="AA351" i="13"/>
  <c r="T245" i="21" s="1"/>
  <c r="AA349" i="13"/>
  <c r="T243" i="21" s="1"/>
  <c r="AA347" i="13"/>
  <c r="T241" i="21" s="1"/>
  <c r="AA345" i="13"/>
  <c r="T239" i="21" s="1"/>
  <c r="AA343" i="13"/>
  <c r="T237" i="21" s="1"/>
  <c r="AA529" i="13"/>
  <c r="T409" i="21" s="1"/>
  <c r="AA526" i="13"/>
  <c r="T406" i="21" s="1"/>
  <c r="AA508" i="13"/>
  <c r="T390" i="21" s="1"/>
  <c r="AA505" i="13"/>
  <c r="T387" i="21" s="1"/>
  <c r="AA492" i="13"/>
  <c r="T374" i="21" s="1"/>
  <c r="AA484" i="13"/>
  <c r="AA471" i="13"/>
  <c r="T355" i="21" s="1"/>
  <c r="AA468" i="13"/>
  <c r="T352" i="21" s="1"/>
  <c r="AA450" i="13"/>
  <c r="T336" i="21" s="1"/>
  <c r="AA447" i="13"/>
  <c r="T333" i="21" s="1"/>
  <c r="AA429" i="13"/>
  <c r="T317" i="21" s="1"/>
  <c r="AA426" i="13"/>
  <c r="T314" i="21" s="1"/>
  <c r="AA408" i="13"/>
  <c r="T298" i="21" s="1"/>
  <c r="AA405" i="13"/>
  <c r="T295" i="21" s="1"/>
  <c r="AA392" i="13"/>
  <c r="T282" i="21" s="1"/>
  <c r="AA384" i="13"/>
  <c r="AA371" i="13"/>
  <c r="T263" i="21" s="1"/>
  <c r="AA368" i="13"/>
  <c r="T260" i="21" s="1"/>
  <c r="AA360" i="13"/>
  <c r="AA344" i="13"/>
  <c r="T238" i="21" s="1"/>
  <c r="AB323" i="13"/>
  <c r="AB331" i="13"/>
  <c r="AA532" i="13"/>
  <c r="T412" i="21" s="1"/>
  <c r="AA519" i="13"/>
  <c r="T399" i="21" s="1"/>
  <c r="AA516" i="13"/>
  <c r="T396" i="21" s="1"/>
  <c r="AA498" i="13"/>
  <c r="T380" i="21" s="1"/>
  <c r="AA495" i="13"/>
  <c r="T377" i="21" s="1"/>
  <c r="AA477" i="13"/>
  <c r="T361" i="21" s="1"/>
  <c r="AA474" i="13"/>
  <c r="T358" i="21" s="1"/>
  <c r="AA456" i="13"/>
  <c r="T342" i="21" s="1"/>
  <c r="AA453" i="13"/>
  <c r="T339" i="21" s="1"/>
  <c r="AA435" i="13"/>
  <c r="AA432" i="13"/>
  <c r="T320" i="21" s="1"/>
  <c r="AA419" i="13"/>
  <c r="T307" i="21" s="1"/>
  <c r="AA416" i="13"/>
  <c r="T304" i="21" s="1"/>
  <c r="AA398" i="13"/>
  <c r="T288" i="21" s="1"/>
  <c r="AA395" i="13"/>
  <c r="T285" i="21" s="1"/>
  <c r="AA377" i="13"/>
  <c r="T269" i="21" s="1"/>
  <c r="AA374" i="13"/>
  <c r="T266" i="21" s="1"/>
  <c r="AA350" i="13"/>
  <c r="T244" i="21" s="1"/>
  <c r="AB324" i="13"/>
  <c r="AB332" i="13"/>
  <c r="AA534" i="13"/>
  <c r="AA521" i="13"/>
  <c r="T401" i="21" s="1"/>
  <c r="AA518" i="13"/>
  <c r="T398" i="21" s="1"/>
  <c r="AA500" i="13"/>
  <c r="T382" i="21" s="1"/>
  <c r="AA497" i="13"/>
  <c r="T379" i="21" s="1"/>
  <c r="AA479" i="13"/>
  <c r="T363" i="21" s="1"/>
  <c r="AA476" i="13"/>
  <c r="T360" i="21" s="1"/>
  <c r="AA458" i="13"/>
  <c r="T344" i="21" s="1"/>
  <c r="AA455" i="13"/>
  <c r="T341" i="21" s="1"/>
  <c r="AA442" i="13"/>
  <c r="T328" i="21" s="1"/>
  <c r="AA434" i="13"/>
  <c r="AA421" i="13"/>
  <c r="T309" i="21" s="1"/>
  <c r="AA418" i="13"/>
  <c r="T306" i="21" s="1"/>
  <c r="AA400" i="13"/>
  <c r="T290" i="21" s="1"/>
  <c r="AA397" i="13"/>
  <c r="T287" i="21" s="1"/>
  <c r="AA379" i="13"/>
  <c r="T271" i="21" s="1"/>
  <c r="AA376" i="13"/>
  <c r="T268" i="21" s="1"/>
  <c r="AA352" i="13"/>
  <c r="T246" i="21" s="1"/>
  <c r="AB327" i="13"/>
  <c r="AB335" i="13"/>
  <c r="AA533" i="13"/>
  <c r="T413" i="21" s="1"/>
  <c r="AA528" i="13"/>
  <c r="T408" i="21" s="1"/>
  <c r="AA523" i="13"/>
  <c r="T403" i="21" s="1"/>
  <c r="AA482" i="13"/>
  <c r="T366" i="21" s="1"/>
  <c r="AA472" i="13"/>
  <c r="T356" i="21" s="1"/>
  <c r="AA457" i="13"/>
  <c r="T343" i="21" s="1"/>
  <c r="AA446" i="13"/>
  <c r="T332" i="21" s="1"/>
  <c r="AA431" i="13"/>
  <c r="T319" i="21" s="1"/>
  <c r="AA385" i="13"/>
  <c r="AA380" i="13"/>
  <c r="T272" i="21" s="1"/>
  <c r="AA375" i="13"/>
  <c r="T267" i="21" s="1"/>
  <c r="AA370" i="13"/>
  <c r="T262" i="21" s="1"/>
  <c r="AB325" i="13"/>
  <c r="AA527" i="13"/>
  <c r="T407" i="21" s="1"/>
  <c r="AA522" i="13"/>
  <c r="T402" i="21" s="1"/>
  <c r="AA517" i="13"/>
  <c r="T397" i="21" s="1"/>
  <c r="AA507" i="13"/>
  <c r="T389" i="21" s="1"/>
  <c r="AA502" i="13"/>
  <c r="T384" i="21" s="1"/>
  <c r="AA466" i="13"/>
  <c r="T350" i="21" s="1"/>
  <c r="AA451" i="13"/>
  <c r="T337" i="21" s="1"/>
  <c r="AA441" i="13"/>
  <c r="T327" i="21" s="1"/>
  <c r="AA425" i="13"/>
  <c r="T313" i="21" s="1"/>
  <c r="AA410" i="13"/>
  <c r="AA369" i="13"/>
  <c r="T261" i="21" s="1"/>
  <c r="AB326" i="13"/>
  <c r="AA506" i="13"/>
  <c r="T388" i="21" s="1"/>
  <c r="AA501" i="13"/>
  <c r="T383" i="21" s="1"/>
  <c r="AA496" i="13"/>
  <c r="T378" i="21" s="1"/>
  <c r="AA491" i="13"/>
  <c r="T373" i="21" s="1"/>
  <c r="AA481" i="13"/>
  <c r="T365" i="21" s="1"/>
  <c r="AA445" i="13"/>
  <c r="T331" i="21" s="1"/>
  <c r="AA430" i="13"/>
  <c r="T318" i="21" s="1"/>
  <c r="AA420" i="13"/>
  <c r="T308" i="21" s="1"/>
  <c r="AA404" i="13"/>
  <c r="T294" i="21" s="1"/>
  <c r="AA394" i="13"/>
  <c r="T284" i="21" s="1"/>
  <c r="AA354" i="13"/>
  <c r="T248" i="21" s="1"/>
  <c r="AB328" i="13"/>
  <c r="AA531" i="13"/>
  <c r="T411" i="21" s="1"/>
  <c r="AA485" i="13"/>
  <c r="AA480" i="13"/>
  <c r="T364" i="21" s="1"/>
  <c r="AA475" i="13"/>
  <c r="T359" i="21" s="1"/>
  <c r="AA470" i="13"/>
  <c r="T354" i="21" s="1"/>
  <c r="AA460" i="13"/>
  <c r="AA424" i="13"/>
  <c r="T312" i="21" s="1"/>
  <c r="AA409" i="13"/>
  <c r="AA399" i="13"/>
  <c r="T289" i="21" s="1"/>
  <c r="AA383" i="13"/>
  <c r="T275" i="21" s="1"/>
  <c r="AA373" i="13"/>
  <c r="T265" i="21" s="1"/>
  <c r="AA358" i="13"/>
  <c r="T252" i="21" s="1"/>
  <c r="AA348" i="13"/>
  <c r="T242" i="21" s="1"/>
  <c r="AB317" i="13"/>
  <c r="AB329" i="13"/>
  <c r="AA525" i="13"/>
  <c r="T405" i="21" s="1"/>
  <c r="AA510" i="13"/>
  <c r="AA469" i="13"/>
  <c r="T353" i="21" s="1"/>
  <c r="AA459" i="13"/>
  <c r="AA454" i="13"/>
  <c r="T340" i="21" s="1"/>
  <c r="AA449" i="13"/>
  <c r="T335" i="21" s="1"/>
  <c r="AA444" i="13"/>
  <c r="T330" i="21" s="1"/>
  <c r="AA403" i="13"/>
  <c r="T293" i="21" s="1"/>
  <c r="AA393" i="13"/>
  <c r="T283" i="21" s="1"/>
  <c r="AA378" i="13"/>
  <c r="T270" i="21" s="1"/>
  <c r="AA367" i="13"/>
  <c r="T259" i="21" s="1"/>
  <c r="AA342" i="13"/>
  <c r="T236" i="21" s="1"/>
  <c r="AB318" i="13"/>
  <c r="AB330" i="13"/>
  <c r="AA535" i="13"/>
  <c r="AA433" i="13"/>
  <c r="T321" i="21" s="1"/>
  <c r="AA402" i="13"/>
  <c r="T292" i="21" s="1"/>
  <c r="AA382" i="13"/>
  <c r="T274" i="21" s="1"/>
  <c r="AB322" i="13"/>
  <c r="AA520" i="13"/>
  <c r="T400" i="21" s="1"/>
  <c r="AA503" i="13"/>
  <c r="T385" i="21" s="1"/>
  <c r="AA483" i="13"/>
  <c r="T367" i="21" s="1"/>
  <c r="AA452" i="13"/>
  <c r="T338" i="21" s="1"/>
  <c r="AA401" i="13"/>
  <c r="T291" i="21" s="1"/>
  <c r="AB333" i="13"/>
  <c r="AA448" i="13"/>
  <c r="T334" i="21" s="1"/>
  <c r="AA417" i="13"/>
  <c r="T305" i="21" s="1"/>
  <c r="AA381" i="13"/>
  <c r="T273" i="21" s="1"/>
  <c r="AA366" i="13"/>
  <c r="T258" i="21" s="1"/>
  <c r="AB334" i="13"/>
  <c r="AA530" i="13"/>
  <c r="T410" i="21" s="1"/>
  <c r="AA499" i="13"/>
  <c r="T381" i="21" s="1"/>
  <c r="AA467" i="13"/>
  <c r="T351" i="21" s="1"/>
  <c r="AA428" i="13"/>
  <c r="T316" i="21" s="1"/>
  <c r="AA346" i="13"/>
  <c r="T240" i="21" s="1"/>
  <c r="AB316" i="13"/>
  <c r="AA427" i="13"/>
  <c r="T315" i="21" s="1"/>
  <c r="AA396" i="13"/>
  <c r="T286" i="21" s="1"/>
  <c r="M478" i="13"/>
  <c r="N478" i="13" s="1"/>
  <c r="Z478" i="13" s="1"/>
  <c r="M479" i="13"/>
  <c r="N479" i="13" s="1"/>
  <c r="M480" i="13"/>
  <c r="N480" i="13" s="1"/>
  <c r="M493" i="13"/>
  <c r="N493" i="13" s="1"/>
  <c r="Z493" i="13" s="1"/>
  <c r="D238" i="17" s="1"/>
  <c r="M521" i="13"/>
  <c r="N521" i="13" s="1"/>
  <c r="Z521" i="13" s="1"/>
  <c r="D265" i="17" s="1"/>
  <c r="M532" i="13"/>
  <c r="N532" i="13" s="1"/>
  <c r="Z532" i="13" s="1"/>
  <c r="D276" i="17" s="1"/>
  <c r="M418" i="13"/>
  <c r="N418" i="13" s="1"/>
  <c r="Z418" i="13" s="1"/>
  <c r="M423" i="13"/>
  <c r="N423" i="13" s="1"/>
  <c r="M427" i="13"/>
  <c r="N427" i="13" s="1"/>
  <c r="M399" i="13"/>
  <c r="N399" i="13" s="1"/>
  <c r="Z399" i="13" s="1"/>
  <c r="M410" i="13"/>
  <c r="N410" i="13" s="1"/>
  <c r="M392" i="13"/>
  <c r="N392" i="13" s="1"/>
  <c r="M344" i="13"/>
  <c r="N344" i="13" s="1"/>
  <c r="M358" i="13"/>
  <c r="N358" i="13" s="1"/>
  <c r="M320" i="13"/>
  <c r="N320" i="13" s="1"/>
  <c r="M325" i="13"/>
  <c r="N325" i="13" s="1"/>
  <c r="AA478" i="13"/>
  <c r="T362" i="21" s="1"/>
  <c r="M525" i="13"/>
  <c r="N525" i="13" s="1"/>
  <c r="Z525" i="13" s="1"/>
  <c r="D269" i="17" s="1"/>
  <c r="M329" i="13"/>
  <c r="N329" i="13" s="1"/>
  <c r="P329" i="13" s="1"/>
  <c r="M473" i="13"/>
  <c r="N473" i="13" s="1"/>
  <c r="Z473" i="13" s="1"/>
  <c r="D219" i="17" s="1"/>
  <c r="M509" i="13"/>
  <c r="N509" i="13" s="1"/>
  <c r="Z509" i="13" s="1"/>
  <c r="M524" i="13"/>
  <c r="N524" i="13" s="1"/>
  <c r="Z524" i="13" s="1"/>
  <c r="D268" i="17" s="1"/>
  <c r="M430" i="13"/>
  <c r="N430" i="13" s="1"/>
  <c r="M434" i="13"/>
  <c r="N434" i="13" s="1"/>
  <c r="Z434" i="13" s="1"/>
  <c r="B156" i="13"/>
  <c r="M508" i="13"/>
  <c r="N508" i="13" s="1"/>
  <c r="P508" i="13" s="1"/>
  <c r="M530" i="13"/>
  <c r="N530" i="13" s="1"/>
  <c r="Z530" i="13" s="1"/>
  <c r="D274" i="17" s="1"/>
  <c r="M425" i="13"/>
  <c r="N425" i="13" s="1"/>
  <c r="Z425" i="13" s="1"/>
  <c r="D172" i="17" s="1"/>
  <c r="M395" i="13"/>
  <c r="N395" i="13" s="1"/>
  <c r="M402" i="13"/>
  <c r="N402" i="13" s="1"/>
  <c r="W81" i="13"/>
  <c r="AC81" i="13" s="1"/>
  <c r="M474" i="13"/>
  <c r="N474" i="13" s="1"/>
  <c r="Z474" i="13" s="1"/>
  <c r="M475" i="13"/>
  <c r="N475" i="13" s="1"/>
  <c r="Z475" i="13" s="1"/>
  <c r="M492" i="13"/>
  <c r="N492" i="13" s="1"/>
  <c r="Z492" i="13" s="1"/>
  <c r="D237" i="17" s="1"/>
  <c r="M498" i="13"/>
  <c r="N498" i="13" s="1"/>
  <c r="M504" i="13"/>
  <c r="N504" i="13" s="1"/>
  <c r="Z504" i="13" s="1"/>
  <c r="M505" i="13"/>
  <c r="N505" i="13" s="1"/>
  <c r="P505" i="13" s="1"/>
  <c r="M510" i="13"/>
  <c r="N510" i="13" s="1"/>
  <c r="Z510" i="13" s="1"/>
  <c r="M520" i="13"/>
  <c r="N520" i="13" s="1"/>
  <c r="M526" i="13"/>
  <c r="N526" i="13" s="1"/>
  <c r="Z526" i="13" s="1"/>
  <c r="D270" i="17" s="1"/>
  <c r="M431" i="13"/>
  <c r="N431" i="13" s="1"/>
  <c r="Z431" i="13" s="1"/>
  <c r="M435" i="13"/>
  <c r="N435" i="13" s="1"/>
  <c r="M398" i="13"/>
  <c r="N398" i="13" s="1"/>
  <c r="M405" i="13"/>
  <c r="N405" i="13" s="1"/>
  <c r="M368" i="13"/>
  <c r="N368" i="13" s="1"/>
  <c r="Z368" i="13" s="1"/>
  <c r="M372" i="13"/>
  <c r="N372" i="13" s="1"/>
  <c r="Z372" i="13" s="1"/>
  <c r="M376" i="13"/>
  <c r="N376" i="13" s="1"/>
  <c r="Z376" i="13" s="1"/>
  <c r="M380" i="13"/>
  <c r="N380" i="13" s="1"/>
  <c r="M384" i="13"/>
  <c r="N384" i="13" s="1"/>
  <c r="Z384" i="13" s="1"/>
  <c r="M343" i="13"/>
  <c r="N343" i="13" s="1"/>
  <c r="M348" i="13"/>
  <c r="N348" i="13" s="1"/>
  <c r="M353" i="13"/>
  <c r="N353" i="13" s="1"/>
  <c r="M324" i="13"/>
  <c r="N324" i="13" s="1"/>
  <c r="M326" i="13"/>
  <c r="N326" i="13" s="1"/>
  <c r="AA335" i="13"/>
  <c r="AA493" i="13"/>
  <c r="T375" i="21" s="1"/>
  <c r="B120" i="2"/>
  <c r="D120" i="2" s="1"/>
  <c r="B119" i="2"/>
  <c r="D119" i="2" s="1"/>
  <c r="B128" i="2"/>
  <c r="D128" i="2" s="1"/>
  <c r="B125" i="2"/>
  <c r="D125" i="2" s="1"/>
  <c r="B129" i="2"/>
  <c r="D129" i="2" s="1"/>
  <c r="B122" i="2"/>
  <c r="D122" i="2" s="1"/>
  <c r="B121" i="2"/>
  <c r="D121" i="2" s="1"/>
  <c r="B117" i="2"/>
  <c r="D117" i="2" s="1"/>
  <c r="B126" i="2"/>
  <c r="D126" i="2" s="1"/>
  <c r="B115" i="2"/>
  <c r="D115" i="2" s="1"/>
  <c r="B123" i="2"/>
  <c r="D123" i="2" s="1"/>
  <c r="B118" i="2"/>
  <c r="D118" i="2" s="1"/>
  <c r="B127" i="2"/>
  <c r="D127" i="2" s="1"/>
  <c r="B124" i="2"/>
  <c r="D124" i="2" s="1"/>
  <c r="B116" i="2"/>
  <c r="D116" i="2" s="1"/>
  <c r="P320" i="13"/>
  <c r="P326" i="13"/>
  <c r="P321" i="13"/>
  <c r="P330" i="13"/>
  <c r="P322" i="13"/>
  <c r="P328" i="13"/>
  <c r="P334" i="13"/>
  <c r="P318" i="13"/>
  <c r="P325" i="13"/>
  <c r="T335" i="13"/>
  <c r="P346" i="13"/>
  <c r="W343" i="13"/>
  <c r="P359" i="13"/>
  <c r="P354" i="13"/>
  <c r="P357" i="13"/>
  <c r="Z373" i="13"/>
  <c r="P381" i="13"/>
  <c r="Z385" i="13"/>
  <c r="P384" i="13"/>
  <c r="P366" i="13"/>
  <c r="Z369" i="13"/>
  <c r="P368" i="13"/>
  <c r="Z380" i="13"/>
  <c r="D128" i="17" s="1"/>
  <c r="P391" i="13"/>
  <c r="Z392" i="13"/>
  <c r="Z402" i="13"/>
  <c r="D150" i="17" s="1"/>
  <c r="Z396" i="13"/>
  <c r="P394" i="13"/>
  <c r="Z395" i="13"/>
  <c r="P405" i="13"/>
  <c r="P408" i="13"/>
  <c r="P393" i="13"/>
  <c r="W404" i="13"/>
  <c r="P396" i="13"/>
  <c r="P395" i="13"/>
  <c r="P407" i="13"/>
  <c r="P409" i="13"/>
  <c r="P397" i="13"/>
  <c r="Z398" i="13"/>
  <c r="Z406" i="13"/>
  <c r="Z427" i="13"/>
  <c r="D174" i="17" s="1"/>
  <c r="P430" i="13"/>
  <c r="Z421" i="13"/>
  <c r="Z435" i="13"/>
  <c r="P417" i="13"/>
  <c r="P418" i="13"/>
  <c r="Z423" i="13"/>
  <c r="D170" i="17" s="1"/>
  <c r="P425" i="13"/>
  <c r="P426" i="13"/>
  <c r="P431" i="13"/>
  <c r="P434" i="13"/>
  <c r="Z420" i="13"/>
  <c r="P424" i="13"/>
  <c r="Z428" i="13"/>
  <c r="P525" i="13"/>
  <c r="Z528" i="13"/>
  <c r="D272" i="17" s="1"/>
  <c r="P530" i="13"/>
  <c r="Z520" i="13"/>
  <c r="D264" i="17" s="1"/>
  <c r="P535" i="13"/>
  <c r="P522" i="13"/>
  <c r="W522" i="13"/>
  <c r="P534" i="13"/>
  <c r="P521" i="13"/>
  <c r="W521" i="13"/>
  <c r="Y521" i="13" s="1"/>
  <c r="Q401" i="21" s="1"/>
  <c r="P526" i="13"/>
  <c r="W526" i="13"/>
  <c r="Y526" i="13" s="1"/>
  <c r="Q406" i="21" s="1"/>
  <c r="Z516" i="13"/>
  <c r="D260" i="17" s="1"/>
  <c r="Z531" i="13"/>
  <c r="D275" i="17" s="1"/>
  <c r="P494" i="13"/>
  <c r="P500" i="13"/>
  <c r="P492" i="13"/>
  <c r="Z503" i="13"/>
  <c r="Z495" i="13"/>
  <c r="D240" i="17" s="1"/>
  <c r="P504" i="13"/>
  <c r="P510" i="13"/>
  <c r="P497" i="13"/>
  <c r="P509" i="13"/>
  <c r="P496" i="13"/>
  <c r="P502" i="13"/>
  <c r="W501" i="13"/>
  <c r="Y501" i="13" s="1"/>
  <c r="Q383" i="21" s="1"/>
  <c r="P501" i="13"/>
  <c r="Z491" i="13"/>
  <c r="Z499" i="13"/>
  <c r="Z507" i="13"/>
  <c r="Z498" i="13"/>
  <c r="P470" i="13"/>
  <c r="P481" i="13"/>
  <c r="P473" i="13"/>
  <c r="P467" i="13"/>
  <c r="Z480" i="13"/>
  <c r="Z66" i="13"/>
  <c r="V66" i="13"/>
  <c r="AB66" i="13" s="1"/>
  <c r="Z74" i="13"/>
  <c r="V74" i="13"/>
  <c r="AB74" i="13" s="1"/>
  <c r="Z67" i="13"/>
  <c r="V67" i="13"/>
  <c r="AB67" i="13" s="1"/>
  <c r="Z68" i="13"/>
  <c r="V68" i="13"/>
  <c r="AB68" i="13" s="1"/>
  <c r="Z76" i="13"/>
  <c r="V76" i="13"/>
  <c r="AB76" i="13" s="1"/>
  <c r="Z69" i="13"/>
  <c r="V69" i="13"/>
  <c r="AB69" i="13" s="1"/>
  <c r="Z77" i="13"/>
  <c r="V77" i="13"/>
  <c r="AB77" i="13" s="1"/>
  <c r="V71" i="13"/>
  <c r="AB71" i="13" s="1"/>
  <c r="Z71" i="13"/>
  <c r="V79" i="13"/>
  <c r="AB79" i="13" s="1"/>
  <c r="Z79" i="13"/>
  <c r="V78" i="13"/>
  <c r="AB78" i="13" s="1"/>
  <c r="W80" i="13"/>
  <c r="AC80" i="13" s="1"/>
  <c r="W72" i="13"/>
  <c r="AC72" i="13" s="1"/>
  <c r="Z81" i="13"/>
  <c r="Z73" i="13"/>
  <c r="Z65" i="13"/>
  <c r="V64" i="13"/>
  <c r="AB64" i="13" s="1"/>
  <c r="M455" i="13"/>
  <c r="N455" i="13" s="1"/>
  <c r="M443" i="13"/>
  <c r="N443" i="13" s="1"/>
  <c r="W79" i="13"/>
  <c r="AC79" i="13" s="1"/>
  <c r="W71" i="13"/>
  <c r="AC71" i="13" s="1"/>
  <c r="M456" i="13"/>
  <c r="N456" i="13" s="1"/>
  <c r="Z456" i="13" s="1"/>
  <c r="M450" i="13"/>
  <c r="N450" i="13" s="1"/>
  <c r="Z450" i="13" s="1"/>
  <c r="D197" i="17" s="1"/>
  <c r="M449" i="13"/>
  <c r="N449" i="13" s="1"/>
  <c r="Z449" i="13" s="1"/>
  <c r="D196" i="17" s="1"/>
  <c r="V75" i="13"/>
  <c r="AB75" i="13" s="1"/>
  <c r="W78" i="13"/>
  <c r="AC78" i="13" s="1"/>
  <c r="W70" i="13"/>
  <c r="AC70" i="13" s="1"/>
  <c r="M444" i="13"/>
  <c r="N444" i="13" s="1"/>
  <c r="Z444" i="13" s="1"/>
  <c r="Z70" i="13"/>
  <c r="W77" i="13"/>
  <c r="AC77" i="13" s="1"/>
  <c r="W69" i="13"/>
  <c r="AC69" i="13" s="1"/>
  <c r="M458" i="13"/>
  <c r="N458" i="13" s="1"/>
  <c r="M457" i="13"/>
  <c r="N457" i="13" s="1"/>
  <c r="Z457" i="13" s="1"/>
  <c r="M451" i="13"/>
  <c r="N451" i="13" s="1"/>
  <c r="W451" i="13" s="1"/>
  <c r="Y451" i="13" s="1"/>
  <c r="Q337" i="21" s="1"/>
  <c r="M445" i="13"/>
  <c r="N445" i="13" s="1"/>
  <c r="W76" i="13"/>
  <c r="AC76" i="13" s="1"/>
  <c r="W68" i="13"/>
  <c r="AC68" i="13" s="1"/>
  <c r="M452" i="13"/>
  <c r="N452" i="13" s="1"/>
  <c r="Z452" i="13" s="1"/>
  <c r="M441" i="13"/>
  <c r="N441" i="13" s="1"/>
  <c r="W359" i="13" s="1"/>
  <c r="X359" i="13" s="1"/>
  <c r="V80" i="13"/>
  <c r="AB80" i="13" s="1"/>
  <c r="V72" i="13"/>
  <c r="AB72" i="13" s="1"/>
  <c r="W75" i="13"/>
  <c r="AC75" i="13" s="1"/>
  <c r="W67" i="13"/>
  <c r="AC67" i="13" s="1"/>
  <c r="W64" i="13"/>
  <c r="AC64" i="13" s="1"/>
  <c r="M459" i="13"/>
  <c r="N459" i="13" s="1"/>
  <c r="Z459" i="13" s="1"/>
  <c r="M453" i="13"/>
  <c r="N453" i="13" s="1"/>
  <c r="Z453" i="13" s="1"/>
  <c r="M446" i="13"/>
  <c r="N446" i="13" s="1"/>
  <c r="P446" i="13" s="1"/>
  <c r="W74" i="13"/>
  <c r="AC74" i="13" s="1"/>
  <c r="M460" i="13"/>
  <c r="N460" i="13" s="1"/>
  <c r="M447" i="13"/>
  <c r="N447" i="13" s="1"/>
  <c r="Z447" i="13" s="1"/>
  <c r="D194" i="17" s="1"/>
  <c r="Z454" i="13"/>
  <c r="Z458" i="13"/>
  <c r="Z442" i="13"/>
  <c r="Q5" i="24"/>
  <c r="Q13" i="24"/>
  <c r="Q6" i="24"/>
  <c r="Q14" i="24"/>
  <c r="Q9" i="24"/>
  <c r="Q17" i="24"/>
  <c r="Q4" i="24"/>
  <c r="Q12" i="24"/>
  <c r="Q20" i="24"/>
  <c r="B105" i="13"/>
  <c r="O277" i="13"/>
  <c r="P277" i="13"/>
  <c r="I9" i="13"/>
  <c r="N268" i="13"/>
  <c r="R277" i="13" s="1"/>
  <c r="H67" i="13"/>
  <c r="B157" i="13"/>
  <c r="B208" i="13" s="1"/>
  <c r="B185" i="13"/>
  <c r="B254" i="13" s="1"/>
  <c r="AE144" i="7"/>
  <c r="AF144" i="7" s="1"/>
  <c r="AG144" i="7" s="1"/>
  <c r="AE137" i="7"/>
  <c r="AF137" i="7" s="1"/>
  <c r="AG137" i="7" s="1"/>
  <c r="AE145" i="7"/>
  <c r="AF145" i="7" s="1"/>
  <c r="AG145" i="7" s="1"/>
  <c r="Y138" i="7"/>
  <c r="Z138" i="7" s="1"/>
  <c r="AA138" i="7" s="1"/>
  <c r="AB138" i="7" s="1"/>
  <c r="AC138" i="7" s="1"/>
  <c r="Y146" i="7"/>
  <c r="Z146" i="7" s="1"/>
  <c r="J135" i="7"/>
  <c r="K135" i="7" s="1"/>
  <c r="AA132" i="7"/>
  <c r="AB132" i="7" s="1"/>
  <c r="AC132" i="7" s="1"/>
  <c r="AA133" i="7"/>
  <c r="AB133" i="7" s="1"/>
  <c r="AC133" i="7" s="1"/>
  <c r="J146" i="7"/>
  <c r="K146" i="7" s="1"/>
  <c r="AP146" i="7" s="1"/>
  <c r="J147" i="7"/>
  <c r="K147" i="7" s="1"/>
  <c r="AP147" i="7" s="1"/>
  <c r="J148" i="7"/>
  <c r="K148" i="7" s="1"/>
  <c r="AP148" i="7" s="1"/>
  <c r="J143" i="7"/>
  <c r="K143" i="7" s="1"/>
  <c r="AA131" i="7"/>
  <c r="AB131" i="7" s="1"/>
  <c r="AC131" i="7" s="1"/>
  <c r="AA135" i="7"/>
  <c r="AB135" i="7" s="1"/>
  <c r="AC135" i="7" s="1"/>
  <c r="AA140" i="7"/>
  <c r="AB140" i="7" s="1"/>
  <c r="AC140" i="7" s="1"/>
  <c r="AA141" i="7"/>
  <c r="AB141" i="7" s="1"/>
  <c r="AC141" i="7" s="1"/>
  <c r="J137" i="7"/>
  <c r="K137" i="7" s="1"/>
  <c r="AP137" i="7" s="1"/>
  <c r="J131" i="7"/>
  <c r="K131" i="7" s="1"/>
  <c r="AP131" i="7" s="1"/>
  <c r="J132" i="7"/>
  <c r="K132" i="7" s="1"/>
  <c r="AP132" i="7" s="1"/>
  <c r="AA139" i="7"/>
  <c r="AB139" i="7" s="1"/>
  <c r="AC139" i="7" s="1"/>
  <c r="AA143" i="7"/>
  <c r="AB143" i="7" s="1"/>
  <c r="AC143" i="7" s="1"/>
  <c r="AA148" i="7"/>
  <c r="AB148" i="7" s="1"/>
  <c r="AC148" i="7" s="1"/>
  <c r="AA149" i="7"/>
  <c r="AB149" i="7" s="1"/>
  <c r="AC149" i="7" s="1"/>
  <c r="J145" i="7"/>
  <c r="K145" i="7" s="1"/>
  <c r="AP145" i="7" s="1"/>
  <c r="AA146" i="7"/>
  <c r="AB146" i="7" s="1"/>
  <c r="AC146" i="7" s="1"/>
  <c r="J138" i="7"/>
  <c r="K138" i="7" s="1"/>
  <c r="AP138" i="7" s="1"/>
  <c r="J139" i="7"/>
  <c r="K139" i="7" s="1"/>
  <c r="AP139" i="7" s="1"/>
  <c r="J140" i="7"/>
  <c r="K140" i="7" s="1"/>
  <c r="AP140" i="7" s="1"/>
  <c r="AA147" i="7"/>
  <c r="AB147" i="7" s="1"/>
  <c r="AC147" i="7" s="1"/>
  <c r="H133" i="7"/>
  <c r="I133" i="7" s="1"/>
  <c r="E134" i="7"/>
  <c r="F134" i="7" s="1"/>
  <c r="AE134" i="7"/>
  <c r="AF134" i="7" s="1"/>
  <c r="AG134" i="7" s="1"/>
  <c r="Y136" i="7"/>
  <c r="Z136" i="7" s="1"/>
  <c r="H141" i="7"/>
  <c r="I141" i="7" s="1"/>
  <c r="E142" i="7"/>
  <c r="F142" i="7" s="1"/>
  <c r="AE142" i="7"/>
  <c r="AF142" i="7" s="1"/>
  <c r="AG142" i="7" s="1"/>
  <c r="Y144" i="7"/>
  <c r="Z144" i="7" s="1"/>
  <c r="H149" i="7"/>
  <c r="I149" i="7" s="1"/>
  <c r="H130" i="7"/>
  <c r="I130" i="7" s="1"/>
  <c r="H136" i="7"/>
  <c r="I136" i="7" s="1"/>
  <c r="E137" i="7"/>
  <c r="F137" i="7" s="1"/>
  <c r="H144" i="7"/>
  <c r="I144" i="7" s="1"/>
  <c r="E145" i="7"/>
  <c r="F145" i="7" s="1"/>
  <c r="Y134" i="7"/>
  <c r="Z134" i="7" s="1"/>
  <c r="Y142" i="7"/>
  <c r="Z142" i="7" s="1"/>
  <c r="H134" i="7"/>
  <c r="I134" i="7" s="1"/>
  <c r="E135" i="7"/>
  <c r="F135" i="7" s="1"/>
  <c r="AE135" i="7"/>
  <c r="AF135" i="7" s="1"/>
  <c r="AG135" i="7" s="1"/>
  <c r="H142" i="7"/>
  <c r="I142" i="7" s="1"/>
  <c r="E143" i="7"/>
  <c r="F143" i="7" s="1"/>
  <c r="AE143" i="7"/>
  <c r="AF143" i="7" s="1"/>
  <c r="AG143" i="7" s="1"/>
  <c r="E136" i="7"/>
  <c r="F136" i="7" s="1"/>
  <c r="E144" i="7"/>
  <c r="F144" i="7" s="1"/>
  <c r="AA70" i="7"/>
  <c r="AB70" i="7" s="1"/>
  <c r="AC70" i="7" s="1"/>
  <c r="AD25" i="7"/>
  <c r="AE25" i="7" s="1"/>
  <c r="AF25" i="7" s="1"/>
  <c r="AG25" i="7" s="1"/>
  <c r="G19" i="7"/>
  <c r="H19" i="7" s="1"/>
  <c r="I19" i="7" s="1"/>
  <c r="J19" i="7" s="1"/>
  <c r="AJ53" i="7"/>
  <c r="AJ45" i="7"/>
  <c r="G208" i="7"/>
  <c r="H208" i="7" s="1"/>
  <c r="I208" i="7" s="1"/>
  <c r="J208" i="7" s="1"/>
  <c r="K208" i="7" s="1"/>
  <c r="AP208" i="7" s="1"/>
  <c r="AV208" i="7" s="1"/>
  <c r="M88" i="7"/>
  <c r="AJ23" i="7"/>
  <c r="G18" i="7"/>
  <c r="H18" i="7" s="1"/>
  <c r="I18" i="7" s="1"/>
  <c r="J18" i="7" s="1"/>
  <c r="G11" i="7"/>
  <c r="H11" i="7" s="1"/>
  <c r="I11" i="7" s="1"/>
  <c r="J11" i="7" s="1"/>
  <c r="C59" i="7"/>
  <c r="C51" i="7"/>
  <c r="C43" i="7"/>
  <c r="G195" i="7"/>
  <c r="H195" i="7" s="1"/>
  <c r="AF224" i="7"/>
  <c r="AG224" i="7" s="1"/>
  <c r="M86" i="7"/>
  <c r="L89" i="7"/>
  <c r="M73" i="7"/>
  <c r="L76" i="7"/>
  <c r="M81" i="7"/>
  <c r="L84" i="7"/>
  <c r="M89" i="7"/>
  <c r="AJ17" i="7"/>
  <c r="C29" i="7"/>
  <c r="E29" i="7" s="1"/>
  <c r="F29" i="7" s="1"/>
  <c r="X22" i="7"/>
  <c r="Y22" i="7" s="1"/>
  <c r="Z22" i="7" s="1"/>
  <c r="AD17" i="7"/>
  <c r="AE17" i="7" s="1"/>
  <c r="AF17" i="7" s="1"/>
  <c r="AG17" i="7" s="1"/>
  <c r="F183" i="7"/>
  <c r="F213" i="7"/>
  <c r="X28" i="7"/>
  <c r="Y28" i="7" s="1"/>
  <c r="Z28" i="7" s="1"/>
  <c r="G22" i="7"/>
  <c r="H22" i="7" s="1"/>
  <c r="I22" i="7" s="1"/>
  <c r="J22" i="7" s="1"/>
  <c r="K22" i="7" s="1"/>
  <c r="G16" i="7"/>
  <c r="H16" i="7" s="1"/>
  <c r="I16" i="7" s="1"/>
  <c r="J16" i="7" s="1"/>
  <c r="AD169" i="7"/>
  <c r="AE169" i="7" s="1"/>
  <c r="AF169" i="7" s="1"/>
  <c r="AG169" i="7" s="1"/>
  <c r="C57" i="7"/>
  <c r="C49" i="7"/>
  <c r="AD194" i="7"/>
  <c r="AE194" i="7" s="1"/>
  <c r="AF194" i="7" s="1"/>
  <c r="AG194" i="7" s="1"/>
  <c r="AJ198" i="7"/>
  <c r="L71" i="7"/>
  <c r="M76" i="7"/>
  <c r="L79" i="7"/>
  <c r="M84" i="7"/>
  <c r="L87" i="7"/>
  <c r="AJ10" i="7"/>
  <c r="AD10" i="7"/>
  <c r="G24" i="7"/>
  <c r="H24" i="7" s="1"/>
  <c r="I24" i="7" s="1"/>
  <c r="J24" i="7" s="1"/>
  <c r="X12" i="7"/>
  <c r="Y12" i="7" s="1"/>
  <c r="Z12" i="7" s="1"/>
  <c r="M87" i="7"/>
  <c r="AJ22" i="7"/>
  <c r="AJ19" i="7"/>
  <c r="G15" i="7"/>
  <c r="H15" i="7" s="1"/>
  <c r="I15" i="7" s="1"/>
  <c r="J15" i="7" s="1"/>
  <c r="K15" i="7" s="1"/>
  <c r="AP15" i="7" s="1"/>
  <c r="AJ16" i="7"/>
  <c r="AJ26" i="7"/>
  <c r="AJ13" i="7"/>
  <c r="G20" i="7"/>
  <c r="H20" i="7" s="1"/>
  <c r="I20" i="7" s="1"/>
  <c r="J20" i="7" s="1"/>
  <c r="K20" i="7" s="1"/>
  <c r="G14" i="7"/>
  <c r="H14" i="7" s="1"/>
  <c r="I14" i="7" s="1"/>
  <c r="J14" i="7" s="1"/>
  <c r="K14" i="7" s="1"/>
  <c r="AP14" i="7" s="1"/>
  <c r="AJ40" i="7"/>
  <c r="X55" i="7"/>
  <c r="Y55" i="7" s="1"/>
  <c r="C47" i="7"/>
  <c r="M70" i="7"/>
  <c r="M74" i="7"/>
  <c r="L77" i="7"/>
  <c r="M82" i="7"/>
  <c r="L85" i="7"/>
  <c r="C41" i="7"/>
  <c r="E41" i="7" s="1"/>
  <c r="F41" i="7" s="1"/>
  <c r="AJ20" i="7"/>
  <c r="G21" i="7"/>
  <c r="H21" i="7" s="1"/>
  <c r="I21" i="7" s="1"/>
  <c r="J21" i="7" s="1"/>
  <c r="AJ24" i="7"/>
  <c r="F93" i="7"/>
  <c r="AJ11" i="7"/>
  <c r="X26" i="7"/>
  <c r="Y26" i="7" s="1"/>
  <c r="Z26" i="7" s="1"/>
  <c r="X13" i="7"/>
  <c r="Y13" i="7" s="1"/>
  <c r="C54" i="7"/>
  <c r="E54" i="7" s="1"/>
  <c r="F54" i="7" s="1"/>
  <c r="C46" i="7"/>
  <c r="M85" i="7"/>
  <c r="D182" i="21"/>
  <c r="D181" i="21"/>
  <c r="B169" i="21"/>
  <c r="D174" i="21"/>
  <c r="D180" i="21"/>
  <c r="D186" i="21"/>
  <c r="D176" i="21"/>
  <c r="D185" i="21"/>
  <c r="D177" i="21"/>
  <c r="D175" i="21"/>
  <c r="D184" i="21"/>
  <c r="D178" i="21"/>
  <c r="D183" i="21"/>
  <c r="B94" i="21"/>
  <c r="B78" i="21"/>
  <c r="B222" i="13"/>
  <c r="B221" i="13" s="1"/>
  <c r="Q269" i="13" s="1"/>
  <c r="AG285" i="13"/>
  <c r="O291" i="13"/>
  <c r="AG277" i="13"/>
  <c r="B197" i="13"/>
  <c r="C71" i="7"/>
  <c r="E71" i="7" s="1"/>
  <c r="F71" i="7" s="1"/>
  <c r="AJ75" i="7"/>
  <c r="G77" i="7"/>
  <c r="H77" i="7" s="1"/>
  <c r="I77" i="7" s="1"/>
  <c r="X81" i="7"/>
  <c r="Y81" i="7" s="1"/>
  <c r="Z81" i="7" s="1"/>
  <c r="AA81" i="7" s="1"/>
  <c r="AB81" i="7" s="1"/>
  <c r="AC81" i="7" s="1"/>
  <c r="X80" i="7"/>
  <c r="Y80" i="7" s="1"/>
  <c r="Z80" i="7" s="1"/>
  <c r="AA80" i="7" s="1"/>
  <c r="AB80" i="7" s="1"/>
  <c r="AC80" i="7" s="1"/>
  <c r="X71" i="7"/>
  <c r="Y71" i="7" s="1"/>
  <c r="Z71" i="7" s="1"/>
  <c r="AJ86" i="7"/>
  <c r="AJ78" i="7"/>
  <c r="AD81" i="7"/>
  <c r="AE81" i="7" s="1"/>
  <c r="AF81" i="7" s="1"/>
  <c r="AG81" i="7" s="1"/>
  <c r="X72" i="7"/>
  <c r="Y72" i="7" s="1"/>
  <c r="Z72" i="7" s="1"/>
  <c r="AA72" i="7" s="1"/>
  <c r="G89" i="7"/>
  <c r="H89" i="7" s="1"/>
  <c r="I89" i="7" s="1"/>
  <c r="J89" i="7" s="1"/>
  <c r="K89" i="7" s="1"/>
  <c r="AD89" i="7"/>
  <c r="AE89" i="7" s="1"/>
  <c r="AF89" i="7" s="1"/>
  <c r="AG89" i="7" s="1"/>
  <c r="G85" i="7"/>
  <c r="H85" i="7" s="1"/>
  <c r="I85" i="7" s="1"/>
  <c r="AD85" i="7"/>
  <c r="AE85" i="7" s="1"/>
  <c r="AF85" i="7" s="1"/>
  <c r="AG85" i="7" s="1"/>
  <c r="G81" i="7"/>
  <c r="H81" i="7" s="1"/>
  <c r="I81" i="7" s="1"/>
  <c r="J81" i="7" s="1"/>
  <c r="K81" i="7" s="1"/>
  <c r="AD72" i="7"/>
  <c r="AE72" i="7" s="1"/>
  <c r="AF72" i="7" s="1"/>
  <c r="AG72" i="7" s="1"/>
  <c r="C74" i="7"/>
  <c r="E74" i="7" s="1"/>
  <c r="F74" i="7" s="1"/>
  <c r="G71" i="7"/>
  <c r="H71" i="7" s="1"/>
  <c r="I71" i="7" s="1"/>
  <c r="J71" i="7" s="1"/>
  <c r="K71" i="7" s="1"/>
  <c r="AD71" i="7"/>
  <c r="AE71" i="7" s="1"/>
  <c r="AF71" i="7" s="1"/>
  <c r="AG71" i="7" s="1"/>
  <c r="AJ89" i="7"/>
  <c r="X85" i="7"/>
  <c r="Y85" i="7" s="1"/>
  <c r="Z85" i="7" s="1"/>
  <c r="AJ84" i="7"/>
  <c r="AD80" i="7"/>
  <c r="AE80" i="7" s="1"/>
  <c r="AF80" i="7" s="1"/>
  <c r="AG80" i="7" s="1"/>
  <c r="AJ72" i="7"/>
  <c r="AJ70" i="7"/>
  <c r="X76" i="7"/>
  <c r="Y76" i="7" s="1"/>
  <c r="Z76" i="7" s="1"/>
  <c r="AA76" i="7" s="1"/>
  <c r="AB76" i="7" s="1"/>
  <c r="AC76" i="7" s="1"/>
  <c r="AJ81" i="7"/>
  <c r="G83" i="7"/>
  <c r="H83" i="7" s="1"/>
  <c r="I83" i="7" s="1"/>
  <c r="J83" i="7" s="1"/>
  <c r="K83" i="7" s="1"/>
  <c r="C85" i="7"/>
  <c r="E85" i="7" s="1"/>
  <c r="F85" i="7" s="1"/>
  <c r="X84" i="7"/>
  <c r="Y84" i="7" s="1"/>
  <c r="Z84" i="7" s="1"/>
  <c r="AA84" i="7" s="1"/>
  <c r="AB84" i="7" s="1"/>
  <c r="AC84" i="7" s="1"/>
  <c r="AJ80" i="7"/>
  <c r="AD87" i="7"/>
  <c r="AE87" i="7" s="1"/>
  <c r="AF87" i="7" s="1"/>
  <c r="AG87" i="7" s="1"/>
  <c r="AJ79" i="7"/>
  <c r="G80" i="7"/>
  <c r="H80" i="7" s="1"/>
  <c r="I80" i="7" s="1"/>
  <c r="J80" i="7" s="1"/>
  <c r="K80" i="7" s="1"/>
  <c r="X88" i="7"/>
  <c r="Y88" i="7" s="1"/>
  <c r="Z88" i="7" s="1"/>
  <c r="AA88" i="7" s="1"/>
  <c r="AB88" i="7" s="1"/>
  <c r="AC88" i="7" s="1"/>
  <c r="C84" i="7"/>
  <c r="E84" i="7" s="1"/>
  <c r="F84" i="7" s="1"/>
  <c r="X89" i="7"/>
  <c r="Y89" i="7" s="1"/>
  <c r="Z89" i="7" s="1"/>
  <c r="AA89" i="7" s="1"/>
  <c r="AB89" i="7" s="1"/>
  <c r="AC89" i="7" s="1"/>
  <c r="AD84" i="7"/>
  <c r="AE84" i="7" s="1"/>
  <c r="AF84" i="7" s="1"/>
  <c r="AG84" i="7" s="1"/>
  <c r="X73" i="7"/>
  <c r="Y73" i="7" s="1"/>
  <c r="Z73" i="7" s="1"/>
  <c r="AA73" i="7" s="1"/>
  <c r="AB73" i="7" s="1"/>
  <c r="AC73" i="7" s="1"/>
  <c r="C82" i="7"/>
  <c r="E82" i="7" s="1"/>
  <c r="F82" i="7" s="1"/>
  <c r="G84" i="7"/>
  <c r="H84" i="7" s="1"/>
  <c r="I84" i="7" s="1"/>
  <c r="C80" i="7"/>
  <c r="E80" i="7" s="1"/>
  <c r="F80" i="7" s="1"/>
  <c r="X86" i="7"/>
  <c r="Y86" i="7" s="1"/>
  <c r="Z86" i="7" s="1"/>
  <c r="AA86" i="7" s="1"/>
  <c r="AB86" i="7" s="1"/>
  <c r="AC86" i="7" s="1"/>
  <c r="G75" i="7"/>
  <c r="H75" i="7" s="1"/>
  <c r="I75" i="7" s="1"/>
  <c r="J75" i="7" s="1"/>
  <c r="K75" i="7" s="1"/>
  <c r="E72" i="7"/>
  <c r="F72" i="7" s="1"/>
  <c r="X87" i="7"/>
  <c r="Y87" i="7" s="1"/>
  <c r="Z87" i="7" s="1"/>
  <c r="C87" i="7"/>
  <c r="E87" i="7" s="1"/>
  <c r="F87" i="7" s="1"/>
  <c r="G87" i="7"/>
  <c r="H87" i="7" s="1"/>
  <c r="I87" i="7" s="1"/>
  <c r="J87" i="7" s="1"/>
  <c r="K87" i="7" s="1"/>
  <c r="C86" i="7"/>
  <c r="E86" i="7" s="1"/>
  <c r="F86" i="7" s="1"/>
  <c r="G86" i="7"/>
  <c r="H86" i="7" s="1"/>
  <c r="I86" i="7" s="1"/>
  <c r="J86" i="7" s="1"/>
  <c r="K86" i="7" s="1"/>
  <c r="AD75" i="7"/>
  <c r="AE75" i="7" s="1"/>
  <c r="AF75" i="7" s="1"/>
  <c r="AG75" i="7" s="1"/>
  <c r="AD86" i="7"/>
  <c r="AE86" i="7" s="1"/>
  <c r="AF86" i="7" s="1"/>
  <c r="AG86" i="7" s="1"/>
  <c r="C75" i="7"/>
  <c r="E75" i="7" s="1"/>
  <c r="F75" i="7" s="1"/>
  <c r="AJ87" i="7"/>
  <c r="AD52" i="7"/>
  <c r="AE52" i="7" s="1"/>
  <c r="AF52" i="7" s="1"/>
  <c r="AG52" i="7" s="1"/>
  <c r="C89" i="7"/>
  <c r="E89" i="7" s="1"/>
  <c r="F89" i="7" s="1"/>
  <c r="C81" i="7"/>
  <c r="E81" i="7" s="1"/>
  <c r="F81" i="7" s="1"/>
  <c r="C73" i="7"/>
  <c r="G76" i="7"/>
  <c r="H76" i="7" s="1"/>
  <c r="I76" i="7" s="1"/>
  <c r="X79" i="7"/>
  <c r="Y79" i="7" s="1"/>
  <c r="Z79" i="7" s="1"/>
  <c r="AD82" i="7"/>
  <c r="AE82" i="7" s="1"/>
  <c r="AF82" i="7" s="1"/>
  <c r="AG82" i="7" s="1"/>
  <c r="AD74" i="7"/>
  <c r="AE74" i="7" s="1"/>
  <c r="AF74" i="7" s="1"/>
  <c r="AG74" i="7" s="1"/>
  <c r="AJ85" i="7"/>
  <c r="AJ77" i="7"/>
  <c r="AD51" i="7"/>
  <c r="AE51" i="7" s="1"/>
  <c r="C88" i="7"/>
  <c r="E88" i="7" s="1"/>
  <c r="F88" i="7" s="1"/>
  <c r="X78" i="7"/>
  <c r="Y78" i="7" s="1"/>
  <c r="Z78" i="7" s="1"/>
  <c r="AA78" i="7" s="1"/>
  <c r="AB78" i="7" s="1"/>
  <c r="AC78" i="7" s="1"/>
  <c r="AD73" i="7"/>
  <c r="AE73" i="7" s="1"/>
  <c r="AF73" i="7" s="1"/>
  <c r="AG73" i="7" s="1"/>
  <c r="AJ76" i="7"/>
  <c r="AD44" i="7"/>
  <c r="AE44" i="7" s="1"/>
  <c r="AF44" i="7" s="1"/>
  <c r="AG44" i="7" s="1"/>
  <c r="C55" i="7"/>
  <c r="E55" i="7" s="1"/>
  <c r="F55" i="7" s="1"/>
  <c r="C79" i="7"/>
  <c r="E79" i="7" s="1"/>
  <c r="F79" i="7" s="1"/>
  <c r="G82" i="7"/>
  <c r="H82" i="7" s="1"/>
  <c r="I82" i="7" s="1"/>
  <c r="G74" i="7"/>
  <c r="H74" i="7" s="1"/>
  <c r="I74" i="7" s="1"/>
  <c r="X77" i="7"/>
  <c r="Y77" i="7" s="1"/>
  <c r="Z77" i="7" s="1"/>
  <c r="AD88" i="7"/>
  <c r="AE88" i="7" s="1"/>
  <c r="AF88" i="7" s="1"/>
  <c r="AG88" i="7" s="1"/>
  <c r="AJ83" i="7"/>
  <c r="C45" i="7"/>
  <c r="E45" i="7" s="1"/>
  <c r="F45" i="7" s="1"/>
  <c r="C78" i="7"/>
  <c r="E78" i="7" s="1"/>
  <c r="F78" i="7" s="1"/>
  <c r="G73" i="7"/>
  <c r="H73" i="7" s="1"/>
  <c r="I73" i="7" s="1"/>
  <c r="J73" i="7" s="1"/>
  <c r="K73" i="7" s="1"/>
  <c r="AD79" i="7"/>
  <c r="AE79" i="7" s="1"/>
  <c r="AF79" i="7" s="1"/>
  <c r="AG79" i="7" s="1"/>
  <c r="AJ82" i="7"/>
  <c r="AJ74" i="7"/>
  <c r="C53" i="7"/>
  <c r="C44" i="7"/>
  <c r="C77" i="7"/>
  <c r="G88" i="7"/>
  <c r="H88" i="7" s="1"/>
  <c r="I88" i="7" s="1"/>
  <c r="J88" i="7" s="1"/>
  <c r="K88" i="7" s="1"/>
  <c r="G72" i="7"/>
  <c r="H72" i="7" s="1"/>
  <c r="I72" i="7" s="1"/>
  <c r="J72" i="7" s="1"/>
  <c r="K72" i="7" s="1"/>
  <c r="X83" i="7"/>
  <c r="Y83" i="7" s="1"/>
  <c r="Z83" i="7" s="1"/>
  <c r="AA83" i="7" s="1"/>
  <c r="AB83" i="7" s="1"/>
  <c r="AC83" i="7" s="1"/>
  <c r="X75" i="7"/>
  <c r="Y75" i="7" s="1"/>
  <c r="Z75" i="7" s="1"/>
  <c r="AA75" i="7" s="1"/>
  <c r="AB75" i="7" s="1"/>
  <c r="AC75" i="7" s="1"/>
  <c r="AD78" i="7"/>
  <c r="AE78" i="7" s="1"/>
  <c r="AF78" i="7" s="1"/>
  <c r="AG78" i="7" s="1"/>
  <c r="AJ73" i="7"/>
  <c r="G45" i="7"/>
  <c r="H45" i="7" s="1"/>
  <c r="C52" i="7"/>
  <c r="E52" i="7" s="1"/>
  <c r="F52" i="7" s="1"/>
  <c r="C76" i="7"/>
  <c r="G79" i="7"/>
  <c r="H79" i="7" s="1"/>
  <c r="I79" i="7" s="1"/>
  <c r="J79" i="7" s="1"/>
  <c r="K79" i="7" s="1"/>
  <c r="AP79" i="7" s="1"/>
  <c r="X82" i="7"/>
  <c r="Y82" i="7" s="1"/>
  <c r="Z82" i="7" s="1"/>
  <c r="X74" i="7"/>
  <c r="Y74" i="7" s="1"/>
  <c r="Z74" i="7" s="1"/>
  <c r="AD77" i="7"/>
  <c r="AE77" i="7" s="1"/>
  <c r="AF77" i="7" s="1"/>
  <c r="AG77" i="7" s="1"/>
  <c r="AJ88" i="7"/>
  <c r="G44" i="7"/>
  <c r="H44" i="7" s="1"/>
  <c r="I44" i="7" s="1"/>
  <c r="J44" i="7" s="1"/>
  <c r="K44" i="7" s="1"/>
  <c r="C83" i="7"/>
  <c r="E83" i="7" s="1"/>
  <c r="F83" i="7" s="1"/>
  <c r="G78" i="7"/>
  <c r="H78" i="7" s="1"/>
  <c r="I78" i="7" s="1"/>
  <c r="J78" i="7" s="1"/>
  <c r="K78" i="7" s="1"/>
  <c r="AP78" i="7" s="1"/>
  <c r="AD76" i="7"/>
  <c r="AE76" i="7" s="1"/>
  <c r="AF76" i="7" s="1"/>
  <c r="AG76" i="7" s="1"/>
  <c r="AD83" i="7"/>
  <c r="AE83" i="7" s="1"/>
  <c r="AF83" i="7" s="1"/>
  <c r="AG83" i="7" s="1"/>
  <c r="AD12" i="7"/>
  <c r="AE12" i="7" s="1"/>
  <c r="AF12" i="7" s="1"/>
  <c r="AG12" i="7" s="1"/>
  <c r="G70" i="7"/>
  <c r="H70" i="7" s="1"/>
  <c r="I70" i="7" s="1"/>
  <c r="AD70" i="7"/>
  <c r="X18" i="7"/>
  <c r="Y18" i="7" s="1"/>
  <c r="Z18" i="7" s="1"/>
  <c r="AA18" i="7" s="1"/>
  <c r="AB18" i="7" s="1"/>
  <c r="AC18" i="7" s="1"/>
  <c r="AD14" i="7"/>
  <c r="AE14" i="7" s="1"/>
  <c r="AF14" i="7" s="1"/>
  <c r="AG14" i="7" s="1"/>
  <c r="C40" i="7"/>
  <c r="E40" i="7" s="1"/>
  <c r="F40" i="7" s="1"/>
  <c r="G40" i="7"/>
  <c r="X24" i="7"/>
  <c r="Y24" i="7" s="1"/>
  <c r="Z24" i="7" s="1"/>
  <c r="AA24" i="7" s="1"/>
  <c r="AB24" i="7" s="1"/>
  <c r="AC24" i="7" s="1"/>
  <c r="X40" i="7"/>
  <c r="X16" i="7"/>
  <c r="Y16" i="7" s="1"/>
  <c r="Z16" i="7" s="1"/>
  <c r="C70" i="7"/>
  <c r="E70" i="7" s="1"/>
  <c r="X70" i="7"/>
  <c r="G26" i="7"/>
  <c r="H26" i="7" s="1"/>
  <c r="I26" i="7" s="1"/>
  <c r="J26" i="7" s="1"/>
  <c r="AA26" i="7"/>
  <c r="AB26" i="7" s="1"/>
  <c r="AC26" i="7" s="1"/>
  <c r="AA12" i="7"/>
  <c r="AB12" i="7" s="1"/>
  <c r="AC12" i="7" s="1"/>
  <c r="AA28" i="7"/>
  <c r="AB28" i="7" s="1"/>
  <c r="AC28" i="7" s="1"/>
  <c r="C190" i="7"/>
  <c r="E190" i="7" s="1"/>
  <c r="F190" i="7" s="1"/>
  <c r="AJ190" i="7"/>
  <c r="X190" i="7"/>
  <c r="AD190" i="7"/>
  <c r="G190" i="7"/>
  <c r="H190" i="7" s="1"/>
  <c r="I190" i="7" s="1"/>
  <c r="J190" i="7" s="1"/>
  <c r="K190" i="7" s="1"/>
  <c r="C20" i="7"/>
  <c r="E20" i="7" s="1"/>
  <c r="F20" i="7" s="1"/>
  <c r="X20" i="7"/>
  <c r="Y20" i="7" s="1"/>
  <c r="Z20" i="7" s="1"/>
  <c r="G105" i="7"/>
  <c r="H105" i="7" s="1"/>
  <c r="I105" i="7" s="1"/>
  <c r="J105" i="7" s="1"/>
  <c r="K105" i="7" s="1"/>
  <c r="E10" i="7"/>
  <c r="X10" i="7"/>
  <c r="G10" i="7"/>
  <c r="H10" i="7" s="1"/>
  <c r="I10" i="7" s="1"/>
  <c r="J10" i="7" s="1"/>
  <c r="C23" i="7"/>
  <c r="E23" i="7" s="1"/>
  <c r="F23" i="7" s="1"/>
  <c r="G23" i="7"/>
  <c r="H23" i="7" s="1"/>
  <c r="I23" i="7" s="1"/>
  <c r="J23" i="7" s="1"/>
  <c r="K23" i="7" s="1"/>
  <c r="AP23" i="7" s="1"/>
  <c r="X23" i="7"/>
  <c r="Y23" i="7" s="1"/>
  <c r="Z23" i="7" s="1"/>
  <c r="G104" i="7"/>
  <c r="H104" i="7" s="1"/>
  <c r="I104" i="7" s="1"/>
  <c r="J104" i="7" s="1"/>
  <c r="K104" i="7" s="1"/>
  <c r="AJ29" i="7"/>
  <c r="AJ235" i="7"/>
  <c r="AJ225" i="7"/>
  <c r="AJ227" i="7"/>
  <c r="G233" i="7"/>
  <c r="H233" i="7" s="1"/>
  <c r="I233" i="7" s="1"/>
  <c r="J233" i="7" s="1"/>
  <c r="AJ229" i="7"/>
  <c r="AJ239" i="7"/>
  <c r="G234" i="7"/>
  <c r="H234" i="7" s="1"/>
  <c r="I234" i="7" s="1"/>
  <c r="J234" i="7" s="1"/>
  <c r="K234" i="7" s="1"/>
  <c r="AP234" i="7" s="1"/>
  <c r="G225" i="7"/>
  <c r="H225" i="7" s="1"/>
  <c r="I225" i="7" s="1"/>
  <c r="J225" i="7" s="1"/>
  <c r="G235" i="7"/>
  <c r="H235" i="7" s="1"/>
  <c r="I235" i="7" s="1"/>
  <c r="J235" i="7" s="1"/>
  <c r="K235" i="7" s="1"/>
  <c r="AJ222" i="7"/>
  <c r="AJ233" i="7"/>
  <c r="G227" i="7"/>
  <c r="H227" i="7" s="1"/>
  <c r="I227" i="7" s="1"/>
  <c r="J227" i="7" s="1"/>
  <c r="K227" i="7" s="1"/>
  <c r="G238" i="7"/>
  <c r="H238" i="7" s="1"/>
  <c r="I238" i="7" s="1"/>
  <c r="J238" i="7" s="1"/>
  <c r="K238" i="7" s="1"/>
  <c r="C27" i="7"/>
  <c r="E27" i="7" s="1"/>
  <c r="F27" i="7" s="1"/>
  <c r="AD27" i="7"/>
  <c r="AE27" i="7" s="1"/>
  <c r="AF27" i="7" s="1"/>
  <c r="AG27" i="7" s="1"/>
  <c r="G27" i="7"/>
  <c r="H27" i="7" s="1"/>
  <c r="I27" i="7" s="1"/>
  <c r="J27" i="7" s="1"/>
  <c r="X27" i="7"/>
  <c r="Y27" i="7" s="1"/>
  <c r="Z27" i="7" s="1"/>
  <c r="Z55" i="7"/>
  <c r="AA55" i="7" s="1"/>
  <c r="X118" i="7"/>
  <c r="Y118" i="7" s="1"/>
  <c r="Z118" i="7" s="1"/>
  <c r="AA118" i="7" s="1"/>
  <c r="C25" i="7"/>
  <c r="E25" i="7" s="1"/>
  <c r="F25" i="7" s="1"/>
  <c r="X25" i="7"/>
  <c r="Y25" i="7" s="1"/>
  <c r="Z25" i="7" s="1"/>
  <c r="AA25" i="7" s="1"/>
  <c r="AJ25" i="7"/>
  <c r="AD29" i="7"/>
  <c r="AE29" i="7" s="1"/>
  <c r="AF29" i="7" s="1"/>
  <c r="AG29" i="7" s="1"/>
  <c r="AA11" i="7"/>
  <c r="AC11" i="7" s="1"/>
  <c r="AA223" i="7"/>
  <c r="AB223" i="7" s="1"/>
  <c r="AC223" i="7" s="1"/>
  <c r="AA13" i="7"/>
  <c r="AB13" i="7" s="1"/>
  <c r="AC13" i="7" s="1"/>
  <c r="AA44" i="7"/>
  <c r="AA16" i="7"/>
  <c r="AB16" i="7" s="1"/>
  <c r="AC16" i="7" s="1"/>
  <c r="AA19" i="7"/>
  <c r="AB19" i="7" s="1"/>
  <c r="AC19" i="7" s="1"/>
  <c r="AA22" i="7"/>
  <c r="AB22" i="7" s="1"/>
  <c r="AC22" i="7" s="1"/>
  <c r="AA20" i="7"/>
  <c r="Z10" i="7"/>
  <c r="AF51" i="7"/>
  <c r="AG51" i="7" s="1"/>
  <c r="AD114" i="7"/>
  <c r="AE114" i="7" s="1"/>
  <c r="AF114" i="7" s="1"/>
  <c r="AG114" i="7" s="1"/>
  <c r="C174" i="7"/>
  <c r="E174" i="7" s="1"/>
  <c r="F174" i="7" s="1"/>
  <c r="AD174" i="7"/>
  <c r="AE174" i="7" s="1"/>
  <c r="AF174" i="7" s="1"/>
  <c r="AG174" i="7" s="1"/>
  <c r="AJ174" i="7"/>
  <c r="X174" i="7"/>
  <c r="Y174" i="7" s="1"/>
  <c r="Z174" i="7" s="1"/>
  <c r="AA174" i="7" s="1"/>
  <c r="C166" i="7"/>
  <c r="E166" i="7" s="1"/>
  <c r="F166" i="7" s="1"/>
  <c r="AD166" i="7"/>
  <c r="AE166" i="7" s="1"/>
  <c r="AF166" i="7" s="1"/>
  <c r="AG166" i="7" s="1"/>
  <c r="AJ166" i="7"/>
  <c r="X166" i="7"/>
  <c r="Y166" i="7" s="1"/>
  <c r="Z166" i="7" s="1"/>
  <c r="G166" i="7"/>
  <c r="H166" i="7" s="1"/>
  <c r="I166" i="7" s="1"/>
  <c r="J166" i="7" s="1"/>
  <c r="K166" i="7" s="1"/>
  <c r="Z172" i="7"/>
  <c r="AA172" i="7" s="1"/>
  <c r="G258" i="7"/>
  <c r="H258" i="7" s="1"/>
  <c r="I258" i="7" s="1"/>
  <c r="J258" i="7" s="1"/>
  <c r="K258" i="7" s="1"/>
  <c r="G264" i="7"/>
  <c r="H264" i="7" s="1"/>
  <c r="I264" i="7" s="1"/>
  <c r="J264" i="7" s="1"/>
  <c r="K264" i="7" s="1"/>
  <c r="C269" i="7"/>
  <c r="E269" i="7" s="1"/>
  <c r="F269" i="7" s="1"/>
  <c r="G259" i="7"/>
  <c r="H259" i="7" s="1"/>
  <c r="I259" i="7" s="1"/>
  <c r="J259" i="7" s="1"/>
  <c r="K259" i="7" s="1"/>
  <c r="G266" i="7"/>
  <c r="H266" i="7" s="1"/>
  <c r="I266" i="7" s="1"/>
  <c r="J266" i="7" s="1"/>
  <c r="C264" i="7"/>
  <c r="E264" i="7" s="1"/>
  <c r="F264" i="7" s="1"/>
  <c r="G267" i="7"/>
  <c r="H267" i="7" s="1"/>
  <c r="I267" i="7" s="1"/>
  <c r="J267" i="7" s="1"/>
  <c r="C14" i="7"/>
  <c r="E14" i="7" s="1"/>
  <c r="F14" i="7" s="1"/>
  <c r="AJ14" i="7"/>
  <c r="X14" i="7"/>
  <c r="Y14" i="7" s="1"/>
  <c r="Z14" i="7" s="1"/>
  <c r="AA14" i="7" s="1"/>
  <c r="AD100" i="7"/>
  <c r="AD112" i="7"/>
  <c r="AE112" i="7" s="1"/>
  <c r="AF112" i="7" s="1"/>
  <c r="AG112" i="7" s="1"/>
  <c r="AD104" i="7"/>
  <c r="AE104" i="7" s="1"/>
  <c r="AF104" i="7" s="1"/>
  <c r="AG104" i="7" s="1"/>
  <c r="AJ110" i="7"/>
  <c r="G112" i="7"/>
  <c r="H112" i="7" s="1"/>
  <c r="I112" i="7" s="1"/>
  <c r="J112" i="7" s="1"/>
  <c r="K112" i="7" s="1"/>
  <c r="AJ111" i="7"/>
  <c r="G113" i="7"/>
  <c r="H113" i="7" s="1"/>
  <c r="I113" i="7" s="1"/>
  <c r="J113" i="7" s="1"/>
  <c r="K113" i="7" s="1"/>
  <c r="AJ118" i="7"/>
  <c r="G100" i="7"/>
  <c r="H100" i="7" s="1"/>
  <c r="I100" i="7" s="1"/>
  <c r="J100" i="7" s="1"/>
  <c r="AJ119" i="7"/>
  <c r="X29" i="7"/>
  <c r="Y29" i="7" s="1"/>
  <c r="Z29" i="7" s="1"/>
  <c r="AA29" i="7" s="1"/>
  <c r="G25" i="7"/>
  <c r="H25" i="7" s="1"/>
  <c r="I25" i="7" s="1"/>
  <c r="J25" i="7" s="1"/>
  <c r="AD23" i="7"/>
  <c r="AE23" i="7" s="1"/>
  <c r="AF23" i="7" s="1"/>
  <c r="AG23" i="7" s="1"/>
  <c r="AD20" i="7"/>
  <c r="AE20" i="7" s="1"/>
  <c r="AF20" i="7" s="1"/>
  <c r="AG20" i="7" s="1"/>
  <c r="C17" i="7"/>
  <c r="E17" i="7" s="1"/>
  <c r="F17" i="7" s="1"/>
  <c r="G17" i="7"/>
  <c r="H17" i="7" s="1"/>
  <c r="I17" i="7" s="1"/>
  <c r="J17" i="7" s="1"/>
  <c r="X17" i="7"/>
  <c r="Y17" i="7" s="1"/>
  <c r="Z17" i="7" s="1"/>
  <c r="AA17" i="7" s="1"/>
  <c r="AD40" i="7"/>
  <c r="H40" i="7"/>
  <c r="I40" i="7" s="1"/>
  <c r="J40" i="7" s="1"/>
  <c r="AD119" i="7"/>
  <c r="AE119" i="7" s="1"/>
  <c r="AF119" i="7" s="1"/>
  <c r="AG119" i="7" s="1"/>
  <c r="AD111" i="7"/>
  <c r="AE111" i="7" s="1"/>
  <c r="AF111" i="7" s="1"/>
  <c r="AG111" i="7" s="1"/>
  <c r="AD103" i="7"/>
  <c r="AE103" i="7" s="1"/>
  <c r="AF103" i="7" s="1"/>
  <c r="AG103" i="7" s="1"/>
  <c r="AD106" i="7"/>
  <c r="AE106" i="7" s="1"/>
  <c r="AF106" i="7" s="1"/>
  <c r="AG106" i="7" s="1"/>
  <c r="AJ28" i="7"/>
  <c r="AJ21" i="7"/>
  <c r="AJ161" i="7"/>
  <c r="G178" i="7"/>
  <c r="H178" i="7" s="1"/>
  <c r="I178" i="7" s="1"/>
  <c r="J178" i="7" s="1"/>
  <c r="K178" i="7" s="1"/>
  <c r="AJ169" i="7"/>
  <c r="G169" i="7"/>
  <c r="H169" i="7" s="1"/>
  <c r="I169" i="7" s="1"/>
  <c r="J169" i="7" s="1"/>
  <c r="G28" i="7"/>
  <c r="H28" i="7" s="1"/>
  <c r="I28" i="7" s="1"/>
  <c r="J28" i="7" s="1"/>
  <c r="AD22" i="7"/>
  <c r="AE22" i="7" s="1"/>
  <c r="AF22" i="7" s="1"/>
  <c r="AG22" i="7" s="1"/>
  <c r="C22" i="7"/>
  <c r="E22" i="7" s="1"/>
  <c r="F22" i="7" s="1"/>
  <c r="X21" i="7"/>
  <c r="Y21" i="7" s="1"/>
  <c r="Z21" i="7" s="1"/>
  <c r="C19" i="7"/>
  <c r="E19" i="7" s="1"/>
  <c r="F19" i="7" s="1"/>
  <c r="AD16" i="7"/>
  <c r="AE16" i="7" s="1"/>
  <c r="AF16" i="7" s="1"/>
  <c r="AG16" i="7" s="1"/>
  <c r="C16" i="7"/>
  <c r="E16" i="7" s="1"/>
  <c r="F16" i="7" s="1"/>
  <c r="X15" i="7"/>
  <c r="Y15" i="7" s="1"/>
  <c r="Z15" i="7" s="1"/>
  <c r="AA15" i="7" s="1"/>
  <c r="J13" i="7"/>
  <c r="K13" i="7" s="1"/>
  <c r="Z250" i="7"/>
  <c r="AA250" i="7" s="1"/>
  <c r="X268" i="7"/>
  <c r="Y268" i="7" s="1"/>
  <c r="Z268" i="7" s="1"/>
  <c r="X222" i="7"/>
  <c r="Y222" i="7" s="1"/>
  <c r="Z222" i="7" s="1"/>
  <c r="AA222" i="7" s="1"/>
  <c r="Z220" i="7"/>
  <c r="X226" i="7"/>
  <c r="Y226" i="7" s="1"/>
  <c r="Z226" i="7" s="1"/>
  <c r="AA226" i="7" s="1"/>
  <c r="X237" i="7"/>
  <c r="Y237" i="7" s="1"/>
  <c r="Z237" i="7" s="1"/>
  <c r="X48" i="7"/>
  <c r="Y48" i="7" s="1"/>
  <c r="Z48" i="7" s="1"/>
  <c r="AA48" i="7" s="1"/>
  <c r="X56" i="7"/>
  <c r="Y56" i="7" s="1"/>
  <c r="Z56" i="7" s="1"/>
  <c r="Z100" i="7"/>
  <c r="X161" i="7"/>
  <c r="Y161" i="7" s="1"/>
  <c r="Z161" i="7" s="1"/>
  <c r="AA161" i="7" s="1"/>
  <c r="Z190" i="7"/>
  <c r="AA190" i="7" s="1"/>
  <c r="X164" i="7"/>
  <c r="Y164" i="7" s="1"/>
  <c r="Z164" i="7" s="1"/>
  <c r="AA164" i="7" s="1"/>
  <c r="Z160" i="7"/>
  <c r="E59" i="7"/>
  <c r="F59" i="7" s="1"/>
  <c r="AJ59" i="7"/>
  <c r="X59" i="7"/>
  <c r="Y59" i="7" s="1"/>
  <c r="Z59" i="7" s="1"/>
  <c r="AA59" i="7" s="1"/>
  <c r="G59" i="7"/>
  <c r="H59" i="7" s="1"/>
  <c r="I59" i="7" s="1"/>
  <c r="J59" i="7" s="1"/>
  <c r="K59" i="7" s="1"/>
  <c r="E51" i="7"/>
  <c r="F51" i="7" s="1"/>
  <c r="AJ51" i="7"/>
  <c r="X51" i="7"/>
  <c r="Y51" i="7" s="1"/>
  <c r="Z51" i="7" s="1"/>
  <c r="AA51" i="7" s="1"/>
  <c r="G51" i="7"/>
  <c r="H51" i="7" s="1"/>
  <c r="I51" i="7" s="1"/>
  <c r="J51" i="7" s="1"/>
  <c r="E43" i="7"/>
  <c r="F43" i="7" s="1"/>
  <c r="AJ43" i="7"/>
  <c r="X43" i="7"/>
  <c r="Y43" i="7" s="1"/>
  <c r="Z43" i="7" s="1"/>
  <c r="G43" i="7"/>
  <c r="H43" i="7" s="1"/>
  <c r="X54" i="7"/>
  <c r="Y54" i="7" s="1"/>
  <c r="Z54" i="7" s="1"/>
  <c r="AD43" i="7"/>
  <c r="AE43" i="7" s="1"/>
  <c r="AF43" i="7" s="1"/>
  <c r="AG43" i="7" s="1"/>
  <c r="AD118" i="7"/>
  <c r="AE118" i="7" s="1"/>
  <c r="AF118" i="7" s="1"/>
  <c r="AG118" i="7" s="1"/>
  <c r="AD110" i="7"/>
  <c r="AE110" i="7" s="1"/>
  <c r="AF110" i="7" s="1"/>
  <c r="AG110" i="7" s="1"/>
  <c r="AD102" i="7"/>
  <c r="AE102" i="7" s="1"/>
  <c r="AF102" i="7" s="1"/>
  <c r="AG102" i="7" s="1"/>
  <c r="X117" i="7"/>
  <c r="Y117" i="7" s="1"/>
  <c r="Z117" i="7" s="1"/>
  <c r="AD105" i="7"/>
  <c r="AE105" i="7" s="1"/>
  <c r="AF105" i="7" s="1"/>
  <c r="AG105" i="7" s="1"/>
  <c r="C173" i="7"/>
  <c r="E173" i="7" s="1"/>
  <c r="F173" i="7" s="1"/>
  <c r="G173" i="7"/>
  <c r="H173" i="7" s="1"/>
  <c r="I173" i="7" s="1"/>
  <c r="AD173" i="7"/>
  <c r="AE173" i="7" s="1"/>
  <c r="AF173" i="7" s="1"/>
  <c r="AG173" i="7" s="1"/>
  <c r="X173" i="7"/>
  <c r="Y173" i="7" s="1"/>
  <c r="Z173" i="7" s="1"/>
  <c r="AA173" i="7" s="1"/>
  <c r="AJ173" i="7"/>
  <c r="C165" i="7"/>
  <c r="E165" i="7" s="1"/>
  <c r="F165" i="7" s="1"/>
  <c r="G165" i="7"/>
  <c r="H165" i="7" s="1"/>
  <c r="I165" i="7" s="1"/>
  <c r="J165" i="7" s="1"/>
  <c r="K165" i="7" s="1"/>
  <c r="AJ165" i="7"/>
  <c r="X165" i="7"/>
  <c r="Y165" i="7" s="1"/>
  <c r="Z165" i="7" s="1"/>
  <c r="X169" i="7"/>
  <c r="Y169" i="7" s="1"/>
  <c r="Z169" i="7" s="1"/>
  <c r="AA169" i="7" s="1"/>
  <c r="AD28" i="7"/>
  <c r="AE28" i="7" s="1"/>
  <c r="AF28" i="7" s="1"/>
  <c r="AG28" i="7" s="1"/>
  <c r="C28" i="7"/>
  <c r="E28" i="7" s="1"/>
  <c r="F28" i="7" s="1"/>
  <c r="AD19" i="7"/>
  <c r="AE19" i="7" s="1"/>
  <c r="AF19" i="7" s="1"/>
  <c r="AG19" i="7" s="1"/>
  <c r="AE13" i="7"/>
  <c r="AF13" i="7" s="1"/>
  <c r="AG13" i="7" s="1"/>
  <c r="AD11" i="7"/>
  <c r="AE11" i="7" s="1"/>
  <c r="AF11" i="7" s="1"/>
  <c r="AG11" i="7" s="1"/>
  <c r="E58" i="7"/>
  <c r="F58" i="7" s="1"/>
  <c r="AJ58" i="7"/>
  <c r="X58" i="7"/>
  <c r="Y58" i="7" s="1"/>
  <c r="Z58" i="7" s="1"/>
  <c r="AA58" i="7" s="1"/>
  <c r="G58" i="7"/>
  <c r="H58" i="7" s="1"/>
  <c r="I58" i="7" s="1"/>
  <c r="J58" i="7" s="1"/>
  <c r="AD58" i="7"/>
  <c r="AE58" i="7" s="1"/>
  <c r="AF58" i="7" s="1"/>
  <c r="AG58" i="7" s="1"/>
  <c r="E50" i="7"/>
  <c r="F50" i="7" s="1"/>
  <c r="AJ50" i="7"/>
  <c r="X50" i="7"/>
  <c r="Y50" i="7" s="1"/>
  <c r="Z50" i="7" s="1"/>
  <c r="G50" i="7"/>
  <c r="H50" i="7" s="1"/>
  <c r="AD50" i="7"/>
  <c r="AE50" i="7" s="1"/>
  <c r="AF50" i="7" s="1"/>
  <c r="AG50" i="7" s="1"/>
  <c r="F42" i="7"/>
  <c r="AJ42" i="7"/>
  <c r="X42" i="7"/>
  <c r="Y42" i="7" s="1"/>
  <c r="Z42" i="7" s="1"/>
  <c r="AA42" i="7" s="1"/>
  <c r="G42" i="7"/>
  <c r="H42" i="7" s="1"/>
  <c r="AD42" i="7"/>
  <c r="AE42" i="7" s="1"/>
  <c r="AF42" i="7" s="1"/>
  <c r="AG42" i="7" s="1"/>
  <c r="X47" i="7"/>
  <c r="Y47" i="7" s="1"/>
  <c r="Z47" i="7" s="1"/>
  <c r="AJ55" i="7"/>
  <c r="C117" i="7"/>
  <c r="E117" i="7" s="1"/>
  <c r="F117" i="7" s="1"/>
  <c r="AD117" i="7"/>
  <c r="AE117" i="7" s="1"/>
  <c r="AF117" i="7" s="1"/>
  <c r="AG117" i="7" s="1"/>
  <c r="G117" i="7"/>
  <c r="H117" i="7" s="1"/>
  <c r="I117" i="7" s="1"/>
  <c r="J117" i="7" s="1"/>
  <c r="AJ117" i="7"/>
  <c r="C109" i="7"/>
  <c r="E109" i="7" s="1"/>
  <c r="F109" i="7" s="1"/>
  <c r="AD109" i="7"/>
  <c r="AE109" i="7" s="1"/>
  <c r="AF109" i="7" s="1"/>
  <c r="AG109" i="7" s="1"/>
  <c r="G109" i="7"/>
  <c r="H109" i="7" s="1"/>
  <c r="I109" i="7" s="1"/>
  <c r="J109" i="7" s="1"/>
  <c r="AJ109" i="7"/>
  <c r="C101" i="7"/>
  <c r="E101" i="7" s="1"/>
  <c r="AD101" i="7"/>
  <c r="AE101" i="7" s="1"/>
  <c r="AF101" i="7" s="1"/>
  <c r="AG101" i="7" s="1"/>
  <c r="G101" i="7"/>
  <c r="H101" i="7" s="1"/>
  <c r="I101" i="7" s="1"/>
  <c r="AJ101" i="7"/>
  <c r="X110" i="7"/>
  <c r="Y110" i="7" s="1"/>
  <c r="Z110" i="7" s="1"/>
  <c r="AA110" i="7" s="1"/>
  <c r="AD24" i="7"/>
  <c r="AE24" i="7" s="1"/>
  <c r="AF24" i="7" s="1"/>
  <c r="AG24" i="7" s="1"/>
  <c r="C24" i="7"/>
  <c r="E24" i="7" s="1"/>
  <c r="F24" i="7" s="1"/>
  <c r="C18" i="7"/>
  <c r="E18" i="7" s="1"/>
  <c r="F18" i="7" s="1"/>
  <c r="AD264" i="7"/>
  <c r="AE264" i="7" s="1"/>
  <c r="AF264" i="7" s="1"/>
  <c r="AG264" i="7" s="1"/>
  <c r="AF10" i="7"/>
  <c r="AG10" i="7" s="1"/>
  <c r="AD266" i="7"/>
  <c r="AE266" i="7" s="1"/>
  <c r="AF266" i="7" s="1"/>
  <c r="AG266" i="7" s="1"/>
  <c r="AD227" i="7"/>
  <c r="AE227" i="7" s="1"/>
  <c r="AF227" i="7" s="1"/>
  <c r="AG227" i="7" s="1"/>
  <c r="AF250" i="7"/>
  <c r="AG250" i="7" s="1"/>
  <c r="AD192" i="7"/>
  <c r="AE192" i="7" s="1"/>
  <c r="AF192" i="7" s="1"/>
  <c r="AG192" i="7" s="1"/>
  <c r="AD200" i="7"/>
  <c r="AE200" i="7" s="1"/>
  <c r="AF200" i="7" s="1"/>
  <c r="AG200" i="7" s="1"/>
  <c r="AD208" i="7"/>
  <c r="AE208" i="7" s="1"/>
  <c r="AF208" i="7" s="1"/>
  <c r="AG208" i="7" s="1"/>
  <c r="AD233" i="7"/>
  <c r="AE233" i="7" s="1"/>
  <c r="AF233" i="7" s="1"/>
  <c r="AG233" i="7" s="1"/>
  <c r="AF220" i="7"/>
  <c r="AG220" i="7" s="1"/>
  <c r="AD258" i="7"/>
  <c r="AE258" i="7" s="1"/>
  <c r="AF258" i="7" s="1"/>
  <c r="AG258" i="7" s="1"/>
  <c r="AD225" i="7"/>
  <c r="AE225" i="7" s="1"/>
  <c r="AF225" i="7" s="1"/>
  <c r="AG225" i="7" s="1"/>
  <c r="AD235" i="7"/>
  <c r="AE235" i="7" s="1"/>
  <c r="AF235" i="7" s="1"/>
  <c r="AG235" i="7" s="1"/>
  <c r="AD195" i="7"/>
  <c r="AE195" i="7" s="1"/>
  <c r="AF195" i="7" s="1"/>
  <c r="AG195" i="7" s="1"/>
  <c r="AF160" i="7"/>
  <c r="AG160" i="7" s="1"/>
  <c r="AF100" i="7"/>
  <c r="AG100" i="7" s="1"/>
  <c r="AF190" i="7"/>
  <c r="AG190" i="7" s="1"/>
  <c r="AD161" i="7"/>
  <c r="AE161" i="7" s="1"/>
  <c r="AF161" i="7" s="1"/>
  <c r="AG161" i="7" s="1"/>
  <c r="E57" i="7"/>
  <c r="F57" i="7" s="1"/>
  <c r="AJ57" i="7"/>
  <c r="X57" i="7"/>
  <c r="Y57" i="7" s="1"/>
  <c r="Z57" i="7" s="1"/>
  <c r="G57" i="7"/>
  <c r="H57" i="7" s="1"/>
  <c r="I57" i="7" s="1"/>
  <c r="J57" i="7" s="1"/>
  <c r="K57" i="7" s="1"/>
  <c r="AD57" i="7"/>
  <c r="AE57" i="7" s="1"/>
  <c r="AF57" i="7" s="1"/>
  <c r="AG57" i="7" s="1"/>
  <c r="E49" i="7"/>
  <c r="F49" i="7" s="1"/>
  <c r="AJ49" i="7"/>
  <c r="X49" i="7"/>
  <c r="Y49" i="7" s="1"/>
  <c r="Z49" i="7" s="1"/>
  <c r="AA49" i="7" s="1"/>
  <c r="G49" i="7"/>
  <c r="H49" i="7" s="1"/>
  <c r="I49" i="7" s="1"/>
  <c r="J49" i="7" s="1"/>
  <c r="K49" i="7" s="1"/>
  <c r="AP49" i="7" s="1"/>
  <c r="AD49" i="7"/>
  <c r="AE49" i="7" s="1"/>
  <c r="AF49" i="7" s="1"/>
  <c r="AG49" i="7" s="1"/>
  <c r="X46" i="7"/>
  <c r="Y46" i="7" s="1"/>
  <c r="Z46" i="7" s="1"/>
  <c r="AJ54" i="7"/>
  <c r="C116" i="7"/>
  <c r="E116" i="7" s="1"/>
  <c r="F116" i="7" s="1"/>
  <c r="AD116" i="7"/>
  <c r="AE116" i="7" s="1"/>
  <c r="AF116" i="7" s="1"/>
  <c r="AG116" i="7" s="1"/>
  <c r="G116" i="7"/>
  <c r="H116" i="7" s="1"/>
  <c r="I116" i="7" s="1"/>
  <c r="J116" i="7" s="1"/>
  <c r="K116" i="7" s="1"/>
  <c r="AJ116" i="7"/>
  <c r="X116" i="7"/>
  <c r="Y116" i="7" s="1"/>
  <c r="Z116" i="7" s="1"/>
  <c r="AA116" i="7" s="1"/>
  <c r="C108" i="7"/>
  <c r="E108" i="7" s="1"/>
  <c r="F108" i="7" s="1"/>
  <c r="AD108" i="7"/>
  <c r="AE108" i="7" s="1"/>
  <c r="AF108" i="7" s="1"/>
  <c r="AG108" i="7" s="1"/>
  <c r="G108" i="7"/>
  <c r="H108" i="7" s="1"/>
  <c r="I108" i="7" s="1"/>
  <c r="J108" i="7" s="1"/>
  <c r="AJ108" i="7"/>
  <c r="X108" i="7"/>
  <c r="Y108" i="7" s="1"/>
  <c r="Z108" i="7" s="1"/>
  <c r="AA108" i="7" s="1"/>
  <c r="X109" i="7"/>
  <c r="Y109" i="7" s="1"/>
  <c r="Z109" i="7" s="1"/>
  <c r="AD165" i="7"/>
  <c r="AE165" i="7" s="1"/>
  <c r="AF165" i="7" s="1"/>
  <c r="AG165" i="7" s="1"/>
  <c r="G53" i="7"/>
  <c r="H53" i="7" s="1"/>
  <c r="I53" i="7" s="1"/>
  <c r="J53" i="7" s="1"/>
  <c r="K53" i="7" s="1"/>
  <c r="X102" i="7"/>
  <c r="Y102" i="7" s="1"/>
  <c r="Z102" i="7" s="1"/>
  <c r="AA102" i="7" s="1"/>
  <c r="AD21" i="7"/>
  <c r="AE21" i="7" s="1"/>
  <c r="AF21" i="7" s="1"/>
  <c r="AG21" i="7" s="1"/>
  <c r="C21" i="7"/>
  <c r="E21" i="7" s="1"/>
  <c r="F21" i="7" s="1"/>
  <c r="AD18" i="7"/>
  <c r="AE18" i="7" s="1"/>
  <c r="AF18" i="7" s="1"/>
  <c r="AG18" i="7" s="1"/>
  <c r="AD15" i="7"/>
  <c r="AE15" i="7" s="1"/>
  <c r="AF15" i="7" s="1"/>
  <c r="AG15" i="7" s="1"/>
  <c r="C15" i="7"/>
  <c r="E15" i="7" s="1"/>
  <c r="F15" i="7" s="1"/>
  <c r="G12" i="7"/>
  <c r="H12" i="7" s="1"/>
  <c r="I12" i="7" s="1"/>
  <c r="J12" i="7" s="1"/>
  <c r="AJ18" i="7"/>
  <c r="G46" i="7"/>
  <c r="H46" i="7" s="1"/>
  <c r="I46" i="7" s="1"/>
  <c r="J46" i="7" s="1"/>
  <c r="G54" i="7"/>
  <c r="H54" i="7" s="1"/>
  <c r="I54" i="7" s="1"/>
  <c r="J54" i="7" s="1"/>
  <c r="C26" i="7"/>
  <c r="E26" i="7" s="1"/>
  <c r="F26" i="7" s="1"/>
  <c r="C12" i="7"/>
  <c r="E12" i="7" s="1"/>
  <c r="F12" i="7" s="1"/>
  <c r="F11" i="7"/>
  <c r="Z40" i="7"/>
  <c r="G52" i="7"/>
  <c r="H52" i="7" s="1"/>
  <c r="I52" i="7" s="1"/>
  <c r="J52" i="7" s="1"/>
  <c r="K52" i="7" s="1"/>
  <c r="AD59" i="7"/>
  <c r="AE59" i="7" s="1"/>
  <c r="AF59" i="7" s="1"/>
  <c r="AG59" i="7" s="1"/>
  <c r="AJ46" i="7"/>
  <c r="X101" i="7"/>
  <c r="Y101" i="7" s="1"/>
  <c r="Z101" i="7" s="1"/>
  <c r="AA101" i="7" s="1"/>
  <c r="AJ177" i="7"/>
  <c r="E56" i="7"/>
  <c r="F56" i="7" s="1"/>
  <c r="E48" i="7"/>
  <c r="F48" i="7" s="1"/>
  <c r="X53" i="7"/>
  <c r="Y53" i="7" s="1"/>
  <c r="Z53" i="7" s="1"/>
  <c r="X45" i="7"/>
  <c r="Y45" i="7" s="1"/>
  <c r="Z45" i="7" s="1"/>
  <c r="AA45" i="7" s="1"/>
  <c r="C115" i="7"/>
  <c r="E115" i="7" s="1"/>
  <c r="F115" i="7" s="1"/>
  <c r="C107" i="7"/>
  <c r="E107" i="7" s="1"/>
  <c r="F107" i="7" s="1"/>
  <c r="G119" i="7"/>
  <c r="H119" i="7" s="1"/>
  <c r="I119" i="7" s="1"/>
  <c r="J119" i="7" s="1"/>
  <c r="G111" i="7"/>
  <c r="H111" i="7" s="1"/>
  <c r="I111" i="7" s="1"/>
  <c r="J111" i="7" s="1"/>
  <c r="K111" i="7" s="1"/>
  <c r="G103" i="7"/>
  <c r="H103" i="7" s="1"/>
  <c r="I103" i="7" s="1"/>
  <c r="J103" i="7" s="1"/>
  <c r="K103" i="7" s="1"/>
  <c r="C160" i="7"/>
  <c r="G160" i="7"/>
  <c r="H160" i="7" s="1"/>
  <c r="I160" i="7" s="1"/>
  <c r="J160" i="7" s="1"/>
  <c r="K160" i="7" s="1"/>
  <c r="AD160" i="7"/>
  <c r="AJ160" i="7"/>
  <c r="C172" i="7"/>
  <c r="E172" i="7" s="1"/>
  <c r="F172" i="7" s="1"/>
  <c r="G172" i="7"/>
  <c r="H172" i="7" s="1"/>
  <c r="I172" i="7" s="1"/>
  <c r="J172" i="7" s="1"/>
  <c r="K172" i="7" s="1"/>
  <c r="AD172" i="7"/>
  <c r="AE172" i="7" s="1"/>
  <c r="AF172" i="7" s="1"/>
  <c r="AG172" i="7" s="1"/>
  <c r="AJ172" i="7"/>
  <c r="AJ164" i="7"/>
  <c r="AJ238" i="7"/>
  <c r="AD230" i="7"/>
  <c r="AE230" i="7" s="1"/>
  <c r="AF230" i="7" s="1"/>
  <c r="AG230" i="7" s="1"/>
  <c r="G222" i="7"/>
  <c r="H222" i="7" s="1"/>
  <c r="I222" i="7" s="1"/>
  <c r="J222" i="7" s="1"/>
  <c r="K222" i="7" s="1"/>
  <c r="E47" i="7"/>
  <c r="F47" i="7" s="1"/>
  <c r="X52" i="7"/>
  <c r="Y52" i="7" s="1"/>
  <c r="Z52" i="7" s="1"/>
  <c r="AA52" i="7" s="1"/>
  <c r="X44" i="7"/>
  <c r="Y44" i="7" s="1"/>
  <c r="Z44" i="7" s="1"/>
  <c r="C114" i="7"/>
  <c r="E114" i="7" s="1"/>
  <c r="F114" i="7" s="1"/>
  <c r="C106" i="7"/>
  <c r="E106" i="7" s="1"/>
  <c r="F106" i="7" s="1"/>
  <c r="G118" i="7"/>
  <c r="H118" i="7" s="1"/>
  <c r="I118" i="7" s="1"/>
  <c r="J118" i="7" s="1"/>
  <c r="G110" i="7"/>
  <c r="H110" i="7" s="1"/>
  <c r="I110" i="7" s="1"/>
  <c r="J110" i="7" s="1"/>
  <c r="G102" i="7"/>
  <c r="H102" i="7" s="1"/>
  <c r="I102" i="7" s="1"/>
  <c r="J102" i="7" s="1"/>
  <c r="K102" i="7" s="1"/>
  <c r="X115" i="7"/>
  <c r="Y115" i="7" s="1"/>
  <c r="Z115" i="7" s="1"/>
  <c r="X107" i="7"/>
  <c r="Y107" i="7" s="1"/>
  <c r="Z107" i="7" s="1"/>
  <c r="C179" i="7"/>
  <c r="E179" i="7" s="1"/>
  <c r="F179" i="7" s="1"/>
  <c r="AD179" i="7"/>
  <c r="AE179" i="7" s="1"/>
  <c r="AF179" i="7" s="1"/>
  <c r="AG179" i="7" s="1"/>
  <c r="AJ179" i="7"/>
  <c r="X179" i="7"/>
  <c r="Y179" i="7" s="1"/>
  <c r="Z179" i="7" s="1"/>
  <c r="AA179" i="7" s="1"/>
  <c r="G179" i="7"/>
  <c r="H179" i="7" s="1"/>
  <c r="I179" i="7" s="1"/>
  <c r="J179" i="7" s="1"/>
  <c r="K179" i="7" s="1"/>
  <c r="C171" i="7"/>
  <c r="E171" i="7" s="1"/>
  <c r="F171" i="7" s="1"/>
  <c r="AD171" i="7"/>
  <c r="AE171" i="7" s="1"/>
  <c r="AF171" i="7" s="1"/>
  <c r="AG171" i="7" s="1"/>
  <c r="AJ171" i="7"/>
  <c r="X171" i="7"/>
  <c r="Y171" i="7" s="1"/>
  <c r="Z171" i="7" s="1"/>
  <c r="G171" i="7"/>
  <c r="H171" i="7" s="1"/>
  <c r="I171" i="7" s="1"/>
  <c r="J171" i="7" s="1"/>
  <c r="K171" i="7" s="1"/>
  <c r="AJ163" i="7"/>
  <c r="AJ237" i="7"/>
  <c r="X221" i="7"/>
  <c r="Y221" i="7" s="1"/>
  <c r="Z221" i="7" s="1"/>
  <c r="AA221" i="7" s="1"/>
  <c r="X260" i="7"/>
  <c r="Y260" i="7" s="1"/>
  <c r="Z260" i="7" s="1"/>
  <c r="AA260" i="7" s="1"/>
  <c r="E46" i="7"/>
  <c r="F46" i="7" s="1"/>
  <c r="AD56" i="7"/>
  <c r="AE56" i="7" s="1"/>
  <c r="AF56" i="7" s="1"/>
  <c r="AG56" i="7" s="1"/>
  <c r="AD48" i="7"/>
  <c r="AE48" i="7" s="1"/>
  <c r="AF48" i="7" s="1"/>
  <c r="AG48" i="7" s="1"/>
  <c r="C113" i="7"/>
  <c r="E113" i="7" s="1"/>
  <c r="F113" i="7" s="1"/>
  <c r="C105" i="7"/>
  <c r="E105" i="7" s="1"/>
  <c r="F105" i="7" s="1"/>
  <c r="X114" i="7"/>
  <c r="Y114" i="7" s="1"/>
  <c r="Z114" i="7" s="1"/>
  <c r="AA114" i="7" s="1"/>
  <c r="X106" i="7"/>
  <c r="Y106" i="7" s="1"/>
  <c r="Z106" i="7" s="1"/>
  <c r="AA106" i="7" s="1"/>
  <c r="AJ115" i="7"/>
  <c r="AJ107" i="7"/>
  <c r="C178" i="7"/>
  <c r="E178" i="7" s="1"/>
  <c r="F178" i="7" s="1"/>
  <c r="AJ178" i="7"/>
  <c r="X178" i="7"/>
  <c r="Y178" i="7" s="1"/>
  <c r="Z178" i="7" s="1"/>
  <c r="AA178" i="7" s="1"/>
  <c r="AD178" i="7"/>
  <c r="AE178" i="7" s="1"/>
  <c r="AF178" i="7" s="1"/>
  <c r="AG178" i="7" s="1"/>
  <c r="C170" i="7"/>
  <c r="E170" i="7" s="1"/>
  <c r="F170" i="7" s="1"/>
  <c r="AJ170" i="7"/>
  <c r="X170" i="7"/>
  <c r="Y170" i="7" s="1"/>
  <c r="Z170" i="7" s="1"/>
  <c r="AA170" i="7" s="1"/>
  <c r="AD170" i="7"/>
  <c r="AE170" i="7" s="1"/>
  <c r="AF170" i="7" s="1"/>
  <c r="AG170" i="7" s="1"/>
  <c r="C162" i="7"/>
  <c r="AJ162" i="7"/>
  <c r="X162" i="7"/>
  <c r="Y162" i="7" s="1"/>
  <c r="Z162" i="7" s="1"/>
  <c r="AD162" i="7"/>
  <c r="AE162" i="7" s="1"/>
  <c r="AF162" i="7" s="1"/>
  <c r="AG162" i="7" s="1"/>
  <c r="G162" i="7"/>
  <c r="H162" i="7" s="1"/>
  <c r="I162" i="7" s="1"/>
  <c r="J162" i="7" s="1"/>
  <c r="K162" i="7" s="1"/>
  <c r="AJ236" i="7"/>
  <c r="AD228" i="7"/>
  <c r="AE228" i="7" s="1"/>
  <c r="AF228" i="7" s="1"/>
  <c r="AG228" i="7" s="1"/>
  <c r="E53" i="7"/>
  <c r="F53" i="7" s="1"/>
  <c r="G56" i="7"/>
  <c r="H56" i="7" s="1"/>
  <c r="I56" i="7" s="1"/>
  <c r="J56" i="7" s="1"/>
  <c r="K56" i="7" s="1"/>
  <c r="G48" i="7"/>
  <c r="H48" i="7" s="1"/>
  <c r="I48" i="7" s="1"/>
  <c r="J48" i="7" s="1"/>
  <c r="K48" i="7" s="1"/>
  <c r="AP48" i="7" s="1"/>
  <c r="AD55" i="7"/>
  <c r="AE55" i="7" s="1"/>
  <c r="AF55" i="7" s="1"/>
  <c r="AG55" i="7" s="1"/>
  <c r="AD47" i="7"/>
  <c r="AE47" i="7" s="1"/>
  <c r="AF47" i="7" s="1"/>
  <c r="AG47" i="7" s="1"/>
  <c r="C100" i="7"/>
  <c r="E100" i="7" s="1"/>
  <c r="C112" i="7"/>
  <c r="E112" i="7" s="1"/>
  <c r="F112" i="7" s="1"/>
  <c r="C104" i="7"/>
  <c r="E104" i="7" s="1"/>
  <c r="F104" i="7" s="1"/>
  <c r="X113" i="7"/>
  <c r="Y113" i="7" s="1"/>
  <c r="Z113" i="7" s="1"/>
  <c r="X105" i="7"/>
  <c r="Y105" i="7" s="1"/>
  <c r="Z105" i="7" s="1"/>
  <c r="AJ114" i="7"/>
  <c r="AJ106" i="7"/>
  <c r="C177" i="7"/>
  <c r="E177" i="7" s="1"/>
  <c r="F177" i="7" s="1"/>
  <c r="C169" i="7"/>
  <c r="E169" i="7" s="1"/>
  <c r="F169" i="7" s="1"/>
  <c r="X160" i="7"/>
  <c r="AD177" i="7"/>
  <c r="AE177" i="7" s="1"/>
  <c r="AF177" i="7" s="1"/>
  <c r="AG177" i="7" s="1"/>
  <c r="C206" i="7"/>
  <c r="E206" i="7" s="1"/>
  <c r="F206" i="7" s="1"/>
  <c r="AD206" i="7"/>
  <c r="AE206" i="7" s="1"/>
  <c r="AF206" i="7" s="1"/>
  <c r="AG206" i="7" s="1"/>
  <c r="G206" i="7"/>
  <c r="H206" i="7" s="1"/>
  <c r="I206" i="7" s="1"/>
  <c r="J206" i="7" s="1"/>
  <c r="AJ206" i="7"/>
  <c r="X206" i="7"/>
  <c r="Y206" i="7" s="1"/>
  <c r="Z206" i="7" s="1"/>
  <c r="AA206" i="7" s="1"/>
  <c r="G41" i="7"/>
  <c r="H41" i="7" s="1"/>
  <c r="E44" i="7"/>
  <c r="F44" i="7" s="1"/>
  <c r="G55" i="7"/>
  <c r="H55" i="7" s="1"/>
  <c r="G47" i="7"/>
  <c r="H47" i="7" s="1"/>
  <c r="I47" i="7" s="1"/>
  <c r="J47" i="7" s="1"/>
  <c r="X41" i="7"/>
  <c r="Y41" i="7" s="1"/>
  <c r="Z41" i="7" s="1"/>
  <c r="AD54" i="7"/>
  <c r="AE54" i="7" s="1"/>
  <c r="AF54" i="7" s="1"/>
  <c r="AG54" i="7" s="1"/>
  <c r="AD46" i="7"/>
  <c r="AE46" i="7" s="1"/>
  <c r="AF46" i="7" s="1"/>
  <c r="AG46" i="7" s="1"/>
  <c r="AJ41" i="7"/>
  <c r="C119" i="7"/>
  <c r="E119" i="7" s="1"/>
  <c r="F119" i="7" s="1"/>
  <c r="C111" i="7"/>
  <c r="E111" i="7" s="1"/>
  <c r="F111" i="7" s="1"/>
  <c r="C103" i="7"/>
  <c r="E103" i="7" s="1"/>
  <c r="F103" i="7" s="1"/>
  <c r="G115" i="7"/>
  <c r="H115" i="7" s="1"/>
  <c r="I115" i="7" s="1"/>
  <c r="J115" i="7" s="1"/>
  <c r="G107" i="7"/>
  <c r="H107" i="7" s="1"/>
  <c r="I107" i="7" s="1"/>
  <c r="J107" i="7" s="1"/>
  <c r="X100" i="7"/>
  <c r="X112" i="7"/>
  <c r="Y112" i="7" s="1"/>
  <c r="Z112" i="7" s="1"/>
  <c r="AA112" i="7" s="1"/>
  <c r="X104" i="7"/>
  <c r="Y104" i="7" s="1"/>
  <c r="Z104" i="7" s="1"/>
  <c r="AJ113" i="7"/>
  <c r="AJ105" i="7"/>
  <c r="C176" i="7"/>
  <c r="E176" i="7" s="1"/>
  <c r="F176" i="7" s="1"/>
  <c r="AJ176" i="7"/>
  <c r="X176" i="7"/>
  <c r="Y176" i="7" s="1"/>
  <c r="Z176" i="7" s="1"/>
  <c r="G176" i="7"/>
  <c r="H176" i="7" s="1"/>
  <c r="I176" i="7" s="1"/>
  <c r="J176" i="7" s="1"/>
  <c r="C168" i="7"/>
  <c r="E168" i="7" s="1"/>
  <c r="F168" i="7" s="1"/>
  <c r="X177" i="7"/>
  <c r="Y177" i="7" s="1"/>
  <c r="Z177" i="7" s="1"/>
  <c r="AD176" i="7"/>
  <c r="AE176" i="7" s="1"/>
  <c r="AF176" i="7" s="1"/>
  <c r="AG176" i="7" s="1"/>
  <c r="AD41" i="7"/>
  <c r="AE41" i="7" s="1"/>
  <c r="AF41" i="7" s="1"/>
  <c r="AG41" i="7" s="1"/>
  <c r="AD53" i="7"/>
  <c r="AE53" i="7" s="1"/>
  <c r="AF53" i="7" s="1"/>
  <c r="AG53" i="7" s="1"/>
  <c r="AD45" i="7"/>
  <c r="AE45" i="7" s="1"/>
  <c r="AF45" i="7" s="1"/>
  <c r="AG45" i="7" s="1"/>
  <c r="AJ56" i="7"/>
  <c r="AJ48" i="7"/>
  <c r="C118" i="7"/>
  <c r="E118" i="7" s="1"/>
  <c r="F118" i="7" s="1"/>
  <c r="C110" i="7"/>
  <c r="E110" i="7" s="1"/>
  <c r="F110" i="7" s="1"/>
  <c r="C102" i="7"/>
  <c r="E102" i="7" s="1"/>
  <c r="F102" i="7" s="1"/>
  <c r="G114" i="7"/>
  <c r="H114" i="7" s="1"/>
  <c r="I114" i="7" s="1"/>
  <c r="J114" i="7" s="1"/>
  <c r="G106" i="7"/>
  <c r="H106" i="7" s="1"/>
  <c r="I106" i="7" s="1"/>
  <c r="J106" i="7" s="1"/>
  <c r="X119" i="7"/>
  <c r="Y119" i="7" s="1"/>
  <c r="Z119" i="7" s="1"/>
  <c r="X111" i="7"/>
  <c r="Y111" i="7" s="1"/>
  <c r="Z111" i="7" s="1"/>
  <c r="X103" i="7"/>
  <c r="Y103" i="7" s="1"/>
  <c r="Z103" i="7" s="1"/>
  <c r="AA103" i="7" s="1"/>
  <c r="AD115" i="7"/>
  <c r="AE115" i="7" s="1"/>
  <c r="AF115" i="7" s="1"/>
  <c r="AG115" i="7" s="1"/>
  <c r="AD107" i="7"/>
  <c r="AE107" i="7" s="1"/>
  <c r="AF107" i="7" s="1"/>
  <c r="AG107" i="7" s="1"/>
  <c r="AJ100" i="7"/>
  <c r="AJ112" i="7"/>
  <c r="AJ104" i="7"/>
  <c r="C175" i="7"/>
  <c r="E175" i="7" s="1"/>
  <c r="F175" i="7" s="1"/>
  <c r="AJ175" i="7"/>
  <c r="X175" i="7"/>
  <c r="Y175" i="7" s="1"/>
  <c r="Z175" i="7" s="1"/>
  <c r="AA175" i="7" s="1"/>
  <c r="G175" i="7"/>
  <c r="H175" i="7" s="1"/>
  <c r="I175" i="7" s="1"/>
  <c r="J175" i="7" s="1"/>
  <c r="K175" i="7" s="1"/>
  <c r="AD175" i="7"/>
  <c r="AE175" i="7" s="1"/>
  <c r="AF175" i="7" s="1"/>
  <c r="AG175" i="7" s="1"/>
  <c r="G177" i="7"/>
  <c r="H177" i="7" s="1"/>
  <c r="I177" i="7" s="1"/>
  <c r="J177" i="7" s="1"/>
  <c r="C167" i="7"/>
  <c r="E167" i="7" s="1"/>
  <c r="F167" i="7" s="1"/>
  <c r="G163" i="7"/>
  <c r="H163" i="7" s="1"/>
  <c r="I163" i="7" s="1"/>
  <c r="J163" i="7" s="1"/>
  <c r="G203" i="7"/>
  <c r="H203" i="7" s="1"/>
  <c r="I203" i="7" s="1"/>
  <c r="J203" i="7" s="1"/>
  <c r="X207" i="7"/>
  <c r="Y207" i="7" s="1"/>
  <c r="Z207" i="7" s="1"/>
  <c r="AA207" i="7" s="1"/>
  <c r="X199" i="7"/>
  <c r="Y199" i="7" s="1"/>
  <c r="Z199" i="7" s="1"/>
  <c r="X191" i="7"/>
  <c r="Y191" i="7" s="1"/>
  <c r="Z191" i="7" s="1"/>
  <c r="AD203" i="7"/>
  <c r="AE203" i="7" s="1"/>
  <c r="AF203" i="7" s="1"/>
  <c r="AG203" i="7" s="1"/>
  <c r="AJ207" i="7"/>
  <c r="G202" i="7"/>
  <c r="H202" i="7" s="1"/>
  <c r="I202" i="7" s="1"/>
  <c r="G194" i="7"/>
  <c r="H194" i="7" s="1"/>
  <c r="I194" i="7" s="1"/>
  <c r="X198" i="7"/>
  <c r="Y198" i="7" s="1"/>
  <c r="Z198" i="7" s="1"/>
  <c r="AD202" i="7"/>
  <c r="AE202" i="7" s="1"/>
  <c r="AF202" i="7" s="1"/>
  <c r="AG202" i="7" s="1"/>
  <c r="AJ197" i="7"/>
  <c r="C234" i="7"/>
  <c r="E234" i="7" s="1"/>
  <c r="F234" i="7" s="1"/>
  <c r="AJ234" i="7"/>
  <c r="C226" i="7"/>
  <c r="E226" i="7" s="1"/>
  <c r="F226" i="7" s="1"/>
  <c r="AJ226" i="7"/>
  <c r="G236" i="7"/>
  <c r="H236" i="7" s="1"/>
  <c r="I236" i="7" s="1"/>
  <c r="J236" i="7" s="1"/>
  <c r="G226" i="7"/>
  <c r="H226" i="7" s="1"/>
  <c r="I226" i="7" s="1"/>
  <c r="J226" i="7" s="1"/>
  <c r="X236" i="7"/>
  <c r="Y236" i="7" s="1"/>
  <c r="Z236" i="7" s="1"/>
  <c r="AA236" i="7" s="1"/>
  <c r="X224" i="7"/>
  <c r="Y224" i="7" s="1"/>
  <c r="Z224" i="7" s="1"/>
  <c r="AD234" i="7"/>
  <c r="AE234" i="7" s="1"/>
  <c r="AF234" i="7" s="1"/>
  <c r="AG234" i="7" s="1"/>
  <c r="AJ221" i="7"/>
  <c r="AD168" i="7"/>
  <c r="AE168" i="7" s="1"/>
  <c r="AF168" i="7" s="1"/>
  <c r="AG168" i="7" s="1"/>
  <c r="G209" i="7"/>
  <c r="H209" i="7" s="1"/>
  <c r="I209" i="7" s="1"/>
  <c r="J209" i="7" s="1"/>
  <c r="G201" i="7"/>
  <c r="H201" i="7" s="1"/>
  <c r="I201" i="7" s="1"/>
  <c r="J201" i="7" s="1"/>
  <c r="K201" i="7" s="1"/>
  <c r="AP201" i="7" s="1"/>
  <c r="G193" i="7"/>
  <c r="H193" i="7" s="1"/>
  <c r="I193" i="7" s="1"/>
  <c r="J193" i="7" s="1"/>
  <c r="K193" i="7" s="1"/>
  <c r="AP193" i="7" s="1"/>
  <c r="X205" i="7"/>
  <c r="Y205" i="7" s="1"/>
  <c r="Z205" i="7" s="1"/>
  <c r="AA205" i="7" s="1"/>
  <c r="X197" i="7"/>
  <c r="Y197" i="7" s="1"/>
  <c r="Z197" i="7" s="1"/>
  <c r="AD209" i="7"/>
  <c r="AE209" i="7" s="1"/>
  <c r="AF209" i="7" s="1"/>
  <c r="AG209" i="7" s="1"/>
  <c r="AD201" i="7"/>
  <c r="AE201" i="7" s="1"/>
  <c r="AF201" i="7" s="1"/>
  <c r="AG201" i="7" s="1"/>
  <c r="AD193" i="7"/>
  <c r="AE193" i="7" s="1"/>
  <c r="AF193" i="7" s="1"/>
  <c r="AG193" i="7" s="1"/>
  <c r="AJ205" i="7"/>
  <c r="AJ196" i="7"/>
  <c r="X234" i="7"/>
  <c r="Y234" i="7" s="1"/>
  <c r="Z234" i="7" s="1"/>
  <c r="AA234" i="7" s="1"/>
  <c r="AD222" i="7"/>
  <c r="AE222" i="7" s="1"/>
  <c r="AF222" i="7" s="1"/>
  <c r="AG222" i="7" s="1"/>
  <c r="AJ230" i="7"/>
  <c r="G256" i="7"/>
  <c r="H256" i="7" s="1"/>
  <c r="I256" i="7" s="1"/>
  <c r="J256" i="7" s="1"/>
  <c r="K256" i="7" s="1"/>
  <c r="C164" i="7"/>
  <c r="E164" i="7" s="1"/>
  <c r="F164" i="7" s="1"/>
  <c r="G168" i="7"/>
  <c r="H168" i="7" s="1"/>
  <c r="I168" i="7" s="1"/>
  <c r="J168" i="7" s="1"/>
  <c r="X163" i="7"/>
  <c r="Y163" i="7" s="1"/>
  <c r="Z163" i="7" s="1"/>
  <c r="AD167" i="7"/>
  <c r="AE167" i="7" s="1"/>
  <c r="AF167" i="7" s="1"/>
  <c r="AG167" i="7" s="1"/>
  <c r="X204" i="7"/>
  <c r="Y204" i="7" s="1"/>
  <c r="Z204" i="7" s="1"/>
  <c r="X196" i="7"/>
  <c r="Y196" i="7" s="1"/>
  <c r="Z196" i="7" s="1"/>
  <c r="AA196" i="7" s="1"/>
  <c r="AJ204" i="7"/>
  <c r="AJ220" i="7"/>
  <c r="C220" i="7"/>
  <c r="E220" i="7" s="1"/>
  <c r="F220" i="7" s="1"/>
  <c r="C232" i="7"/>
  <c r="E232" i="7" s="1"/>
  <c r="F232" i="7" s="1"/>
  <c r="AJ232" i="7"/>
  <c r="C224" i="7"/>
  <c r="E224" i="7" s="1"/>
  <c r="F224" i="7" s="1"/>
  <c r="AJ224" i="7"/>
  <c r="G224" i="7"/>
  <c r="H224" i="7" s="1"/>
  <c r="I224" i="7" s="1"/>
  <c r="J224" i="7" s="1"/>
  <c r="K224" i="7" s="1"/>
  <c r="X232" i="7"/>
  <c r="Y232" i="7" s="1"/>
  <c r="Z232" i="7" s="1"/>
  <c r="AD232" i="7"/>
  <c r="AE232" i="7" s="1"/>
  <c r="AF232" i="7" s="1"/>
  <c r="AG232" i="7" s="1"/>
  <c r="C263" i="7"/>
  <c r="E263" i="7" s="1"/>
  <c r="F263" i="7" s="1"/>
  <c r="AD263" i="7"/>
  <c r="AE263" i="7" s="1"/>
  <c r="AF263" i="7" s="1"/>
  <c r="AG263" i="7" s="1"/>
  <c r="G263" i="7"/>
  <c r="H263" i="7" s="1"/>
  <c r="I263" i="7" s="1"/>
  <c r="J263" i="7" s="1"/>
  <c r="C255" i="7"/>
  <c r="E255" i="7" s="1"/>
  <c r="F255" i="7" s="1"/>
  <c r="AD255" i="7"/>
  <c r="AE255" i="7" s="1"/>
  <c r="AF255" i="7" s="1"/>
  <c r="AG255" i="7" s="1"/>
  <c r="G255" i="7"/>
  <c r="H255" i="7" s="1"/>
  <c r="I255" i="7" s="1"/>
  <c r="J255" i="7" s="1"/>
  <c r="K255" i="7" s="1"/>
  <c r="X255" i="7"/>
  <c r="Y255" i="7" s="1"/>
  <c r="Z255" i="7" s="1"/>
  <c r="AA255" i="7" s="1"/>
  <c r="AJ255" i="7"/>
  <c r="C163" i="7"/>
  <c r="G167" i="7"/>
  <c r="H167" i="7" s="1"/>
  <c r="I167" i="7" s="1"/>
  <c r="J167" i="7" s="1"/>
  <c r="K167" i="7" s="1"/>
  <c r="G207" i="7"/>
  <c r="H207" i="7" s="1"/>
  <c r="I207" i="7" s="1"/>
  <c r="J207" i="7" s="1"/>
  <c r="K207" i="7" s="1"/>
  <c r="AP207" i="7" s="1"/>
  <c r="G199" i="7"/>
  <c r="H199" i="7" s="1"/>
  <c r="I199" i="7" s="1"/>
  <c r="J199" i="7" s="1"/>
  <c r="K199" i="7" s="1"/>
  <c r="AP199" i="7" s="1"/>
  <c r="G191" i="7"/>
  <c r="H191" i="7" s="1"/>
  <c r="I191" i="7" s="1"/>
  <c r="J191" i="7" s="1"/>
  <c r="X203" i="7"/>
  <c r="Y203" i="7" s="1"/>
  <c r="Z203" i="7" s="1"/>
  <c r="AA203" i="7" s="1"/>
  <c r="X195" i="7"/>
  <c r="Y195" i="7" s="1"/>
  <c r="Z195" i="7" s="1"/>
  <c r="AA195" i="7" s="1"/>
  <c r="AD207" i="7"/>
  <c r="AE207" i="7" s="1"/>
  <c r="AF207" i="7" s="1"/>
  <c r="AG207" i="7" s="1"/>
  <c r="AD199" i="7"/>
  <c r="AE199" i="7" s="1"/>
  <c r="AF199" i="7" s="1"/>
  <c r="AG199" i="7" s="1"/>
  <c r="AD191" i="7"/>
  <c r="AE191" i="7" s="1"/>
  <c r="AF191" i="7" s="1"/>
  <c r="AG191" i="7" s="1"/>
  <c r="AJ203" i="7"/>
  <c r="AJ193" i="7"/>
  <c r="AD239" i="7"/>
  <c r="AE239" i="7" s="1"/>
  <c r="AF239" i="7" s="1"/>
  <c r="AG239" i="7" s="1"/>
  <c r="G239" i="7"/>
  <c r="H239" i="7" s="1"/>
  <c r="I239" i="7" s="1"/>
  <c r="J239" i="7" s="1"/>
  <c r="C239" i="7"/>
  <c r="E239" i="7" s="1"/>
  <c r="F239" i="7" s="1"/>
  <c r="C231" i="7"/>
  <c r="E231" i="7" s="1"/>
  <c r="F231" i="7" s="1"/>
  <c r="AD231" i="7"/>
  <c r="AE231" i="7" s="1"/>
  <c r="AF231" i="7" s="1"/>
  <c r="AG231" i="7" s="1"/>
  <c r="G231" i="7"/>
  <c r="H231" i="7" s="1"/>
  <c r="C223" i="7"/>
  <c r="E223" i="7" s="1"/>
  <c r="F223" i="7" s="1"/>
  <c r="AD223" i="7"/>
  <c r="AE223" i="7" s="1"/>
  <c r="AF223" i="7" s="1"/>
  <c r="AG223" i="7" s="1"/>
  <c r="G223" i="7"/>
  <c r="H223" i="7" s="1"/>
  <c r="I223" i="7" s="1"/>
  <c r="J223" i="7" s="1"/>
  <c r="K223" i="7" s="1"/>
  <c r="X231" i="7"/>
  <c r="Y231" i="7" s="1"/>
  <c r="Z231" i="7" s="1"/>
  <c r="AA231" i="7" s="1"/>
  <c r="AJ228" i="7"/>
  <c r="AD250" i="7"/>
  <c r="C250" i="7"/>
  <c r="E250" i="7" s="1"/>
  <c r="F250" i="7" s="1"/>
  <c r="X250" i="7"/>
  <c r="AJ250" i="7"/>
  <c r="G250" i="7"/>
  <c r="H250" i="7" s="1"/>
  <c r="I250" i="7" s="1"/>
  <c r="J250" i="7" s="1"/>
  <c r="K250" i="7" s="1"/>
  <c r="C262" i="7"/>
  <c r="E262" i="7" s="1"/>
  <c r="F262" i="7" s="1"/>
  <c r="AD262" i="7"/>
  <c r="AE262" i="7" s="1"/>
  <c r="AF262" i="7" s="1"/>
  <c r="AG262" i="7" s="1"/>
  <c r="G262" i="7"/>
  <c r="H262" i="7" s="1"/>
  <c r="I262" i="7" s="1"/>
  <c r="J262" i="7" s="1"/>
  <c r="X262" i="7"/>
  <c r="Y262" i="7" s="1"/>
  <c r="Z262" i="7" s="1"/>
  <c r="AA262" i="7" s="1"/>
  <c r="C254" i="7"/>
  <c r="E254" i="7" s="1"/>
  <c r="F254" i="7" s="1"/>
  <c r="AD254" i="7"/>
  <c r="AE254" i="7" s="1"/>
  <c r="AF254" i="7" s="1"/>
  <c r="AG254" i="7" s="1"/>
  <c r="G254" i="7"/>
  <c r="H254" i="7" s="1"/>
  <c r="I254" i="7" s="1"/>
  <c r="J254" i="7" s="1"/>
  <c r="K254" i="7" s="1"/>
  <c r="X254" i="7"/>
  <c r="Y254" i="7" s="1"/>
  <c r="Z254" i="7" s="1"/>
  <c r="AJ254" i="7"/>
  <c r="X263" i="7"/>
  <c r="Y263" i="7" s="1"/>
  <c r="Z263" i="7" s="1"/>
  <c r="AA263" i="7" s="1"/>
  <c r="C194" i="7"/>
  <c r="E194" i="7" s="1"/>
  <c r="F194" i="7" s="1"/>
  <c r="AJ194" i="7"/>
  <c r="G198" i="7"/>
  <c r="H198" i="7" s="1"/>
  <c r="I198" i="7" s="1"/>
  <c r="X202" i="7"/>
  <c r="Y202" i="7" s="1"/>
  <c r="Z202" i="7" s="1"/>
  <c r="X194" i="7"/>
  <c r="Y194" i="7" s="1"/>
  <c r="Z194" i="7" s="1"/>
  <c r="AD198" i="7"/>
  <c r="AE198" i="7" s="1"/>
  <c r="AF198" i="7" s="1"/>
  <c r="AG198" i="7" s="1"/>
  <c r="AJ202" i="7"/>
  <c r="AJ191" i="7"/>
  <c r="C238" i="7"/>
  <c r="E238" i="7" s="1"/>
  <c r="F238" i="7" s="1"/>
  <c r="C230" i="7"/>
  <c r="E230" i="7" s="1"/>
  <c r="F230" i="7" s="1"/>
  <c r="C222" i="7"/>
  <c r="E222" i="7" s="1"/>
  <c r="F222" i="7" s="1"/>
  <c r="G232" i="7"/>
  <c r="H232" i="7" s="1"/>
  <c r="X220" i="7"/>
  <c r="X230" i="7"/>
  <c r="Y230" i="7" s="1"/>
  <c r="Z230" i="7" s="1"/>
  <c r="AD220" i="7"/>
  <c r="G161" i="7"/>
  <c r="H161" i="7" s="1"/>
  <c r="I161" i="7" s="1"/>
  <c r="J161" i="7" s="1"/>
  <c r="C161" i="7"/>
  <c r="X168" i="7"/>
  <c r="Y168" i="7" s="1"/>
  <c r="Z168" i="7" s="1"/>
  <c r="AA168" i="7" s="1"/>
  <c r="AD164" i="7"/>
  <c r="AE164" i="7" s="1"/>
  <c r="AF164" i="7" s="1"/>
  <c r="AG164" i="7" s="1"/>
  <c r="AJ168" i="7"/>
  <c r="G205" i="7"/>
  <c r="H205" i="7" s="1"/>
  <c r="I205" i="7" s="1"/>
  <c r="J205" i="7" s="1"/>
  <c r="K205" i="7" s="1"/>
  <c r="AP205" i="7" s="1"/>
  <c r="G197" i="7"/>
  <c r="H197" i="7" s="1"/>
  <c r="I197" i="7" s="1"/>
  <c r="J197" i="7" s="1"/>
  <c r="X209" i="7"/>
  <c r="Y209" i="7" s="1"/>
  <c r="Z209" i="7" s="1"/>
  <c r="X201" i="7"/>
  <c r="Y201" i="7" s="1"/>
  <c r="Z201" i="7" s="1"/>
  <c r="AA201" i="7" s="1"/>
  <c r="X193" i="7"/>
  <c r="Y193" i="7" s="1"/>
  <c r="Z193" i="7" s="1"/>
  <c r="AA193" i="7" s="1"/>
  <c r="AD205" i="7"/>
  <c r="AE205" i="7" s="1"/>
  <c r="AF205" i="7" s="1"/>
  <c r="AG205" i="7" s="1"/>
  <c r="AD197" i="7"/>
  <c r="AE197" i="7" s="1"/>
  <c r="AF197" i="7" s="1"/>
  <c r="AG197" i="7" s="1"/>
  <c r="AJ209" i="7"/>
  <c r="AJ201" i="7"/>
  <c r="C237" i="7"/>
  <c r="E237" i="7" s="1"/>
  <c r="F237" i="7" s="1"/>
  <c r="AD237" i="7"/>
  <c r="AE237" i="7" s="1"/>
  <c r="AF237" i="7" s="1"/>
  <c r="AG237" i="7" s="1"/>
  <c r="G237" i="7"/>
  <c r="H237" i="7" s="1"/>
  <c r="I237" i="7" s="1"/>
  <c r="J237" i="7" s="1"/>
  <c r="K237" i="7" s="1"/>
  <c r="C229" i="7"/>
  <c r="E229" i="7" s="1"/>
  <c r="F229" i="7" s="1"/>
  <c r="AD229" i="7"/>
  <c r="AE229" i="7" s="1"/>
  <c r="AF229" i="7" s="1"/>
  <c r="AG229" i="7" s="1"/>
  <c r="G229" i="7"/>
  <c r="H229" i="7" s="1"/>
  <c r="I229" i="7" s="1"/>
  <c r="J229" i="7" s="1"/>
  <c r="C221" i="7"/>
  <c r="E221" i="7" s="1"/>
  <c r="F221" i="7" s="1"/>
  <c r="AD221" i="7"/>
  <c r="AE221" i="7" s="1"/>
  <c r="AF221" i="7" s="1"/>
  <c r="AG221" i="7" s="1"/>
  <c r="G221" i="7"/>
  <c r="H221" i="7" s="1"/>
  <c r="I221" i="7" s="1"/>
  <c r="J221" i="7" s="1"/>
  <c r="K221" i="7" s="1"/>
  <c r="AP221" i="7" s="1"/>
  <c r="AV221" i="7" s="1"/>
  <c r="G230" i="7"/>
  <c r="H230" i="7" s="1"/>
  <c r="I230" i="7" s="1"/>
  <c r="X239" i="7"/>
  <c r="Y239" i="7" s="1"/>
  <c r="Z239" i="7" s="1"/>
  <c r="X229" i="7"/>
  <c r="Y229" i="7" s="1"/>
  <c r="Z229" i="7" s="1"/>
  <c r="AA229" i="7" s="1"/>
  <c r="AD238" i="7"/>
  <c r="AE238" i="7" s="1"/>
  <c r="AF238" i="7" s="1"/>
  <c r="AG238" i="7" s="1"/>
  <c r="AD268" i="7"/>
  <c r="AE268" i="7" s="1"/>
  <c r="AF268" i="7" s="1"/>
  <c r="AG268" i="7" s="1"/>
  <c r="C268" i="7"/>
  <c r="E268" i="7" s="1"/>
  <c r="F268" i="7" s="1"/>
  <c r="AJ268" i="7"/>
  <c r="G268" i="7"/>
  <c r="H268" i="7" s="1"/>
  <c r="I268" i="7" s="1"/>
  <c r="J268" i="7" s="1"/>
  <c r="K268" i="7" s="1"/>
  <c r="AD260" i="7"/>
  <c r="AE260" i="7" s="1"/>
  <c r="AF260" i="7" s="1"/>
  <c r="AG260" i="7" s="1"/>
  <c r="G260" i="7"/>
  <c r="H260" i="7" s="1"/>
  <c r="I260" i="7" s="1"/>
  <c r="J260" i="7" s="1"/>
  <c r="C260" i="7"/>
  <c r="E260" i="7" s="1"/>
  <c r="F260" i="7" s="1"/>
  <c r="AJ260" i="7"/>
  <c r="AD252" i="7"/>
  <c r="AE252" i="7" s="1"/>
  <c r="AF252" i="7" s="1"/>
  <c r="AG252" i="7" s="1"/>
  <c r="G252" i="7"/>
  <c r="H252" i="7" s="1"/>
  <c r="I252" i="7" s="1"/>
  <c r="C252" i="7"/>
  <c r="E252" i="7" s="1"/>
  <c r="F252" i="7" s="1"/>
  <c r="X252" i="7"/>
  <c r="Y252" i="7" s="1"/>
  <c r="Z252" i="7" s="1"/>
  <c r="AJ252" i="7"/>
  <c r="G164" i="7"/>
  <c r="H164" i="7" s="1"/>
  <c r="I164" i="7" s="1"/>
  <c r="X167" i="7"/>
  <c r="Y167" i="7" s="1"/>
  <c r="Z167" i="7" s="1"/>
  <c r="AA167" i="7" s="1"/>
  <c r="AD163" i="7"/>
  <c r="AE163" i="7" s="1"/>
  <c r="AF163" i="7" s="1"/>
  <c r="AG163" i="7" s="1"/>
  <c r="AJ167" i="7"/>
  <c r="C200" i="7"/>
  <c r="E200" i="7" s="1"/>
  <c r="F200" i="7" s="1"/>
  <c r="AJ200" i="7"/>
  <c r="C192" i="7"/>
  <c r="E192" i="7" s="1"/>
  <c r="F192" i="7" s="1"/>
  <c r="AJ192" i="7"/>
  <c r="G204" i="7"/>
  <c r="H204" i="7" s="1"/>
  <c r="I204" i="7" s="1"/>
  <c r="G196" i="7"/>
  <c r="H196" i="7" s="1"/>
  <c r="I196" i="7" s="1"/>
  <c r="J196" i="7" s="1"/>
  <c r="K196" i="7" s="1"/>
  <c r="AP196" i="7" s="1"/>
  <c r="AV196" i="7" s="1"/>
  <c r="X208" i="7"/>
  <c r="Y208" i="7" s="1"/>
  <c r="Z208" i="7" s="1"/>
  <c r="AA208" i="7" s="1"/>
  <c r="X200" i="7"/>
  <c r="Y200" i="7" s="1"/>
  <c r="Z200" i="7" s="1"/>
  <c r="X192" i="7"/>
  <c r="Y192" i="7" s="1"/>
  <c r="Z192" i="7" s="1"/>
  <c r="AD204" i="7"/>
  <c r="AE204" i="7" s="1"/>
  <c r="AF204" i="7" s="1"/>
  <c r="AG204" i="7" s="1"/>
  <c r="AD196" i="7"/>
  <c r="AE196" i="7" s="1"/>
  <c r="AF196" i="7" s="1"/>
  <c r="AG196" i="7" s="1"/>
  <c r="AJ208" i="7"/>
  <c r="AJ199" i="7"/>
  <c r="C236" i="7"/>
  <c r="E236" i="7" s="1"/>
  <c r="F236" i="7" s="1"/>
  <c r="C228" i="7"/>
  <c r="E228" i="7" s="1"/>
  <c r="F228" i="7" s="1"/>
  <c r="G220" i="7"/>
  <c r="H220" i="7" s="1"/>
  <c r="I220" i="7" s="1"/>
  <c r="J220" i="7" s="1"/>
  <c r="K220" i="7" s="1"/>
  <c r="AP220" i="7" s="1"/>
  <c r="G228" i="7"/>
  <c r="H228" i="7" s="1"/>
  <c r="X238" i="7"/>
  <c r="Y238" i="7" s="1"/>
  <c r="Z238" i="7" s="1"/>
  <c r="X228" i="7"/>
  <c r="Y228" i="7" s="1"/>
  <c r="Z228" i="7" s="1"/>
  <c r="AD236" i="7"/>
  <c r="AE236" i="7" s="1"/>
  <c r="AF236" i="7" s="1"/>
  <c r="AG236" i="7" s="1"/>
  <c r="AD226" i="7"/>
  <c r="AE226" i="7" s="1"/>
  <c r="AF226" i="7" s="1"/>
  <c r="AG226" i="7" s="1"/>
  <c r="AJ223" i="7"/>
  <c r="C267" i="7"/>
  <c r="E267" i="7" s="1"/>
  <c r="F267" i="7" s="1"/>
  <c r="AD259" i="7"/>
  <c r="AE259" i="7" s="1"/>
  <c r="AF259" i="7" s="1"/>
  <c r="AG259" i="7" s="1"/>
  <c r="C251" i="7"/>
  <c r="E251" i="7" s="1"/>
  <c r="F251" i="7" s="1"/>
  <c r="AD269" i="7"/>
  <c r="AE269" i="7" s="1"/>
  <c r="AF269" i="7" s="1"/>
  <c r="AG269" i="7" s="1"/>
  <c r="AJ269" i="7"/>
  <c r="X269" i="7"/>
  <c r="Y269" i="7" s="1"/>
  <c r="Z269" i="7" s="1"/>
  <c r="AD261" i="7"/>
  <c r="AE261" i="7" s="1"/>
  <c r="AF261" i="7" s="1"/>
  <c r="AG261" i="7" s="1"/>
  <c r="G261" i="7"/>
  <c r="H261" i="7" s="1"/>
  <c r="I261" i="7" s="1"/>
  <c r="J261" i="7" s="1"/>
  <c r="K261" i="7" s="1"/>
  <c r="C261" i="7"/>
  <c r="E261" i="7" s="1"/>
  <c r="F261" i="7" s="1"/>
  <c r="AJ261" i="7"/>
  <c r="X261" i="7"/>
  <c r="Y261" i="7" s="1"/>
  <c r="Z261" i="7" s="1"/>
  <c r="AD253" i="7"/>
  <c r="AE253" i="7" s="1"/>
  <c r="AF253" i="7" s="1"/>
  <c r="AG253" i="7" s="1"/>
  <c r="G253" i="7"/>
  <c r="H253" i="7" s="1"/>
  <c r="I253" i="7" s="1"/>
  <c r="J253" i="7" s="1"/>
  <c r="C253" i="7"/>
  <c r="E253" i="7" s="1"/>
  <c r="F253" i="7" s="1"/>
  <c r="AJ253" i="7"/>
  <c r="X253" i="7"/>
  <c r="Y253" i="7" s="1"/>
  <c r="Z253" i="7" s="1"/>
  <c r="C235" i="7"/>
  <c r="E235" i="7" s="1"/>
  <c r="F235" i="7" s="1"/>
  <c r="C227" i="7"/>
  <c r="E227" i="7" s="1"/>
  <c r="F227" i="7" s="1"/>
  <c r="X235" i="7"/>
  <c r="Y235" i="7" s="1"/>
  <c r="Z235" i="7" s="1"/>
  <c r="X227" i="7"/>
  <c r="Y227" i="7" s="1"/>
  <c r="Z227" i="7" s="1"/>
  <c r="AJ267" i="7"/>
  <c r="X267" i="7"/>
  <c r="Y267" i="7" s="1"/>
  <c r="Z267" i="7" s="1"/>
  <c r="AA267" i="7" s="1"/>
  <c r="AJ259" i="7"/>
  <c r="X259" i="7"/>
  <c r="Y259" i="7" s="1"/>
  <c r="Z259" i="7" s="1"/>
  <c r="AA259" i="7" s="1"/>
  <c r="AJ251" i="7"/>
  <c r="X251" i="7"/>
  <c r="Y251" i="7" s="1"/>
  <c r="Z251" i="7" s="1"/>
  <c r="AA251" i="7" s="1"/>
  <c r="AD256" i="7"/>
  <c r="AE256" i="7" s="1"/>
  <c r="AF256" i="7" s="1"/>
  <c r="AG256" i="7" s="1"/>
  <c r="C256" i="7"/>
  <c r="E256" i="7" s="1"/>
  <c r="F256" i="7" s="1"/>
  <c r="AJ266" i="7"/>
  <c r="X266" i="7"/>
  <c r="Y266" i="7" s="1"/>
  <c r="Z266" i="7" s="1"/>
  <c r="AA266" i="7" s="1"/>
  <c r="C266" i="7"/>
  <c r="E266" i="7" s="1"/>
  <c r="F266" i="7" s="1"/>
  <c r="AJ258" i="7"/>
  <c r="X258" i="7"/>
  <c r="Y258" i="7" s="1"/>
  <c r="Z258" i="7" s="1"/>
  <c r="C258" i="7"/>
  <c r="E258" i="7" s="1"/>
  <c r="F258" i="7" s="1"/>
  <c r="AD251" i="7"/>
  <c r="AE251" i="7" s="1"/>
  <c r="AF251" i="7" s="1"/>
  <c r="AG251" i="7" s="1"/>
  <c r="C233" i="7"/>
  <c r="E233" i="7" s="1"/>
  <c r="F233" i="7" s="1"/>
  <c r="C225" i="7"/>
  <c r="E225" i="7" s="1"/>
  <c r="F225" i="7" s="1"/>
  <c r="X233" i="7"/>
  <c r="Y233" i="7" s="1"/>
  <c r="Z233" i="7" s="1"/>
  <c r="AA233" i="7" s="1"/>
  <c r="X225" i="7"/>
  <c r="Y225" i="7" s="1"/>
  <c r="Z225" i="7" s="1"/>
  <c r="AA225" i="7" s="1"/>
  <c r="C265" i="7"/>
  <c r="E265" i="7" s="1"/>
  <c r="F265" i="7" s="1"/>
  <c r="AJ265" i="7"/>
  <c r="X265" i="7"/>
  <c r="Y265" i="7" s="1"/>
  <c r="Z265" i="7" s="1"/>
  <c r="AD265" i="7"/>
  <c r="AE265" i="7" s="1"/>
  <c r="AF265" i="7" s="1"/>
  <c r="AG265" i="7" s="1"/>
  <c r="G265" i="7"/>
  <c r="H265" i="7" s="1"/>
  <c r="I265" i="7" s="1"/>
  <c r="J265" i="7" s="1"/>
  <c r="K265" i="7" s="1"/>
  <c r="C257" i="7"/>
  <c r="E257" i="7" s="1"/>
  <c r="F257" i="7" s="1"/>
  <c r="AJ257" i="7"/>
  <c r="X257" i="7"/>
  <c r="Y257" i="7" s="1"/>
  <c r="Z257" i="7" s="1"/>
  <c r="AA257" i="7" s="1"/>
  <c r="AD257" i="7"/>
  <c r="AE257" i="7" s="1"/>
  <c r="AF257" i="7" s="1"/>
  <c r="AG257" i="7" s="1"/>
  <c r="G257" i="7"/>
  <c r="H257" i="7" s="1"/>
  <c r="I257" i="7" s="1"/>
  <c r="J257" i="7" s="1"/>
  <c r="K257" i="7" s="1"/>
  <c r="G269" i="7"/>
  <c r="H269" i="7" s="1"/>
  <c r="I269" i="7" s="1"/>
  <c r="J269" i="7" s="1"/>
  <c r="K269" i="7" s="1"/>
  <c r="AP269" i="7" s="1"/>
  <c r="G251" i="7"/>
  <c r="H251" i="7" s="1"/>
  <c r="AJ264" i="7"/>
  <c r="X264" i="7"/>
  <c r="Y264" i="7" s="1"/>
  <c r="Z264" i="7" s="1"/>
  <c r="AJ256" i="7"/>
  <c r="X256" i="7"/>
  <c r="Y256" i="7" s="1"/>
  <c r="Z256" i="7" s="1"/>
  <c r="AA256" i="7" s="1"/>
  <c r="AD267" i="7"/>
  <c r="AE267" i="7" s="1"/>
  <c r="AF267" i="7" s="1"/>
  <c r="AG267" i="7" s="1"/>
  <c r="C259" i="7"/>
  <c r="E259" i="7" s="1"/>
  <c r="F259" i="7" s="1"/>
  <c r="B54" i="21"/>
  <c r="B95" i="21"/>
  <c r="B68" i="21"/>
  <c r="B115" i="21"/>
  <c r="B99" i="21"/>
  <c r="B195" i="21"/>
  <c r="B114" i="21"/>
  <c r="B113" i="21" s="1"/>
  <c r="I204" i="21" s="1"/>
  <c r="B162" i="21"/>
  <c r="O295" i="13"/>
  <c r="B194" i="13"/>
  <c r="O283" i="13"/>
  <c r="B225" i="13"/>
  <c r="O292" i="13"/>
  <c r="B336" i="13"/>
  <c r="B41" i="13"/>
  <c r="Y300" i="13" s="1"/>
  <c r="N290" i="13"/>
  <c r="O290" i="13" s="1"/>
  <c r="O284" i="13"/>
  <c r="B193" i="13"/>
  <c r="B360" i="13"/>
  <c r="N289" i="13"/>
  <c r="O289" i="13" s="1"/>
  <c r="B244" i="13"/>
  <c r="N282" i="13"/>
  <c r="O282" i="13" s="1"/>
  <c r="B196" i="13"/>
  <c r="B120" i="13"/>
  <c r="B117" i="13"/>
  <c r="B179" i="13"/>
  <c r="B311" i="13"/>
  <c r="B285" i="13"/>
  <c r="B282" i="13" s="1"/>
  <c r="B253" i="13"/>
  <c r="B201" i="13"/>
  <c r="B159" i="21"/>
  <c r="B301" i="13"/>
  <c r="B228" i="13"/>
  <c r="B293" i="13"/>
  <c r="B209" i="13"/>
  <c r="B245" i="13"/>
  <c r="B271" i="13"/>
  <c r="I7" i="13"/>
  <c r="I8" i="13" s="1"/>
  <c r="B101" i="13"/>
  <c r="C151" i="13"/>
  <c r="C143" i="13"/>
  <c r="C139" i="13"/>
  <c r="N281" i="13"/>
  <c r="O281" i="13" s="1"/>
  <c r="P293" i="13"/>
  <c r="P285" i="13"/>
  <c r="AG292" i="13"/>
  <c r="AG284" i="13"/>
  <c r="C150" i="13"/>
  <c r="C142" i="13"/>
  <c r="N294" i="13"/>
  <c r="O294" i="13" s="1"/>
  <c r="N286" i="13"/>
  <c r="O286" i="13" s="1"/>
  <c r="P292" i="13"/>
  <c r="P284" i="13"/>
  <c r="P278" i="13"/>
  <c r="AG291" i="13"/>
  <c r="AG283" i="13"/>
  <c r="B107" i="13"/>
  <c r="B106" i="13" s="1"/>
  <c r="T272" i="13" s="1"/>
  <c r="C149" i="13"/>
  <c r="C141" i="13"/>
  <c r="P291" i="13"/>
  <c r="P283" i="13"/>
  <c r="AG290" i="13"/>
  <c r="AG282" i="13"/>
  <c r="C148" i="13"/>
  <c r="C140" i="13"/>
  <c r="N296" i="13"/>
  <c r="O296" i="13" s="1"/>
  <c r="N288" i="13"/>
  <c r="O288" i="13" s="1"/>
  <c r="O280" i="13"/>
  <c r="AG289" i="13"/>
  <c r="AG281" i="13"/>
  <c r="B61" i="21"/>
  <c r="O25" i="21" s="1"/>
  <c r="N25" i="21" s="1"/>
  <c r="C155" i="13"/>
  <c r="C147" i="13"/>
  <c r="C138" i="13"/>
  <c r="N293" i="13"/>
  <c r="O293" i="13" s="1"/>
  <c r="N285" i="13"/>
  <c r="O285" i="13" s="1"/>
  <c r="O278" i="13"/>
  <c r="AG296" i="13"/>
  <c r="AG288" i="13"/>
  <c r="AG280" i="13"/>
  <c r="C154" i="13"/>
  <c r="C146" i="13"/>
  <c r="C137" i="13"/>
  <c r="B259" i="13"/>
  <c r="P296" i="13"/>
  <c r="P288" i="13"/>
  <c r="P280" i="13"/>
  <c r="AG295" i="13"/>
  <c r="AG287" i="13"/>
  <c r="AG279" i="13"/>
  <c r="C153" i="13"/>
  <c r="C145" i="13"/>
  <c r="N287" i="13"/>
  <c r="O287" i="13" s="1"/>
  <c r="N279" i="13"/>
  <c r="O279" i="13" s="1"/>
  <c r="W265" i="13"/>
  <c r="P295" i="13"/>
  <c r="P287" i="13"/>
  <c r="P279" i="13"/>
  <c r="AG294" i="13"/>
  <c r="AG286" i="13"/>
  <c r="AG278" i="13"/>
  <c r="C152" i="13"/>
  <c r="AG293" i="13"/>
  <c r="B195" i="13"/>
  <c r="K200" i="7"/>
  <c r="I41" i="7"/>
  <c r="I55" i="7"/>
  <c r="J55" i="7" s="1"/>
  <c r="I192" i="7"/>
  <c r="J192" i="7" s="1"/>
  <c r="K192" i="7" s="1"/>
  <c r="I42" i="7"/>
  <c r="J42" i="7" s="1"/>
  <c r="I170" i="7"/>
  <c r="J170" i="7" s="1"/>
  <c r="K170" i="7" s="1"/>
  <c r="I174" i="7"/>
  <c r="J174" i="7" s="1"/>
  <c r="K174" i="7" s="1"/>
  <c r="I195" i="7"/>
  <c r="J195" i="7" s="1"/>
  <c r="K195" i="7" s="1"/>
  <c r="AP195" i="7" s="1"/>
  <c r="I231" i="7"/>
  <c r="J231" i="7" s="1"/>
  <c r="K231" i="7" s="1"/>
  <c r="I251" i="7"/>
  <c r="I43" i="7"/>
  <c r="J43" i="7" s="1"/>
  <c r="K43" i="7" s="1"/>
  <c r="AP43" i="7" s="1"/>
  <c r="AV43" i="7" s="1"/>
  <c r="I45" i="7"/>
  <c r="J45" i="7" s="1"/>
  <c r="I50" i="7"/>
  <c r="J50" i="7" s="1"/>
  <c r="K50" i="7" s="1"/>
  <c r="AP50" i="7" s="1"/>
  <c r="I228" i="7"/>
  <c r="I232" i="7"/>
  <c r="J232" i="7" s="1"/>
  <c r="K232" i="7" s="1"/>
  <c r="AP232" i="7" s="1"/>
  <c r="K29" i="7"/>
  <c r="AP29" i="7" s="1"/>
  <c r="K11" i="7"/>
  <c r="T217" i="21" l="1"/>
  <c r="N73" i="21"/>
  <c r="X341" i="13"/>
  <c r="P235" i="21" s="1"/>
  <c r="Y341" i="13"/>
  <c r="Q235" i="21" s="1"/>
  <c r="K24" i="7"/>
  <c r="AP24" i="7" s="1"/>
  <c r="K51" i="7"/>
  <c r="AP51" i="7" s="1"/>
  <c r="AV51" i="7" s="1"/>
  <c r="K54" i="7"/>
  <c r="AP54" i="7" s="1"/>
  <c r="AV54" i="7" s="1"/>
  <c r="K46" i="7"/>
  <c r="AP46" i="7" s="1"/>
  <c r="AV46" i="7" s="1"/>
  <c r="K40" i="7"/>
  <c r="AP40" i="7" s="1"/>
  <c r="AV40" i="7" s="1"/>
  <c r="K18" i="7"/>
  <c r="AP18" i="7" s="1"/>
  <c r="AQ18" i="7" s="1"/>
  <c r="AP59" i="7"/>
  <c r="AV59" i="7" s="1"/>
  <c r="K21" i="7"/>
  <c r="AP21" i="7" s="1"/>
  <c r="AV21" i="7" s="1"/>
  <c r="AP238" i="7"/>
  <c r="AV238" i="7" s="1"/>
  <c r="B206" i="14" s="1"/>
  <c r="K19" i="7"/>
  <c r="AP19" i="7" s="1"/>
  <c r="AP57" i="7"/>
  <c r="AV57" i="7" s="1"/>
  <c r="B59" i="14" s="1"/>
  <c r="AW43" i="7"/>
  <c r="AX43" i="7"/>
  <c r="BA43" i="7"/>
  <c r="K10" i="7"/>
  <c r="AP10" i="7" s="1"/>
  <c r="AV10" i="7" s="1"/>
  <c r="B18" i="14" s="1"/>
  <c r="N71" i="21"/>
  <c r="T214" i="21"/>
  <c r="N79" i="21"/>
  <c r="T222" i="21"/>
  <c r="N70" i="21"/>
  <c r="T213" i="21"/>
  <c r="T228" i="21"/>
  <c r="N85" i="21"/>
  <c r="T220" i="21"/>
  <c r="N77" i="21"/>
  <c r="T212" i="21"/>
  <c r="N69" i="21"/>
  <c r="T226" i="21"/>
  <c r="N83" i="21"/>
  <c r="T218" i="21"/>
  <c r="N75" i="21"/>
  <c r="T223" i="21"/>
  <c r="N80" i="21"/>
  <c r="T227" i="21"/>
  <c r="N84" i="21"/>
  <c r="T215" i="21"/>
  <c r="N72" i="21"/>
  <c r="T219" i="21"/>
  <c r="N76" i="21"/>
  <c r="N86" i="21"/>
  <c r="T229" i="21"/>
  <c r="T224" i="21"/>
  <c r="N81" i="21"/>
  <c r="N78" i="21"/>
  <c r="T221" i="21"/>
  <c r="AC341" i="13"/>
  <c r="W235" i="21" s="1"/>
  <c r="AD316" i="13"/>
  <c r="N82" i="21"/>
  <c r="T225" i="21"/>
  <c r="D251" i="17"/>
  <c r="D247" i="17"/>
  <c r="D243" i="17"/>
  <c r="D255" i="17"/>
  <c r="D252" i="17"/>
  <c r="D248" i="17"/>
  <c r="D245" i="17"/>
  <c r="D242" i="17"/>
  <c r="D249" i="17"/>
  <c r="D254" i="17"/>
  <c r="D246" i="17"/>
  <c r="D244" i="17"/>
  <c r="D236" i="17"/>
  <c r="D214" i="17"/>
  <c r="D223" i="17"/>
  <c r="D213" i="17"/>
  <c r="D224" i="17"/>
  <c r="D226" i="17"/>
  <c r="D220" i="17"/>
  <c r="D227" i="17"/>
  <c r="D231" i="17"/>
  <c r="D229" i="17"/>
  <c r="D221" i="17"/>
  <c r="D212" i="17"/>
  <c r="D204" i="17"/>
  <c r="D201" i="17"/>
  <c r="D200" i="17"/>
  <c r="D199" i="17"/>
  <c r="D206" i="17"/>
  <c r="D203" i="17"/>
  <c r="D189" i="17"/>
  <c r="D191" i="17"/>
  <c r="D205" i="17"/>
  <c r="Y343" i="13"/>
  <c r="Q237" i="21" s="1"/>
  <c r="X343" i="13"/>
  <c r="P237" i="21" s="1"/>
  <c r="D179" i="17"/>
  <c r="D168" i="17"/>
  <c r="D178" i="17"/>
  <c r="D167" i="17"/>
  <c r="D166" i="17"/>
  <c r="D175" i="17"/>
  <c r="D182" i="17"/>
  <c r="D181" i="17"/>
  <c r="D165" i="17"/>
  <c r="D164" i="17"/>
  <c r="D141" i="17"/>
  <c r="D153" i="17"/>
  <c r="D155" i="17"/>
  <c r="D154" i="17"/>
  <c r="D147" i="17"/>
  <c r="D145" i="17"/>
  <c r="D140" i="17"/>
  <c r="D146" i="17"/>
  <c r="D143" i="17"/>
  <c r="D157" i="17"/>
  <c r="D144" i="17"/>
  <c r="D139" i="17"/>
  <c r="D124" i="17"/>
  <c r="D130" i="17"/>
  <c r="D117" i="17"/>
  <c r="D133" i="17"/>
  <c r="D120" i="17"/>
  <c r="D121" i="17"/>
  <c r="D116" i="17"/>
  <c r="D122" i="17"/>
  <c r="D132" i="17"/>
  <c r="D123" i="17"/>
  <c r="D131" i="17"/>
  <c r="D114" i="17"/>
  <c r="P519" i="13"/>
  <c r="Z518" i="13"/>
  <c r="D262" i="17" s="1"/>
  <c r="P517" i="13"/>
  <c r="P533" i="13"/>
  <c r="P529" i="13"/>
  <c r="P527" i="13"/>
  <c r="Z508" i="13"/>
  <c r="Z505" i="13"/>
  <c r="P493" i="13"/>
  <c r="Z476" i="13"/>
  <c r="P476" i="13"/>
  <c r="P474" i="13"/>
  <c r="P483" i="13"/>
  <c r="Z482" i="13"/>
  <c r="Z484" i="13"/>
  <c r="P475" i="13"/>
  <c r="P468" i="13"/>
  <c r="P478" i="13"/>
  <c r="P485" i="13"/>
  <c r="W468" i="13"/>
  <c r="Y468" i="13" s="1"/>
  <c r="Q352" i="21" s="1"/>
  <c r="P454" i="13"/>
  <c r="W504" i="13"/>
  <c r="Y504" i="13" s="1"/>
  <c r="Q386" i="21" s="1"/>
  <c r="W535" i="13"/>
  <c r="Y535" i="13" s="1"/>
  <c r="W519" i="13"/>
  <c r="Y519" i="13" s="1"/>
  <c r="Q399" i="21" s="1"/>
  <c r="W422" i="13"/>
  <c r="Y422" i="13" s="1"/>
  <c r="Q310" i="21" s="1"/>
  <c r="W425" i="13"/>
  <c r="Y425" i="13" s="1"/>
  <c r="Q313" i="21" s="1"/>
  <c r="X334" i="13"/>
  <c r="W479" i="13"/>
  <c r="Y479" i="13" s="1"/>
  <c r="Q363" i="21" s="1"/>
  <c r="W482" i="13"/>
  <c r="Y482" i="13" s="1"/>
  <c r="Q366" i="21" s="1"/>
  <c r="W484" i="13"/>
  <c r="Y484" i="13" s="1"/>
  <c r="W502" i="13"/>
  <c r="Y502" i="13" s="1"/>
  <c r="Q384" i="21" s="1"/>
  <c r="W517" i="13"/>
  <c r="Y517" i="13" s="1"/>
  <c r="Q397" i="21" s="1"/>
  <c r="W344" i="13"/>
  <c r="W481" i="13"/>
  <c r="Y481" i="13" s="1"/>
  <c r="Q365" i="21" s="1"/>
  <c r="W529" i="13"/>
  <c r="Y529" i="13" s="1"/>
  <c r="Q409" i="21" s="1"/>
  <c r="X322" i="13"/>
  <c r="L75" i="21" s="1"/>
  <c r="W500" i="13"/>
  <c r="Y500" i="13" s="1"/>
  <c r="Q382" i="21" s="1"/>
  <c r="W431" i="13"/>
  <c r="Y431" i="13" s="1"/>
  <c r="Q319" i="21" s="1"/>
  <c r="W418" i="13"/>
  <c r="Y418" i="13" s="1"/>
  <c r="Q306" i="21" s="1"/>
  <c r="W381" i="13"/>
  <c r="Y381" i="13" s="1"/>
  <c r="Q273" i="21" s="1"/>
  <c r="W497" i="13"/>
  <c r="Y497" i="13" s="1"/>
  <c r="Q379" i="21" s="1"/>
  <c r="W518" i="13"/>
  <c r="Y518" i="13" s="1"/>
  <c r="Q398" i="21" s="1"/>
  <c r="W393" i="13"/>
  <c r="Y393" i="13" s="1"/>
  <c r="Q283" i="21" s="1"/>
  <c r="P432" i="13"/>
  <c r="W432" i="13"/>
  <c r="Y432" i="13" s="1"/>
  <c r="Q320" i="21" s="1"/>
  <c r="P421" i="13"/>
  <c r="P427" i="13"/>
  <c r="P401" i="13"/>
  <c r="Y404" i="13"/>
  <c r="Q294" i="21" s="1"/>
  <c r="P399" i="13"/>
  <c r="P402" i="13"/>
  <c r="P400" i="13"/>
  <c r="P383" i="13"/>
  <c r="P375" i="13"/>
  <c r="P373" i="13"/>
  <c r="Z371" i="13"/>
  <c r="P374" i="13"/>
  <c r="P382" i="13"/>
  <c r="P342" i="13"/>
  <c r="P349" i="13"/>
  <c r="AA324" i="13"/>
  <c r="D26" i="17" s="1"/>
  <c r="L220" i="21"/>
  <c r="M220" i="21" s="1"/>
  <c r="J77" i="21"/>
  <c r="AA317" i="13"/>
  <c r="J70" i="21"/>
  <c r="L213" i="21"/>
  <c r="M213" i="21" s="1"/>
  <c r="AA331" i="13"/>
  <c r="L227" i="21"/>
  <c r="M227" i="21" s="1"/>
  <c r="J84" i="21"/>
  <c r="AA316" i="13"/>
  <c r="D42" i="17" s="1"/>
  <c r="J69" i="21"/>
  <c r="L212" i="21"/>
  <c r="M212" i="21" s="1"/>
  <c r="J72" i="21"/>
  <c r="L215" i="21"/>
  <c r="AE319" i="13"/>
  <c r="Q215" i="21"/>
  <c r="J86" i="21"/>
  <c r="L229" i="21"/>
  <c r="M229" i="21" s="1"/>
  <c r="P333" i="13"/>
  <c r="AA333" i="13"/>
  <c r="D59" i="17" s="1"/>
  <c r="AA323" i="13"/>
  <c r="D49" i="17" s="1"/>
  <c r="L219" i="21"/>
  <c r="M219" i="21" s="1"/>
  <c r="J76" i="21"/>
  <c r="P335" i="13"/>
  <c r="N216" i="21"/>
  <c r="T320" i="13"/>
  <c r="N215" i="21"/>
  <c r="T323" i="13"/>
  <c r="N219" i="21"/>
  <c r="J78" i="21"/>
  <c r="L221" i="21"/>
  <c r="M221" i="21" s="1"/>
  <c r="N223" i="21"/>
  <c r="T327" i="13"/>
  <c r="S218" i="21"/>
  <c r="M75" i="21"/>
  <c r="AT76" i="21" s="1"/>
  <c r="T331" i="13"/>
  <c r="N227" i="21"/>
  <c r="N213" i="21"/>
  <c r="T317" i="13"/>
  <c r="AA328" i="13"/>
  <c r="J81" i="21"/>
  <c r="L224" i="21"/>
  <c r="M224" i="21" s="1"/>
  <c r="AA320" i="13"/>
  <c r="J73" i="21"/>
  <c r="L216" i="21"/>
  <c r="M216" i="21" s="1"/>
  <c r="AA330" i="13"/>
  <c r="D56" i="17" s="1"/>
  <c r="L226" i="21"/>
  <c r="M226" i="21" s="1"/>
  <c r="J83" i="21"/>
  <c r="AA318" i="13"/>
  <c r="J71" i="21"/>
  <c r="L214" i="21"/>
  <c r="M214" i="21" s="1"/>
  <c r="AA332" i="13"/>
  <c r="D58" i="17" s="1"/>
  <c r="L228" i="21"/>
  <c r="M228" i="21" s="1"/>
  <c r="J85" i="21"/>
  <c r="N212" i="21"/>
  <c r="T316" i="13"/>
  <c r="S217" i="21"/>
  <c r="M74" i="21"/>
  <c r="AT75" i="21" s="1"/>
  <c r="AA327" i="13"/>
  <c r="J80" i="21"/>
  <c r="L223" i="21"/>
  <c r="M223" i="21" s="1"/>
  <c r="T328" i="13"/>
  <c r="N224" i="21"/>
  <c r="N221" i="21"/>
  <c r="T325" i="13"/>
  <c r="AA326" i="13"/>
  <c r="J79" i="21"/>
  <c r="L222" i="21"/>
  <c r="M222" i="21" s="1"/>
  <c r="AA329" i="13"/>
  <c r="L225" i="21"/>
  <c r="M225" i="21" s="1"/>
  <c r="J82" i="21"/>
  <c r="J74" i="21"/>
  <c r="L217" i="21"/>
  <c r="M217" i="21" s="1"/>
  <c r="N228" i="21"/>
  <c r="T332" i="13"/>
  <c r="T324" i="13"/>
  <c r="N220" i="21"/>
  <c r="AS74" i="21"/>
  <c r="AS76" i="21"/>
  <c r="I117" i="21"/>
  <c r="I125" i="21"/>
  <c r="I115" i="21"/>
  <c r="I118" i="21"/>
  <c r="I126" i="21"/>
  <c r="I119" i="21"/>
  <c r="I127" i="21"/>
  <c r="I132" i="21"/>
  <c r="I120" i="21"/>
  <c r="I128" i="21"/>
  <c r="I124" i="21"/>
  <c r="I121" i="21"/>
  <c r="I129" i="21"/>
  <c r="I122" i="21"/>
  <c r="I130" i="21"/>
  <c r="I123" i="21"/>
  <c r="I131" i="21"/>
  <c r="I116" i="21"/>
  <c r="AS75" i="21"/>
  <c r="AS71" i="21"/>
  <c r="L25" i="21"/>
  <c r="AS72" i="21"/>
  <c r="AS78" i="21"/>
  <c r="N97" i="21"/>
  <c r="AG94" i="21" s="1"/>
  <c r="L97" i="21"/>
  <c r="AF94" i="21" s="1"/>
  <c r="N105" i="21"/>
  <c r="L105" i="21"/>
  <c r="N101" i="21"/>
  <c r="L101" i="21"/>
  <c r="AM101" i="21"/>
  <c r="L99" i="21"/>
  <c r="AM94" i="21"/>
  <c r="AM102" i="21"/>
  <c r="AM95" i="21"/>
  <c r="AM103" i="21"/>
  <c r="AM96" i="21"/>
  <c r="AM93" i="21"/>
  <c r="AM97" i="21"/>
  <c r="AM98" i="21"/>
  <c r="AM99" i="21"/>
  <c r="N99" i="21"/>
  <c r="AM100" i="21"/>
  <c r="N109" i="21"/>
  <c r="L109" i="21"/>
  <c r="L107" i="21"/>
  <c r="N107" i="21"/>
  <c r="AS80" i="21"/>
  <c r="N95" i="21"/>
  <c r="L95" i="21"/>
  <c r="AA96" i="21"/>
  <c r="AA93" i="21"/>
  <c r="AA97" i="21"/>
  <c r="AA98" i="21"/>
  <c r="AA99" i="21"/>
  <c r="N96" i="21"/>
  <c r="AA100" i="21"/>
  <c r="AA101" i="21"/>
  <c r="L96" i="21"/>
  <c r="AA94" i="21"/>
  <c r="AA102" i="21"/>
  <c r="AA95" i="21"/>
  <c r="AA103" i="21"/>
  <c r="AI99" i="21"/>
  <c r="AI100" i="21"/>
  <c r="AI101" i="21"/>
  <c r="AI94" i="21"/>
  <c r="AI102" i="21"/>
  <c r="AI95" i="21"/>
  <c r="AI103" i="21"/>
  <c r="AI96" i="21"/>
  <c r="AI93" i="21"/>
  <c r="N98" i="21"/>
  <c r="AI97" i="21"/>
  <c r="AI98" i="21"/>
  <c r="L98" i="21"/>
  <c r="L100" i="21"/>
  <c r="N100" i="21"/>
  <c r="S96" i="21"/>
  <c r="S93" i="21"/>
  <c r="S97" i="21"/>
  <c r="N94" i="21"/>
  <c r="S98" i="21"/>
  <c r="S99" i="21"/>
  <c r="L94" i="21"/>
  <c r="S100" i="21"/>
  <c r="S101" i="21"/>
  <c r="S94" i="21"/>
  <c r="S102" i="21"/>
  <c r="S95" i="21"/>
  <c r="S103" i="21"/>
  <c r="AS77" i="21"/>
  <c r="N102" i="21"/>
  <c r="L102" i="21"/>
  <c r="N103" i="21"/>
  <c r="L103" i="21"/>
  <c r="N104" i="21"/>
  <c r="L104" i="21"/>
  <c r="N106" i="21"/>
  <c r="L106" i="21"/>
  <c r="L108" i="21"/>
  <c r="N108" i="21"/>
  <c r="N110" i="21"/>
  <c r="L110" i="21"/>
  <c r="N93" i="21"/>
  <c r="Y97" i="21" s="1"/>
  <c r="L93" i="21"/>
  <c r="X101" i="21" s="1"/>
  <c r="AS73" i="21"/>
  <c r="Q24" i="21"/>
  <c r="P24" i="21" s="1"/>
  <c r="O24" i="21"/>
  <c r="N24" i="21" s="1"/>
  <c r="M24" i="21"/>
  <c r="L24" i="21" s="1"/>
  <c r="B96" i="21"/>
  <c r="I73" i="21"/>
  <c r="I81" i="21"/>
  <c r="I74" i="21"/>
  <c r="I82" i="21"/>
  <c r="I75" i="21"/>
  <c r="I83" i="21"/>
  <c r="I76" i="21"/>
  <c r="I84" i="21"/>
  <c r="G62" i="21"/>
  <c r="I77" i="21"/>
  <c r="I85" i="21"/>
  <c r="I70" i="21"/>
  <c r="I78" i="21"/>
  <c r="I86" i="21"/>
  <c r="I71" i="21"/>
  <c r="I79" i="21"/>
  <c r="I69" i="21"/>
  <c r="I72" i="21"/>
  <c r="I80" i="21"/>
  <c r="D91" i="17"/>
  <c r="D67" i="17"/>
  <c r="D96" i="17"/>
  <c r="D72" i="17"/>
  <c r="D102" i="17"/>
  <c r="D78" i="17"/>
  <c r="D93" i="17"/>
  <c r="D69" i="17"/>
  <c r="D109" i="17"/>
  <c r="D85" i="17"/>
  <c r="D101" i="17"/>
  <c r="D77" i="17"/>
  <c r="D103" i="17"/>
  <c r="D79" i="17"/>
  <c r="D108" i="17"/>
  <c r="D84" i="17"/>
  <c r="D54" i="17"/>
  <c r="D30" i="17"/>
  <c r="D32" i="17"/>
  <c r="D44" i="17"/>
  <c r="D20" i="17"/>
  <c r="D104" i="17"/>
  <c r="D80" i="17"/>
  <c r="D53" i="17"/>
  <c r="D29" i="17"/>
  <c r="D106" i="17"/>
  <c r="D82" i="17"/>
  <c r="D47" i="17"/>
  <c r="D23" i="17"/>
  <c r="D105" i="17"/>
  <c r="D81" i="17"/>
  <c r="D50" i="17"/>
  <c r="D52" i="17"/>
  <c r="D28" i="17"/>
  <c r="D31" i="17"/>
  <c r="D61" i="17"/>
  <c r="D37" i="17"/>
  <c r="D94" i="17"/>
  <c r="D70" i="17"/>
  <c r="D98" i="17"/>
  <c r="D74" i="17"/>
  <c r="D48" i="17"/>
  <c r="D24" i="17"/>
  <c r="D97" i="17"/>
  <c r="D73" i="17"/>
  <c r="D45" i="17"/>
  <c r="D90" i="17"/>
  <c r="D66" i="17"/>
  <c r="D60" i="17"/>
  <c r="D36" i="17"/>
  <c r="Z422" i="13"/>
  <c r="P422" i="13"/>
  <c r="P377" i="13"/>
  <c r="Z377" i="13"/>
  <c r="D125" i="17" s="1"/>
  <c r="K7" i="13"/>
  <c r="K8" i="13" s="1"/>
  <c r="Y299" i="13"/>
  <c r="W534" i="13"/>
  <c r="Y534" i="13" s="1"/>
  <c r="W429" i="13"/>
  <c r="Y429" i="13" s="1"/>
  <c r="Q317" i="21" s="1"/>
  <c r="Z429" i="13"/>
  <c r="P429" i="13"/>
  <c r="W405" i="13"/>
  <c r="Y405" i="13" s="1"/>
  <c r="Q295" i="21" s="1"/>
  <c r="W370" i="13"/>
  <c r="X370" i="13" s="1"/>
  <c r="P262" i="21" s="1"/>
  <c r="Z370" i="13"/>
  <c r="W460" i="13"/>
  <c r="Y460" i="13" s="1"/>
  <c r="Z460" i="13"/>
  <c r="W443" i="13"/>
  <c r="Y443" i="13" s="1"/>
  <c r="Q329" i="21" s="1"/>
  <c r="Z443" i="13"/>
  <c r="P451" i="13"/>
  <c r="X451" i="13" s="1"/>
  <c r="Z451" i="13"/>
  <c r="W505" i="13"/>
  <c r="Y505" i="13" s="1"/>
  <c r="Q387" i="21" s="1"/>
  <c r="W527" i="13"/>
  <c r="Y527" i="13" s="1"/>
  <c r="Q407" i="21" s="1"/>
  <c r="W424" i="13"/>
  <c r="Y424" i="13" s="1"/>
  <c r="Q312" i="21" s="1"/>
  <c r="W409" i="13"/>
  <c r="Y409" i="13" s="1"/>
  <c r="W354" i="13"/>
  <c r="P343" i="13"/>
  <c r="Z445" i="13"/>
  <c r="P445" i="13"/>
  <c r="Z404" i="13"/>
  <c r="D152" i="17" s="1"/>
  <c r="P404" i="13"/>
  <c r="X404" i="13" s="1"/>
  <c r="Z446" i="13"/>
  <c r="D193" i="17" s="1"/>
  <c r="W446" i="13"/>
  <c r="X446" i="13" s="1"/>
  <c r="P332" i="21" s="1"/>
  <c r="P441" i="13"/>
  <c r="Z441" i="13"/>
  <c r="X335" i="13"/>
  <c r="X328" i="13"/>
  <c r="Y328" i="13" s="1"/>
  <c r="P224" i="21" s="1"/>
  <c r="W342" i="13"/>
  <c r="W382" i="13"/>
  <c r="Y382" i="13" s="1"/>
  <c r="Q274" i="21" s="1"/>
  <c r="W383" i="13"/>
  <c r="Y383" i="13" s="1"/>
  <c r="Q275" i="21" s="1"/>
  <c r="W410" i="13"/>
  <c r="Y410" i="13" s="1"/>
  <c r="W396" i="13"/>
  <c r="Y396" i="13" s="1"/>
  <c r="Q286" i="21" s="1"/>
  <c r="W397" i="13"/>
  <c r="Y397" i="13" s="1"/>
  <c r="Q287" i="21" s="1"/>
  <c r="W434" i="13"/>
  <c r="Y434" i="13" s="1"/>
  <c r="W530" i="13"/>
  <c r="Y530" i="13" s="1"/>
  <c r="Q410" i="21" s="1"/>
  <c r="W494" i="13"/>
  <c r="Y494" i="13" s="1"/>
  <c r="Q376" i="21" s="1"/>
  <c r="W492" i="13"/>
  <c r="Y492" i="13" s="1"/>
  <c r="Q374" i="21" s="1"/>
  <c r="W508" i="13"/>
  <c r="Y508" i="13" s="1"/>
  <c r="Q390" i="21" s="1"/>
  <c r="W485" i="13"/>
  <c r="X485" i="13" s="1"/>
  <c r="W483" i="13"/>
  <c r="Y483" i="13" s="1"/>
  <c r="Q367" i="21" s="1"/>
  <c r="W473" i="13"/>
  <c r="Y473" i="13" s="1"/>
  <c r="Q357" i="21" s="1"/>
  <c r="X320" i="13"/>
  <c r="Y320" i="13" s="1"/>
  <c r="P216" i="21" s="1"/>
  <c r="X329" i="13"/>
  <c r="W349" i="13"/>
  <c r="W357" i="13"/>
  <c r="W374" i="13"/>
  <c r="Y374" i="13" s="1"/>
  <c r="Q266" i="21" s="1"/>
  <c r="W384" i="13"/>
  <c r="X384" i="13" s="1"/>
  <c r="W427" i="13"/>
  <c r="X427" i="13" s="1"/>
  <c r="W533" i="13"/>
  <c r="Y533" i="13" s="1"/>
  <c r="Q413" i="21" s="1"/>
  <c r="W478" i="13"/>
  <c r="Y478" i="13" s="1"/>
  <c r="Q362" i="21" s="1"/>
  <c r="W474" i="13"/>
  <c r="Y474" i="13" s="1"/>
  <c r="Q358" i="21" s="1"/>
  <c r="X326" i="13"/>
  <c r="W402" i="13"/>
  <c r="X402" i="13" s="1"/>
  <c r="X330" i="13"/>
  <c r="W375" i="13"/>
  <c r="Y375" i="13" s="1"/>
  <c r="Q267" i="21" s="1"/>
  <c r="W366" i="13"/>
  <c r="Y366" i="13" s="1"/>
  <c r="Q258" i="21" s="1"/>
  <c r="W371" i="13"/>
  <c r="Y371" i="13" s="1"/>
  <c r="Q263" i="21" s="1"/>
  <c r="W391" i="13"/>
  <c r="X391" i="13" s="1"/>
  <c r="P281" i="21" s="1"/>
  <c r="W399" i="13"/>
  <c r="Y399" i="13" s="1"/>
  <c r="Q289" i="21" s="1"/>
  <c r="W525" i="13"/>
  <c r="Y525" i="13" s="1"/>
  <c r="Q405" i="21" s="1"/>
  <c r="W510" i="13"/>
  <c r="Y510" i="13" s="1"/>
  <c r="W496" i="13"/>
  <c r="Y496" i="13" s="1"/>
  <c r="Q378" i="21" s="1"/>
  <c r="W470" i="13"/>
  <c r="X470" i="13" s="1"/>
  <c r="P354" i="21" s="1"/>
  <c r="W475" i="13"/>
  <c r="Y475" i="13" s="1"/>
  <c r="Q359" i="21" s="1"/>
  <c r="X318" i="13"/>
  <c r="W360" i="13"/>
  <c r="X360" i="13" s="1"/>
  <c r="W368" i="13"/>
  <c r="Y368" i="13" s="1"/>
  <c r="Q260" i="21" s="1"/>
  <c r="W407" i="13"/>
  <c r="Y407" i="13" s="1"/>
  <c r="Q297" i="21" s="1"/>
  <c r="W401" i="13"/>
  <c r="Y401" i="13" s="1"/>
  <c r="Q291" i="21" s="1"/>
  <c r="W417" i="13"/>
  <c r="Y417" i="13" s="1"/>
  <c r="Q305" i="21" s="1"/>
  <c r="W426" i="13"/>
  <c r="Y426" i="13" s="1"/>
  <c r="Q314" i="21" s="1"/>
  <c r="W493" i="13"/>
  <c r="Y493" i="13" s="1"/>
  <c r="Q375" i="21" s="1"/>
  <c r="W466" i="13"/>
  <c r="Y466" i="13" s="1"/>
  <c r="Q350" i="21" s="1"/>
  <c r="W476" i="13"/>
  <c r="Y476" i="13" s="1"/>
  <c r="Q360" i="21" s="1"/>
  <c r="W467" i="13"/>
  <c r="Y467" i="13" s="1"/>
  <c r="Q351" i="21" s="1"/>
  <c r="W471" i="13"/>
  <c r="Y471" i="13" s="1"/>
  <c r="Q355" i="21" s="1"/>
  <c r="W441" i="13"/>
  <c r="W509" i="13"/>
  <c r="Y509" i="13" s="1"/>
  <c r="Z430" i="13"/>
  <c r="W430" i="13"/>
  <c r="Y430" i="13" s="1"/>
  <c r="Q318" i="21" s="1"/>
  <c r="Z394" i="13"/>
  <c r="W394" i="13"/>
  <c r="Y394" i="13" s="1"/>
  <c r="Q284" i="21" s="1"/>
  <c r="W373" i="13"/>
  <c r="Y373" i="13" s="1"/>
  <c r="Q265" i="21" s="1"/>
  <c r="X321" i="13"/>
  <c r="P455" i="13"/>
  <c r="Z455" i="13"/>
  <c r="U277" i="13"/>
  <c r="W445" i="13"/>
  <c r="Y445" i="13" s="1"/>
  <c r="Q331" i="21" s="1"/>
  <c r="X434" i="13"/>
  <c r="W350" i="13"/>
  <c r="W448" i="13"/>
  <c r="Y448" i="13" s="1"/>
  <c r="Q334" i="21" s="1"/>
  <c r="Z448" i="13"/>
  <c r="D195" i="17" s="1"/>
  <c r="W358" i="13"/>
  <c r="P351" i="13"/>
  <c r="W351" i="13"/>
  <c r="W378" i="13"/>
  <c r="Y378" i="13" s="1"/>
  <c r="Q270" i="21" s="1"/>
  <c r="Y360" i="13"/>
  <c r="W352" i="13"/>
  <c r="P344" i="13"/>
  <c r="X501" i="13"/>
  <c r="P383" i="21" s="1"/>
  <c r="W421" i="13"/>
  <c r="Y421" i="13" s="1"/>
  <c r="Q309" i="21" s="1"/>
  <c r="W433" i="13"/>
  <c r="Y433" i="13" s="1"/>
  <c r="Q321" i="21" s="1"/>
  <c r="Z433" i="13"/>
  <c r="W395" i="13"/>
  <c r="X395" i="13" s="1"/>
  <c r="P285" i="21" s="1"/>
  <c r="P378" i="13"/>
  <c r="P352" i="13"/>
  <c r="P360" i="13"/>
  <c r="W346" i="13"/>
  <c r="W408" i="13"/>
  <c r="Y408" i="13" s="1"/>
  <c r="Q298" i="21" s="1"/>
  <c r="Z408" i="13"/>
  <c r="P367" i="13"/>
  <c r="Z367" i="13"/>
  <c r="P410" i="13"/>
  <c r="Z410" i="13"/>
  <c r="W379" i="13"/>
  <c r="Y379" i="13" s="1"/>
  <c r="Q271" i="21" s="1"/>
  <c r="Z379" i="13"/>
  <c r="D127" i="17" s="1"/>
  <c r="W400" i="13"/>
  <c r="Y400" i="13" s="1"/>
  <c r="Q290" i="21" s="1"/>
  <c r="P471" i="13"/>
  <c r="Z471" i="13"/>
  <c r="D217" i="17" s="1"/>
  <c r="X325" i="13"/>
  <c r="AA325" i="13"/>
  <c r="P479" i="13"/>
  <c r="Z479" i="13"/>
  <c r="X333" i="13"/>
  <c r="C144" i="13"/>
  <c r="C136" i="13"/>
  <c r="X317" i="13"/>
  <c r="P317" i="13"/>
  <c r="B65" i="21"/>
  <c r="Q25" i="21" s="1"/>
  <c r="P25" i="21" s="1"/>
  <c r="M117" i="2"/>
  <c r="N117" i="2" s="1"/>
  <c r="P117" i="2"/>
  <c r="Q117" i="2" s="1"/>
  <c r="G117" i="2"/>
  <c r="H117" i="2" s="1"/>
  <c r="J117" i="2"/>
  <c r="K117" i="2" s="1"/>
  <c r="M116" i="2"/>
  <c r="N116" i="2" s="1"/>
  <c r="P116" i="2"/>
  <c r="Q116" i="2" s="1"/>
  <c r="G116" i="2"/>
  <c r="H116" i="2" s="1"/>
  <c r="J116" i="2"/>
  <c r="K116" i="2" s="1"/>
  <c r="P121" i="2"/>
  <c r="Q121" i="2" s="1"/>
  <c r="G121" i="2"/>
  <c r="H121" i="2" s="1"/>
  <c r="J121" i="2"/>
  <c r="K121" i="2" s="1"/>
  <c r="M121" i="2"/>
  <c r="N121" i="2" s="1"/>
  <c r="M124" i="2"/>
  <c r="N124" i="2" s="1"/>
  <c r="P124" i="2"/>
  <c r="Q124" i="2" s="1"/>
  <c r="G124" i="2"/>
  <c r="H124" i="2" s="1"/>
  <c r="J124" i="2"/>
  <c r="K124" i="2" s="1"/>
  <c r="G122" i="2"/>
  <c r="H122" i="2" s="1"/>
  <c r="P122" i="2"/>
  <c r="Q122" i="2" s="1"/>
  <c r="J122" i="2"/>
  <c r="K122" i="2" s="1"/>
  <c r="M122" i="2"/>
  <c r="N122" i="2" s="1"/>
  <c r="G127" i="2"/>
  <c r="H127" i="2" s="1"/>
  <c r="J127" i="2"/>
  <c r="K127" i="2" s="1"/>
  <c r="P127" i="2"/>
  <c r="Q127" i="2" s="1"/>
  <c r="M127" i="2"/>
  <c r="N127" i="2" s="1"/>
  <c r="P129" i="2"/>
  <c r="Q129" i="2" s="1"/>
  <c r="M129" i="2"/>
  <c r="N129" i="2" s="1"/>
  <c r="G129" i="2"/>
  <c r="H129" i="2" s="1"/>
  <c r="J129" i="2"/>
  <c r="K129" i="2" s="1"/>
  <c r="G118" i="2"/>
  <c r="H118" i="2" s="1"/>
  <c r="P118" i="2"/>
  <c r="Q118" i="2" s="1"/>
  <c r="M118" i="2"/>
  <c r="N118" i="2" s="1"/>
  <c r="J118" i="2"/>
  <c r="K118" i="2" s="1"/>
  <c r="G125" i="2"/>
  <c r="H125" i="2" s="1"/>
  <c r="J125" i="2"/>
  <c r="K125" i="2" s="1"/>
  <c r="M125" i="2"/>
  <c r="N125" i="2" s="1"/>
  <c r="P125" i="2"/>
  <c r="Q125" i="2" s="1"/>
  <c r="P123" i="2"/>
  <c r="Q123" i="2" s="1"/>
  <c r="G123" i="2"/>
  <c r="H123" i="2" s="1"/>
  <c r="J123" i="2"/>
  <c r="K123" i="2" s="1"/>
  <c r="M123" i="2"/>
  <c r="N123" i="2" s="1"/>
  <c r="G128" i="2"/>
  <c r="H128" i="2" s="1"/>
  <c r="M128" i="2"/>
  <c r="N128" i="2" s="1"/>
  <c r="J128" i="2"/>
  <c r="K128" i="2" s="1"/>
  <c r="P128" i="2"/>
  <c r="Q128" i="2" s="1"/>
  <c r="J115" i="2"/>
  <c r="K115" i="2" s="1"/>
  <c r="P115" i="2"/>
  <c r="Q115" i="2" s="1"/>
  <c r="M115" i="2"/>
  <c r="N115" i="2" s="1"/>
  <c r="G115" i="2"/>
  <c r="H115" i="2" s="1"/>
  <c r="G119" i="2"/>
  <c r="H119" i="2" s="1"/>
  <c r="P119" i="2"/>
  <c r="Q119" i="2" s="1"/>
  <c r="J119" i="2"/>
  <c r="K119" i="2" s="1"/>
  <c r="M119" i="2"/>
  <c r="N119" i="2" s="1"/>
  <c r="G126" i="2"/>
  <c r="H126" i="2" s="1"/>
  <c r="J126" i="2"/>
  <c r="K126" i="2" s="1"/>
  <c r="P126" i="2"/>
  <c r="Q126" i="2" s="1"/>
  <c r="M126" i="2"/>
  <c r="N126" i="2" s="1"/>
  <c r="M120" i="2"/>
  <c r="N120" i="2" s="1"/>
  <c r="J120" i="2"/>
  <c r="K120" i="2" s="1"/>
  <c r="P120" i="2"/>
  <c r="Q120" i="2" s="1"/>
  <c r="G120" i="2"/>
  <c r="H120" i="2" s="1"/>
  <c r="P323" i="13"/>
  <c r="X323" i="13"/>
  <c r="P316" i="13"/>
  <c r="AE316" i="13" s="1"/>
  <c r="P327" i="13"/>
  <c r="X327" i="13"/>
  <c r="Y322" i="13"/>
  <c r="P218" i="21" s="1"/>
  <c r="X332" i="13"/>
  <c r="P332" i="13"/>
  <c r="P331" i="13"/>
  <c r="X331" i="13"/>
  <c r="X324" i="13"/>
  <c r="P324" i="13"/>
  <c r="P358" i="13"/>
  <c r="Y359" i="13"/>
  <c r="P350" i="13"/>
  <c r="P355" i="13"/>
  <c r="W355" i="13"/>
  <c r="P347" i="13"/>
  <c r="W347" i="13"/>
  <c r="P353" i="13"/>
  <c r="W353" i="13"/>
  <c r="P345" i="13"/>
  <c r="W345" i="13"/>
  <c r="P356" i="13"/>
  <c r="W356" i="13"/>
  <c r="P348" i="13"/>
  <c r="W348" i="13"/>
  <c r="W377" i="13"/>
  <c r="Y377" i="13" s="1"/>
  <c r="Q269" i="21" s="1"/>
  <c r="W376" i="13"/>
  <c r="Y376" i="13" s="1"/>
  <c r="Q268" i="21" s="1"/>
  <c r="P376" i="13"/>
  <c r="P380" i="13"/>
  <c r="W380" i="13"/>
  <c r="Y380" i="13" s="1"/>
  <c r="Q272" i="21" s="1"/>
  <c r="P385" i="13"/>
  <c r="W385" i="13"/>
  <c r="Y385" i="13" s="1"/>
  <c r="P372" i="13"/>
  <c r="W372" i="13"/>
  <c r="Y372" i="13" s="1"/>
  <c r="Q264" i="21" s="1"/>
  <c r="P369" i="13"/>
  <c r="W369" i="13"/>
  <c r="Y369" i="13" s="1"/>
  <c r="Q261" i="21" s="1"/>
  <c r="X367" i="13"/>
  <c r="P259" i="21" s="1"/>
  <c r="W392" i="13"/>
  <c r="Y392" i="13" s="1"/>
  <c r="Q282" i="21" s="1"/>
  <c r="P392" i="13"/>
  <c r="P406" i="13"/>
  <c r="W406" i="13"/>
  <c r="Y406" i="13" s="1"/>
  <c r="Q296" i="21" s="1"/>
  <c r="P403" i="13"/>
  <c r="W403" i="13"/>
  <c r="Y403" i="13" s="1"/>
  <c r="Q293" i="21" s="1"/>
  <c r="P398" i="13"/>
  <c r="W398" i="13"/>
  <c r="Y398" i="13" s="1"/>
  <c r="Q288" i="21" s="1"/>
  <c r="P433" i="13"/>
  <c r="X431" i="13"/>
  <c r="P319" i="21" s="1"/>
  <c r="P435" i="13"/>
  <c r="W435" i="13"/>
  <c r="Y435" i="13" s="1"/>
  <c r="P420" i="13"/>
  <c r="W420" i="13"/>
  <c r="Y420" i="13" s="1"/>
  <c r="Q308" i="21" s="1"/>
  <c r="P419" i="13"/>
  <c r="W419" i="13"/>
  <c r="Y419" i="13" s="1"/>
  <c r="Q307" i="21" s="1"/>
  <c r="P428" i="13"/>
  <c r="W428" i="13"/>
  <c r="Y428" i="13" s="1"/>
  <c r="Q316" i="21" s="1"/>
  <c r="P423" i="13"/>
  <c r="W423" i="13"/>
  <c r="Y423" i="13" s="1"/>
  <c r="Q311" i="21" s="1"/>
  <c r="Y522" i="13"/>
  <c r="Q402" i="21" s="1"/>
  <c r="W516" i="13"/>
  <c r="Y516" i="13" s="1"/>
  <c r="Q396" i="21" s="1"/>
  <c r="P516" i="13"/>
  <c r="P531" i="13"/>
  <c r="W531" i="13"/>
  <c r="Y531" i="13" s="1"/>
  <c r="Q411" i="21" s="1"/>
  <c r="P520" i="13"/>
  <c r="W520" i="13"/>
  <c r="Y520" i="13" s="1"/>
  <c r="Q400" i="21" s="1"/>
  <c r="P523" i="13"/>
  <c r="W523" i="13"/>
  <c r="Y523" i="13" s="1"/>
  <c r="Q403" i="21" s="1"/>
  <c r="X526" i="13"/>
  <c r="P406" i="21" s="1"/>
  <c r="X522" i="13"/>
  <c r="P402" i="21" s="1"/>
  <c r="W532" i="13"/>
  <c r="Y532" i="13" s="1"/>
  <c r="Q412" i="21" s="1"/>
  <c r="P532" i="13"/>
  <c r="X521" i="13"/>
  <c r="P401" i="21" s="1"/>
  <c r="W524" i="13"/>
  <c r="Y524" i="13" s="1"/>
  <c r="Q404" i="21" s="1"/>
  <c r="P524" i="13"/>
  <c r="P528" i="13"/>
  <c r="W528" i="13"/>
  <c r="Y528" i="13" s="1"/>
  <c r="Q408" i="21" s="1"/>
  <c r="P503" i="13"/>
  <c r="W503" i="13"/>
  <c r="Y503" i="13" s="1"/>
  <c r="Q385" i="21" s="1"/>
  <c r="W491" i="13"/>
  <c r="Y491" i="13" s="1"/>
  <c r="Q373" i="21" s="1"/>
  <c r="P491" i="13"/>
  <c r="P506" i="13"/>
  <c r="W506" i="13"/>
  <c r="Y506" i="13" s="1"/>
  <c r="Q388" i="21" s="1"/>
  <c r="P495" i="13"/>
  <c r="W495" i="13"/>
  <c r="Y495" i="13" s="1"/>
  <c r="Q377" i="21" s="1"/>
  <c r="X492" i="13"/>
  <c r="P374" i="21" s="1"/>
  <c r="P498" i="13"/>
  <c r="W498" i="13"/>
  <c r="Y498" i="13" s="1"/>
  <c r="Q380" i="21" s="1"/>
  <c r="W507" i="13"/>
  <c r="Y507" i="13" s="1"/>
  <c r="Q389" i="21" s="1"/>
  <c r="P507" i="13"/>
  <c r="P499" i="13"/>
  <c r="W499" i="13"/>
  <c r="Y499" i="13" s="1"/>
  <c r="Q381" i="21" s="1"/>
  <c r="P477" i="13"/>
  <c r="W477" i="13"/>
  <c r="Y477" i="13" s="1"/>
  <c r="Q361" i="21" s="1"/>
  <c r="P480" i="13"/>
  <c r="W480" i="13"/>
  <c r="Y480" i="13" s="1"/>
  <c r="Q364" i="21" s="1"/>
  <c r="P469" i="13"/>
  <c r="W469" i="13"/>
  <c r="Y469" i="13" s="1"/>
  <c r="Q353" i="21" s="1"/>
  <c r="X484" i="13"/>
  <c r="P472" i="13"/>
  <c r="W472" i="13"/>
  <c r="Y472" i="13" s="1"/>
  <c r="Q356" i="21" s="1"/>
  <c r="X482" i="13"/>
  <c r="W452" i="13"/>
  <c r="X452" i="13" s="1"/>
  <c r="P452" i="13"/>
  <c r="W449" i="13"/>
  <c r="Y449" i="13" s="1"/>
  <c r="Q335" i="21" s="1"/>
  <c r="P449" i="13"/>
  <c r="P447" i="13"/>
  <c r="W447" i="13"/>
  <c r="W444" i="13"/>
  <c r="Y444" i="13" s="1"/>
  <c r="Q330" i="21" s="1"/>
  <c r="P444" i="13"/>
  <c r="W457" i="13"/>
  <c r="Y457" i="13" s="1"/>
  <c r="Q343" i="21" s="1"/>
  <c r="P457" i="13"/>
  <c r="P443" i="13"/>
  <c r="Q277" i="13"/>
  <c r="Y441" i="13"/>
  <c r="Q327" i="21" s="1"/>
  <c r="Y446" i="13"/>
  <c r="Q332" i="21" s="1"/>
  <c r="Q266" i="13"/>
  <c r="V277" i="13" s="1"/>
  <c r="B99" i="13"/>
  <c r="W455" i="13"/>
  <c r="W454" i="13"/>
  <c r="Y454" i="13" s="1"/>
  <c r="Q340" i="21" s="1"/>
  <c r="P448" i="13"/>
  <c r="P460" i="13"/>
  <c r="X460" i="13" s="1"/>
  <c r="W456" i="13"/>
  <c r="Y456" i="13" s="1"/>
  <c r="Q342" i="21" s="1"/>
  <c r="P456" i="13"/>
  <c r="W453" i="13"/>
  <c r="Y453" i="13" s="1"/>
  <c r="Q339" i="21" s="1"/>
  <c r="P453" i="13"/>
  <c r="W459" i="13"/>
  <c r="Y459" i="13" s="1"/>
  <c r="P459" i="13"/>
  <c r="W442" i="13"/>
  <c r="Y442" i="13" s="1"/>
  <c r="Q328" i="21" s="1"/>
  <c r="P442" i="13"/>
  <c r="W450" i="13"/>
  <c r="Y450" i="13" s="1"/>
  <c r="Q336" i="21" s="1"/>
  <c r="P450" i="13"/>
  <c r="W458" i="13"/>
  <c r="Y458" i="13" s="1"/>
  <c r="Q344" i="21" s="1"/>
  <c r="P458" i="13"/>
  <c r="T277" i="13"/>
  <c r="P185" i="21" s="1"/>
  <c r="AP143" i="7"/>
  <c r="AV143" i="7" s="1"/>
  <c r="B128" i="14" s="1"/>
  <c r="AP135" i="7"/>
  <c r="AQ135" i="7" s="1"/>
  <c r="AQ131" i="7"/>
  <c r="AV131" i="7"/>
  <c r="B116" i="14" s="1"/>
  <c r="AU131" i="7"/>
  <c r="AV148" i="7"/>
  <c r="B133" i="14" s="1"/>
  <c r="AU148" i="7"/>
  <c r="AQ148" i="7"/>
  <c r="AQ147" i="7"/>
  <c r="AV147" i="7"/>
  <c r="B132" i="14" s="1"/>
  <c r="AU147" i="7"/>
  <c r="AV140" i="7"/>
  <c r="B125" i="14" s="1"/>
  <c r="AU140" i="7"/>
  <c r="AQ140" i="7"/>
  <c r="AU146" i="7"/>
  <c r="AQ146" i="7"/>
  <c r="AV146" i="7"/>
  <c r="B131" i="14" s="1"/>
  <c r="AQ139" i="7"/>
  <c r="AV139" i="7"/>
  <c r="B124" i="14" s="1"/>
  <c r="AU139" i="7"/>
  <c r="AU138" i="7"/>
  <c r="AQ138" i="7"/>
  <c r="AV138" i="7"/>
  <c r="B123" i="14" s="1"/>
  <c r="AV132" i="7"/>
  <c r="B117" i="14" s="1"/>
  <c r="AU132" i="7"/>
  <c r="AQ132" i="7"/>
  <c r="J130" i="7"/>
  <c r="K130" i="7" s="1"/>
  <c r="AP130" i="7" s="1"/>
  <c r="AA136" i="7"/>
  <c r="AB136" i="7" s="1"/>
  <c r="AC136" i="7" s="1"/>
  <c r="AV145" i="7"/>
  <c r="B130" i="14" s="1"/>
  <c r="AU145" i="7"/>
  <c r="AQ145" i="7"/>
  <c r="AV137" i="7"/>
  <c r="B122" i="14" s="1"/>
  <c r="AU137" i="7"/>
  <c r="AQ137" i="7"/>
  <c r="AA142" i="7"/>
  <c r="AB142" i="7" s="1"/>
  <c r="AC142" i="7" s="1"/>
  <c r="J149" i="7"/>
  <c r="K149" i="7" s="1"/>
  <c r="AP149" i="7" s="1"/>
  <c r="AA134" i="7"/>
  <c r="AB134" i="7" s="1"/>
  <c r="AC134" i="7" s="1"/>
  <c r="AA144" i="7"/>
  <c r="AB144" i="7" s="1"/>
  <c r="AC144" i="7" s="1"/>
  <c r="J133" i="7"/>
  <c r="K133" i="7" s="1"/>
  <c r="AP133" i="7" s="1"/>
  <c r="J142" i="7"/>
  <c r="K142" i="7" s="1"/>
  <c r="AP142" i="7" s="1"/>
  <c r="J144" i="7"/>
  <c r="K144" i="7" s="1"/>
  <c r="AP144" i="7" s="1"/>
  <c r="J141" i="7"/>
  <c r="K141" i="7" s="1"/>
  <c r="AP141" i="7" s="1"/>
  <c r="J134" i="7"/>
  <c r="K134" i="7" s="1"/>
  <c r="AP134" i="7" s="1"/>
  <c r="J136" i="7"/>
  <c r="K136" i="7" s="1"/>
  <c r="AP136" i="7" s="1"/>
  <c r="K266" i="7"/>
  <c r="AP266" i="7" s="1"/>
  <c r="AV266" i="7" s="1"/>
  <c r="AP250" i="7"/>
  <c r="AU250" i="7" s="1"/>
  <c r="K58" i="7"/>
  <c r="AP58" i="7" s="1"/>
  <c r="AU58" i="7" s="1"/>
  <c r="K26" i="7"/>
  <c r="AP26" i="7" s="1"/>
  <c r="AU26" i="7" s="1"/>
  <c r="K12" i="7"/>
  <c r="AP12" i="7" s="1"/>
  <c r="AV12" i="7" s="1"/>
  <c r="AX12" i="7" s="1"/>
  <c r="K16" i="7"/>
  <c r="AP16" i="7" s="1"/>
  <c r="AP258" i="7"/>
  <c r="AV258" i="7" s="1"/>
  <c r="B220" i="14" s="1"/>
  <c r="K260" i="7"/>
  <c r="AP260" i="7" s="1"/>
  <c r="AV260" i="7" s="1"/>
  <c r="O174" i="21"/>
  <c r="B77" i="21"/>
  <c r="B75" i="21" s="1"/>
  <c r="B85" i="21"/>
  <c r="J67" i="13"/>
  <c r="T271" i="13"/>
  <c r="Y277" i="13" s="1"/>
  <c r="V286" i="13"/>
  <c r="U73" i="13" s="1"/>
  <c r="AA73" i="13" s="1"/>
  <c r="V280" i="13"/>
  <c r="U67" i="13" s="1"/>
  <c r="AA67" i="13" s="1"/>
  <c r="B210" i="13"/>
  <c r="B268" i="13"/>
  <c r="B266" i="13" s="1"/>
  <c r="K253" i="7"/>
  <c r="AP253" i="7" s="1"/>
  <c r="AV253" i="7" s="1"/>
  <c r="AP255" i="7"/>
  <c r="AV255" i="7" s="1"/>
  <c r="AP265" i="7"/>
  <c r="AV265" i="7" s="1"/>
  <c r="AP254" i="7"/>
  <c r="AV254" i="7" s="1"/>
  <c r="AP264" i="7"/>
  <c r="AV264" i="7" s="1"/>
  <c r="AP259" i="7"/>
  <c r="AV259" i="7" s="1"/>
  <c r="B221" i="14" s="1"/>
  <c r="AP256" i="7"/>
  <c r="K267" i="7"/>
  <c r="AP267" i="7" s="1"/>
  <c r="AV267" i="7" s="1"/>
  <c r="AP268" i="7"/>
  <c r="AV268" i="7" s="1"/>
  <c r="AP261" i="7"/>
  <c r="AV261" i="7" s="1"/>
  <c r="AP222" i="7"/>
  <c r="AV222" i="7" s="1"/>
  <c r="AP237" i="7"/>
  <c r="AV237" i="7" s="1"/>
  <c r="B205" i="14" s="1"/>
  <c r="AP224" i="7"/>
  <c r="AV224" i="7" s="1"/>
  <c r="AP231" i="7"/>
  <c r="AV231" i="7" s="1"/>
  <c r="K225" i="7"/>
  <c r="AP225" i="7" s="1"/>
  <c r="K236" i="7"/>
  <c r="AP236" i="7" s="1"/>
  <c r="AV236" i="7" s="1"/>
  <c r="AP223" i="7"/>
  <c r="AV223" i="7" s="1"/>
  <c r="K229" i="7"/>
  <c r="AP229" i="7" s="1"/>
  <c r="K239" i="7"/>
  <c r="AP239" i="7" s="1"/>
  <c r="AV239" i="7" s="1"/>
  <c r="AP235" i="7"/>
  <c r="AV235" i="7" s="1"/>
  <c r="K168" i="7"/>
  <c r="AP168" i="7" s="1"/>
  <c r="AV168" i="7" s="1"/>
  <c r="AP71" i="7"/>
  <c r="AV71" i="7" s="1"/>
  <c r="B67" i="14" s="1"/>
  <c r="AP89" i="7"/>
  <c r="AV89" i="7" s="1"/>
  <c r="B85" i="14" s="1"/>
  <c r="AP103" i="7"/>
  <c r="AV103" i="7" s="1"/>
  <c r="AP102" i="7"/>
  <c r="AV102" i="7" s="1"/>
  <c r="AP172" i="7"/>
  <c r="AV172" i="7" s="1"/>
  <c r="AP190" i="7"/>
  <c r="AV190" i="7" s="1"/>
  <c r="AW190" i="7" s="1"/>
  <c r="B163" i="15" s="1"/>
  <c r="K209" i="7"/>
  <c r="AP209" i="7" s="1"/>
  <c r="AV209" i="7" s="1"/>
  <c r="AP200" i="7"/>
  <c r="AV200" i="7" s="1"/>
  <c r="K197" i="7"/>
  <c r="AP197" i="7" s="1"/>
  <c r="AV197" i="7" s="1"/>
  <c r="K177" i="7"/>
  <c r="AP177" i="7" s="1"/>
  <c r="AV177" i="7" s="1"/>
  <c r="K169" i="7"/>
  <c r="AP169" i="7" s="1"/>
  <c r="AV169" i="7" s="1"/>
  <c r="AP179" i="7"/>
  <c r="AV179" i="7" s="1"/>
  <c r="AP170" i="7"/>
  <c r="AV170" i="7" s="1"/>
  <c r="K176" i="7"/>
  <c r="AP176" i="7" s="1"/>
  <c r="AV176" i="7" s="1"/>
  <c r="AP167" i="7"/>
  <c r="AV167" i="7" s="1"/>
  <c r="AP171" i="7"/>
  <c r="AV171" i="7" s="1"/>
  <c r="B151" i="14" s="1"/>
  <c r="AP178" i="7"/>
  <c r="AV178" i="7" s="1"/>
  <c r="AP166" i="7"/>
  <c r="AV166" i="7" s="1"/>
  <c r="AP165" i="7"/>
  <c r="AV165" i="7" s="1"/>
  <c r="K163" i="7"/>
  <c r="E160" i="7"/>
  <c r="F160" i="7" s="1"/>
  <c r="AP160" i="7" s="1"/>
  <c r="E162" i="7"/>
  <c r="F162" i="7" s="1"/>
  <c r="AP162" i="7" s="1"/>
  <c r="AV162" i="7" s="1"/>
  <c r="AP174" i="7"/>
  <c r="AV174" i="7" s="1"/>
  <c r="E163" i="7"/>
  <c r="F163" i="7" s="1"/>
  <c r="E161" i="7"/>
  <c r="F161" i="7" s="1"/>
  <c r="AP112" i="7"/>
  <c r="AV112" i="7" s="1"/>
  <c r="F100" i="7"/>
  <c r="F101" i="7"/>
  <c r="AP111" i="7"/>
  <c r="AV111" i="7" s="1"/>
  <c r="K114" i="7"/>
  <c r="AP114" i="7" s="1"/>
  <c r="AV114" i="7" s="1"/>
  <c r="AP87" i="7"/>
  <c r="AV87" i="7" s="1"/>
  <c r="B83" i="14" s="1"/>
  <c r="AP80" i="7"/>
  <c r="AV80" i="7" s="1"/>
  <c r="B76" i="14" s="1"/>
  <c r="AB72" i="7"/>
  <c r="AC72" i="7" s="1"/>
  <c r="E76" i="7"/>
  <c r="F76" i="7" s="1"/>
  <c r="E77" i="7"/>
  <c r="F77" i="7" s="1"/>
  <c r="AP81" i="7"/>
  <c r="AQ81" i="7" s="1"/>
  <c r="F70" i="7"/>
  <c r="E73" i="7"/>
  <c r="F73" i="7" s="1"/>
  <c r="AP73" i="7" s="1"/>
  <c r="AP86" i="7"/>
  <c r="AV86" i="7" s="1"/>
  <c r="B82" i="14" s="1"/>
  <c r="AP72" i="7"/>
  <c r="AV72" i="7" s="1"/>
  <c r="B68" i="14" s="1"/>
  <c r="AP192" i="7"/>
  <c r="AV192" i="7" s="1"/>
  <c r="AP105" i="7"/>
  <c r="AV105" i="7" s="1"/>
  <c r="B96" i="14" s="1"/>
  <c r="AP88" i="7"/>
  <c r="AV88" i="7" s="1"/>
  <c r="B84" i="14" s="1"/>
  <c r="AP53" i="7"/>
  <c r="AV53" i="7" s="1"/>
  <c r="B55" i="14" s="1"/>
  <c r="AP11" i="7"/>
  <c r="AV11" i="7" s="1"/>
  <c r="K28" i="7"/>
  <c r="AP28" i="7" s="1"/>
  <c r="AV28" i="7" s="1"/>
  <c r="AX28" i="7" s="1"/>
  <c r="K27" i="7"/>
  <c r="AP27" i="7" s="1"/>
  <c r="AV27" i="7" s="1"/>
  <c r="K17" i="7"/>
  <c r="AP17" i="7" s="1"/>
  <c r="AV17" i="7" s="1"/>
  <c r="AP113" i="7"/>
  <c r="AV113" i="7" s="1"/>
  <c r="B104" i="14" s="1"/>
  <c r="AP116" i="7"/>
  <c r="AV116" i="7" s="1"/>
  <c r="K119" i="7"/>
  <c r="AP119" i="7" s="1"/>
  <c r="AV119" i="7" s="1"/>
  <c r="AP104" i="7"/>
  <c r="AV104" i="7" s="1"/>
  <c r="K108" i="7"/>
  <c r="AP108" i="7" s="1"/>
  <c r="K107" i="7"/>
  <c r="AP107" i="7" s="1"/>
  <c r="AV107" i="7" s="1"/>
  <c r="K100" i="7"/>
  <c r="K118" i="7"/>
  <c r="AP118" i="7" s="1"/>
  <c r="AV118" i="7" s="1"/>
  <c r="K117" i="7"/>
  <c r="AP117" i="7" s="1"/>
  <c r="AV117" i="7" s="1"/>
  <c r="B108" i="14" s="1"/>
  <c r="AP83" i="7"/>
  <c r="AU83" i="7" s="1"/>
  <c r="AP75" i="7"/>
  <c r="AU75" i="7" s="1"/>
  <c r="AP52" i="7"/>
  <c r="AV52" i="7" s="1"/>
  <c r="AP44" i="7"/>
  <c r="AV44" i="7" s="1"/>
  <c r="AP56" i="7"/>
  <c r="AV56" i="7" s="1"/>
  <c r="AA77" i="7"/>
  <c r="AB77" i="7" s="1"/>
  <c r="AC77" i="7" s="1"/>
  <c r="AA74" i="7"/>
  <c r="AB74" i="7" s="1"/>
  <c r="AC74" i="7" s="1"/>
  <c r="J84" i="7"/>
  <c r="K84" i="7" s="1"/>
  <c r="AP84" i="7" s="1"/>
  <c r="J74" i="7"/>
  <c r="K74" i="7" s="1"/>
  <c r="AP74" i="7" s="1"/>
  <c r="J85" i="7"/>
  <c r="K85" i="7" s="1"/>
  <c r="AP85" i="7" s="1"/>
  <c r="AA79" i="7"/>
  <c r="AB79" i="7" s="1"/>
  <c r="AC79" i="7" s="1"/>
  <c r="J77" i="7"/>
  <c r="K77" i="7" s="1"/>
  <c r="AU78" i="7"/>
  <c r="AQ78" i="7"/>
  <c r="AV78" i="7"/>
  <c r="B74" i="14" s="1"/>
  <c r="AV79" i="7"/>
  <c r="B75" i="14" s="1"/>
  <c r="AA85" i="7"/>
  <c r="AB85" i="7" s="1"/>
  <c r="AC85" i="7" s="1"/>
  <c r="AA82" i="7"/>
  <c r="AB82" i="7" s="1"/>
  <c r="AC82" i="7" s="1"/>
  <c r="J76" i="7"/>
  <c r="K76" i="7" s="1"/>
  <c r="AA71" i="7"/>
  <c r="AB71" i="7" s="1"/>
  <c r="AC71" i="7" s="1"/>
  <c r="AA87" i="7"/>
  <c r="AB87" i="7" s="1"/>
  <c r="AC87" i="7" s="1"/>
  <c r="J82" i="7"/>
  <c r="K82" i="7" s="1"/>
  <c r="AP82" i="7" s="1"/>
  <c r="J70" i="7"/>
  <c r="K70" i="7" s="1"/>
  <c r="AP257" i="7"/>
  <c r="AV257" i="7" s="1"/>
  <c r="AP22" i="7"/>
  <c r="AU22" i="7" s="1"/>
  <c r="AB108" i="7"/>
  <c r="AC108" i="7" s="1"/>
  <c r="AB250" i="7"/>
  <c r="AC250" i="7" s="1"/>
  <c r="AB29" i="7"/>
  <c r="AC29" i="7" s="1"/>
  <c r="AQ29" i="7" s="1"/>
  <c r="AA254" i="7"/>
  <c r="AB254" i="7" s="1"/>
  <c r="AC254" i="7" s="1"/>
  <c r="AB44" i="7"/>
  <c r="AC44" i="7" s="1"/>
  <c r="AB59" i="7"/>
  <c r="AC59" i="7" s="1"/>
  <c r="AB56" i="7"/>
  <c r="AC56" i="7" s="1"/>
  <c r="AB172" i="7"/>
  <c r="AC172" i="7" s="1"/>
  <c r="AA165" i="7"/>
  <c r="AB165" i="7" s="1"/>
  <c r="AC165" i="7" s="1"/>
  <c r="AA163" i="7"/>
  <c r="AB163" i="7" s="1"/>
  <c r="AC163" i="7" s="1"/>
  <c r="AB234" i="7"/>
  <c r="AC234" i="7" s="1"/>
  <c r="AU234" i="7" s="1"/>
  <c r="AA27" i="7"/>
  <c r="AB27" i="7" s="1"/>
  <c r="AC27" i="7" s="1"/>
  <c r="K191" i="7"/>
  <c r="AP191" i="7" s="1"/>
  <c r="AV191" i="7" s="1"/>
  <c r="AB251" i="7"/>
  <c r="AC251" i="7" s="1"/>
  <c r="AB52" i="7"/>
  <c r="AC52" i="7" s="1"/>
  <c r="AB48" i="7"/>
  <c r="AC48" i="7" s="1"/>
  <c r="AU48" i="7" s="1"/>
  <c r="AB15" i="7"/>
  <c r="AC15" i="7" s="1"/>
  <c r="AB17" i="7"/>
  <c r="AC17" i="7" s="1"/>
  <c r="AA43" i="7"/>
  <c r="AB43" i="7" s="1"/>
  <c r="AC43" i="7" s="1"/>
  <c r="AA56" i="7"/>
  <c r="AA252" i="7"/>
  <c r="AB252" i="7" s="1"/>
  <c r="AC252" i="7" s="1"/>
  <c r="AA235" i="7"/>
  <c r="AB235" i="7" s="1"/>
  <c r="AC235" i="7" s="1"/>
  <c r="AA230" i="7"/>
  <c r="AB230" i="7" s="1"/>
  <c r="AC230" i="7" s="1"/>
  <c r="AA268" i="7"/>
  <c r="AB268" i="7" s="1"/>
  <c r="AC268" i="7" s="1"/>
  <c r="AA227" i="7"/>
  <c r="AB227" i="7" s="1"/>
  <c r="AC227" i="7" s="1"/>
  <c r="AB25" i="7"/>
  <c r="AC25" i="7" s="1"/>
  <c r="K25" i="7"/>
  <c r="AP25" i="7" s="1"/>
  <c r="AV25" i="7" s="1"/>
  <c r="AB170" i="7"/>
  <c r="AC170" i="7" s="1"/>
  <c r="AB101" i="7"/>
  <c r="AC101" i="7" s="1"/>
  <c r="AA46" i="7"/>
  <c r="AB46" i="7" s="1"/>
  <c r="AC46" i="7" s="1"/>
  <c r="AB110" i="7"/>
  <c r="AC110" i="7" s="1"/>
  <c r="AA47" i="7"/>
  <c r="AB47" i="7" s="1"/>
  <c r="AC47" i="7" s="1"/>
  <c r="AA57" i="7"/>
  <c r="AB57" i="7" s="1"/>
  <c r="AC57" i="7" s="1"/>
  <c r="AA105" i="7"/>
  <c r="AB105" i="7" s="1"/>
  <c r="AC105" i="7" s="1"/>
  <c r="AA171" i="7"/>
  <c r="AB171" i="7" s="1"/>
  <c r="AC171" i="7" s="1"/>
  <c r="AA261" i="7"/>
  <c r="AB261" i="7" s="1"/>
  <c r="AC261" i="7" s="1"/>
  <c r="AA192" i="7"/>
  <c r="AB192" i="7" s="1"/>
  <c r="AC192" i="7" s="1"/>
  <c r="AA258" i="7"/>
  <c r="AB258" i="7" s="1"/>
  <c r="AC258" i="7" s="1"/>
  <c r="AA23" i="7"/>
  <c r="AB23" i="7" s="1"/>
  <c r="AC23" i="7" s="1"/>
  <c r="AB169" i="7"/>
  <c r="AC169" i="7" s="1"/>
  <c r="AP175" i="7"/>
  <c r="AV175" i="7" s="1"/>
  <c r="AP227" i="7"/>
  <c r="AV227" i="7" s="1"/>
  <c r="AB259" i="7"/>
  <c r="AC259" i="7" s="1"/>
  <c r="AB208" i="7"/>
  <c r="AC208" i="7" s="1"/>
  <c r="AW208" i="7" s="1"/>
  <c r="AB168" i="7"/>
  <c r="AC168" i="7" s="1"/>
  <c r="AB262" i="7"/>
  <c r="AC262" i="7" s="1"/>
  <c r="AB112" i="7"/>
  <c r="AC112" i="7" s="1"/>
  <c r="AB106" i="7"/>
  <c r="AC106" i="7" s="1"/>
  <c r="AB260" i="7"/>
  <c r="AC260" i="7" s="1"/>
  <c r="AB102" i="7"/>
  <c r="AC102" i="7" s="1"/>
  <c r="AB42" i="7"/>
  <c r="AC42" i="7" s="1"/>
  <c r="AB226" i="7"/>
  <c r="AC226" i="7" s="1"/>
  <c r="AA107" i="7"/>
  <c r="AB107" i="7" s="1"/>
  <c r="AC107" i="7" s="1"/>
  <c r="AB14" i="7"/>
  <c r="AC14" i="7" s="1"/>
  <c r="AA119" i="7"/>
  <c r="AB119" i="7" s="1"/>
  <c r="AC119" i="7" s="1"/>
  <c r="AA160" i="7"/>
  <c r="AB160" i="7" s="1"/>
  <c r="AC160" i="7" s="1"/>
  <c r="AA177" i="7"/>
  <c r="AB177" i="7" s="1"/>
  <c r="AC177" i="7" s="1"/>
  <c r="AA100" i="7"/>
  <c r="AB100" i="7" s="1"/>
  <c r="AC100" i="7" s="1"/>
  <c r="AA109" i="7"/>
  <c r="AB109" i="7" s="1"/>
  <c r="AC109" i="7" s="1"/>
  <c r="AA237" i="7"/>
  <c r="AB237" i="7" s="1"/>
  <c r="AC237" i="7" s="1"/>
  <c r="AA194" i="7"/>
  <c r="AB194" i="7" s="1"/>
  <c r="AC194" i="7" s="1"/>
  <c r="AA265" i="7"/>
  <c r="AB265" i="7" s="1"/>
  <c r="AC265" i="7" s="1"/>
  <c r="AB118" i="7"/>
  <c r="AC118" i="7" s="1"/>
  <c r="AA50" i="7"/>
  <c r="AB50" i="7" s="1"/>
  <c r="AC50" i="7" s="1"/>
  <c r="AB161" i="7"/>
  <c r="AC161" i="7" s="1"/>
  <c r="AB256" i="7"/>
  <c r="AC256" i="7" s="1"/>
  <c r="AB257" i="7"/>
  <c r="AC257" i="7" s="1"/>
  <c r="AB225" i="7"/>
  <c r="AC225" i="7" s="1"/>
  <c r="AB167" i="7"/>
  <c r="AC167" i="7" s="1"/>
  <c r="AB229" i="7"/>
  <c r="AC229" i="7" s="1"/>
  <c r="AB193" i="7"/>
  <c r="AC193" i="7" s="1"/>
  <c r="AU193" i="7" s="1"/>
  <c r="AB195" i="7"/>
  <c r="AC195" i="7" s="1"/>
  <c r="AQ195" i="7" s="1"/>
  <c r="AB255" i="7"/>
  <c r="AC255" i="7" s="1"/>
  <c r="AB175" i="7"/>
  <c r="AC175" i="7" s="1"/>
  <c r="AB103" i="7"/>
  <c r="AC103" i="7" s="1"/>
  <c r="AB206" i="7"/>
  <c r="AC206" i="7" s="1"/>
  <c r="AB114" i="7"/>
  <c r="AC114" i="7" s="1"/>
  <c r="AB221" i="7"/>
  <c r="AC221" i="7" s="1"/>
  <c r="AX221" i="7" s="1"/>
  <c r="B189" i="16" s="1"/>
  <c r="AB116" i="7"/>
  <c r="AC116" i="7" s="1"/>
  <c r="AB173" i="7"/>
  <c r="AC173" i="7" s="1"/>
  <c r="AB51" i="7"/>
  <c r="AC51" i="7" s="1"/>
  <c r="AB164" i="7"/>
  <c r="AC164" i="7" s="1"/>
  <c r="AA40" i="7"/>
  <c r="AB40" i="7" s="1"/>
  <c r="AC40" i="7" s="1"/>
  <c r="AA53" i="7"/>
  <c r="AB53" i="7" s="1"/>
  <c r="AC53" i="7" s="1"/>
  <c r="AA197" i="7"/>
  <c r="AB197" i="7" s="1"/>
  <c r="AC197" i="7" s="1"/>
  <c r="AA162" i="7"/>
  <c r="AB162" i="7" s="1"/>
  <c r="AC162" i="7" s="1"/>
  <c r="AA113" i="7"/>
  <c r="AB113" i="7" s="1"/>
  <c r="AC113" i="7" s="1"/>
  <c r="AA224" i="7"/>
  <c r="AB224" i="7" s="1"/>
  <c r="AC224" i="7" s="1"/>
  <c r="AA238" i="7"/>
  <c r="AB238" i="7" s="1"/>
  <c r="AC238" i="7" s="1"/>
  <c r="AA198" i="7"/>
  <c r="AB198" i="7" s="1"/>
  <c r="AC198" i="7" s="1"/>
  <c r="AA264" i="7"/>
  <c r="AB264" i="7" s="1"/>
  <c r="AC264" i="7" s="1"/>
  <c r="AA200" i="7"/>
  <c r="AB200" i="7" s="1"/>
  <c r="AC200" i="7" s="1"/>
  <c r="AA269" i="7"/>
  <c r="AB269" i="7" s="1"/>
  <c r="AC269" i="7" s="1"/>
  <c r="AB55" i="7"/>
  <c r="AC55" i="7" s="1"/>
  <c r="AA209" i="7"/>
  <c r="AB209" i="7" s="1"/>
  <c r="AC209" i="7" s="1"/>
  <c r="AB178" i="7"/>
  <c r="AC178" i="7" s="1"/>
  <c r="AB174" i="7"/>
  <c r="AC174" i="7" s="1"/>
  <c r="K226" i="7"/>
  <c r="AP226" i="7" s="1"/>
  <c r="AV226" i="7" s="1"/>
  <c r="K47" i="7"/>
  <c r="AP47" i="7" s="1"/>
  <c r="AV47" i="7" s="1"/>
  <c r="AP20" i="7"/>
  <c r="AV20" i="7" s="1"/>
  <c r="AB233" i="7"/>
  <c r="AC233" i="7" s="1"/>
  <c r="AB266" i="7"/>
  <c r="AC266" i="7" s="1"/>
  <c r="AB267" i="7"/>
  <c r="AC267" i="7" s="1"/>
  <c r="AB201" i="7"/>
  <c r="AC201" i="7" s="1"/>
  <c r="AU201" i="7" s="1"/>
  <c r="AB263" i="7"/>
  <c r="AC263" i="7" s="1"/>
  <c r="AB231" i="7"/>
  <c r="AC231" i="7" s="1"/>
  <c r="AB203" i="7"/>
  <c r="AC203" i="7" s="1"/>
  <c r="AB196" i="7"/>
  <c r="AC196" i="7" s="1"/>
  <c r="AW196" i="7" s="1"/>
  <c r="AB205" i="7"/>
  <c r="AC205" i="7" s="1"/>
  <c r="AU205" i="7" s="1"/>
  <c r="AB236" i="7"/>
  <c r="AC236" i="7" s="1"/>
  <c r="AB207" i="7"/>
  <c r="AC207" i="7" s="1"/>
  <c r="AQ207" i="7" s="1"/>
  <c r="AA176" i="7"/>
  <c r="AB176" i="7" s="1"/>
  <c r="AC176" i="7" s="1"/>
  <c r="AA41" i="7"/>
  <c r="AB41" i="7" s="1"/>
  <c r="AC41" i="7" s="1"/>
  <c r="AB179" i="7"/>
  <c r="AC179" i="7" s="1"/>
  <c r="AB45" i="7"/>
  <c r="AC45" i="7" s="1"/>
  <c r="AB49" i="7"/>
  <c r="AC49" i="7" s="1"/>
  <c r="AB58" i="7"/>
  <c r="AC58" i="7" s="1"/>
  <c r="AB190" i="7"/>
  <c r="AC190" i="7" s="1"/>
  <c r="AB222" i="7"/>
  <c r="AC222" i="7" s="1"/>
  <c r="AA21" i="7"/>
  <c r="AB21" i="7" s="1"/>
  <c r="AC21" i="7" s="1"/>
  <c r="AA10" i="7"/>
  <c r="AB10" i="7" s="1"/>
  <c r="AC10" i="7" s="1"/>
  <c r="AA115" i="7"/>
  <c r="AB115" i="7" s="1"/>
  <c r="AC115" i="7" s="1"/>
  <c r="AA111" i="7"/>
  <c r="AB111" i="7" s="1"/>
  <c r="AC111" i="7" s="1"/>
  <c r="AA199" i="7"/>
  <c r="AB199" i="7" s="1"/>
  <c r="AC199" i="7" s="1"/>
  <c r="AA104" i="7"/>
  <c r="AB104" i="7" s="1"/>
  <c r="AC104" i="7" s="1"/>
  <c r="AA166" i="7"/>
  <c r="AB166" i="7" s="1"/>
  <c r="AC166" i="7" s="1"/>
  <c r="AA117" i="7"/>
  <c r="AB117" i="7" s="1"/>
  <c r="AC117" i="7" s="1"/>
  <c r="AA191" i="7"/>
  <c r="AB191" i="7" s="1"/>
  <c r="AC191" i="7" s="1"/>
  <c r="AA253" i="7"/>
  <c r="AB253" i="7" s="1"/>
  <c r="AC253" i="7" s="1"/>
  <c r="AA239" i="7"/>
  <c r="AB239" i="7" s="1"/>
  <c r="AC239" i="7" s="1"/>
  <c r="AA202" i="7"/>
  <c r="AB202" i="7" s="1"/>
  <c r="AC202" i="7" s="1"/>
  <c r="AA232" i="7"/>
  <c r="AB232" i="7" s="1"/>
  <c r="AC232" i="7" s="1"/>
  <c r="AA228" i="7"/>
  <c r="AB228" i="7" s="1"/>
  <c r="AC228" i="7" s="1"/>
  <c r="AA204" i="7"/>
  <c r="AB204" i="7" s="1"/>
  <c r="AC204" i="7" s="1"/>
  <c r="AA220" i="7"/>
  <c r="AB220" i="7" s="1"/>
  <c r="AC220" i="7" s="1"/>
  <c r="AB20" i="7"/>
  <c r="AC20" i="7" s="1"/>
  <c r="AA54" i="7"/>
  <c r="AB54" i="7" s="1"/>
  <c r="AC54" i="7" s="1"/>
  <c r="B182" i="14"/>
  <c r="K55" i="7"/>
  <c r="AP55" i="7" s="1"/>
  <c r="AV55" i="7" s="1"/>
  <c r="AV269" i="7"/>
  <c r="AQ221" i="7"/>
  <c r="AT221" i="7" s="1"/>
  <c r="AV193" i="7"/>
  <c r="B170" i="14"/>
  <c r="B189" i="14"/>
  <c r="B139" i="21"/>
  <c r="B140" i="21"/>
  <c r="B138" i="21" s="1"/>
  <c r="B116" i="13"/>
  <c r="B114" i="13" s="1"/>
  <c r="W268" i="13" s="1"/>
  <c r="B242" i="13"/>
  <c r="B252" i="13" s="1"/>
  <c r="B192" i="13"/>
  <c r="B213" i="13" s="1"/>
  <c r="B294" i="13"/>
  <c r="B122" i="13"/>
  <c r="B121" i="13" s="1"/>
  <c r="W272" i="13" s="1"/>
  <c r="B158" i="21"/>
  <c r="B302" i="13"/>
  <c r="B262" i="13"/>
  <c r="R288" i="13"/>
  <c r="U288" i="13" s="1"/>
  <c r="B202" i="13"/>
  <c r="B260" i="13"/>
  <c r="W271" i="13"/>
  <c r="AC277" i="13" s="1"/>
  <c r="L67" i="13"/>
  <c r="B300" i="13"/>
  <c r="B177" i="13"/>
  <c r="Q279" i="13"/>
  <c r="S279" i="13" s="1"/>
  <c r="Q287" i="13"/>
  <c r="S287" i="13" s="1"/>
  <c r="Q295" i="13"/>
  <c r="S295" i="13" s="1"/>
  <c r="Q280" i="13"/>
  <c r="S280" i="13" s="1"/>
  <c r="Q288" i="13"/>
  <c r="S288" i="13" s="1"/>
  <c r="Q296" i="13"/>
  <c r="S296" i="13" s="1"/>
  <c r="Q278" i="13"/>
  <c r="S278" i="13" s="1"/>
  <c r="Q281" i="13"/>
  <c r="S281" i="13" s="1"/>
  <c r="Q289" i="13"/>
  <c r="S289" i="13" s="1"/>
  <c r="Q282" i="13"/>
  <c r="S282" i="13" s="1"/>
  <c r="Q290" i="13"/>
  <c r="S290" i="13" s="1"/>
  <c r="Q283" i="13"/>
  <c r="S283" i="13" s="1"/>
  <c r="Q291" i="13"/>
  <c r="S291" i="13" s="1"/>
  <c r="Q284" i="13"/>
  <c r="S284" i="13" s="1"/>
  <c r="Q292" i="13"/>
  <c r="S292" i="13" s="1"/>
  <c r="Q285" i="13"/>
  <c r="S285" i="13" s="1"/>
  <c r="Q293" i="13"/>
  <c r="S293" i="13" s="1"/>
  <c r="Q286" i="13"/>
  <c r="S286" i="13" s="1"/>
  <c r="Q294" i="13"/>
  <c r="S294" i="13" s="1"/>
  <c r="W267" i="13"/>
  <c r="B292" i="13"/>
  <c r="K203" i="7"/>
  <c r="AP203" i="7" s="1"/>
  <c r="AV203" i="7" s="1"/>
  <c r="K115" i="7"/>
  <c r="AP115" i="7" s="1"/>
  <c r="K263" i="7"/>
  <c r="AP263" i="7" s="1"/>
  <c r="AQ263" i="7" s="1"/>
  <c r="K206" i="7"/>
  <c r="AP206" i="7" s="1"/>
  <c r="K262" i="7"/>
  <c r="AP262" i="7" s="1"/>
  <c r="AV262" i="7" s="1"/>
  <c r="K161" i="7"/>
  <c r="J164" i="7"/>
  <c r="K164" i="7" s="1"/>
  <c r="AP164" i="7" s="1"/>
  <c r="K42" i="7"/>
  <c r="AP42" i="7" s="1"/>
  <c r="AV42" i="7" s="1"/>
  <c r="K233" i="7"/>
  <c r="AP233" i="7" s="1"/>
  <c r="AV233" i="7" s="1"/>
  <c r="J101" i="7"/>
  <c r="K101" i="7" s="1"/>
  <c r="AV50" i="7"/>
  <c r="J251" i="7"/>
  <c r="K251" i="7" s="1"/>
  <c r="AP251" i="7" s="1"/>
  <c r="J41" i="7"/>
  <c r="K41" i="7" s="1"/>
  <c r="AV23" i="7"/>
  <c r="J252" i="7"/>
  <c r="K252" i="7" s="1"/>
  <c r="AP252" i="7" s="1"/>
  <c r="J173" i="7"/>
  <c r="K173" i="7" s="1"/>
  <c r="AP173" i="7" s="1"/>
  <c r="AV207" i="7"/>
  <c r="AU18" i="7"/>
  <c r="AV234" i="7"/>
  <c r="K45" i="7"/>
  <c r="AP45" i="7" s="1"/>
  <c r="J230" i="7"/>
  <c r="K230" i="7" s="1"/>
  <c r="AP230" i="7" s="1"/>
  <c r="J228" i="7"/>
  <c r="K228" i="7" s="1"/>
  <c r="AP228" i="7" s="1"/>
  <c r="K110" i="7"/>
  <c r="AP110" i="7" s="1"/>
  <c r="J202" i="7"/>
  <c r="K202" i="7" s="1"/>
  <c r="AP202" i="7" s="1"/>
  <c r="J198" i="7"/>
  <c r="K198" i="7" s="1"/>
  <c r="AP198" i="7" s="1"/>
  <c r="K109" i="7"/>
  <c r="AP109" i="7" s="1"/>
  <c r="J204" i="7"/>
  <c r="K204" i="7" s="1"/>
  <c r="AP204" i="7" s="1"/>
  <c r="AV29" i="7"/>
  <c r="K106" i="7"/>
  <c r="AP106" i="7" s="1"/>
  <c r="J194" i="7"/>
  <c r="K194" i="7" s="1"/>
  <c r="AP194" i="7" s="1"/>
  <c r="AV48" i="7"/>
  <c r="AQ48" i="7"/>
  <c r="AV49" i="7"/>
  <c r="AU49" i="7"/>
  <c r="AQ49" i="7"/>
  <c r="AV15" i="7"/>
  <c r="AX15" i="7" s="1"/>
  <c r="AU15" i="7"/>
  <c r="AQ15" i="7"/>
  <c r="AV14" i="7"/>
  <c r="AX14" i="7" s="1"/>
  <c r="AQ14" i="7"/>
  <c r="AU14" i="7"/>
  <c r="AV199" i="7"/>
  <c r="AV205" i="7"/>
  <c r="AV220" i="7"/>
  <c r="AV24" i="7"/>
  <c r="AX24" i="7" s="1"/>
  <c r="AU24" i="7"/>
  <c r="AQ24" i="7"/>
  <c r="AV195" i="7"/>
  <c r="AV201" i="7"/>
  <c r="AV232" i="7"/>
  <c r="Y370" i="13" l="1"/>
  <c r="Q262" i="21" s="1"/>
  <c r="X418" i="13"/>
  <c r="P306" i="21" s="1"/>
  <c r="X368" i="13"/>
  <c r="P260" i="21" s="1"/>
  <c r="X425" i="13"/>
  <c r="P313" i="21" s="1"/>
  <c r="X448" i="13"/>
  <c r="P334" i="21" s="1"/>
  <c r="Y452" i="13"/>
  <c r="Q338" i="21" s="1"/>
  <c r="X535" i="13"/>
  <c r="C279" i="17" s="1"/>
  <c r="X432" i="13"/>
  <c r="BE419" i="13" s="1"/>
  <c r="X441" i="13"/>
  <c r="P327" i="21" s="1"/>
  <c r="X491" i="13"/>
  <c r="P373" i="21" s="1"/>
  <c r="X525" i="13"/>
  <c r="P405" i="21" s="1"/>
  <c r="X474" i="13"/>
  <c r="P358" i="21" s="1"/>
  <c r="H63" i="21"/>
  <c r="H64" i="21"/>
  <c r="D21" i="17"/>
  <c r="AN302" i="13"/>
  <c r="AN300" i="13"/>
  <c r="AN301" i="13"/>
  <c r="AQ255" i="7"/>
  <c r="AV18" i="7"/>
  <c r="AX18" i="7" s="1"/>
  <c r="AV22" i="7"/>
  <c r="AX22" i="7" s="1"/>
  <c r="AU19" i="7"/>
  <c r="AQ19" i="7"/>
  <c r="AR19" i="7" s="1"/>
  <c r="AV19" i="7"/>
  <c r="AX19" i="7" s="1"/>
  <c r="AU16" i="7"/>
  <c r="AV16" i="7"/>
  <c r="AX16" i="7" s="1"/>
  <c r="B24" i="16" s="1"/>
  <c r="AV26" i="7"/>
  <c r="AX26" i="7" s="1"/>
  <c r="AQ22" i="7"/>
  <c r="AS22" i="7" s="1"/>
  <c r="AU25" i="7"/>
  <c r="AQ26" i="7"/>
  <c r="AS26" i="7" s="1"/>
  <c r="AU222" i="7"/>
  <c r="AV250" i="7"/>
  <c r="AQ250" i="7"/>
  <c r="AT250" i="7" s="1"/>
  <c r="AU12" i="7"/>
  <c r="AQ59" i="7"/>
  <c r="AR59" i="7" s="1"/>
  <c r="AU236" i="7"/>
  <c r="AQ266" i="7"/>
  <c r="AT266" i="7" s="1"/>
  <c r="AQ58" i="7"/>
  <c r="AS58" i="7" s="1"/>
  <c r="AU226" i="7"/>
  <c r="AU59" i="7"/>
  <c r="AV58" i="7"/>
  <c r="AW58" i="7" s="1"/>
  <c r="AQ223" i="7"/>
  <c r="AT223" i="7" s="1"/>
  <c r="AU135" i="7"/>
  <c r="AQ260" i="7"/>
  <c r="AT260" i="7" s="1"/>
  <c r="AQ231" i="7"/>
  <c r="AR231" i="7" s="1"/>
  <c r="AU259" i="7"/>
  <c r="AQ55" i="7"/>
  <c r="AS55" i="7" s="1"/>
  <c r="AU55" i="7"/>
  <c r="AQ20" i="7"/>
  <c r="AR20" i="7" s="1"/>
  <c r="AU260" i="7"/>
  <c r="AU17" i="7"/>
  <c r="AU255" i="7"/>
  <c r="AQ267" i="7"/>
  <c r="AT267" i="7" s="1"/>
  <c r="AQ56" i="7"/>
  <c r="AR56" i="7" s="1"/>
  <c r="AU143" i="7"/>
  <c r="AU13" i="7"/>
  <c r="P366" i="21"/>
  <c r="AM469" i="13"/>
  <c r="AO444" i="13"/>
  <c r="AO443" i="13"/>
  <c r="P337" i="21"/>
  <c r="AW443" i="13"/>
  <c r="AW444" i="13"/>
  <c r="P338" i="21"/>
  <c r="AW419" i="13"/>
  <c r="P315" i="21"/>
  <c r="AW418" i="13"/>
  <c r="P292" i="21"/>
  <c r="AW394" i="13"/>
  <c r="AW393" i="13"/>
  <c r="AF394" i="13"/>
  <c r="P294" i="21"/>
  <c r="P69" i="21"/>
  <c r="W212" i="21"/>
  <c r="X534" i="13"/>
  <c r="C278" i="17" s="1"/>
  <c r="D250" i="17"/>
  <c r="D253" i="17"/>
  <c r="X494" i="13"/>
  <c r="C239" i="18" s="1"/>
  <c r="D222" i="17"/>
  <c r="X471" i="13"/>
  <c r="C169" i="16" s="1"/>
  <c r="D228" i="17"/>
  <c r="D230" i="17"/>
  <c r="D225" i="17"/>
  <c r="D207" i="17"/>
  <c r="D192" i="17"/>
  <c r="X447" i="13"/>
  <c r="C146" i="14" s="1"/>
  <c r="D202" i="17"/>
  <c r="X449" i="13"/>
  <c r="C147" i="15" s="1"/>
  <c r="D198" i="17"/>
  <c r="D190" i="17"/>
  <c r="X454" i="13"/>
  <c r="C152" i="15" s="1"/>
  <c r="Y352" i="13"/>
  <c r="Q246" i="21" s="1"/>
  <c r="X352" i="13"/>
  <c r="P246" i="21" s="1"/>
  <c r="Y350" i="13"/>
  <c r="Q244" i="21" s="1"/>
  <c r="X350" i="13"/>
  <c r="P244" i="21" s="1"/>
  <c r="Y345" i="13"/>
  <c r="Q239" i="21" s="1"/>
  <c r="X345" i="13"/>
  <c r="D188" i="17"/>
  <c r="Y344" i="13"/>
  <c r="Q238" i="21" s="1"/>
  <c r="X344" i="13"/>
  <c r="C69" i="18" s="1"/>
  <c r="X468" i="13"/>
  <c r="C166" i="16" s="1"/>
  <c r="X443" i="13"/>
  <c r="C142" i="16" s="1"/>
  <c r="Y353" i="13"/>
  <c r="Q247" i="21" s="1"/>
  <c r="X353" i="13"/>
  <c r="P247" i="21" s="1"/>
  <c r="Y351" i="13"/>
  <c r="Q245" i="21" s="1"/>
  <c r="X351" i="13"/>
  <c r="P245" i="21" s="1"/>
  <c r="X373" i="13"/>
  <c r="Y354" i="13"/>
  <c r="Q248" i="21" s="1"/>
  <c r="X354" i="13"/>
  <c r="C55" i="16" s="1"/>
  <c r="X507" i="13"/>
  <c r="C252" i="17" s="1"/>
  <c r="Y348" i="13"/>
  <c r="Q242" i="21" s="1"/>
  <c r="X348" i="13"/>
  <c r="P242" i="21" s="1"/>
  <c r="Y347" i="13"/>
  <c r="Q241" i="21" s="1"/>
  <c r="X347" i="13"/>
  <c r="Y346" i="13"/>
  <c r="Q240" i="21" s="1"/>
  <c r="X346" i="13"/>
  <c r="C47" i="16" s="1"/>
  <c r="Y358" i="13"/>
  <c r="Q252" i="21" s="1"/>
  <c r="X358" i="13"/>
  <c r="P252" i="21" s="1"/>
  <c r="Y357" i="13"/>
  <c r="Q251" i="21" s="1"/>
  <c r="X357" i="13"/>
  <c r="P251" i="21" s="1"/>
  <c r="AM468" i="13"/>
  <c r="Y349" i="13"/>
  <c r="Q243" i="21" s="1"/>
  <c r="X349" i="13"/>
  <c r="P243" i="21" s="1"/>
  <c r="Y342" i="13"/>
  <c r="Q236" i="21" s="1"/>
  <c r="X342" i="13"/>
  <c r="Y356" i="13"/>
  <c r="Q250" i="21" s="1"/>
  <c r="X356" i="13"/>
  <c r="Y355" i="13"/>
  <c r="Q249" i="21" s="1"/>
  <c r="X355" i="13"/>
  <c r="P249" i="21" s="1"/>
  <c r="D180" i="17"/>
  <c r="X422" i="13"/>
  <c r="P310" i="21" s="1"/>
  <c r="D176" i="17"/>
  <c r="D169" i="17"/>
  <c r="D177" i="17"/>
  <c r="D158" i="17"/>
  <c r="X409" i="13"/>
  <c r="C157" i="17" s="1"/>
  <c r="Y402" i="13"/>
  <c r="Q292" i="21" s="1"/>
  <c r="X399" i="13"/>
  <c r="D156" i="17"/>
  <c r="D142" i="17"/>
  <c r="X401" i="13"/>
  <c r="C101" i="14" s="1"/>
  <c r="D118" i="17"/>
  <c r="D115" i="17"/>
  <c r="X381" i="13"/>
  <c r="C81" i="14" s="1"/>
  <c r="Y384" i="13"/>
  <c r="X374" i="13"/>
  <c r="D119" i="17"/>
  <c r="D25" i="17"/>
  <c r="D34" i="17"/>
  <c r="D35" i="17"/>
  <c r="Y317" i="13"/>
  <c r="P213" i="21" s="1"/>
  <c r="Y321" i="13"/>
  <c r="P217" i="21" s="1"/>
  <c r="D18" i="17"/>
  <c r="C61" i="15"/>
  <c r="C101" i="18"/>
  <c r="X519" i="13"/>
  <c r="X517" i="13"/>
  <c r="C213" i="19" s="1"/>
  <c r="X500" i="13"/>
  <c r="C196" i="15" s="1"/>
  <c r="X502" i="13"/>
  <c r="P384" i="21" s="1"/>
  <c r="X497" i="13"/>
  <c r="P379" i="21" s="1"/>
  <c r="X504" i="13"/>
  <c r="X467" i="13"/>
  <c r="C198" i="17"/>
  <c r="C198" i="18"/>
  <c r="Y335" i="13"/>
  <c r="C37" i="18" s="1"/>
  <c r="X472" i="13"/>
  <c r="P356" i="21" s="1"/>
  <c r="C265" i="18"/>
  <c r="C265" i="17"/>
  <c r="X476" i="13"/>
  <c r="C173" i="15" s="1"/>
  <c r="X529" i="13"/>
  <c r="P409" i="21" s="1"/>
  <c r="X377" i="13"/>
  <c r="C77" i="19" s="1"/>
  <c r="C195" i="17"/>
  <c r="C230" i="17"/>
  <c r="C230" i="18"/>
  <c r="X477" i="13"/>
  <c r="C174" i="15" s="1"/>
  <c r="X430" i="13"/>
  <c r="C177" i="17" s="1"/>
  <c r="X397" i="13"/>
  <c r="C145" i="18" s="1"/>
  <c r="X479" i="13"/>
  <c r="C85" i="18"/>
  <c r="X481" i="13"/>
  <c r="C178" i="15" s="1"/>
  <c r="C231" i="17"/>
  <c r="C231" i="18"/>
  <c r="C193" i="18"/>
  <c r="C193" i="17"/>
  <c r="Y319" i="13"/>
  <c r="C199" i="17"/>
  <c r="C199" i="18"/>
  <c r="X518" i="13"/>
  <c r="X450" i="13"/>
  <c r="C149" i="14" s="1"/>
  <c r="X457" i="13"/>
  <c r="C156" i="14" s="1"/>
  <c r="X478" i="13"/>
  <c r="C176" i="14" s="1"/>
  <c r="X393" i="13"/>
  <c r="C93" i="14" s="1"/>
  <c r="X493" i="13"/>
  <c r="P375" i="21" s="1"/>
  <c r="Q218" i="21"/>
  <c r="C279" i="18"/>
  <c r="C266" i="18"/>
  <c r="C266" i="17"/>
  <c r="C246" i="17"/>
  <c r="C246" i="18"/>
  <c r="C228" i="18"/>
  <c r="C228" i="17"/>
  <c r="C207" i="17"/>
  <c r="C207" i="18"/>
  <c r="X433" i="13"/>
  <c r="C180" i="17" s="1"/>
  <c r="C216" i="18"/>
  <c r="C216" i="17"/>
  <c r="X444" i="13"/>
  <c r="C143" i="14" s="1"/>
  <c r="X483" i="13"/>
  <c r="C270" i="18"/>
  <c r="C270" i="17"/>
  <c r="L73" i="21"/>
  <c r="X445" i="13"/>
  <c r="X475" i="13"/>
  <c r="C220" i="18"/>
  <c r="C220" i="17"/>
  <c r="C237" i="17"/>
  <c r="C237" i="18"/>
  <c r="X524" i="13"/>
  <c r="C220" i="19" s="1"/>
  <c r="X516" i="13"/>
  <c r="P396" i="21" s="1"/>
  <c r="X371" i="13"/>
  <c r="C71" i="15" s="1"/>
  <c r="Y318" i="13"/>
  <c r="P214" i="21" s="1"/>
  <c r="C217" i="17"/>
  <c r="Y334" i="13"/>
  <c r="C36" i="16" s="1"/>
  <c r="C174" i="18"/>
  <c r="C174" i="17"/>
  <c r="C165" i="18"/>
  <c r="C178" i="17"/>
  <c r="C178" i="18"/>
  <c r="Y96" i="21"/>
  <c r="W416" i="13"/>
  <c r="Y416" i="13" s="1"/>
  <c r="Q304" i="21" s="1"/>
  <c r="P416" i="13"/>
  <c r="C181" i="18"/>
  <c r="C181" i="17"/>
  <c r="Z416" i="13"/>
  <c r="X421" i="13"/>
  <c r="P309" i="21" s="1"/>
  <c r="C172" i="17"/>
  <c r="C172" i="18"/>
  <c r="X429" i="13"/>
  <c r="C152" i="18"/>
  <c r="C152" i="17"/>
  <c r="C139" i="18"/>
  <c r="C139" i="17"/>
  <c r="X407" i="13"/>
  <c r="X400" i="13"/>
  <c r="P290" i="21" s="1"/>
  <c r="Y98" i="21"/>
  <c r="Y101" i="21"/>
  <c r="X394" i="13"/>
  <c r="P284" i="21" s="1"/>
  <c r="C150" i="17"/>
  <c r="C150" i="18"/>
  <c r="Y391" i="13"/>
  <c r="Q281" i="21" s="1"/>
  <c r="X410" i="13"/>
  <c r="C109" i="15" s="1"/>
  <c r="C143" i="18"/>
  <c r="C143" i="17"/>
  <c r="C145" i="17"/>
  <c r="C118" i="18"/>
  <c r="C118" i="17"/>
  <c r="C132" i="17"/>
  <c r="C132" i="18"/>
  <c r="C116" i="18"/>
  <c r="C115" i="18"/>
  <c r="C115" i="17"/>
  <c r="X379" i="13"/>
  <c r="P271" i="21" s="1"/>
  <c r="X366" i="13"/>
  <c r="P258" i="21" s="1"/>
  <c r="C85" i="17"/>
  <c r="AP68" i="17" s="1"/>
  <c r="C109" i="18"/>
  <c r="C84" i="17"/>
  <c r="AN77" i="17" s="1"/>
  <c r="C108" i="18"/>
  <c r="C108" i="17"/>
  <c r="AN93" i="17" s="1"/>
  <c r="C84" i="18"/>
  <c r="AG101" i="21"/>
  <c r="AG98" i="21"/>
  <c r="C103" i="17"/>
  <c r="AD101" i="17" s="1"/>
  <c r="C68" i="17"/>
  <c r="H68" i="17" s="1"/>
  <c r="C92" i="18"/>
  <c r="C92" i="17"/>
  <c r="H97" i="17" s="1"/>
  <c r="C68" i="18"/>
  <c r="AG102" i="21"/>
  <c r="AG99" i="21"/>
  <c r="AG95" i="21"/>
  <c r="M73" i="21"/>
  <c r="AT74" i="21" s="1"/>
  <c r="S216" i="21"/>
  <c r="L84" i="21"/>
  <c r="Q227" i="21"/>
  <c r="L82" i="21"/>
  <c r="Q225" i="21"/>
  <c r="AM76" i="21"/>
  <c r="AM75" i="21"/>
  <c r="AM80" i="21"/>
  <c r="AM77" i="21"/>
  <c r="AM79" i="21"/>
  <c r="AM70" i="21"/>
  <c r="AM71" i="21"/>
  <c r="AM74" i="21"/>
  <c r="AM73" i="21"/>
  <c r="AM72" i="21"/>
  <c r="AM78" i="21"/>
  <c r="X72" i="21"/>
  <c r="X79" i="21"/>
  <c r="X75" i="21"/>
  <c r="X77" i="21"/>
  <c r="X74" i="21"/>
  <c r="X70" i="21"/>
  <c r="X78" i="21"/>
  <c r="X76" i="21"/>
  <c r="X71" i="21"/>
  <c r="X80" i="21"/>
  <c r="X73" i="21"/>
  <c r="S227" i="21"/>
  <c r="M84" i="21"/>
  <c r="L86" i="21"/>
  <c r="Q229" i="21"/>
  <c r="L71" i="21"/>
  <c r="Q214" i="21"/>
  <c r="D57" i="17"/>
  <c r="M71" i="21"/>
  <c r="AT72" i="21" s="1"/>
  <c r="S214" i="21"/>
  <c r="AC73" i="21"/>
  <c r="G63" i="21"/>
  <c r="AC76" i="21"/>
  <c r="AC78" i="21"/>
  <c r="AC75" i="21"/>
  <c r="AC79" i="21"/>
  <c r="AC71" i="21"/>
  <c r="AC77" i="21"/>
  <c r="AC74" i="21"/>
  <c r="AC80" i="21"/>
  <c r="AC72" i="21"/>
  <c r="AC70" i="21"/>
  <c r="D33" i="17"/>
  <c r="M81" i="21"/>
  <c r="S224" i="21"/>
  <c r="S229" i="21"/>
  <c r="M86" i="21"/>
  <c r="W303" i="13"/>
  <c r="M72" i="21"/>
  <c r="AT73" i="21" s="1"/>
  <c r="S215" i="21"/>
  <c r="AC208" i="21" s="1"/>
  <c r="S73" i="21"/>
  <c r="S70" i="21"/>
  <c r="S75" i="21"/>
  <c r="S77" i="21"/>
  <c r="S79" i="21"/>
  <c r="S71" i="21"/>
  <c r="S80" i="21"/>
  <c r="S76" i="21"/>
  <c r="S78" i="21"/>
  <c r="S74" i="21"/>
  <c r="S72" i="21"/>
  <c r="L77" i="21"/>
  <c r="Q220" i="21"/>
  <c r="D22" i="17"/>
  <c r="S225" i="21"/>
  <c r="M82" i="21"/>
  <c r="S213" i="21"/>
  <c r="M70" i="21"/>
  <c r="AT71" i="21" s="1"/>
  <c r="L79" i="21"/>
  <c r="Q222" i="21"/>
  <c r="L76" i="21"/>
  <c r="Q219" i="21"/>
  <c r="Y332" i="13"/>
  <c r="P228" i="21" s="1"/>
  <c r="S221" i="21"/>
  <c r="M78" i="21"/>
  <c r="AT79" i="21" s="1"/>
  <c r="D55" i="17"/>
  <c r="D46" i="17"/>
  <c r="S226" i="21"/>
  <c r="M83" i="21"/>
  <c r="L80" i="21"/>
  <c r="Q223" i="21"/>
  <c r="L69" i="21"/>
  <c r="Q212" i="21"/>
  <c r="L85" i="21"/>
  <c r="Q228" i="21"/>
  <c r="L78" i="21"/>
  <c r="Q221" i="21"/>
  <c r="L83" i="21"/>
  <c r="Q226" i="21"/>
  <c r="D43" i="17"/>
  <c r="AG103" i="21"/>
  <c r="S228" i="21"/>
  <c r="M85" i="21"/>
  <c r="M69" i="21"/>
  <c r="AT70" i="21" s="1"/>
  <c r="S212" i="21"/>
  <c r="Y326" i="13"/>
  <c r="P222" i="21" s="1"/>
  <c r="Y323" i="13"/>
  <c r="P219" i="21" s="1"/>
  <c r="L70" i="21"/>
  <c r="Q213" i="21"/>
  <c r="L74" i="21"/>
  <c r="Q217" i="21"/>
  <c r="D19" i="17"/>
  <c r="M79" i="21"/>
  <c r="AT80" i="21" s="1"/>
  <c r="S222" i="21"/>
  <c r="M80" i="21"/>
  <c r="S223" i="21"/>
  <c r="AH73" i="21"/>
  <c r="AH79" i="21"/>
  <c r="AH72" i="21"/>
  <c r="AH76" i="21"/>
  <c r="AH78" i="21"/>
  <c r="AH74" i="21"/>
  <c r="AH71" i="21"/>
  <c r="AH80" i="21"/>
  <c r="AH77" i="21"/>
  <c r="AH75" i="21"/>
  <c r="AH70" i="21"/>
  <c r="S219" i="21"/>
  <c r="M76" i="21"/>
  <c r="AT77" i="21" s="1"/>
  <c r="S220" i="21"/>
  <c r="M77" i="21"/>
  <c r="AT78" i="21" s="1"/>
  <c r="B147" i="21"/>
  <c r="B146" i="21" s="1"/>
  <c r="I205" i="21"/>
  <c r="X94" i="21"/>
  <c r="X103" i="21"/>
  <c r="Y103" i="21"/>
  <c r="Y95" i="21"/>
  <c r="Y94" i="21"/>
  <c r="T101" i="21"/>
  <c r="U101" i="21"/>
  <c r="U96" i="21"/>
  <c r="T96" i="21"/>
  <c r="AJ93" i="21"/>
  <c r="AK93" i="21"/>
  <c r="AJ99" i="21"/>
  <c r="AK99" i="21"/>
  <c r="AC101" i="21"/>
  <c r="AB101" i="21"/>
  <c r="AO103" i="21"/>
  <c r="AN103" i="21"/>
  <c r="AF95" i="21"/>
  <c r="K75" i="21"/>
  <c r="C24" i="18"/>
  <c r="C48" i="17"/>
  <c r="P50" i="17" s="1"/>
  <c r="C24" i="17"/>
  <c r="P18" i="17" s="1"/>
  <c r="C48" i="18"/>
  <c r="L72" i="21"/>
  <c r="X96" i="21"/>
  <c r="U100" i="21"/>
  <c r="T100" i="21"/>
  <c r="AJ96" i="21"/>
  <c r="AK96" i="21"/>
  <c r="AC100" i="21"/>
  <c r="AB100" i="21"/>
  <c r="AF98" i="21"/>
  <c r="AN100" i="21"/>
  <c r="AO100" i="21"/>
  <c r="AO95" i="21"/>
  <c r="AN95" i="21"/>
  <c r="Y99" i="21"/>
  <c r="AG100" i="21"/>
  <c r="K81" i="21"/>
  <c r="C30" i="18"/>
  <c r="C54" i="17"/>
  <c r="AB50" i="17" s="1"/>
  <c r="C30" i="17"/>
  <c r="AB18" i="17" s="1"/>
  <c r="C54" i="18"/>
  <c r="AF96" i="21"/>
  <c r="AK103" i="21"/>
  <c r="AJ103" i="21"/>
  <c r="X102" i="21"/>
  <c r="AO102" i="21"/>
  <c r="AN102" i="21"/>
  <c r="Y93" i="21"/>
  <c r="Y102" i="21"/>
  <c r="AO93" i="21"/>
  <c r="AN93" i="21"/>
  <c r="X95" i="21"/>
  <c r="AF93" i="21"/>
  <c r="U99" i="21"/>
  <c r="T99" i="21"/>
  <c r="AB103" i="21"/>
  <c r="AC103" i="21"/>
  <c r="AC99" i="21"/>
  <c r="AB99" i="21"/>
  <c r="X100" i="21"/>
  <c r="AN99" i="21"/>
  <c r="AO99" i="21"/>
  <c r="AO94" i="21"/>
  <c r="AN94" i="21"/>
  <c r="X93" i="21"/>
  <c r="AF100" i="21"/>
  <c r="AF99" i="21"/>
  <c r="AK95" i="21"/>
  <c r="AJ95" i="21"/>
  <c r="AF102" i="21"/>
  <c r="T103" i="21"/>
  <c r="U103" i="21"/>
  <c r="U98" i="21"/>
  <c r="T98" i="21"/>
  <c r="AK102" i="21"/>
  <c r="AJ102" i="21"/>
  <c r="AB95" i="21"/>
  <c r="AC95" i="21"/>
  <c r="AC98" i="21"/>
  <c r="AB98" i="21"/>
  <c r="Y100" i="21"/>
  <c r="AN98" i="21"/>
  <c r="AO98" i="21"/>
  <c r="T95" i="21"/>
  <c r="U95" i="21"/>
  <c r="AJ98" i="21"/>
  <c r="AK98" i="21"/>
  <c r="AK94" i="21"/>
  <c r="AJ94" i="21"/>
  <c r="AC102" i="21"/>
  <c r="AB102" i="21"/>
  <c r="AB97" i="21"/>
  <c r="AC97" i="21"/>
  <c r="AO97" i="21"/>
  <c r="AN97" i="21"/>
  <c r="AO101" i="21"/>
  <c r="AN101" i="21"/>
  <c r="T102" i="21"/>
  <c r="U102" i="21"/>
  <c r="U97" i="21"/>
  <c r="T97" i="21"/>
  <c r="AJ97" i="21"/>
  <c r="AK97" i="21"/>
  <c r="AK101" i="21"/>
  <c r="AJ101" i="21"/>
  <c r="AB93" i="21"/>
  <c r="AC93" i="21"/>
  <c r="AC94" i="21"/>
  <c r="AB94" i="21"/>
  <c r="K73" i="21"/>
  <c r="C22" i="18"/>
  <c r="C46" i="17"/>
  <c r="C22" i="17"/>
  <c r="C46" i="18"/>
  <c r="AF97" i="21"/>
  <c r="X99" i="21"/>
  <c r="X98" i="21"/>
  <c r="X97" i="21"/>
  <c r="AF101" i="21"/>
  <c r="T94" i="21"/>
  <c r="U94" i="21"/>
  <c r="U93" i="21"/>
  <c r="T93" i="21"/>
  <c r="AK100" i="21"/>
  <c r="AJ100" i="21"/>
  <c r="AB96" i="21"/>
  <c r="AC96" i="21"/>
  <c r="AO96" i="21"/>
  <c r="AN96" i="21"/>
  <c r="AF103" i="21"/>
  <c r="AG97" i="21"/>
  <c r="AG93" i="21"/>
  <c r="AG96" i="21"/>
  <c r="D99" i="17"/>
  <c r="D75" i="17"/>
  <c r="D107" i="17"/>
  <c r="D83" i="17"/>
  <c r="D100" i="17"/>
  <c r="D76" i="17"/>
  <c r="D92" i="17"/>
  <c r="D68" i="17"/>
  <c r="D27" i="17"/>
  <c r="D51" i="17"/>
  <c r="D95" i="17"/>
  <c r="D71" i="17"/>
  <c r="C95" i="19"/>
  <c r="C95" i="16"/>
  <c r="C95" i="14"/>
  <c r="C94" i="15"/>
  <c r="C183" i="19"/>
  <c r="C182" i="15"/>
  <c r="C183" i="16"/>
  <c r="C183" i="14"/>
  <c r="C169" i="19"/>
  <c r="C168" i="16"/>
  <c r="C167" i="15"/>
  <c r="C168" i="19"/>
  <c r="C168" i="14"/>
  <c r="C126" i="19"/>
  <c r="C126" i="16"/>
  <c r="C125" i="15"/>
  <c r="C126" i="14"/>
  <c r="C84" i="16"/>
  <c r="C84" i="15"/>
  <c r="C84" i="19"/>
  <c r="C84" i="14"/>
  <c r="C145" i="19"/>
  <c r="C145" i="16"/>
  <c r="C144" i="15"/>
  <c r="C145" i="14"/>
  <c r="C117" i="16"/>
  <c r="C67" i="19"/>
  <c r="C67" i="15"/>
  <c r="C67" i="14"/>
  <c r="C67" i="16"/>
  <c r="V289" i="13"/>
  <c r="U76" i="13" s="1"/>
  <c r="AA76" i="13" s="1"/>
  <c r="C68" i="15"/>
  <c r="C68" i="14"/>
  <c r="V281" i="13"/>
  <c r="U68" i="13" s="1"/>
  <c r="AA68" i="13" s="1"/>
  <c r="X523" i="13"/>
  <c r="P403" i="21" s="1"/>
  <c r="V290" i="13"/>
  <c r="U77" i="13" s="1"/>
  <c r="AA77" i="13" s="1"/>
  <c r="V283" i="13"/>
  <c r="U70" i="13" s="1"/>
  <c r="AA70" i="13" s="1"/>
  <c r="C146" i="15"/>
  <c r="C172" i="19"/>
  <c r="C171" i="15"/>
  <c r="X510" i="13"/>
  <c r="C217" i="16"/>
  <c r="C217" i="19"/>
  <c r="C216" i="15"/>
  <c r="C217" i="14"/>
  <c r="C221" i="14"/>
  <c r="X426" i="13"/>
  <c r="X375" i="13"/>
  <c r="P267" i="21" s="1"/>
  <c r="X380" i="13"/>
  <c r="P272" i="21" s="1"/>
  <c r="AC534" i="13"/>
  <c r="AC532" i="13"/>
  <c r="AC530" i="13"/>
  <c r="AC528" i="13"/>
  <c r="AC526" i="13"/>
  <c r="AC524" i="13"/>
  <c r="AC522" i="13"/>
  <c r="AC520" i="13"/>
  <c r="AC518" i="13"/>
  <c r="AC516" i="13"/>
  <c r="AC509" i="13"/>
  <c r="V408" i="21" s="1"/>
  <c r="AC507" i="13"/>
  <c r="V406" i="21" s="1"/>
  <c r="AC505" i="13"/>
  <c r="V404" i="21" s="1"/>
  <c r="AC503" i="13"/>
  <c r="V402" i="21" s="1"/>
  <c r="AC501" i="13"/>
  <c r="V400" i="21" s="1"/>
  <c r="AC499" i="13"/>
  <c r="V398" i="21" s="1"/>
  <c r="AC497" i="13"/>
  <c r="V396" i="21" s="1"/>
  <c r="AC495" i="13"/>
  <c r="AC493" i="13"/>
  <c r="AC491" i="13"/>
  <c r="V390" i="21" s="1"/>
  <c r="AC484" i="13"/>
  <c r="V383" i="21" s="1"/>
  <c r="AC482" i="13"/>
  <c r="V381" i="21" s="1"/>
  <c r="AC480" i="13"/>
  <c r="V379" i="21" s="1"/>
  <c r="AC478" i="13"/>
  <c r="V377" i="21" s="1"/>
  <c r="AC476" i="13"/>
  <c r="V375" i="21" s="1"/>
  <c r="AC474" i="13"/>
  <c r="V373" i="21" s="1"/>
  <c r="AC472" i="13"/>
  <c r="AC470" i="13"/>
  <c r="AC468" i="13"/>
  <c r="V367" i="21" s="1"/>
  <c r="AC466" i="13"/>
  <c r="V365" i="21" s="1"/>
  <c r="AC459" i="13"/>
  <c r="V358" i="21" s="1"/>
  <c r="AC457" i="13"/>
  <c r="V356" i="21" s="1"/>
  <c r="AC455" i="13"/>
  <c r="V354" i="21" s="1"/>
  <c r="AC453" i="13"/>
  <c r="V352" i="21" s="1"/>
  <c r="AC451" i="13"/>
  <c r="V350" i="21" s="1"/>
  <c r="AC449" i="13"/>
  <c r="AC447" i="13"/>
  <c r="AC445" i="13"/>
  <c r="V344" i="21" s="1"/>
  <c r="AC443" i="13"/>
  <c r="V342" i="21" s="1"/>
  <c r="AC441" i="13"/>
  <c r="V340" i="21" s="1"/>
  <c r="AC434" i="13"/>
  <c r="V333" i="21" s="1"/>
  <c r="AC432" i="13"/>
  <c r="V331" i="21" s="1"/>
  <c r="AC430" i="13"/>
  <c r="V329" i="21" s="1"/>
  <c r="AC428" i="13"/>
  <c r="V327" i="21" s="1"/>
  <c r="AC426" i="13"/>
  <c r="AC424" i="13"/>
  <c r="AC422" i="13"/>
  <c r="V321" i="21" s="1"/>
  <c r="AC420" i="13"/>
  <c r="V319" i="21" s="1"/>
  <c r="AC418" i="13"/>
  <c r="V317" i="21" s="1"/>
  <c r="AC416" i="13"/>
  <c r="V315" i="21" s="1"/>
  <c r="AC409" i="13"/>
  <c r="V308" i="21" s="1"/>
  <c r="AC407" i="13"/>
  <c r="V306" i="21" s="1"/>
  <c r="AC405" i="13"/>
  <c r="V304" i="21" s="1"/>
  <c r="AC403" i="13"/>
  <c r="AC401" i="13"/>
  <c r="AC399" i="13"/>
  <c r="V298" i="21" s="1"/>
  <c r="AC397" i="13"/>
  <c r="V296" i="21" s="1"/>
  <c r="AC395" i="13"/>
  <c r="V294" i="21" s="1"/>
  <c r="AC393" i="13"/>
  <c r="V292" i="21" s="1"/>
  <c r="AC391" i="13"/>
  <c r="V290" i="21" s="1"/>
  <c r="AC384" i="13"/>
  <c r="V283" i="21" s="1"/>
  <c r="AC382" i="13"/>
  <c r="AC380" i="13"/>
  <c r="W272" i="21" s="1"/>
  <c r="AC378" i="13"/>
  <c r="W270" i="21" s="1"/>
  <c r="AC376" i="13"/>
  <c r="W268" i="21" s="1"/>
  <c r="AC374" i="13"/>
  <c r="W266" i="21" s="1"/>
  <c r="AC372" i="13"/>
  <c r="W264" i="21" s="1"/>
  <c r="AC370" i="13"/>
  <c r="W262" i="21" s="1"/>
  <c r="AC368" i="13"/>
  <c r="W260" i="21" s="1"/>
  <c r="AC366" i="13"/>
  <c r="W258" i="21" s="1"/>
  <c r="AD321" i="13"/>
  <c r="AD329" i="13"/>
  <c r="AD324" i="13"/>
  <c r="AD332" i="13"/>
  <c r="AC535" i="13"/>
  <c r="AC533" i="13"/>
  <c r="AC531" i="13"/>
  <c r="AC529" i="13"/>
  <c r="AC527" i="13"/>
  <c r="AC525" i="13"/>
  <c r="AC523" i="13"/>
  <c r="AC521" i="13"/>
  <c r="AC519" i="13"/>
  <c r="AC517" i="13"/>
  <c r="AC510" i="13"/>
  <c r="V409" i="21" s="1"/>
  <c r="AC508" i="13"/>
  <c r="V407" i="21" s="1"/>
  <c r="AC506" i="13"/>
  <c r="V405" i="21" s="1"/>
  <c r="AC504" i="13"/>
  <c r="V403" i="21" s="1"/>
  <c r="AC502" i="13"/>
  <c r="V401" i="21" s="1"/>
  <c r="AC500" i="13"/>
  <c r="V399" i="21" s="1"/>
  <c r="AC498" i="13"/>
  <c r="V397" i="21" s="1"/>
  <c r="AC496" i="13"/>
  <c r="AC494" i="13"/>
  <c r="AC492" i="13"/>
  <c r="AC485" i="13"/>
  <c r="V384" i="21" s="1"/>
  <c r="AC483" i="13"/>
  <c r="V382" i="21" s="1"/>
  <c r="AC481" i="13"/>
  <c r="V380" i="21" s="1"/>
  <c r="AC479" i="13"/>
  <c r="V378" i="21" s="1"/>
  <c r="AC477" i="13"/>
  <c r="V376" i="21" s="1"/>
  <c r="AC475" i="13"/>
  <c r="V374" i="21" s="1"/>
  <c r="AC473" i="13"/>
  <c r="AC471" i="13"/>
  <c r="AC469" i="13"/>
  <c r="AC467" i="13"/>
  <c r="V366" i="21" s="1"/>
  <c r="AC460" i="13"/>
  <c r="V359" i="21" s="1"/>
  <c r="AC458" i="13"/>
  <c r="V357" i="21" s="1"/>
  <c r="AC456" i="13"/>
  <c r="V355" i="21" s="1"/>
  <c r="AC454" i="13"/>
  <c r="V353" i="21" s="1"/>
  <c r="AC452" i="13"/>
  <c r="V351" i="21" s="1"/>
  <c r="AC450" i="13"/>
  <c r="AC448" i="13"/>
  <c r="AC446" i="13"/>
  <c r="AC444" i="13"/>
  <c r="V343" i="21" s="1"/>
  <c r="AC442" i="13"/>
  <c r="V341" i="21" s="1"/>
  <c r="AC435" i="13"/>
  <c r="V334" i="21" s="1"/>
  <c r="AC433" i="13"/>
  <c r="V332" i="21" s="1"/>
  <c r="AC431" i="13"/>
  <c r="V330" i="21" s="1"/>
  <c r="AC429" i="13"/>
  <c r="V328" i="21" s="1"/>
  <c r="AC427" i="13"/>
  <c r="AC425" i="13"/>
  <c r="AC423" i="13"/>
  <c r="AC421" i="13"/>
  <c r="V320" i="21" s="1"/>
  <c r="AC419" i="13"/>
  <c r="V318" i="21" s="1"/>
  <c r="AC417" i="13"/>
  <c r="V316" i="21" s="1"/>
  <c r="AC410" i="13"/>
  <c r="V309" i="21" s="1"/>
  <c r="AC408" i="13"/>
  <c r="V307" i="21" s="1"/>
  <c r="AC406" i="13"/>
  <c r="V305" i="21" s="1"/>
  <c r="AC404" i="13"/>
  <c r="AC402" i="13"/>
  <c r="AC400" i="13"/>
  <c r="AC398" i="13"/>
  <c r="V297" i="21" s="1"/>
  <c r="AC396" i="13"/>
  <c r="V295" i="21" s="1"/>
  <c r="AC394" i="13"/>
  <c r="V293" i="21" s="1"/>
  <c r="AC392" i="13"/>
  <c r="V291" i="21" s="1"/>
  <c r="AC385" i="13"/>
  <c r="V284" i="21" s="1"/>
  <c r="AC383" i="13"/>
  <c r="AC381" i="13"/>
  <c r="W273" i="21" s="1"/>
  <c r="AC379" i="13"/>
  <c r="W271" i="21" s="1"/>
  <c r="AC377" i="13"/>
  <c r="W269" i="21" s="1"/>
  <c r="AC375" i="13"/>
  <c r="W267" i="21" s="1"/>
  <c r="AC373" i="13"/>
  <c r="W265" i="21" s="1"/>
  <c r="AC371" i="13"/>
  <c r="W263" i="21" s="1"/>
  <c r="AC369" i="13"/>
  <c r="W261" i="21" s="1"/>
  <c r="AC367" i="13"/>
  <c r="W259" i="21" s="1"/>
  <c r="AD317" i="13"/>
  <c r="AD325" i="13"/>
  <c r="AD333" i="13"/>
  <c r="AC356" i="13"/>
  <c r="W250" i="21" s="1"/>
  <c r="AC353" i="13"/>
  <c r="W247" i="21" s="1"/>
  <c r="AD318" i="13"/>
  <c r="AD330" i="13"/>
  <c r="AC359" i="13"/>
  <c r="AC346" i="13"/>
  <c r="W240" i="21" s="1"/>
  <c r="AC343" i="13"/>
  <c r="W237" i="21" s="1"/>
  <c r="AD319" i="13"/>
  <c r="AD331" i="13"/>
  <c r="AC348" i="13"/>
  <c r="W242" i="21" s="1"/>
  <c r="AC345" i="13"/>
  <c r="W239" i="21" s="1"/>
  <c r="AD323" i="13"/>
  <c r="AC354" i="13"/>
  <c r="W248" i="21" s="1"/>
  <c r="AC349" i="13"/>
  <c r="W243" i="21" s="1"/>
  <c r="AC344" i="13"/>
  <c r="W238" i="21" s="1"/>
  <c r="AD322" i="13"/>
  <c r="AD326" i="13"/>
  <c r="AC358" i="13"/>
  <c r="W252" i="21" s="1"/>
  <c r="AD327" i="13"/>
  <c r="AC352" i="13"/>
  <c r="W246" i="21" s="1"/>
  <c r="AC342" i="13"/>
  <c r="W236" i="21" s="1"/>
  <c r="AD328" i="13"/>
  <c r="AC357" i="13"/>
  <c r="W251" i="21" s="1"/>
  <c r="AC347" i="13"/>
  <c r="W241" i="21" s="1"/>
  <c r="AD334" i="13"/>
  <c r="AD335" i="13"/>
  <c r="AC350" i="13"/>
  <c r="W244" i="21" s="1"/>
  <c r="AC360" i="13"/>
  <c r="AC351" i="13"/>
  <c r="W245" i="21" s="1"/>
  <c r="AD320" i="13"/>
  <c r="AC355" i="13"/>
  <c r="W249" i="21" s="1"/>
  <c r="X505" i="13"/>
  <c r="P387" i="21" s="1"/>
  <c r="X466" i="13"/>
  <c r="P350" i="21" s="1"/>
  <c r="X408" i="13"/>
  <c r="P298" i="21" s="1"/>
  <c r="C213" i="14"/>
  <c r="X378" i="13"/>
  <c r="X527" i="13"/>
  <c r="P407" i="21" s="1"/>
  <c r="Y485" i="13"/>
  <c r="V295" i="13"/>
  <c r="V293" i="13"/>
  <c r="U80" i="13" s="1"/>
  <c r="AA80" i="13" s="1"/>
  <c r="C150" i="19"/>
  <c r="C150" i="16"/>
  <c r="C149" i="15"/>
  <c r="C150" i="14"/>
  <c r="Y470" i="13"/>
  <c r="Q354" i="21" s="1"/>
  <c r="X509" i="13"/>
  <c r="X424" i="13"/>
  <c r="P312" i="21" s="1"/>
  <c r="Y395" i="13"/>
  <c r="Q285" i="21" s="1"/>
  <c r="Y330" i="13"/>
  <c r="P226" i="21" s="1"/>
  <c r="C44" i="19"/>
  <c r="C44" i="16"/>
  <c r="C44" i="15"/>
  <c r="C44" i="14"/>
  <c r="Y329" i="13"/>
  <c r="P225" i="21" s="1"/>
  <c r="C24" i="16"/>
  <c r="C24" i="19"/>
  <c r="C24" i="15"/>
  <c r="C24" i="14"/>
  <c r="V278" i="13"/>
  <c r="U65" i="13" s="1"/>
  <c r="AA65" i="13" s="1"/>
  <c r="C173" i="19"/>
  <c r="C173" i="16"/>
  <c r="V291" i="13"/>
  <c r="U78" i="13" s="1"/>
  <c r="AA78" i="13" s="1"/>
  <c r="C204" i="14"/>
  <c r="C215" i="19"/>
  <c r="C214" i="15"/>
  <c r="C215" i="16"/>
  <c r="C215" i="14"/>
  <c r="X417" i="13"/>
  <c r="P305" i="21" s="1"/>
  <c r="C102" i="19"/>
  <c r="C102" i="14"/>
  <c r="C101" i="15"/>
  <c r="C102" i="16"/>
  <c r="V284" i="13"/>
  <c r="U71" i="13" s="1"/>
  <c r="AA71" i="13" s="1"/>
  <c r="V287" i="13"/>
  <c r="U74" i="13" s="1"/>
  <c r="AA74" i="13" s="1"/>
  <c r="C144" i="19"/>
  <c r="C143" i="15"/>
  <c r="C181" i="15"/>
  <c r="C182" i="19"/>
  <c r="C182" i="16"/>
  <c r="C182" i="14"/>
  <c r="C194" i="16"/>
  <c r="C194" i="19"/>
  <c r="C91" i="19"/>
  <c r="C90" i="15"/>
  <c r="C91" i="14"/>
  <c r="C91" i="16"/>
  <c r="X383" i="13"/>
  <c r="P275" i="21" s="1"/>
  <c r="C60" i="16"/>
  <c r="C60" i="19"/>
  <c r="C60" i="15"/>
  <c r="C60" i="14"/>
  <c r="Y333" i="13"/>
  <c r="P229" i="21" s="1"/>
  <c r="C123" i="15"/>
  <c r="C132" i="15"/>
  <c r="C133" i="16"/>
  <c r="C133" i="19"/>
  <c r="C133" i="14"/>
  <c r="X405" i="13"/>
  <c r="P295" i="21" s="1"/>
  <c r="C189" i="19"/>
  <c r="C189" i="14"/>
  <c r="C188" i="15"/>
  <c r="C189" i="16"/>
  <c r="C30" i="19"/>
  <c r="C30" i="14"/>
  <c r="C30" i="16"/>
  <c r="C30" i="15"/>
  <c r="Y427" i="13"/>
  <c r="Q315" i="21" s="1"/>
  <c r="C198" i="19"/>
  <c r="C198" i="16"/>
  <c r="C197" i="15"/>
  <c r="C198" i="14"/>
  <c r="V296" i="13"/>
  <c r="V282" i="13"/>
  <c r="U69" i="13" s="1"/>
  <c r="AA69" i="13" s="1"/>
  <c r="C151" i="19"/>
  <c r="C151" i="14"/>
  <c r="C150" i="15"/>
  <c r="C151" i="16"/>
  <c r="X455" i="13"/>
  <c r="P341" i="21" s="1"/>
  <c r="C188" i="16"/>
  <c r="C231" i="19"/>
  <c r="C231" i="16"/>
  <c r="C231" i="14"/>
  <c r="C230" i="15"/>
  <c r="AO211" i="15" s="1"/>
  <c r="C104" i="19"/>
  <c r="C104" i="14"/>
  <c r="C103" i="15"/>
  <c r="C104" i="16"/>
  <c r="C61" i="19"/>
  <c r="C61" i="14"/>
  <c r="C61" i="16"/>
  <c r="C22" i="19"/>
  <c r="C22" i="16"/>
  <c r="C22" i="14"/>
  <c r="C22" i="15"/>
  <c r="X530" i="13"/>
  <c r="P410" i="21" s="1"/>
  <c r="X533" i="13"/>
  <c r="P413" i="21" s="1"/>
  <c r="X473" i="13"/>
  <c r="P357" i="21" s="1"/>
  <c r="C221" i="15"/>
  <c r="C222" i="19"/>
  <c r="C222" i="16"/>
  <c r="C222" i="14"/>
  <c r="C97" i="14"/>
  <c r="C190" i="19"/>
  <c r="Y325" i="13"/>
  <c r="P221" i="21" s="1"/>
  <c r="C70" i="19"/>
  <c r="C70" i="15"/>
  <c r="C70" i="16"/>
  <c r="C70" i="14"/>
  <c r="C66" i="19"/>
  <c r="C66" i="15"/>
  <c r="C66" i="14"/>
  <c r="C66" i="16"/>
  <c r="X396" i="13"/>
  <c r="P286" i="21" s="1"/>
  <c r="C180" i="19"/>
  <c r="C180" i="16"/>
  <c r="C179" i="15"/>
  <c r="C180" i="14"/>
  <c r="C130" i="19"/>
  <c r="C130" i="16"/>
  <c r="C130" i="14"/>
  <c r="C129" i="15"/>
  <c r="V288" i="13"/>
  <c r="U75" i="13" s="1"/>
  <c r="AA75" i="13" s="1"/>
  <c r="V294" i="13"/>
  <c r="U81" i="13" s="1"/>
  <c r="AA81" i="13" s="1"/>
  <c r="C159" i="14"/>
  <c r="C158" i="15"/>
  <c r="C159" i="19"/>
  <c r="C159" i="16"/>
  <c r="X496" i="13"/>
  <c r="P378" i="21" s="1"/>
  <c r="C218" i="19"/>
  <c r="C218" i="16"/>
  <c r="C217" i="15"/>
  <c r="C218" i="14"/>
  <c r="X435" i="13"/>
  <c r="C131" i="14"/>
  <c r="X382" i="13"/>
  <c r="AB534" i="13"/>
  <c r="D278" i="18" s="1"/>
  <c r="AB532" i="13"/>
  <c r="D276" i="18" s="1"/>
  <c r="AB519" i="13"/>
  <c r="D263" i="18" s="1"/>
  <c r="AB516" i="13"/>
  <c r="D260" i="18" s="1"/>
  <c r="AB498" i="13"/>
  <c r="AB495" i="13"/>
  <c r="D240" i="18" s="1"/>
  <c r="AB477" i="13"/>
  <c r="AB474" i="13"/>
  <c r="AB456" i="13"/>
  <c r="AB453" i="13"/>
  <c r="AB435" i="13"/>
  <c r="AB432" i="13"/>
  <c r="AB419" i="13"/>
  <c r="AB416" i="13"/>
  <c r="AB398" i="13"/>
  <c r="AB395" i="13"/>
  <c r="AB377" i="13"/>
  <c r="D125" i="18" s="1"/>
  <c r="AB374" i="13"/>
  <c r="AC320" i="13"/>
  <c r="AC328" i="13"/>
  <c r="AC316" i="13"/>
  <c r="AB535" i="13"/>
  <c r="D279" i="18" s="1"/>
  <c r="AB525" i="13"/>
  <c r="D269" i="18" s="1"/>
  <c r="AB522" i="13"/>
  <c r="D266" i="18" s="1"/>
  <c r="AB504" i="13"/>
  <c r="AB501" i="13"/>
  <c r="AB483" i="13"/>
  <c r="AB480" i="13"/>
  <c r="AB467" i="13"/>
  <c r="AB459" i="13"/>
  <c r="AB446" i="13"/>
  <c r="D193" i="18" s="1"/>
  <c r="AB443" i="13"/>
  <c r="AB425" i="13"/>
  <c r="D172" i="18" s="1"/>
  <c r="AB422" i="13"/>
  <c r="AB404" i="13"/>
  <c r="D152" i="18" s="1"/>
  <c r="AB401" i="13"/>
  <c r="D149" i="18" s="1"/>
  <c r="AB383" i="13"/>
  <c r="AB380" i="13"/>
  <c r="D128" i="18" s="1"/>
  <c r="AB367" i="13"/>
  <c r="AC321" i="13"/>
  <c r="AC329" i="13"/>
  <c r="AB527" i="13"/>
  <c r="D271" i="18" s="1"/>
  <c r="AB524" i="13"/>
  <c r="D268" i="18" s="1"/>
  <c r="AB506" i="13"/>
  <c r="AB503" i="13"/>
  <c r="AB485" i="13"/>
  <c r="AB482" i="13"/>
  <c r="AB469" i="13"/>
  <c r="D215" i="18" s="1"/>
  <c r="AB466" i="13"/>
  <c r="AB448" i="13"/>
  <c r="D195" i="18" s="1"/>
  <c r="AB445" i="13"/>
  <c r="AB427" i="13"/>
  <c r="D174" i="18" s="1"/>
  <c r="AB424" i="13"/>
  <c r="D171" i="18" s="1"/>
  <c r="AB406" i="13"/>
  <c r="AB403" i="13"/>
  <c r="D151" i="18" s="1"/>
  <c r="AB385" i="13"/>
  <c r="AB382" i="13"/>
  <c r="AB369" i="13"/>
  <c r="AB366" i="13"/>
  <c r="AC324" i="13"/>
  <c r="AC332" i="13"/>
  <c r="AB517" i="13"/>
  <c r="D261" i="18" s="1"/>
  <c r="AB507" i="13"/>
  <c r="AB502" i="13"/>
  <c r="AB497" i="13"/>
  <c r="AB492" i="13"/>
  <c r="D237" i="18" s="1"/>
  <c r="AB451" i="13"/>
  <c r="AB441" i="13"/>
  <c r="AB426" i="13"/>
  <c r="D173" i="18" s="1"/>
  <c r="AB410" i="13"/>
  <c r="AB400" i="13"/>
  <c r="D148" i="18" s="1"/>
  <c r="AC319" i="13"/>
  <c r="AC333" i="13"/>
  <c r="AB496" i="13"/>
  <c r="D241" i="18" s="1"/>
  <c r="AB491" i="13"/>
  <c r="AB481" i="13"/>
  <c r="AB476" i="13"/>
  <c r="AB471" i="13"/>
  <c r="D217" i="18" s="1"/>
  <c r="AB430" i="13"/>
  <c r="AB420" i="13"/>
  <c r="AB405" i="13"/>
  <c r="AB394" i="13"/>
  <c r="AB379" i="13"/>
  <c r="D127" i="18" s="1"/>
  <c r="AC322" i="13"/>
  <c r="AC334" i="13"/>
  <c r="AB531" i="13"/>
  <c r="D275" i="18" s="1"/>
  <c r="AB521" i="13"/>
  <c r="D265" i="18" s="1"/>
  <c r="AB475" i="13"/>
  <c r="AB470" i="13"/>
  <c r="D216" i="18" s="1"/>
  <c r="AB460" i="13"/>
  <c r="AB455" i="13"/>
  <c r="AB450" i="13"/>
  <c r="D197" i="18" s="1"/>
  <c r="AB409" i="13"/>
  <c r="AB399" i="13"/>
  <c r="AB384" i="13"/>
  <c r="AB373" i="13"/>
  <c r="AC323" i="13"/>
  <c r="AC335" i="13"/>
  <c r="AB526" i="13"/>
  <c r="D270" i="18" s="1"/>
  <c r="AB510" i="13"/>
  <c r="AB500" i="13"/>
  <c r="AB454" i="13"/>
  <c r="AB449" i="13"/>
  <c r="D196" i="18" s="1"/>
  <c r="AB444" i="13"/>
  <c r="AB434" i="13"/>
  <c r="AB429" i="13"/>
  <c r="AB393" i="13"/>
  <c r="AB378" i="13"/>
  <c r="D126" i="18" s="1"/>
  <c r="AB368" i="13"/>
  <c r="AC325" i="13"/>
  <c r="AB530" i="13"/>
  <c r="D274" i="18" s="1"/>
  <c r="AB520" i="13"/>
  <c r="D264" i="18" s="1"/>
  <c r="AB505" i="13"/>
  <c r="AB494" i="13"/>
  <c r="D239" i="18" s="1"/>
  <c r="AB479" i="13"/>
  <c r="AB433" i="13"/>
  <c r="AB428" i="13"/>
  <c r="AB423" i="13"/>
  <c r="D170" i="18" s="1"/>
  <c r="AB418" i="13"/>
  <c r="AB408" i="13"/>
  <c r="AB372" i="13"/>
  <c r="AC326" i="13"/>
  <c r="AB523" i="13"/>
  <c r="D267" i="18" s="1"/>
  <c r="AB484" i="13"/>
  <c r="AB472" i="13"/>
  <c r="D218" i="18" s="1"/>
  <c r="AB452" i="13"/>
  <c r="AB421" i="13"/>
  <c r="AB370" i="13"/>
  <c r="AB417" i="13"/>
  <c r="AB381" i="13"/>
  <c r="D129" i="18" s="1"/>
  <c r="AC317" i="13"/>
  <c r="AB533" i="13"/>
  <c r="D277" i="18" s="1"/>
  <c r="AB499" i="13"/>
  <c r="AB468" i="13"/>
  <c r="AB431" i="13"/>
  <c r="AB397" i="13"/>
  <c r="AC318" i="13"/>
  <c r="AB518" i="13"/>
  <c r="D262" i="18" s="1"/>
  <c r="AB396" i="13"/>
  <c r="AC327" i="13"/>
  <c r="AB529" i="13"/>
  <c r="D273" i="18" s="1"/>
  <c r="AB509" i="13"/>
  <c r="AB478" i="13"/>
  <c r="AB458" i="13"/>
  <c r="AB447" i="13"/>
  <c r="D194" i="18" s="1"/>
  <c r="AB407" i="13"/>
  <c r="AB376" i="13"/>
  <c r="AC330" i="13"/>
  <c r="AB528" i="13"/>
  <c r="D272" i="18" s="1"/>
  <c r="AB442" i="13"/>
  <c r="AB392" i="13"/>
  <c r="AB391" i="13"/>
  <c r="AB371" i="13"/>
  <c r="AB402" i="13"/>
  <c r="D150" i="18" s="1"/>
  <c r="AB473" i="13"/>
  <c r="D219" i="18" s="1"/>
  <c r="AB375" i="13"/>
  <c r="AB457" i="13"/>
  <c r="AB508" i="13"/>
  <c r="AC331" i="13"/>
  <c r="AB493" i="13"/>
  <c r="D238" i="18" s="1"/>
  <c r="X508" i="13"/>
  <c r="P390" i="21" s="1"/>
  <c r="P212" i="21"/>
  <c r="Y331" i="13"/>
  <c r="P227" i="21" s="1"/>
  <c r="Y327" i="13"/>
  <c r="P223" i="21" s="1"/>
  <c r="Y324" i="13"/>
  <c r="P220" i="21" s="1"/>
  <c r="X372" i="13"/>
  <c r="P264" i="21" s="1"/>
  <c r="X385" i="13"/>
  <c r="X369" i="13"/>
  <c r="P261" i="21" s="1"/>
  <c r="X376" i="13"/>
  <c r="X392" i="13"/>
  <c r="P282" i="21" s="1"/>
  <c r="X403" i="13"/>
  <c r="X398" i="13"/>
  <c r="P288" i="21" s="1"/>
  <c r="X406" i="13"/>
  <c r="P296" i="21" s="1"/>
  <c r="X428" i="13"/>
  <c r="X423" i="13"/>
  <c r="P311" i="21" s="1"/>
  <c r="X419" i="13"/>
  <c r="P307" i="21" s="1"/>
  <c r="X420" i="13"/>
  <c r="P308" i="21" s="1"/>
  <c r="X531" i="13"/>
  <c r="P411" i="21" s="1"/>
  <c r="X528" i="13"/>
  <c r="P408" i="21" s="1"/>
  <c r="X532" i="13"/>
  <c r="P412" i="21" s="1"/>
  <c r="X520" i="13"/>
  <c r="P400" i="21" s="1"/>
  <c r="X495" i="13"/>
  <c r="P377" i="21" s="1"/>
  <c r="X503" i="13"/>
  <c r="X506" i="13"/>
  <c r="P388" i="21" s="1"/>
  <c r="X499" i="13"/>
  <c r="P381" i="21" s="1"/>
  <c r="X498" i="13"/>
  <c r="P380" i="21" s="1"/>
  <c r="X480" i="13"/>
  <c r="X469" i="13"/>
  <c r="P353" i="21" s="1"/>
  <c r="Y447" i="13"/>
  <c r="Q333" i="21" s="1"/>
  <c r="Y455" i="13"/>
  <c r="Q341" i="21" s="1"/>
  <c r="U64" i="13"/>
  <c r="AA64" i="13" s="1"/>
  <c r="V292" i="13"/>
  <c r="U79" i="13" s="1"/>
  <c r="AA79" i="13" s="1"/>
  <c r="V279" i="13"/>
  <c r="U66" i="13" s="1"/>
  <c r="AA66" i="13" s="1"/>
  <c r="V285" i="13"/>
  <c r="U72" i="13" s="1"/>
  <c r="AA72" i="13" s="1"/>
  <c r="X456" i="13"/>
  <c r="P342" i="21" s="1"/>
  <c r="X453" i="13"/>
  <c r="X458" i="13"/>
  <c r="P344" i="21" s="1"/>
  <c r="X459" i="13"/>
  <c r="X442" i="13"/>
  <c r="P328" i="21" s="1"/>
  <c r="T267" i="13"/>
  <c r="AV135" i="7"/>
  <c r="AQ143" i="7"/>
  <c r="AT143" i="7" s="1"/>
  <c r="AQ136" i="7"/>
  <c r="AV136" i="7"/>
  <c r="B121" i="14" s="1"/>
  <c r="AU136" i="7"/>
  <c r="AQ149" i="7"/>
  <c r="AV149" i="7"/>
  <c r="B134" i="14" s="1"/>
  <c r="AU149" i="7"/>
  <c r="AQ141" i="7"/>
  <c r="AV141" i="7"/>
  <c r="B126" i="14" s="1"/>
  <c r="AU141" i="7"/>
  <c r="AQ130" i="7"/>
  <c r="AV130" i="7"/>
  <c r="B115" i="14" s="1"/>
  <c r="AU130" i="7"/>
  <c r="AQ144" i="7"/>
  <c r="AV144" i="7"/>
  <c r="B129" i="14" s="1"/>
  <c r="AU144" i="7"/>
  <c r="AQ133" i="7"/>
  <c r="AV133" i="7"/>
  <c r="B118" i="14" s="1"/>
  <c r="AU133" i="7"/>
  <c r="AV142" i="7"/>
  <c r="B127" i="14" s="1"/>
  <c r="AU142" i="7"/>
  <c r="AQ142" i="7"/>
  <c r="AT132" i="7"/>
  <c r="AS132" i="7"/>
  <c r="AR132" i="7"/>
  <c r="AT139" i="7"/>
  <c r="AS139" i="7"/>
  <c r="AR139" i="7"/>
  <c r="AX147" i="7"/>
  <c r="B132" i="16" s="1"/>
  <c r="AW147" i="7"/>
  <c r="B131" i="15" s="1"/>
  <c r="BA147" i="7"/>
  <c r="B132" i="19" s="1"/>
  <c r="AV134" i="7"/>
  <c r="B119" i="14" s="1"/>
  <c r="AU134" i="7"/>
  <c r="AQ134" i="7"/>
  <c r="BA146" i="7"/>
  <c r="B131" i="19" s="1"/>
  <c r="AX146" i="7"/>
  <c r="B131" i="16" s="1"/>
  <c r="AW146" i="7"/>
  <c r="B130" i="15" s="1"/>
  <c r="AR147" i="7"/>
  <c r="AT147" i="7"/>
  <c r="AS147" i="7"/>
  <c r="AX131" i="7"/>
  <c r="B116" i="16" s="1"/>
  <c r="AW131" i="7"/>
  <c r="B115" i="15" s="1"/>
  <c r="BA131" i="7"/>
  <c r="B116" i="19" s="1"/>
  <c r="AT137" i="7"/>
  <c r="AS137" i="7"/>
  <c r="AR137" i="7"/>
  <c r="BA138" i="7"/>
  <c r="B123" i="19" s="1"/>
  <c r="AX138" i="7"/>
  <c r="B123" i="16" s="1"/>
  <c r="AW138" i="7"/>
  <c r="B122" i="15" s="1"/>
  <c r="AT138" i="7"/>
  <c r="AS138" i="7"/>
  <c r="AR138" i="7"/>
  <c r="AT140" i="7"/>
  <c r="AS140" i="7"/>
  <c r="AR140" i="7"/>
  <c r="AW148" i="7"/>
  <c r="B132" i="15" s="1"/>
  <c r="BA148" i="7"/>
  <c r="B133" i="19" s="1"/>
  <c r="AX148" i="7"/>
  <c r="B133" i="16" s="1"/>
  <c r="AW137" i="7"/>
  <c r="B121" i="15" s="1"/>
  <c r="AX137" i="7"/>
  <c r="B122" i="16" s="1"/>
  <c r="BA137" i="7"/>
  <c r="B122" i="19" s="1"/>
  <c r="AT145" i="7"/>
  <c r="AS145" i="7"/>
  <c r="AR145" i="7"/>
  <c r="AT135" i="7"/>
  <c r="AS135" i="7"/>
  <c r="AR135" i="7"/>
  <c r="AW140" i="7"/>
  <c r="B124" i="15" s="1"/>
  <c r="BA140" i="7"/>
  <c r="B125" i="19" s="1"/>
  <c r="AX140" i="7"/>
  <c r="B125" i="16" s="1"/>
  <c r="BA143" i="7"/>
  <c r="B128" i="19" s="1"/>
  <c r="AX143" i="7"/>
  <c r="B128" i="16" s="1"/>
  <c r="AW143" i="7"/>
  <c r="B127" i="15" s="1"/>
  <c r="AX139" i="7"/>
  <c r="B124" i="16" s="1"/>
  <c r="AW139" i="7"/>
  <c r="B123" i="15" s="1"/>
  <c r="BA139" i="7"/>
  <c r="B124" i="19" s="1"/>
  <c r="AW145" i="7"/>
  <c r="B129" i="15" s="1"/>
  <c r="AX145" i="7"/>
  <c r="B130" i="16" s="1"/>
  <c r="BA145" i="7"/>
  <c r="B130" i="19" s="1"/>
  <c r="AW132" i="7"/>
  <c r="B116" i="15" s="1"/>
  <c r="BA132" i="7"/>
  <c r="B117" i="19" s="1"/>
  <c r="AX132" i="7"/>
  <c r="B117" i="16" s="1"/>
  <c r="AT146" i="7"/>
  <c r="AS146" i="7"/>
  <c r="AR146" i="7"/>
  <c r="AT148" i="7"/>
  <c r="AS148" i="7"/>
  <c r="AR148" i="7"/>
  <c r="AR131" i="7"/>
  <c r="AT131" i="7"/>
  <c r="AS131" i="7"/>
  <c r="AU223" i="7"/>
  <c r="AQ17" i="7"/>
  <c r="AT17" i="7" s="1"/>
  <c r="AU29" i="7"/>
  <c r="BA71" i="7"/>
  <c r="B67" i="19" s="1"/>
  <c r="AW71" i="7"/>
  <c r="AX71" i="7"/>
  <c r="B67" i="16" s="1"/>
  <c r="AQ25" i="7"/>
  <c r="AT25" i="7" s="1"/>
  <c r="AX29" i="7"/>
  <c r="B37" i="16" s="1"/>
  <c r="AX17" i="7"/>
  <c r="AX25" i="7"/>
  <c r="B33" i="16" s="1"/>
  <c r="AQ16" i="7"/>
  <c r="AR16" i="7" s="1"/>
  <c r="AU190" i="7"/>
  <c r="AQ160" i="7"/>
  <c r="AS160" i="7" s="1"/>
  <c r="R197" i="21"/>
  <c r="S197" i="21" s="1"/>
  <c r="T197" i="21" s="1"/>
  <c r="U197" i="21" s="1"/>
  <c r="R189" i="21"/>
  <c r="S189" i="21" s="1"/>
  <c r="T189" i="21" s="1"/>
  <c r="U189" i="21" s="1"/>
  <c r="R185" i="21"/>
  <c r="S185" i="21" s="1"/>
  <c r="T185" i="21" s="1"/>
  <c r="U185" i="21" s="1"/>
  <c r="R186" i="21"/>
  <c r="S186" i="21" s="1"/>
  <c r="T186" i="21" s="1"/>
  <c r="U186" i="21" s="1"/>
  <c r="R190" i="21"/>
  <c r="S190" i="21" s="1"/>
  <c r="T190" i="21" s="1"/>
  <c r="U190" i="21" s="1"/>
  <c r="R196" i="21"/>
  <c r="S196" i="21" s="1"/>
  <c r="T196" i="21" s="1"/>
  <c r="U196" i="21" s="1"/>
  <c r="R201" i="21"/>
  <c r="S201" i="21" s="1"/>
  <c r="T201" i="21" s="1"/>
  <c r="U201" i="21" s="1"/>
  <c r="R193" i="21"/>
  <c r="S193" i="21" s="1"/>
  <c r="T193" i="21" s="1"/>
  <c r="U193" i="21" s="1"/>
  <c r="R195" i="21"/>
  <c r="S195" i="21" s="1"/>
  <c r="T195" i="21" s="1"/>
  <c r="U195" i="21" s="1"/>
  <c r="R192" i="21"/>
  <c r="S192" i="21" s="1"/>
  <c r="T192" i="21" s="1"/>
  <c r="U192" i="21" s="1"/>
  <c r="R187" i="21"/>
  <c r="S187" i="21" s="1"/>
  <c r="T187" i="21" s="1"/>
  <c r="U187" i="21" s="1"/>
  <c r="R202" i="21"/>
  <c r="S202" i="21" s="1"/>
  <c r="T202" i="21" s="1"/>
  <c r="U202" i="21" s="1"/>
  <c r="R191" i="21"/>
  <c r="S191" i="21" s="1"/>
  <c r="T191" i="21" s="1"/>
  <c r="U191" i="21" s="1"/>
  <c r="R200" i="21"/>
  <c r="S200" i="21" s="1"/>
  <c r="T200" i="21" s="1"/>
  <c r="U200" i="21" s="1"/>
  <c r="R194" i="21"/>
  <c r="S194" i="21" s="1"/>
  <c r="T194" i="21" s="1"/>
  <c r="U194" i="21" s="1"/>
  <c r="R198" i="21"/>
  <c r="S198" i="21" s="1"/>
  <c r="T198" i="21" s="1"/>
  <c r="U198" i="21" s="1"/>
  <c r="R188" i="21"/>
  <c r="S188" i="21" s="1"/>
  <c r="T188" i="21" s="1"/>
  <c r="U188" i="21" s="1"/>
  <c r="R199" i="21"/>
  <c r="S199" i="21" s="1"/>
  <c r="T199" i="21" s="1"/>
  <c r="U199" i="21" s="1"/>
  <c r="B187" i="21"/>
  <c r="B192" i="21" s="1"/>
  <c r="B207" i="13"/>
  <c r="B220" i="13" s="1"/>
  <c r="B232" i="13"/>
  <c r="B224" i="13" s="1"/>
  <c r="Y288" i="13"/>
  <c r="W277" i="13"/>
  <c r="T288" i="13"/>
  <c r="AC288" i="13"/>
  <c r="AQ259" i="7"/>
  <c r="AS259" i="7" s="1"/>
  <c r="AU256" i="7"/>
  <c r="AU265" i="7"/>
  <c r="AQ256" i="7"/>
  <c r="AS256" i="7" s="1"/>
  <c r="AV256" i="7"/>
  <c r="BA256" i="7" s="1"/>
  <c r="B218" i="19" s="1"/>
  <c r="AU266" i="7"/>
  <c r="AW259" i="7"/>
  <c r="AZ259" i="7" s="1"/>
  <c r="B269" i="18" s="1"/>
  <c r="AX258" i="7"/>
  <c r="B220" i="16" s="1"/>
  <c r="AU258" i="7"/>
  <c r="AV263" i="7"/>
  <c r="AW263" i="7" s="1"/>
  <c r="AU267" i="7"/>
  <c r="AX259" i="7"/>
  <c r="B221" i="16" s="1"/>
  <c r="AU263" i="7"/>
  <c r="BA259" i="7"/>
  <c r="B221" i="19" s="1"/>
  <c r="AU231" i="7"/>
  <c r="AU229" i="7"/>
  <c r="AU225" i="7"/>
  <c r="AQ222" i="7"/>
  <c r="AT222" i="7" s="1"/>
  <c r="AQ229" i="7"/>
  <c r="AT229" i="7" s="1"/>
  <c r="AV229" i="7"/>
  <c r="B197" i="14" s="1"/>
  <c r="AQ236" i="7"/>
  <c r="AR236" i="7" s="1"/>
  <c r="AQ234" i="7"/>
  <c r="AT234" i="7" s="1"/>
  <c r="AU221" i="7"/>
  <c r="AQ226" i="7"/>
  <c r="AT226" i="7" s="1"/>
  <c r="BA221" i="7"/>
  <c r="B189" i="19" s="1"/>
  <c r="AQ225" i="7"/>
  <c r="AT225" i="7" s="1"/>
  <c r="AU174" i="7"/>
  <c r="AQ89" i="7"/>
  <c r="AS89" i="7" s="1"/>
  <c r="AU71" i="7"/>
  <c r="AQ80" i="7"/>
  <c r="AS80" i="7" s="1"/>
  <c r="AU89" i="7"/>
  <c r="AU80" i="7"/>
  <c r="AQ103" i="7"/>
  <c r="AT103" i="7" s="1"/>
  <c r="AU118" i="7"/>
  <c r="AX102" i="7"/>
  <c r="B93" i="16" s="1"/>
  <c r="AU114" i="7"/>
  <c r="B93" i="14"/>
  <c r="AQ118" i="7"/>
  <c r="AS118" i="7" s="1"/>
  <c r="BA102" i="7"/>
  <c r="B93" i="19" s="1"/>
  <c r="AQ114" i="7"/>
  <c r="AS114" i="7" s="1"/>
  <c r="AW102" i="7"/>
  <c r="AY102" i="7" s="1"/>
  <c r="B141" i="17" s="1"/>
  <c r="AU172" i="7"/>
  <c r="AQ205" i="7"/>
  <c r="AT205" i="7" s="1"/>
  <c r="AQ190" i="7"/>
  <c r="AR190" i="7" s="1"/>
  <c r="AQ206" i="7"/>
  <c r="AS206" i="7" s="1"/>
  <c r="AU195" i="7"/>
  <c r="AQ208" i="7"/>
  <c r="AT208" i="7" s="1"/>
  <c r="AQ193" i="7"/>
  <c r="AS193" i="7" s="1"/>
  <c r="AU208" i="7"/>
  <c r="AQ201" i="7"/>
  <c r="AS201" i="7" s="1"/>
  <c r="AU207" i="7"/>
  <c r="BA208" i="7"/>
  <c r="B182" i="19" s="1"/>
  <c r="AX208" i="7"/>
  <c r="B182" i="16" s="1"/>
  <c r="AQ167" i="7"/>
  <c r="AT167" i="7" s="1"/>
  <c r="AQ179" i="7"/>
  <c r="AS179" i="7" s="1"/>
  <c r="AU167" i="7"/>
  <c r="AP163" i="7"/>
  <c r="AV163" i="7" s="1"/>
  <c r="BA163" i="7" s="1"/>
  <c r="B143" i="19" s="1"/>
  <c r="AU170" i="7"/>
  <c r="AQ172" i="7"/>
  <c r="AR172" i="7" s="1"/>
  <c r="AU178" i="7"/>
  <c r="AQ168" i="7"/>
  <c r="AR168" i="7" s="1"/>
  <c r="AU168" i="7"/>
  <c r="AU179" i="7"/>
  <c r="AQ174" i="7"/>
  <c r="AT174" i="7" s="1"/>
  <c r="AU176" i="7"/>
  <c r="AQ176" i="7"/>
  <c r="AS176" i="7" s="1"/>
  <c r="AQ178" i="7"/>
  <c r="AT178" i="7" s="1"/>
  <c r="AQ170" i="7"/>
  <c r="AR170" i="7" s="1"/>
  <c r="AP161" i="7"/>
  <c r="AV161" i="7" s="1"/>
  <c r="AX161" i="7" s="1"/>
  <c r="B141" i="16" s="1"/>
  <c r="AU169" i="7"/>
  <c r="AQ175" i="7"/>
  <c r="AT175" i="7" s="1"/>
  <c r="AU112" i="7"/>
  <c r="AQ108" i="7"/>
  <c r="AR108" i="7" s="1"/>
  <c r="AP101" i="7"/>
  <c r="AV101" i="7" s="1"/>
  <c r="AU103" i="7"/>
  <c r="AQ112" i="7"/>
  <c r="AT112" i="7" s="1"/>
  <c r="AQ116" i="7"/>
  <c r="AT116" i="7" s="1"/>
  <c r="AP100" i="7"/>
  <c r="AV100" i="7" s="1"/>
  <c r="BA100" i="7" s="1"/>
  <c r="B91" i="19" s="1"/>
  <c r="AU108" i="7"/>
  <c r="AV81" i="7"/>
  <c r="AQ72" i="7"/>
  <c r="AS72" i="7" s="1"/>
  <c r="AQ88" i="7"/>
  <c r="AT88" i="7" s="1"/>
  <c r="AP77" i="7"/>
  <c r="AV77" i="7" s="1"/>
  <c r="B73" i="14" s="1"/>
  <c r="AU88" i="7"/>
  <c r="AU72" i="7"/>
  <c r="AU81" i="7"/>
  <c r="AU73" i="7"/>
  <c r="AQ73" i="7"/>
  <c r="AS73" i="7" s="1"/>
  <c r="AU86" i="7"/>
  <c r="AP76" i="7"/>
  <c r="AQ76" i="7" s="1"/>
  <c r="AQ86" i="7"/>
  <c r="AS86" i="7" s="1"/>
  <c r="AP70" i="7"/>
  <c r="AV70" i="7" s="1"/>
  <c r="AV73" i="7"/>
  <c r="AU160" i="7"/>
  <c r="AV160" i="7"/>
  <c r="BA160" i="7" s="1"/>
  <c r="B140" i="19" s="1"/>
  <c r="AU56" i="7"/>
  <c r="AU11" i="7"/>
  <c r="AU20" i="7"/>
  <c r="AU28" i="7"/>
  <c r="AQ12" i="7"/>
  <c r="AR12" i="7" s="1"/>
  <c r="AQ11" i="7"/>
  <c r="AT11" i="7" s="1"/>
  <c r="AQ28" i="7"/>
  <c r="AR28" i="7" s="1"/>
  <c r="AX20" i="7"/>
  <c r="B28" i="16" s="1"/>
  <c r="AV108" i="7"/>
  <c r="AX108" i="7" s="1"/>
  <c r="B99" i="16" s="1"/>
  <c r="AQ102" i="7"/>
  <c r="AT102" i="7" s="1"/>
  <c r="AU102" i="7"/>
  <c r="AU116" i="7"/>
  <c r="AV83" i="7"/>
  <c r="AQ75" i="7"/>
  <c r="AT75" i="7" s="1"/>
  <c r="AV75" i="7"/>
  <c r="AQ83" i="7"/>
  <c r="AS83" i="7" s="1"/>
  <c r="AU52" i="7"/>
  <c r="AU44" i="7"/>
  <c r="AU51" i="7"/>
  <c r="AQ52" i="7"/>
  <c r="AS52" i="7" s="1"/>
  <c r="AQ51" i="7"/>
  <c r="AT51" i="7" s="1"/>
  <c r="AV74" i="7"/>
  <c r="B70" i="14" s="1"/>
  <c r="AU74" i="7"/>
  <c r="AQ74" i="7"/>
  <c r="AQ84" i="7"/>
  <c r="AV84" i="7"/>
  <c r="B80" i="14" s="1"/>
  <c r="AU84" i="7"/>
  <c r="AQ87" i="7"/>
  <c r="AU87" i="7"/>
  <c r="AU79" i="7"/>
  <c r="AQ79" i="7"/>
  <c r="BA80" i="7"/>
  <c r="B76" i="19" s="1"/>
  <c r="AX80" i="7"/>
  <c r="B76" i="16" s="1"/>
  <c r="AW80" i="7"/>
  <c r="B76" i="15" s="1"/>
  <c r="AS81" i="7"/>
  <c r="AR81" i="7"/>
  <c r="AT81" i="7"/>
  <c r="BA89" i="7"/>
  <c r="B85" i="19" s="1"/>
  <c r="AX89" i="7"/>
  <c r="B85" i="16" s="1"/>
  <c r="AW89" i="7"/>
  <c r="B85" i="15" s="1"/>
  <c r="AQ71" i="7"/>
  <c r="BA86" i="7"/>
  <c r="B82" i="19" s="1"/>
  <c r="AX86" i="7"/>
  <c r="B82" i="16" s="1"/>
  <c r="AW86" i="7"/>
  <c r="B82" i="15" s="1"/>
  <c r="AW88" i="7"/>
  <c r="B84" i="15" s="1"/>
  <c r="BA88" i="7"/>
  <c r="B84" i="19" s="1"/>
  <c r="AX88" i="7"/>
  <c r="B84" i="16" s="1"/>
  <c r="B67" i="15"/>
  <c r="AX87" i="7"/>
  <c r="B83" i="16" s="1"/>
  <c r="AW87" i="7"/>
  <c r="B83" i="15" s="1"/>
  <c r="BA87" i="7"/>
  <c r="B83" i="19" s="1"/>
  <c r="BA78" i="7"/>
  <c r="B74" i="19" s="1"/>
  <c r="AX78" i="7"/>
  <c r="B74" i="16" s="1"/>
  <c r="AW78" i="7"/>
  <c r="B74" i="15" s="1"/>
  <c r="AV85" i="7"/>
  <c r="B81" i="14" s="1"/>
  <c r="AU85" i="7"/>
  <c r="AQ85" i="7"/>
  <c r="AT78" i="7"/>
  <c r="AS78" i="7"/>
  <c r="AR78" i="7"/>
  <c r="AV82" i="7"/>
  <c r="B78" i="14" s="1"/>
  <c r="AU82" i="7"/>
  <c r="AQ82" i="7"/>
  <c r="AX79" i="7"/>
  <c r="B75" i="16" s="1"/>
  <c r="AW79" i="7"/>
  <c r="B75" i="15" s="1"/>
  <c r="BA79" i="7"/>
  <c r="B75" i="19" s="1"/>
  <c r="BA72" i="7"/>
  <c r="B68" i="19" s="1"/>
  <c r="AX72" i="7"/>
  <c r="B68" i="16" s="1"/>
  <c r="AW72" i="7"/>
  <c r="B68" i="15" s="1"/>
  <c r="AU104" i="7"/>
  <c r="AQ104" i="7"/>
  <c r="AS104" i="7" s="1"/>
  <c r="AU162" i="7"/>
  <c r="AQ162" i="7"/>
  <c r="AR162" i="7" s="1"/>
  <c r="AU50" i="7"/>
  <c r="AQ50" i="7"/>
  <c r="AS50" i="7" s="1"/>
  <c r="AQ105" i="7"/>
  <c r="AU105" i="7"/>
  <c r="AW105" i="7"/>
  <c r="BA105" i="7"/>
  <c r="B96" i="19" s="1"/>
  <c r="AX105" i="7"/>
  <c r="B96" i="16" s="1"/>
  <c r="AU43" i="7"/>
  <c r="AQ43" i="7"/>
  <c r="AT43" i="7" s="1"/>
  <c r="AU27" i="7"/>
  <c r="AQ27" i="7"/>
  <c r="AT27" i="7" s="1"/>
  <c r="AU113" i="7"/>
  <c r="AW113" i="7"/>
  <c r="AZ113" i="7" s="1"/>
  <c r="BA113" i="7"/>
  <c r="B104" i="19" s="1"/>
  <c r="AQ113" i="7"/>
  <c r="AS113" i="7" s="1"/>
  <c r="AX113" i="7"/>
  <c r="B104" i="16" s="1"/>
  <c r="AQ232" i="7"/>
  <c r="AT232" i="7" s="1"/>
  <c r="AU232" i="7"/>
  <c r="AQ199" i="7"/>
  <c r="AT199" i="7" s="1"/>
  <c r="AU199" i="7"/>
  <c r="AQ269" i="7"/>
  <c r="AT269" i="7" s="1"/>
  <c r="AU269" i="7"/>
  <c r="AQ197" i="7"/>
  <c r="AT197" i="7" s="1"/>
  <c r="AU197" i="7"/>
  <c r="AU119" i="7"/>
  <c r="AQ119" i="7"/>
  <c r="AR119" i="7" s="1"/>
  <c r="BA57" i="7"/>
  <c r="B59" i="19" s="1"/>
  <c r="AX57" i="7"/>
  <c r="B59" i="16" s="1"/>
  <c r="AU57" i="7"/>
  <c r="AW57" i="7"/>
  <c r="AQ57" i="7"/>
  <c r="AS57" i="7" s="1"/>
  <c r="AU254" i="7"/>
  <c r="AQ254" i="7"/>
  <c r="AT254" i="7" s="1"/>
  <c r="AU171" i="7"/>
  <c r="AQ171" i="7"/>
  <c r="AT171" i="7" s="1"/>
  <c r="AW171" i="7"/>
  <c r="AZ171" i="7" s="1"/>
  <c r="B199" i="18" s="1"/>
  <c r="BA171" i="7"/>
  <c r="B151" i="19" s="1"/>
  <c r="AX171" i="7"/>
  <c r="B151" i="16" s="1"/>
  <c r="AU111" i="7"/>
  <c r="AQ111" i="7"/>
  <c r="AR111" i="7" s="1"/>
  <c r="AY196" i="7"/>
  <c r="B218" i="17" s="1"/>
  <c r="AZ196" i="7"/>
  <c r="B218" i="18" s="1"/>
  <c r="B169" i="15"/>
  <c r="AU200" i="7"/>
  <c r="AQ200" i="7"/>
  <c r="AT200" i="7" s="1"/>
  <c r="AW53" i="7"/>
  <c r="AU53" i="7"/>
  <c r="AX53" i="7"/>
  <c r="B55" i="16" s="1"/>
  <c r="AQ53" i="7"/>
  <c r="BA53" i="7"/>
  <c r="B55" i="19" s="1"/>
  <c r="AU47" i="7"/>
  <c r="AQ47" i="7"/>
  <c r="AT47" i="7" s="1"/>
  <c r="AQ227" i="7"/>
  <c r="AR227" i="7" s="1"/>
  <c r="AU227" i="7"/>
  <c r="AU209" i="7"/>
  <c r="AQ209" i="7"/>
  <c r="AS209" i="7" s="1"/>
  <c r="AU239" i="7"/>
  <c r="AQ239" i="7"/>
  <c r="AR239" i="7" s="1"/>
  <c r="AU264" i="7"/>
  <c r="AQ264" i="7"/>
  <c r="AT264" i="7" s="1"/>
  <c r="AU40" i="7"/>
  <c r="AQ40" i="7"/>
  <c r="AR40" i="7" s="1"/>
  <c r="AU107" i="7"/>
  <c r="AQ107" i="7"/>
  <c r="AS107" i="7" s="1"/>
  <c r="AU23" i="7"/>
  <c r="AQ23" i="7"/>
  <c r="AR23" i="7" s="1"/>
  <c r="AQ268" i="7"/>
  <c r="AS268" i="7" s="1"/>
  <c r="AU268" i="7"/>
  <c r="AU165" i="7"/>
  <c r="AQ165" i="7"/>
  <c r="AS165" i="7" s="1"/>
  <c r="AU166" i="7"/>
  <c r="AQ166" i="7"/>
  <c r="AR166" i="7" s="1"/>
  <c r="AU54" i="7"/>
  <c r="AQ54" i="7"/>
  <c r="AS54" i="7" s="1"/>
  <c r="AQ10" i="7"/>
  <c r="AT10" i="7" s="1"/>
  <c r="AU10" i="7"/>
  <c r="AQ237" i="7"/>
  <c r="AT237" i="7" s="1"/>
  <c r="AW237" i="7"/>
  <c r="AY237" i="7" s="1"/>
  <c r="B253" i="17" s="1"/>
  <c r="AX237" i="7"/>
  <c r="B205" i="16" s="1"/>
  <c r="BA237" i="7"/>
  <c r="B205" i="19" s="1"/>
  <c r="AU237" i="7"/>
  <c r="AU46" i="7"/>
  <c r="AQ46" i="7"/>
  <c r="AT46" i="7" s="1"/>
  <c r="AU177" i="7"/>
  <c r="AQ177" i="7"/>
  <c r="AT177" i="7" s="1"/>
  <c r="AU191" i="7"/>
  <c r="AQ191" i="7"/>
  <c r="AT191" i="7" s="1"/>
  <c r="AQ21" i="7"/>
  <c r="AT21" i="7" s="1"/>
  <c r="AU21" i="7"/>
  <c r="AQ238" i="7"/>
  <c r="AX238" i="7"/>
  <c r="B206" i="16" s="1"/>
  <c r="AW238" i="7"/>
  <c r="AY238" i="7" s="1"/>
  <c r="B254" i="17" s="1"/>
  <c r="BA238" i="7"/>
  <c r="B206" i="19" s="1"/>
  <c r="AU238" i="7"/>
  <c r="AY208" i="7"/>
  <c r="B230" i="17" s="1"/>
  <c r="B181" i="15"/>
  <c r="AZ208" i="7"/>
  <c r="B230" i="18" s="1"/>
  <c r="AU192" i="7"/>
  <c r="AQ192" i="7"/>
  <c r="AT192" i="7" s="1"/>
  <c r="AU235" i="7"/>
  <c r="AQ235" i="7"/>
  <c r="AS235" i="7" s="1"/>
  <c r="AQ220" i="7"/>
  <c r="AT220" i="7" s="1"/>
  <c r="AU220" i="7"/>
  <c r="AU117" i="7"/>
  <c r="AX117" i="7"/>
  <c r="B108" i="16" s="1"/>
  <c r="AW117" i="7"/>
  <c r="AY117" i="7" s="1"/>
  <c r="B156" i="17" s="1"/>
  <c r="AQ117" i="7"/>
  <c r="AR117" i="7" s="1"/>
  <c r="AU224" i="7"/>
  <c r="AQ224" i="7"/>
  <c r="AS224" i="7" s="1"/>
  <c r="AU261" i="7"/>
  <c r="AQ261" i="7"/>
  <c r="AT261" i="7" s="1"/>
  <c r="AU115" i="7"/>
  <c r="AX196" i="7"/>
  <c r="B170" i="16" s="1"/>
  <c r="AW258" i="7"/>
  <c r="AV225" i="7"/>
  <c r="AW225" i="7" s="1"/>
  <c r="AU175" i="7"/>
  <c r="AQ169" i="7"/>
  <c r="AT169" i="7" s="1"/>
  <c r="BA196" i="7"/>
  <c r="B170" i="19" s="1"/>
  <c r="AQ258" i="7"/>
  <c r="AS258" i="7" s="1"/>
  <c r="AW221" i="7"/>
  <c r="BA258" i="7"/>
  <c r="B220" i="19" s="1"/>
  <c r="AW46" i="7"/>
  <c r="AX27" i="7"/>
  <c r="B35" i="16" s="1"/>
  <c r="AQ196" i="7"/>
  <c r="AR196" i="7" s="1"/>
  <c r="AQ257" i="7"/>
  <c r="AR257" i="7" s="1"/>
  <c r="AU253" i="7"/>
  <c r="AU196" i="7"/>
  <c r="AU257" i="7"/>
  <c r="AQ253" i="7"/>
  <c r="AS253" i="7" s="1"/>
  <c r="BA117" i="7"/>
  <c r="B108" i="19" s="1"/>
  <c r="AQ44" i="7"/>
  <c r="AT44" i="7" s="1"/>
  <c r="AQ265" i="7"/>
  <c r="AT265" i="7" s="1"/>
  <c r="AX21" i="7"/>
  <c r="B29" i="16" s="1"/>
  <c r="AX23" i="7"/>
  <c r="B31" i="16" s="1"/>
  <c r="AP41" i="7"/>
  <c r="AV41" i="7" s="1"/>
  <c r="AQ262" i="7"/>
  <c r="AT262" i="7" s="1"/>
  <c r="AU262" i="7"/>
  <c r="AU203" i="7"/>
  <c r="AY190" i="7"/>
  <c r="B212" i="17" s="1"/>
  <c r="B164" i="14"/>
  <c r="AZ190" i="7"/>
  <c r="B212" i="18" s="1"/>
  <c r="AR221" i="7"/>
  <c r="BA190" i="7"/>
  <c r="B164" i="19" s="1"/>
  <c r="AX190" i="7"/>
  <c r="B164" i="16" s="1"/>
  <c r="AS221" i="7"/>
  <c r="B231" i="14"/>
  <c r="AW269" i="7"/>
  <c r="BA269" i="7"/>
  <c r="B231" i="19" s="1"/>
  <c r="AX269" i="7"/>
  <c r="B231" i="16" s="1"/>
  <c r="AW59" i="7"/>
  <c r="AX59" i="7"/>
  <c r="B61" i="16" s="1"/>
  <c r="B61" i="14"/>
  <c r="BA59" i="7"/>
  <c r="B61" i="19" s="1"/>
  <c r="AQ203" i="7"/>
  <c r="AS203" i="7" s="1"/>
  <c r="AU206" i="7"/>
  <c r="AT13" i="7"/>
  <c r="AS13" i="7"/>
  <c r="AR13" i="7"/>
  <c r="AU233" i="7"/>
  <c r="AV115" i="7"/>
  <c r="BA115" i="7" s="1"/>
  <c r="B106" i="19" s="1"/>
  <c r="AX13" i="7"/>
  <c r="B21" i="16" s="1"/>
  <c r="BA13" i="7"/>
  <c r="B21" i="19" s="1"/>
  <c r="B21" i="14"/>
  <c r="BA265" i="7"/>
  <c r="B227" i="19" s="1"/>
  <c r="B227" i="14"/>
  <c r="AX265" i="7"/>
  <c r="B227" i="16" s="1"/>
  <c r="AW265" i="7"/>
  <c r="AQ115" i="7"/>
  <c r="AS115" i="7" s="1"/>
  <c r="AV206" i="7"/>
  <c r="AX206" i="7" s="1"/>
  <c r="B180" i="16" s="1"/>
  <c r="AX261" i="7"/>
  <c r="B223" i="16" s="1"/>
  <c r="BA261" i="7"/>
  <c r="B223" i="19" s="1"/>
  <c r="AW261" i="7"/>
  <c r="B223" i="14"/>
  <c r="AT59" i="7"/>
  <c r="AQ233" i="7"/>
  <c r="AS233" i="7" s="1"/>
  <c r="B167" i="14"/>
  <c r="BA193" i="7"/>
  <c r="B167" i="19" s="1"/>
  <c r="AX193" i="7"/>
  <c r="B167" i="16" s="1"/>
  <c r="AW193" i="7"/>
  <c r="AW11" i="7"/>
  <c r="AX11" i="7"/>
  <c r="B19" i="16" s="1"/>
  <c r="AX10" i="7"/>
  <c r="B18" i="16" s="1"/>
  <c r="AW10" i="7"/>
  <c r="AY10" i="7" s="1"/>
  <c r="B308" i="13"/>
  <c r="B306" i="13" s="1"/>
  <c r="B160" i="21"/>
  <c r="B258" i="13"/>
  <c r="R296" i="13"/>
  <c r="U296" i="13" s="1"/>
  <c r="R278" i="13"/>
  <c r="B298" i="13"/>
  <c r="R295" i="13"/>
  <c r="Y295" i="13" s="1"/>
  <c r="R283" i="13"/>
  <c r="Y283" i="13" s="1"/>
  <c r="R285" i="13"/>
  <c r="Y285" i="13" s="1"/>
  <c r="R284" i="13"/>
  <c r="U284" i="13" s="1"/>
  <c r="R291" i="13"/>
  <c r="R293" i="13"/>
  <c r="R292" i="13"/>
  <c r="R280" i="13"/>
  <c r="Y280" i="13" s="1"/>
  <c r="R282" i="13"/>
  <c r="R281" i="13"/>
  <c r="R290" i="13"/>
  <c r="AC290" i="13" s="1"/>
  <c r="R289" i="13"/>
  <c r="U289" i="13" s="1"/>
  <c r="R279" i="13"/>
  <c r="U279" i="13" s="1"/>
  <c r="R286" i="13"/>
  <c r="R287" i="13"/>
  <c r="R294" i="13"/>
  <c r="Y294" i="13" s="1"/>
  <c r="B200" i="13"/>
  <c r="B199" i="13" s="1"/>
  <c r="B219" i="13" s="1"/>
  <c r="B348" i="13"/>
  <c r="B342" i="13" s="1"/>
  <c r="T268" i="13"/>
  <c r="T274" i="13" s="1"/>
  <c r="X277" i="13" s="1"/>
  <c r="B257" i="13"/>
  <c r="B248" i="13" s="1"/>
  <c r="B297" i="13"/>
  <c r="B288" i="13" s="1"/>
  <c r="AU164" i="7"/>
  <c r="AQ164" i="7"/>
  <c r="AR164" i="7" s="1"/>
  <c r="AV164" i="7"/>
  <c r="BA164" i="7" s="1"/>
  <c r="B144" i="19" s="1"/>
  <c r="BA200" i="7"/>
  <c r="B174" i="19" s="1"/>
  <c r="B174" i="14"/>
  <c r="AW200" i="7"/>
  <c r="AX200" i="7"/>
  <c r="B174" i="16" s="1"/>
  <c r="AQ42" i="7"/>
  <c r="AR42" i="7" s="1"/>
  <c r="AU42" i="7"/>
  <c r="B215" i="14"/>
  <c r="AX253" i="7"/>
  <c r="B215" i="16" s="1"/>
  <c r="BA253" i="7"/>
  <c r="B215" i="19" s="1"/>
  <c r="AW253" i="7"/>
  <c r="AX54" i="7"/>
  <c r="B56" i="16" s="1"/>
  <c r="B56" i="14"/>
  <c r="BA54" i="7"/>
  <c r="B56" i="19" s="1"/>
  <c r="AW54" i="7"/>
  <c r="AV198" i="7"/>
  <c r="AU198" i="7"/>
  <c r="AQ198" i="7"/>
  <c r="AV202" i="7"/>
  <c r="AU202" i="7"/>
  <c r="AQ202" i="7"/>
  <c r="AV251" i="7"/>
  <c r="AU251" i="7"/>
  <c r="AQ251" i="7"/>
  <c r="AV173" i="7"/>
  <c r="AQ173" i="7"/>
  <c r="AU173" i="7"/>
  <c r="AV194" i="7"/>
  <c r="AU194" i="7"/>
  <c r="AQ194" i="7"/>
  <c r="AW29" i="7"/>
  <c r="BA29" i="7"/>
  <c r="B37" i="19" s="1"/>
  <c r="B37" i="14"/>
  <c r="AX118" i="7"/>
  <c r="B109" i="16" s="1"/>
  <c r="B109" i="14"/>
  <c r="AW118" i="7"/>
  <c r="BA118" i="7"/>
  <c r="B109" i="19" s="1"/>
  <c r="B45" i="19"/>
  <c r="B45" i="14"/>
  <c r="B45" i="16"/>
  <c r="BA166" i="7"/>
  <c r="B146" i="19" s="1"/>
  <c r="AW166" i="7"/>
  <c r="AX166" i="7"/>
  <c r="B146" i="16" s="1"/>
  <c r="B146" i="14"/>
  <c r="AW27" i="7"/>
  <c r="BA27" i="7"/>
  <c r="B35" i="19" s="1"/>
  <c r="B35" i="14"/>
  <c r="BA26" i="7"/>
  <c r="B34" i="19" s="1"/>
  <c r="B34" i="16"/>
  <c r="AV230" i="7"/>
  <c r="AU230" i="7"/>
  <c r="AQ230" i="7"/>
  <c r="AV45" i="7"/>
  <c r="AU45" i="7"/>
  <c r="AQ45" i="7"/>
  <c r="AV252" i="7"/>
  <c r="AU252" i="7"/>
  <c r="AQ252" i="7"/>
  <c r="BA44" i="7"/>
  <c r="B46" i="19" s="1"/>
  <c r="AW44" i="7"/>
  <c r="AX44" i="7"/>
  <c r="B46" i="16" s="1"/>
  <c r="B46" i="14"/>
  <c r="BA191" i="7"/>
  <c r="B165" i="19" s="1"/>
  <c r="AW191" i="7"/>
  <c r="AX191" i="7"/>
  <c r="B165" i="16" s="1"/>
  <c r="B165" i="14"/>
  <c r="AW119" i="7"/>
  <c r="B110" i="14"/>
  <c r="AX119" i="7"/>
  <c r="B110" i="16" s="1"/>
  <c r="BA119" i="7"/>
  <c r="B110" i="19" s="1"/>
  <c r="AV109" i="7"/>
  <c r="AU109" i="7"/>
  <c r="AQ109" i="7"/>
  <c r="AV110" i="7"/>
  <c r="AQ110" i="7"/>
  <c r="AU110" i="7"/>
  <c r="B204" i="14"/>
  <c r="AW236" i="7"/>
  <c r="BA236" i="7"/>
  <c r="B204" i="19" s="1"/>
  <c r="AX236" i="7"/>
  <c r="B204" i="16" s="1"/>
  <c r="BA227" i="7"/>
  <c r="B195" i="19" s="1"/>
  <c r="AW227" i="7"/>
  <c r="AX227" i="7"/>
  <c r="B195" i="16" s="1"/>
  <c r="B195" i="14"/>
  <c r="BA176" i="7"/>
  <c r="B156" i="19" s="1"/>
  <c r="AW176" i="7"/>
  <c r="B156" i="14"/>
  <c r="AX176" i="7"/>
  <c r="B156" i="16" s="1"/>
  <c r="AW56" i="7"/>
  <c r="BA56" i="7"/>
  <c r="B58" i="19" s="1"/>
  <c r="AX56" i="7"/>
  <c r="B58" i="16" s="1"/>
  <c r="B58" i="14"/>
  <c r="BA10" i="7"/>
  <c r="B18" i="19" s="1"/>
  <c r="AX267" i="7"/>
  <c r="B229" i="16" s="1"/>
  <c r="BA267" i="7"/>
  <c r="B229" i="19" s="1"/>
  <c r="B229" i="14"/>
  <c r="AW267" i="7"/>
  <c r="AV228" i="7"/>
  <c r="AU228" i="7"/>
  <c r="AQ228" i="7"/>
  <c r="AW28" i="7"/>
  <c r="B36" i="14"/>
  <c r="BA28" i="7"/>
  <c r="B36" i="19" s="1"/>
  <c r="B36" i="16"/>
  <c r="BA250" i="7"/>
  <c r="B212" i="19" s="1"/>
  <c r="AW250" i="7"/>
  <c r="AX250" i="7"/>
  <c r="B212" i="16" s="1"/>
  <c r="B212" i="14"/>
  <c r="BA192" i="7"/>
  <c r="B166" i="19" s="1"/>
  <c r="AW192" i="7"/>
  <c r="B166" i="14"/>
  <c r="AX192" i="7"/>
  <c r="B166" i="16" s="1"/>
  <c r="BA50" i="7"/>
  <c r="B52" i="19" s="1"/>
  <c r="AW50" i="7"/>
  <c r="AX50" i="7"/>
  <c r="B52" i="16" s="1"/>
  <c r="B52" i="14"/>
  <c r="BA165" i="7"/>
  <c r="B145" i="19" s="1"/>
  <c r="AW165" i="7"/>
  <c r="AX165" i="7"/>
  <c r="B145" i="16" s="1"/>
  <c r="B145" i="14"/>
  <c r="BA162" i="7"/>
  <c r="B142" i="19" s="1"/>
  <c r="AW162" i="7"/>
  <c r="AX162" i="7"/>
  <c r="B142" i="16" s="1"/>
  <c r="B142" i="14"/>
  <c r="BA257" i="7"/>
  <c r="B219" i="19" s="1"/>
  <c r="AW257" i="7"/>
  <c r="AX257" i="7"/>
  <c r="B219" i="16" s="1"/>
  <c r="B219" i="14"/>
  <c r="BA234" i="7"/>
  <c r="B202" i="19" s="1"/>
  <c r="AW234" i="7"/>
  <c r="B202" i="14"/>
  <c r="AX234" i="7"/>
  <c r="B202" i="16" s="1"/>
  <c r="BA170" i="7"/>
  <c r="B150" i="19" s="1"/>
  <c r="AX170" i="7"/>
  <c r="B150" i="16" s="1"/>
  <c r="AW170" i="7"/>
  <c r="B150" i="14"/>
  <c r="AT48" i="7"/>
  <c r="AR48" i="7"/>
  <c r="AS48" i="7"/>
  <c r="AV106" i="7"/>
  <c r="AU106" i="7"/>
  <c r="AQ106" i="7"/>
  <c r="AS21" i="7"/>
  <c r="AV204" i="7"/>
  <c r="AQ204" i="7"/>
  <c r="AU204" i="7"/>
  <c r="BA197" i="7"/>
  <c r="B171" i="19" s="1"/>
  <c r="AW197" i="7"/>
  <c r="AX197" i="7"/>
  <c r="B171" i="16" s="1"/>
  <c r="B171" i="14"/>
  <c r="B183" i="14"/>
  <c r="AX209" i="7"/>
  <c r="B183" i="16" s="1"/>
  <c r="BA209" i="7"/>
  <c r="B183" i="19" s="1"/>
  <c r="AW209" i="7"/>
  <c r="BA12" i="7"/>
  <c r="B20" i="19" s="1"/>
  <c r="AW12" i="7"/>
  <c r="B20" i="16"/>
  <c r="B20" i="14"/>
  <c r="AR18" i="7"/>
  <c r="AT18" i="7"/>
  <c r="AS18" i="7"/>
  <c r="AT207" i="7"/>
  <c r="AR207" i="7"/>
  <c r="AS207" i="7"/>
  <c r="BA23" i="7"/>
  <c r="B31" i="19" s="1"/>
  <c r="AW23" i="7"/>
  <c r="B31" i="14"/>
  <c r="BA21" i="7"/>
  <c r="B29" i="19" s="1"/>
  <c r="AW21" i="7"/>
  <c r="B29" i="14"/>
  <c r="AW207" i="7"/>
  <c r="B181" i="14"/>
  <c r="BA207" i="7"/>
  <c r="B181" i="19" s="1"/>
  <c r="AX207" i="7"/>
  <c r="B181" i="16" s="1"/>
  <c r="BA235" i="7"/>
  <c r="B203" i="19" s="1"/>
  <c r="AW235" i="7"/>
  <c r="AX235" i="7"/>
  <c r="B203" i="16" s="1"/>
  <c r="B203" i="14"/>
  <c r="BA264" i="7"/>
  <c r="B226" i="19" s="1"/>
  <c r="AW264" i="7"/>
  <c r="AX264" i="7"/>
  <c r="B226" i="16" s="1"/>
  <c r="B226" i="14"/>
  <c r="BA20" i="7"/>
  <c r="B28" i="19" s="1"/>
  <c r="AW20" i="7"/>
  <c r="B28" i="14"/>
  <c r="BA48" i="7"/>
  <c r="B50" i="19" s="1"/>
  <c r="AW48" i="7"/>
  <c r="AX48" i="7"/>
  <c r="B50" i="16" s="1"/>
  <c r="B50" i="14"/>
  <c r="AT29" i="7"/>
  <c r="AR29" i="7"/>
  <c r="AS29" i="7"/>
  <c r="BA268" i="7"/>
  <c r="B230" i="19" s="1"/>
  <c r="B230" i="14"/>
  <c r="AX268" i="7"/>
  <c r="B230" i="16" s="1"/>
  <c r="AW268" i="7"/>
  <c r="BA18" i="7"/>
  <c r="B26" i="19" s="1"/>
  <c r="B26" i="16"/>
  <c r="AW18" i="7"/>
  <c r="B26" i="14"/>
  <c r="BA174" i="7"/>
  <c r="B154" i="19" s="1"/>
  <c r="AW174" i="7"/>
  <c r="B154" i="14"/>
  <c r="AX174" i="7"/>
  <c r="B154" i="16" s="1"/>
  <c r="BA167" i="7"/>
  <c r="B147" i="19" s="1"/>
  <c r="AW167" i="7"/>
  <c r="AX167" i="7"/>
  <c r="B147" i="16" s="1"/>
  <c r="B147" i="14"/>
  <c r="AW178" i="7"/>
  <c r="BA178" i="7"/>
  <c r="B158" i="19" s="1"/>
  <c r="B158" i="14"/>
  <c r="AX178" i="7"/>
  <c r="B158" i="16" s="1"/>
  <c r="AR15" i="7"/>
  <c r="AT15" i="7"/>
  <c r="AS15" i="7"/>
  <c r="BA222" i="7"/>
  <c r="B190" i="19" s="1"/>
  <c r="AW222" i="7"/>
  <c r="AX222" i="7"/>
  <c r="B190" i="16" s="1"/>
  <c r="B190" i="14"/>
  <c r="BA201" i="7"/>
  <c r="B175" i="19" s="1"/>
  <c r="AW201" i="7"/>
  <c r="AX201" i="7"/>
  <c r="B175" i="16" s="1"/>
  <c r="B175" i="14"/>
  <c r="BA260" i="7"/>
  <c r="B222" i="19" s="1"/>
  <c r="AW260" i="7"/>
  <c r="AX260" i="7"/>
  <c r="B222" i="16" s="1"/>
  <c r="B222" i="14"/>
  <c r="BA46" i="7"/>
  <c r="B48" i="19" s="1"/>
  <c r="B48" i="14"/>
  <c r="AX46" i="7"/>
  <c r="B48" i="16" s="1"/>
  <c r="BA254" i="7"/>
  <c r="B216" i="19" s="1"/>
  <c r="AW254" i="7"/>
  <c r="AX254" i="7"/>
  <c r="B216" i="16" s="1"/>
  <c r="B216" i="14"/>
  <c r="BA199" i="7"/>
  <c r="B173" i="19" s="1"/>
  <c r="AW199" i="7"/>
  <c r="AX199" i="7"/>
  <c r="B173" i="16" s="1"/>
  <c r="B173" i="14"/>
  <c r="AX179" i="7"/>
  <c r="B159" i="16" s="1"/>
  <c r="AW179" i="7"/>
  <c r="BA179" i="7"/>
  <c r="B159" i="19" s="1"/>
  <c r="B159" i="14"/>
  <c r="AT263" i="7"/>
  <c r="AR263" i="7"/>
  <c r="AS263" i="7"/>
  <c r="AR25" i="7"/>
  <c r="BA114" i="7"/>
  <c r="B105" i="19" s="1"/>
  <c r="AW114" i="7"/>
  <c r="AX114" i="7"/>
  <c r="B105" i="16" s="1"/>
  <c r="B105" i="14"/>
  <c r="AT195" i="7"/>
  <c r="AS195" i="7"/>
  <c r="AR195" i="7"/>
  <c r="BA169" i="7"/>
  <c r="B149" i="19" s="1"/>
  <c r="AW169" i="7"/>
  <c r="AX169" i="7"/>
  <c r="B149" i="16" s="1"/>
  <c r="B149" i="14"/>
  <c r="BA226" i="7"/>
  <c r="B194" i="19" s="1"/>
  <c r="AW226" i="7"/>
  <c r="B194" i="14"/>
  <c r="AX226" i="7"/>
  <c r="B194" i="16" s="1"/>
  <c r="AR24" i="7"/>
  <c r="AT24" i="7"/>
  <c r="AS24" i="7"/>
  <c r="AW220" i="7"/>
  <c r="BA220" i="7"/>
  <c r="B188" i="19" s="1"/>
  <c r="B188" i="14"/>
  <c r="AX220" i="7"/>
  <c r="B188" i="16" s="1"/>
  <c r="BA15" i="7"/>
  <c r="B23" i="19" s="1"/>
  <c r="AW15" i="7"/>
  <c r="B23" i="16"/>
  <c r="B23" i="14"/>
  <c r="BA177" i="7"/>
  <c r="B157" i="19" s="1"/>
  <c r="AW177" i="7"/>
  <c r="B157" i="14"/>
  <c r="AX177" i="7"/>
  <c r="B157" i="16" s="1"/>
  <c r="BA25" i="7"/>
  <c r="B33" i="19" s="1"/>
  <c r="AW25" i="7"/>
  <c r="B33" i="14"/>
  <c r="BA111" i="7"/>
  <c r="B102" i="19" s="1"/>
  <c r="AW111" i="7"/>
  <c r="B102" i="14"/>
  <c r="AX111" i="7"/>
  <c r="B102" i="16" s="1"/>
  <c r="AT14" i="7"/>
  <c r="AR14" i="7"/>
  <c r="AS14" i="7"/>
  <c r="BA223" i="7"/>
  <c r="B191" i="19" s="1"/>
  <c r="AW223" i="7"/>
  <c r="AX223" i="7"/>
  <c r="B191" i="16" s="1"/>
  <c r="B191" i="14"/>
  <c r="BA172" i="7"/>
  <c r="B152" i="19" s="1"/>
  <c r="AW172" i="7"/>
  <c r="AX172" i="7"/>
  <c r="B152" i="16" s="1"/>
  <c r="B152" i="14"/>
  <c r="BA195" i="7"/>
  <c r="B169" i="19" s="1"/>
  <c r="AW195" i="7"/>
  <c r="AX195" i="7"/>
  <c r="B169" i="16" s="1"/>
  <c r="B169" i="14"/>
  <c r="BA112" i="7"/>
  <c r="B103" i="19" s="1"/>
  <c r="AW112" i="7"/>
  <c r="AX112" i="7"/>
  <c r="B103" i="16" s="1"/>
  <c r="B103" i="14"/>
  <c r="BA47" i="7"/>
  <c r="B49" i="19" s="1"/>
  <c r="AW47" i="7"/>
  <c r="AX47" i="7"/>
  <c r="B49" i="16" s="1"/>
  <c r="B49" i="14"/>
  <c r="BA262" i="7"/>
  <c r="B224" i="19" s="1"/>
  <c r="AW262" i="7"/>
  <c r="AX262" i="7"/>
  <c r="B224" i="16" s="1"/>
  <c r="B224" i="14"/>
  <c r="BA51" i="7"/>
  <c r="B53" i="19" s="1"/>
  <c r="AW51" i="7"/>
  <c r="AX51" i="7"/>
  <c r="B53" i="16" s="1"/>
  <c r="B53" i="14"/>
  <c r="BA24" i="7"/>
  <c r="B32" i="19" s="1"/>
  <c r="AW24" i="7"/>
  <c r="B32" i="16"/>
  <c r="B32" i="14"/>
  <c r="AG21" i="14" s="1"/>
  <c r="AT255" i="7"/>
  <c r="AR255" i="7"/>
  <c r="AS255" i="7"/>
  <c r="AR205" i="7"/>
  <c r="BA14" i="7"/>
  <c r="B22" i="19" s="1"/>
  <c r="AW14" i="7"/>
  <c r="B22" i="16"/>
  <c r="B22" i="14"/>
  <c r="BA116" i="7"/>
  <c r="B107" i="19" s="1"/>
  <c r="AW116" i="7"/>
  <c r="AX116" i="7"/>
  <c r="B107" i="16" s="1"/>
  <c r="B107" i="14"/>
  <c r="BA42" i="7"/>
  <c r="B44" i="19" s="1"/>
  <c r="AW42" i="7"/>
  <c r="AX42" i="7"/>
  <c r="B44" i="16" s="1"/>
  <c r="B44" i="14"/>
  <c r="BA255" i="7"/>
  <c r="B217" i="19" s="1"/>
  <c r="AW255" i="7"/>
  <c r="AX255" i="7"/>
  <c r="B217" i="16" s="1"/>
  <c r="B217" i="14"/>
  <c r="BA231" i="7"/>
  <c r="B199" i="19" s="1"/>
  <c r="AW231" i="7"/>
  <c r="AX231" i="7"/>
  <c r="B199" i="16" s="1"/>
  <c r="B199" i="14"/>
  <c r="AR49" i="7"/>
  <c r="AT49" i="7"/>
  <c r="AS49" i="7"/>
  <c r="BA104" i="7"/>
  <c r="B95" i="19" s="1"/>
  <c r="AW104" i="7"/>
  <c r="AX104" i="7"/>
  <c r="B95" i="16" s="1"/>
  <c r="B95" i="14"/>
  <c r="BA232" i="7"/>
  <c r="B200" i="19" s="1"/>
  <c r="AW232" i="7"/>
  <c r="AX232" i="7"/>
  <c r="B200" i="16" s="1"/>
  <c r="B200" i="14"/>
  <c r="BA103" i="7"/>
  <c r="B94" i="19" s="1"/>
  <c r="AW103" i="7"/>
  <c r="B94" i="14"/>
  <c r="AX103" i="7"/>
  <c r="B94" i="16" s="1"/>
  <c r="BA11" i="7"/>
  <c r="B19" i="19" s="1"/>
  <c r="B19" i="14"/>
  <c r="BA17" i="7"/>
  <c r="B25" i="19" s="1"/>
  <c r="AW17" i="7"/>
  <c r="B25" i="16"/>
  <c r="B25" i="14"/>
  <c r="BA239" i="7"/>
  <c r="B207" i="19" s="1"/>
  <c r="AW239" i="7"/>
  <c r="B207" i="14"/>
  <c r="AX239" i="7"/>
  <c r="B207" i="16" s="1"/>
  <c r="BA203" i="7"/>
  <c r="B177" i="19" s="1"/>
  <c r="AW203" i="7"/>
  <c r="AX203" i="7"/>
  <c r="B177" i="16" s="1"/>
  <c r="B177" i="14"/>
  <c r="AX40" i="7"/>
  <c r="B42" i="16" s="1"/>
  <c r="BA40" i="7"/>
  <c r="B42" i="19" s="1"/>
  <c r="AW40" i="7"/>
  <c r="AZ40" i="7" s="1"/>
  <c r="B90" i="18" s="1"/>
  <c r="B42" i="14"/>
  <c r="BA168" i="7"/>
  <c r="B148" i="19" s="1"/>
  <c r="AW168" i="7"/>
  <c r="AX168" i="7"/>
  <c r="B148" i="16" s="1"/>
  <c r="B148" i="14"/>
  <c r="BA205" i="7"/>
  <c r="B179" i="19" s="1"/>
  <c r="AW205" i="7"/>
  <c r="AX205" i="7"/>
  <c r="B179" i="16" s="1"/>
  <c r="B179" i="14"/>
  <c r="AT52" i="7"/>
  <c r="BA22" i="7"/>
  <c r="B30" i="19" s="1"/>
  <c r="AW22" i="7"/>
  <c r="B30" i="16"/>
  <c r="B30" i="14"/>
  <c r="BA55" i="7"/>
  <c r="B57" i="19" s="1"/>
  <c r="AW55" i="7"/>
  <c r="AX55" i="7"/>
  <c r="B57" i="16" s="1"/>
  <c r="B57" i="14"/>
  <c r="AR266" i="7"/>
  <c r="BA233" i="7"/>
  <c r="B201" i="19" s="1"/>
  <c r="AW233" i="7"/>
  <c r="AX233" i="7"/>
  <c r="B201" i="16" s="1"/>
  <c r="B201" i="14"/>
  <c r="BA224" i="7"/>
  <c r="B192" i="19" s="1"/>
  <c r="AW224" i="7"/>
  <c r="AX224" i="7"/>
  <c r="B192" i="16" s="1"/>
  <c r="B192" i="14"/>
  <c r="BA175" i="7"/>
  <c r="B155" i="19" s="1"/>
  <c r="AW175" i="7"/>
  <c r="AX175" i="7"/>
  <c r="B155" i="16" s="1"/>
  <c r="B155" i="14"/>
  <c r="AX266" i="7"/>
  <c r="B228" i="16" s="1"/>
  <c r="BA266" i="7"/>
  <c r="B228" i="19" s="1"/>
  <c r="AW266" i="7"/>
  <c r="B228" i="14"/>
  <c r="BA19" i="7"/>
  <c r="B27" i="19" s="1"/>
  <c r="AW19" i="7"/>
  <c r="B27" i="16"/>
  <c r="B27" i="14"/>
  <c r="BA107" i="7"/>
  <c r="B98" i="19" s="1"/>
  <c r="AW107" i="7"/>
  <c r="B98" i="14"/>
  <c r="AX107" i="7"/>
  <c r="B98" i="16" s="1"/>
  <c r="AS46" i="7"/>
  <c r="AR46" i="7"/>
  <c r="BA52" i="7"/>
  <c r="B54" i="19" s="1"/>
  <c r="AW52" i="7"/>
  <c r="AX52" i="7"/>
  <c r="B54" i="16" s="1"/>
  <c r="B54" i="14"/>
  <c r="BA49" i="7"/>
  <c r="B51" i="19" s="1"/>
  <c r="AW49" i="7"/>
  <c r="AX49" i="7"/>
  <c r="B51" i="16" s="1"/>
  <c r="B51" i="14"/>
  <c r="C153" i="19" l="1"/>
  <c r="C71" i="14"/>
  <c r="C68" i="16"/>
  <c r="C116" i="15"/>
  <c r="C165" i="17"/>
  <c r="C229" i="15"/>
  <c r="C77" i="16"/>
  <c r="C124" i="19"/>
  <c r="U119" i="19" s="1"/>
  <c r="C117" i="19"/>
  <c r="C179" i="18"/>
  <c r="C131" i="16"/>
  <c r="C124" i="16"/>
  <c r="C236" i="17"/>
  <c r="C269" i="18"/>
  <c r="C97" i="16"/>
  <c r="C172" i="16"/>
  <c r="S168" i="16" s="1"/>
  <c r="C68" i="19"/>
  <c r="C117" i="14"/>
  <c r="C116" i="17"/>
  <c r="C188" i="14"/>
  <c r="C131" i="19"/>
  <c r="C124" i="14"/>
  <c r="C172" i="14"/>
  <c r="C195" i="18"/>
  <c r="C197" i="14"/>
  <c r="P320" i="21"/>
  <c r="BE418" i="13"/>
  <c r="C130" i="15"/>
  <c r="AI120" i="15" s="1"/>
  <c r="C146" i="19"/>
  <c r="C140" i="16"/>
  <c r="C221" i="16"/>
  <c r="K74" i="21"/>
  <c r="C221" i="19"/>
  <c r="C19" i="19"/>
  <c r="C213" i="16"/>
  <c r="E218" i="16" s="1"/>
  <c r="C58" i="19"/>
  <c r="AI52" i="19" s="1"/>
  <c r="AJ52" i="19" s="1"/>
  <c r="C143" i="19"/>
  <c r="C109" i="14"/>
  <c r="AM97" i="14" s="1"/>
  <c r="AN97" i="14" s="1"/>
  <c r="C187" i="15"/>
  <c r="C51" i="16"/>
  <c r="U43" i="16" s="1"/>
  <c r="C37" i="15"/>
  <c r="C147" i="14"/>
  <c r="C188" i="17"/>
  <c r="C58" i="14"/>
  <c r="AI48" i="14" s="1"/>
  <c r="AJ48" i="14" s="1"/>
  <c r="C108" i="15"/>
  <c r="C77" i="14"/>
  <c r="Y69" i="14" s="1"/>
  <c r="C188" i="19"/>
  <c r="C23" i="15"/>
  <c r="M25" i="15" s="1"/>
  <c r="C37" i="19"/>
  <c r="C147" i="16"/>
  <c r="C188" i="18"/>
  <c r="C109" i="16"/>
  <c r="AM92" i="16" s="1"/>
  <c r="AN92" i="16" s="1"/>
  <c r="C199" i="16"/>
  <c r="Y189" i="16" s="1"/>
  <c r="C109" i="19"/>
  <c r="AM94" i="19" s="1"/>
  <c r="AN94" i="19" s="1"/>
  <c r="C77" i="15"/>
  <c r="C174" i="19"/>
  <c r="W167" i="19" s="1"/>
  <c r="C220" i="15"/>
  <c r="C147" i="19"/>
  <c r="C236" i="18"/>
  <c r="C269" i="17"/>
  <c r="C204" i="16"/>
  <c r="C101" i="19"/>
  <c r="W96" i="19" s="1"/>
  <c r="C79" i="14"/>
  <c r="C119" i="15"/>
  <c r="M114" i="15" s="1"/>
  <c r="C139" i="15"/>
  <c r="C179" i="17"/>
  <c r="C204" i="19"/>
  <c r="AI199" i="19" s="1"/>
  <c r="AJ199" i="19" s="1"/>
  <c r="C55" i="15"/>
  <c r="AC49" i="15" s="1"/>
  <c r="C79" i="19"/>
  <c r="C140" i="14"/>
  <c r="C52" i="14"/>
  <c r="C79" i="16"/>
  <c r="AC72" i="16" s="1"/>
  <c r="C278" i="18"/>
  <c r="C52" i="15"/>
  <c r="C79" i="15"/>
  <c r="AC66" i="15" s="1"/>
  <c r="C212" i="14"/>
  <c r="C52" i="16"/>
  <c r="C247" i="18"/>
  <c r="C132" i="19"/>
  <c r="C52" i="19"/>
  <c r="W51" i="19" s="1"/>
  <c r="C100" i="16"/>
  <c r="C191" i="19"/>
  <c r="C53" i="16"/>
  <c r="Y42" i="16" s="1"/>
  <c r="C142" i="14"/>
  <c r="G141" i="14" s="1"/>
  <c r="C76" i="18"/>
  <c r="C247" i="17"/>
  <c r="C131" i="15"/>
  <c r="C198" i="15"/>
  <c r="Y196" i="15" s="1"/>
  <c r="C99" i="15"/>
  <c r="C53" i="15"/>
  <c r="C239" i="17"/>
  <c r="C76" i="17"/>
  <c r="X72" i="17" s="1"/>
  <c r="C45" i="14"/>
  <c r="C47" i="14"/>
  <c r="M51" i="14" s="1"/>
  <c r="C193" i="15"/>
  <c r="C37" i="16"/>
  <c r="AO18" i="16" s="1"/>
  <c r="AP18" i="16" s="1"/>
  <c r="AH377" i="21"/>
  <c r="AG377" i="21" s="1"/>
  <c r="AH376" i="21"/>
  <c r="AG376" i="21" s="1"/>
  <c r="C120" i="16"/>
  <c r="M124" i="16" s="1"/>
  <c r="C140" i="19"/>
  <c r="C242" i="17"/>
  <c r="C120" i="19"/>
  <c r="M123" i="19" s="1"/>
  <c r="C45" i="15"/>
  <c r="C110" i="14"/>
  <c r="AO96" i="14" s="1"/>
  <c r="AP96" i="14" s="1"/>
  <c r="C47" i="15"/>
  <c r="C121" i="14"/>
  <c r="C242" i="18"/>
  <c r="C110" i="19"/>
  <c r="AO102" i="19" s="1"/>
  <c r="AP102" i="19" s="1"/>
  <c r="C120" i="15"/>
  <c r="O122" i="15" s="1"/>
  <c r="C201" i="17"/>
  <c r="C93" i="16"/>
  <c r="C121" i="16"/>
  <c r="O123" i="16" s="1"/>
  <c r="C201" i="18"/>
  <c r="C189" i="15"/>
  <c r="C121" i="19"/>
  <c r="O122" i="19" s="1"/>
  <c r="C230" i="14"/>
  <c r="AM213" i="14" s="1"/>
  <c r="AN213" i="14" s="1"/>
  <c r="C190" i="16"/>
  <c r="C194" i="14"/>
  <c r="O195" i="14" s="1"/>
  <c r="C120" i="14"/>
  <c r="C169" i="17"/>
  <c r="Z277" i="13"/>
  <c r="AP302" i="13"/>
  <c r="AP300" i="13"/>
  <c r="AP301" i="13"/>
  <c r="V215" i="21"/>
  <c r="AE208" i="21" s="1"/>
  <c r="D21" i="18"/>
  <c r="V212" i="21"/>
  <c r="D18" i="18"/>
  <c r="AT160" i="7"/>
  <c r="AT58" i="7"/>
  <c r="AR58" i="7"/>
  <c r="AR254" i="7"/>
  <c r="AT54" i="7"/>
  <c r="B24" i="14"/>
  <c r="K21" i="14" s="1"/>
  <c r="AS254" i="7"/>
  <c r="AW16" i="7"/>
  <c r="AS25" i="7"/>
  <c r="AS223" i="7"/>
  <c r="AT259" i="7"/>
  <c r="AR222" i="7"/>
  <c r="AR232" i="7"/>
  <c r="BA16" i="7"/>
  <c r="B24" i="19" s="1"/>
  <c r="B60" i="14"/>
  <c r="AR223" i="7"/>
  <c r="AR44" i="7"/>
  <c r="AR250" i="7"/>
  <c r="AS222" i="7"/>
  <c r="AS232" i="7"/>
  <c r="AX58" i="7"/>
  <c r="B60" i="16" s="1"/>
  <c r="AS250" i="7"/>
  <c r="AT50" i="7"/>
  <c r="AR225" i="7"/>
  <c r="BA58" i="7"/>
  <c r="B60" i="19" s="1"/>
  <c r="AS20" i="7"/>
  <c r="AT20" i="7"/>
  <c r="AT26" i="7"/>
  <c r="AT56" i="7"/>
  <c r="AR26" i="7"/>
  <c r="AT19" i="7"/>
  <c r="AS19" i="7"/>
  <c r="AT55" i="7"/>
  <c r="AX229" i="7"/>
  <c r="B197" i="16" s="1"/>
  <c r="AW26" i="7"/>
  <c r="B34" i="15" s="1"/>
  <c r="AS59" i="7"/>
  <c r="B193" i="14"/>
  <c r="AR27" i="7"/>
  <c r="AR229" i="7"/>
  <c r="AS27" i="7"/>
  <c r="AS229" i="7"/>
  <c r="AX225" i="7"/>
  <c r="B193" i="16" s="1"/>
  <c r="AS205" i="7"/>
  <c r="AS44" i="7"/>
  <c r="B34" i="14"/>
  <c r="AR256" i="7"/>
  <c r="AS51" i="7"/>
  <c r="AR22" i="7"/>
  <c r="AT23" i="7"/>
  <c r="AT22" i="7"/>
  <c r="AR260" i="7"/>
  <c r="AR50" i="7"/>
  <c r="AR54" i="7"/>
  <c r="AS266" i="7"/>
  <c r="AS231" i="7"/>
  <c r="AT231" i="7"/>
  <c r="AS267" i="7"/>
  <c r="B218" i="14"/>
  <c r="AX256" i="7"/>
  <c r="B218" i="16" s="1"/>
  <c r="AR21" i="7"/>
  <c r="AS28" i="7"/>
  <c r="AR267" i="7"/>
  <c r="AT236" i="7"/>
  <c r="AW256" i="7"/>
  <c r="AY256" i="7" s="1"/>
  <c r="B266" i="17" s="1"/>
  <c r="AS236" i="7"/>
  <c r="AR259" i="7"/>
  <c r="AS16" i="7"/>
  <c r="AT16" i="7"/>
  <c r="AW229" i="7"/>
  <c r="AY229" i="7" s="1"/>
  <c r="B245" i="17" s="1"/>
  <c r="AR55" i="7"/>
  <c r="AR51" i="7"/>
  <c r="BA229" i="7"/>
  <c r="B197" i="19" s="1"/>
  <c r="AR17" i="7"/>
  <c r="AS17" i="7"/>
  <c r="AS47" i="7"/>
  <c r="AR47" i="7"/>
  <c r="AR160" i="7"/>
  <c r="AS260" i="7"/>
  <c r="AT256" i="7"/>
  <c r="BA75" i="7"/>
  <c r="B71" i="19" s="1"/>
  <c r="B71" i="14"/>
  <c r="AT28" i="7"/>
  <c r="B18" i="17"/>
  <c r="B42" i="17" s="1"/>
  <c r="AX73" i="7"/>
  <c r="B69" i="16" s="1"/>
  <c r="B69" i="14"/>
  <c r="BA225" i="7"/>
  <c r="B193" i="19" s="1"/>
  <c r="AW83" i="7"/>
  <c r="B79" i="15" s="1"/>
  <c r="B79" i="14"/>
  <c r="BA70" i="7"/>
  <c r="B66" i="19" s="1"/>
  <c r="B66" i="14"/>
  <c r="AS257" i="7"/>
  <c r="AR10" i="7"/>
  <c r="AS56" i="7"/>
  <c r="BA81" i="7"/>
  <c r="B77" i="19" s="1"/>
  <c r="B77" i="14"/>
  <c r="BA135" i="7"/>
  <c r="B120" i="19" s="1"/>
  <c r="B120" i="14"/>
  <c r="C230" i="19"/>
  <c r="C220" i="16"/>
  <c r="S217" i="16" s="1"/>
  <c r="P404" i="21"/>
  <c r="C261" i="18"/>
  <c r="P397" i="21"/>
  <c r="C261" i="17"/>
  <c r="C263" i="18"/>
  <c r="P399" i="21"/>
  <c r="C213" i="15"/>
  <c r="P398" i="21"/>
  <c r="C230" i="16"/>
  <c r="AM213" i="16" s="1"/>
  <c r="AN213" i="16" s="1"/>
  <c r="C212" i="15"/>
  <c r="E211" i="15" s="1"/>
  <c r="C214" i="16"/>
  <c r="G213" i="16" s="1"/>
  <c r="C212" i="16"/>
  <c r="C212" i="19"/>
  <c r="C211" i="15"/>
  <c r="C190" i="14"/>
  <c r="C199" i="19"/>
  <c r="Y194" i="19" s="1"/>
  <c r="C197" i="16"/>
  <c r="U188" i="16" s="1"/>
  <c r="P382" i="21"/>
  <c r="AF493" i="13"/>
  <c r="P385" i="21"/>
  <c r="C203" i="15"/>
  <c r="AI198" i="15" s="1"/>
  <c r="P389" i="21"/>
  <c r="Z376" i="21" s="1"/>
  <c r="C191" i="16"/>
  <c r="P376" i="21"/>
  <c r="C199" i="14"/>
  <c r="Y188" i="14" s="1"/>
  <c r="C197" i="19"/>
  <c r="C201" i="16"/>
  <c r="AC190" i="16" s="1"/>
  <c r="AF494" i="13"/>
  <c r="P386" i="21"/>
  <c r="C213" i="18"/>
  <c r="P351" i="21"/>
  <c r="C175" i="15"/>
  <c r="AA168" i="15" s="1"/>
  <c r="C168" i="15"/>
  <c r="M167" i="15" s="1"/>
  <c r="C173" i="14"/>
  <c r="U174" i="14" s="1"/>
  <c r="P359" i="21"/>
  <c r="BC468" i="13"/>
  <c r="P360" i="21"/>
  <c r="BC469" i="13"/>
  <c r="C214" i="18"/>
  <c r="P352" i="21"/>
  <c r="C165" i="15"/>
  <c r="G164" i="15" s="1"/>
  <c r="C179" i="19"/>
  <c r="AG168" i="19" s="1"/>
  <c r="BS469" i="13"/>
  <c r="BS468" i="13"/>
  <c r="P365" i="21"/>
  <c r="C180" i="15"/>
  <c r="AK164" i="15" s="1"/>
  <c r="AU469" i="13"/>
  <c r="P367" i="21"/>
  <c r="C165" i="14"/>
  <c r="E171" i="14" s="1"/>
  <c r="C177" i="19"/>
  <c r="AC164" i="19" s="1"/>
  <c r="P363" i="21"/>
  <c r="CI469" i="13"/>
  <c r="CI468" i="13"/>
  <c r="AF469" i="13"/>
  <c r="C165" i="19"/>
  <c r="AF468" i="13"/>
  <c r="CQ469" i="13"/>
  <c r="P362" i="21"/>
  <c r="CQ468" i="13"/>
  <c r="C169" i="14"/>
  <c r="P355" i="21"/>
  <c r="CA469" i="13"/>
  <c r="P364" i="21"/>
  <c r="CA468" i="13"/>
  <c r="C165" i="16"/>
  <c r="E173" i="16" s="1"/>
  <c r="C174" i="14"/>
  <c r="C174" i="16"/>
  <c r="W172" i="16" s="1"/>
  <c r="C217" i="18"/>
  <c r="C175" i="19"/>
  <c r="Y174" i="19" s="1"/>
  <c r="BK468" i="13"/>
  <c r="P361" i="21"/>
  <c r="BK469" i="13"/>
  <c r="AH354" i="21"/>
  <c r="AG354" i="21" s="1"/>
  <c r="AH353" i="21"/>
  <c r="AG353" i="21" s="1"/>
  <c r="C156" i="19"/>
  <c r="AI150" i="19" s="1"/>
  <c r="AJ150" i="19" s="1"/>
  <c r="P343" i="21"/>
  <c r="C149" i="19"/>
  <c r="U142" i="19" s="1"/>
  <c r="P336" i="21"/>
  <c r="C142" i="19"/>
  <c r="P329" i="21"/>
  <c r="C146" i="16"/>
  <c r="O148" i="16" s="1"/>
  <c r="P333" i="21"/>
  <c r="AP330" i="21"/>
  <c r="AO330" i="21" s="1"/>
  <c r="AP331" i="21"/>
  <c r="AO331" i="21" s="1"/>
  <c r="C144" i="16"/>
  <c r="K148" i="16" s="1"/>
  <c r="P331" i="21"/>
  <c r="C153" i="16"/>
  <c r="P340" i="21"/>
  <c r="AF444" i="13"/>
  <c r="AF443" i="13"/>
  <c r="P339" i="21"/>
  <c r="AH331" i="21"/>
  <c r="AG331" i="21" s="1"/>
  <c r="AH330" i="21"/>
  <c r="AG330" i="21" s="1"/>
  <c r="C143" i="16"/>
  <c r="I141" i="16" s="1"/>
  <c r="P330" i="21"/>
  <c r="C141" i="15"/>
  <c r="G146" i="15" s="1"/>
  <c r="C196" i="18"/>
  <c r="P335" i="21"/>
  <c r="C128" i="14"/>
  <c r="AC116" i="14" s="1"/>
  <c r="AF419" i="13"/>
  <c r="P317" i="21"/>
  <c r="AF418" i="13"/>
  <c r="P316" i="21"/>
  <c r="C128" i="15"/>
  <c r="AE118" i="15" s="1"/>
  <c r="C129" i="16"/>
  <c r="AE123" i="16" s="1"/>
  <c r="C132" i="16"/>
  <c r="C129" i="19"/>
  <c r="AE123" i="19" s="1"/>
  <c r="C132" i="14"/>
  <c r="C169" i="18"/>
  <c r="AH308" i="21"/>
  <c r="AG308" i="21" s="1"/>
  <c r="AH307" i="21"/>
  <c r="AG307" i="21" s="1"/>
  <c r="P314" i="21"/>
  <c r="AO419" i="13"/>
  <c r="AO418" i="13"/>
  <c r="C177" i="18"/>
  <c r="P318" i="21"/>
  <c r="AX307" i="21"/>
  <c r="AW307" i="21" s="1"/>
  <c r="AX308" i="21"/>
  <c r="AW308" i="21" s="1"/>
  <c r="C180" i="18"/>
  <c r="P321" i="21"/>
  <c r="C107" i="16"/>
  <c r="AI102" i="16" s="1"/>
  <c r="AJ102" i="16" s="1"/>
  <c r="P297" i="21"/>
  <c r="C100" i="19"/>
  <c r="U93" i="19" s="1"/>
  <c r="AF393" i="13"/>
  <c r="P293" i="21"/>
  <c r="C96" i="15"/>
  <c r="O97" i="15" s="1"/>
  <c r="P287" i="21"/>
  <c r="C149" i="17"/>
  <c r="AO393" i="13"/>
  <c r="AO394" i="13"/>
  <c r="P291" i="21"/>
  <c r="C110" i="16"/>
  <c r="C107" i="14"/>
  <c r="AI99" i="14" s="1"/>
  <c r="AJ99" i="14" s="1"/>
  <c r="C100" i="14"/>
  <c r="U92" i="14" s="1"/>
  <c r="C94" i="19"/>
  <c r="C92" i="15"/>
  <c r="G96" i="15" s="1"/>
  <c r="P283" i="21"/>
  <c r="C99" i="19"/>
  <c r="S100" i="19" s="1"/>
  <c r="P289" i="21"/>
  <c r="AP285" i="21"/>
  <c r="AO285" i="21" s="1"/>
  <c r="AP284" i="21"/>
  <c r="AO284" i="21" s="1"/>
  <c r="AF368" i="13"/>
  <c r="AF369" i="13"/>
  <c r="P270" i="21"/>
  <c r="AO369" i="13"/>
  <c r="AO368" i="13"/>
  <c r="P268" i="21"/>
  <c r="P274" i="21"/>
  <c r="BE369" i="13"/>
  <c r="BE368" i="13"/>
  <c r="C119" i="18"/>
  <c r="N115" i="18" s="1"/>
  <c r="P263" i="21"/>
  <c r="C74" i="19"/>
  <c r="S77" i="19" s="1"/>
  <c r="P266" i="21"/>
  <c r="C73" i="16"/>
  <c r="Q75" i="16" s="1"/>
  <c r="P265" i="21"/>
  <c r="C125" i="17"/>
  <c r="AW368" i="13"/>
  <c r="AW369" i="13"/>
  <c r="P269" i="21"/>
  <c r="C81" i="15"/>
  <c r="AG73" i="15" s="1"/>
  <c r="P273" i="21"/>
  <c r="P250" i="21"/>
  <c r="AX337" i="13"/>
  <c r="AX336" i="13"/>
  <c r="C51" i="19"/>
  <c r="U48" i="19" s="1"/>
  <c r="C50" i="19"/>
  <c r="C43" i="16"/>
  <c r="E44" i="16" s="1"/>
  <c r="P236" i="21"/>
  <c r="C79" i="17"/>
  <c r="AD72" i="17" s="1"/>
  <c r="P248" i="21"/>
  <c r="P240" i="21"/>
  <c r="AI338" i="13"/>
  <c r="C93" i="18"/>
  <c r="P238" i="21"/>
  <c r="C75" i="18"/>
  <c r="C47" i="19"/>
  <c r="M52" i="19" s="1"/>
  <c r="C53" i="19"/>
  <c r="Y48" i="19" s="1"/>
  <c r="C99" i="17"/>
  <c r="V101" i="17" s="1"/>
  <c r="C75" i="17"/>
  <c r="V71" i="17" s="1"/>
  <c r="AP336" i="13"/>
  <c r="P241" i="21"/>
  <c r="C51" i="15"/>
  <c r="AI337" i="13"/>
  <c r="AK337" i="13" s="1"/>
  <c r="P239" i="21"/>
  <c r="C51" i="14"/>
  <c r="U52" i="14" s="1"/>
  <c r="C23" i="17"/>
  <c r="N27" i="17" s="1"/>
  <c r="C23" i="16"/>
  <c r="C37" i="17"/>
  <c r="AP24" i="17" s="1"/>
  <c r="C47" i="17"/>
  <c r="N52" i="17" s="1"/>
  <c r="C37" i="14"/>
  <c r="C23" i="19"/>
  <c r="M24" i="19" s="1"/>
  <c r="C61" i="18"/>
  <c r="AP53" i="18" s="1"/>
  <c r="C47" i="18"/>
  <c r="N49" i="18" s="1"/>
  <c r="C23" i="14"/>
  <c r="N18" i="14" s="1"/>
  <c r="C36" i="18"/>
  <c r="AN26" i="18" s="1"/>
  <c r="C28" i="19"/>
  <c r="W26" i="19" s="1"/>
  <c r="C25" i="19"/>
  <c r="Q29" i="19" s="1"/>
  <c r="C23" i="18"/>
  <c r="K71" i="21"/>
  <c r="C34" i="16"/>
  <c r="AI26" i="16" s="1"/>
  <c r="AJ26" i="16" s="1"/>
  <c r="C34" i="15"/>
  <c r="AI22" i="15" s="1"/>
  <c r="C58" i="17"/>
  <c r="AJ50" i="17" s="1"/>
  <c r="C34" i="17"/>
  <c r="AJ125" i="17" s="1"/>
  <c r="P215" i="21"/>
  <c r="V207" i="21" s="1"/>
  <c r="AA304" i="13"/>
  <c r="C25" i="15"/>
  <c r="Q23" i="15" s="1"/>
  <c r="P73" i="21"/>
  <c r="W216" i="21"/>
  <c r="P81" i="21"/>
  <c r="W224" i="21"/>
  <c r="P70" i="21"/>
  <c r="W213" i="21"/>
  <c r="P77" i="21"/>
  <c r="W220" i="21"/>
  <c r="W275" i="21"/>
  <c r="V282" i="21"/>
  <c r="W225" i="21"/>
  <c r="P82" i="21"/>
  <c r="W219" i="21"/>
  <c r="P76" i="21"/>
  <c r="W226" i="21"/>
  <c r="P83" i="21"/>
  <c r="W217" i="21"/>
  <c r="P74" i="21"/>
  <c r="W223" i="21"/>
  <c r="P80" i="21"/>
  <c r="W274" i="21"/>
  <c r="V281" i="21"/>
  <c r="P79" i="21"/>
  <c r="W222" i="21"/>
  <c r="W227" i="21"/>
  <c r="P84" i="21"/>
  <c r="P71" i="21"/>
  <c r="W214" i="21"/>
  <c r="W218" i="21"/>
  <c r="P75" i="21"/>
  <c r="W215" i="21"/>
  <c r="P72" i="21"/>
  <c r="P86" i="21"/>
  <c r="W229" i="21"/>
  <c r="P78" i="21"/>
  <c r="W221" i="21"/>
  <c r="P85" i="21"/>
  <c r="W228" i="21"/>
  <c r="J63" i="21"/>
  <c r="C263" i="17"/>
  <c r="D244" i="18"/>
  <c r="D245" i="18"/>
  <c r="D248" i="18"/>
  <c r="D243" i="18"/>
  <c r="D255" i="18"/>
  <c r="D251" i="18"/>
  <c r="D253" i="18"/>
  <c r="D254" i="18"/>
  <c r="D246" i="18"/>
  <c r="C191" i="14"/>
  <c r="I199" i="14" s="1"/>
  <c r="C245" i="18"/>
  <c r="C252" i="18"/>
  <c r="C190" i="15"/>
  <c r="C245" i="17"/>
  <c r="D247" i="18"/>
  <c r="D250" i="18"/>
  <c r="D242" i="18"/>
  <c r="D249" i="18"/>
  <c r="D252" i="18"/>
  <c r="D236" i="18"/>
  <c r="D230" i="18"/>
  <c r="D227" i="18"/>
  <c r="D226" i="18"/>
  <c r="C176" i="16"/>
  <c r="C166" i="19"/>
  <c r="G171" i="19" s="1"/>
  <c r="C179" i="16"/>
  <c r="AG173" i="16" s="1"/>
  <c r="C214" i="17"/>
  <c r="D225" i="18"/>
  <c r="D229" i="18"/>
  <c r="C176" i="19"/>
  <c r="AA165" i="19" s="1"/>
  <c r="C166" i="14"/>
  <c r="G168" i="14" s="1"/>
  <c r="C179" i="14"/>
  <c r="D221" i="18"/>
  <c r="D220" i="18"/>
  <c r="C164" i="15"/>
  <c r="E174" i="15" s="1"/>
  <c r="C175" i="14"/>
  <c r="Y172" i="14" s="1"/>
  <c r="D224" i="18"/>
  <c r="D228" i="18"/>
  <c r="D223" i="18"/>
  <c r="C175" i="16"/>
  <c r="Y169" i="16" s="1"/>
  <c r="D214" i="18"/>
  <c r="D231" i="18"/>
  <c r="D222" i="18"/>
  <c r="D213" i="18"/>
  <c r="D212" i="18"/>
  <c r="D202" i="18"/>
  <c r="D192" i="18"/>
  <c r="D207" i="18"/>
  <c r="D200" i="18"/>
  <c r="C153" i="14"/>
  <c r="AC150" i="14" s="1"/>
  <c r="C144" i="14"/>
  <c r="K148" i="14" s="1"/>
  <c r="C148" i="19"/>
  <c r="S149" i="19" s="1"/>
  <c r="C145" i="15"/>
  <c r="C142" i="15"/>
  <c r="I141" i="15" s="1"/>
  <c r="C190" i="18"/>
  <c r="C194" i="17"/>
  <c r="D198" i="18"/>
  <c r="D203" i="18"/>
  <c r="C190" i="17"/>
  <c r="C194" i="18"/>
  <c r="D205" i="18"/>
  <c r="D191" i="18"/>
  <c r="D190" i="18"/>
  <c r="D189" i="18"/>
  <c r="D199" i="18"/>
  <c r="D201" i="18"/>
  <c r="D206" i="18"/>
  <c r="D204" i="18"/>
  <c r="C148" i="14"/>
  <c r="C196" i="17"/>
  <c r="C148" i="16"/>
  <c r="S145" i="16" s="1"/>
  <c r="C19" i="17"/>
  <c r="F171" i="17" s="1"/>
  <c r="C149" i="16"/>
  <c r="U140" i="16" s="1"/>
  <c r="L64" i="21"/>
  <c r="J64" i="21"/>
  <c r="C43" i="17"/>
  <c r="F43" i="17" s="1"/>
  <c r="C148" i="15"/>
  <c r="C19" i="16"/>
  <c r="E28" i="16" s="1"/>
  <c r="C81" i="19"/>
  <c r="AG67" i="19" s="1"/>
  <c r="C219" i="15"/>
  <c r="S216" i="15" s="1"/>
  <c r="C79" i="18"/>
  <c r="C129" i="17"/>
  <c r="C121" i="17"/>
  <c r="D188" i="18"/>
  <c r="C73" i="15"/>
  <c r="C19" i="14"/>
  <c r="F25" i="14" s="1"/>
  <c r="C81" i="16"/>
  <c r="AG74" i="16" s="1"/>
  <c r="C220" i="14"/>
  <c r="C201" i="19"/>
  <c r="AC193" i="19" s="1"/>
  <c r="C129" i="18"/>
  <c r="C121" i="18"/>
  <c r="C249" i="18"/>
  <c r="C181" i="14"/>
  <c r="AK164" i="14" s="1"/>
  <c r="AL164" i="14" s="1"/>
  <c r="AU468" i="13"/>
  <c r="C73" i="14"/>
  <c r="Q75" i="14" s="1"/>
  <c r="C19" i="15"/>
  <c r="E26" i="15" s="1"/>
  <c r="C201" i="14"/>
  <c r="AC193" i="14" s="1"/>
  <c r="C91" i="18"/>
  <c r="C249" i="17"/>
  <c r="C213" i="17"/>
  <c r="C73" i="19"/>
  <c r="C200" i="15"/>
  <c r="AC197" i="15" s="1"/>
  <c r="C67" i="17"/>
  <c r="F67" i="17" s="1"/>
  <c r="C43" i="14"/>
  <c r="E48" i="14" s="1"/>
  <c r="C43" i="18"/>
  <c r="F47" i="18" s="1"/>
  <c r="D178" i="18"/>
  <c r="D168" i="18"/>
  <c r="D165" i="18"/>
  <c r="D177" i="18"/>
  <c r="D167" i="18"/>
  <c r="C129" i="14"/>
  <c r="AE115" i="14" s="1"/>
  <c r="D175" i="18"/>
  <c r="D166" i="18"/>
  <c r="D180" i="18"/>
  <c r="D179" i="18"/>
  <c r="D182" i="18"/>
  <c r="D176" i="18"/>
  <c r="D169" i="18"/>
  <c r="D164" i="18"/>
  <c r="D181" i="18"/>
  <c r="D163" i="17"/>
  <c r="X416" i="13"/>
  <c r="P304" i="21" s="1"/>
  <c r="D163" i="18"/>
  <c r="D158" i="18"/>
  <c r="D156" i="18"/>
  <c r="C107" i="19"/>
  <c r="AI95" i="19" s="1"/>
  <c r="AJ95" i="19" s="1"/>
  <c r="D140" i="18"/>
  <c r="D146" i="18"/>
  <c r="C97" i="19"/>
  <c r="O92" i="19" s="1"/>
  <c r="C93" i="19"/>
  <c r="G91" i="19" s="1"/>
  <c r="C98" i="15"/>
  <c r="S91" i="15" s="1"/>
  <c r="C141" i="18"/>
  <c r="C157" i="18"/>
  <c r="C147" i="18"/>
  <c r="D145" i="18"/>
  <c r="D143" i="18"/>
  <c r="C99" i="16"/>
  <c r="S95" i="16" s="1"/>
  <c r="C147" i="17"/>
  <c r="D147" i="18"/>
  <c r="D154" i="18"/>
  <c r="C141" i="17"/>
  <c r="D157" i="18"/>
  <c r="D144" i="18"/>
  <c r="D155" i="18"/>
  <c r="D142" i="18"/>
  <c r="C106" i="15"/>
  <c r="AI96" i="15" s="1"/>
  <c r="C100" i="15"/>
  <c r="W99" i="15" s="1"/>
  <c r="C99" i="14"/>
  <c r="S98" i="14" s="1"/>
  <c r="C149" i="18"/>
  <c r="D141" i="18"/>
  <c r="D153" i="18"/>
  <c r="C101" i="16"/>
  <c r="W98" i="16" s="1"/>
  <c r="D139" i="18"/>
  <c r="D123" i="18"/>
  <c r="C71" i="19"/>
  <c r="M70" i="19" s="1"/>
  <c r="C74" i="15"/>
  <c r="S76" i="15" s="1"/>
  <c r="D124" i="18"/>
  <c r="C71" i="16"/>
  <c r="M74" i="16" s="1"/>
  <c r="C74" i="14"/>
  <c r="S69" i="14" s="1"/>
  <c r="C122" i="17"/>
  <c r="D131" i="18"/>
  <c r="D117" i="18"/>
  <c r="D122" i="18"/>
  <c r="C74" i="16"/>
  <c r="S74" i="16" s="1"/>
  <c r="C122" i="18"/>
  <c r="D119" i="18"/>
  <c r="N121" i="18" s="1"/>
  <c r="D120" i="18"/>
  <c r="D130" i="18"/>
  <c r="C119" i="17"/>
  <c r="D116" i="18"/>
  <c r="D118" i="18"/>
  <c r="D121" i="18"/>
  <c r="D133" i="18"/>
  <c r="D132" i="18"/>
  <c r="D115" i="18"/>
  <c r="D114" i="18"/>
  <c r="C21" i="15"/>
  <c r="I19" i="15" s="1"/>
  <c r="C61" i="17"/>
  <c r="AP52" i="17" s="1"/>
  <c r="C45" i="18"/>
  <c r="C19" i="18"/>
  <c r="F18" i="18" s="1"/>
  <c r="C44" i="18"/>
  <c r="C21" i="14"/>
  <c r="J18" i="14" s="1"/>
  <c r="C21" i="17"/>
  <c r="J25" i="17" s="1"/>
  <c r="K70" i="21"/>
  <c r="C44" i="17"/>
  <c r="H46" i="17" s="1"/>
  <c r="C20" i="17"/>
  <c r="H19" i="17" s="1"/>
  <c r="C20" i="15"/>
  <c r="G21" i="15" s="1"/>
  <c r="C21" i="16"/>
  <c r="I21" i="16" s="1"/>
  <c r="C45" i="17"/>
  <c r="J45" i="17" s="1"/>
  <c r="C20" i="14"/>
  <c r="H22" i="14" s="1"/>
  <c r="C21" i="19"/>
  <c r="I23" i="19" s="1"/>
  <c r="C21" i="18"/>
  <c r="C20" i="19"/>
  <c r="G23" i="19" s="1"/>
  <c r="C20" i="16"/>
  <c r="G26" i="16" s="1"/>
  <c r="AB166" i="17"/>
  <c r="C20" i="18"/>
  <c r="AB115" i="17"/>
  <c r="AB119" i="17"/>
  <c r="AP76" i="17"/>
  <c r="C74" i="18"/>
  <c r="C55" i="14"/>
  <c r="AC50" i="14" s="1"/>
  <c r="C43" i="19"/>
  <c r="E53" i="19" s="1"/>
  <c r="C58" i="15"/>
  <c r="AI44" i="15" s="1"/>
  <c r="C67" i="18"/>
  <c r="C103" i="18"/>
  <c r="C69" i="17"/>
  <c r="J69" i="17" s="1"/>
  <c r="C77" i="17"/>
  <c r="Z77" i="17" s="1"/>
  <c r="C55" i="19"/>
  <c r="AC52" i="19" s="1"/>
  <c r="C58" i="16"/>
  <c r="AI48" i="16" s="1"/>
  <c r="AJ48" i="16" s="1"/>
  <c r="C53" i="14"/>
  <c r="Y45" i="14" s="1"/>
  <c r="C91" i="17"/>
  <c r="F97" i="17" s="1"/>
  <c r="C77" i="18"/>
  <c r="C45" i="16"/>
  <c r="I46" i="16" s="1"/>
  <c r="C43" i="15"/>
  <c r="E46" i="15" s="1"/>
  <c r="C93" i="17"/>
  <c r="J99" i="17" s="1"/>
  <c r="C101" i="17"/>
  <c r="Z92" i="17" s="1"/>
  <c r="C45" i="19"/>
  <c r="I43" i="19" s="1"/>
  <c r="C100" i="17"/>
  <c r="X96" i="17" s="1"/>
  <c r="H92" i="17"/>
  <c r="C214" i="14"/>
  <c r="G216" i="14" s="1"/>
  <c r="P26" i="17"/>
  <c r="C214" i="19"/>
  <c r="G220" i="19" s="1"/>
  <c r="AP66" i="17"/>
  <c r="AP70" i="17"/>
  <c r="P46" i="17"/>
  <c r="H101" i="17"/>
  <c r="AN66" i="17"/>
  <c r="L23" i="17"/>
  <c r="AN76" i="17"/>
  <c r="N170" i="17"/>
  <c r="AN69" i="17"/>
  <c r="C181" i="19"/>
  <c r="AK169" i="19" s="1"/>
  <c r="AL169" i="19" s="1"/>
  <c r="P167" i="17"/>
  <c r="P117" i="17"/>
  <c r="C181" i="16"/>
  <c r="AK174" i="16" s="1"/>
  <c r="AL174" i="16" s="1"/>
  <c r="C172" i="15"/>
  <c r="U174" i="15" s="1"/>
  <c r="AP29" i="17"/>
  <c r="AP77" i="17"/>
  <c r="C264" i="18"/>
  <c r="C264" i="17"/>
  <c r="C218" i="17"/>
  <c r="C218" i="18"/>
  <c r="C200" i="18"/>
  <c r="C200" i="17"/>
  <c r="C215" i="17"/>
  <c r="C215" i="18"/>
  <c r="C276" i="17"/>
  <c r="C276" i="18"/>
  <c r="C253" i="17"/>
  <c r="C253" i="18"/>
  <c r="C219" i="17"/>
  <c r="C219" i="18"/>
  <c r="C156" i="16"/>
  <c r="AI146" i="16" s="1"/>
  <c r="AJ146" i="16" s="1"/>
  <c r="C28" i="16"/>
  <c r="W19" i="16" s="1"/>
  <c r="C254" i="17"/>
  <c r="C254" i="18"/>
  <c r="P171" i="17"/>
  <c r="AD100" i="17"/>
  <c r="P48" i="17"/>
  <c r="AP73" i="17"/>
  <c r="C36" i="17"/>
  <c r="AN173" i="17" s="1"/>
  <c r="C74" i="17"/>
  <c r="T70" i="17" s="1"/>
  <c r="C100" i="18"/>
  <c r="C125" i="18"/>
  <c r="C229" i="18"/>
  <c r="C229" i="17"/>
  <c r="C197" i="17"/>
  <c r="C197" i="18"/>
  <c r="C273" i="18"/>
  <c r="C273" i="17"/>
  <c r="C203" i="18"/>
  <c r="C203" i="17"/>
  <c r="C226" i="17"/>
  <c r="C226" i="18"/>
  <c r="C272" i="18"/>
  <c r="C272" i="17"/>
  <c r="C277" i="18"/>
  <c r="C277" i="17"/>
  <c r="C155" i="15"/>
  <c r="AI149" i="15" s="1"/>
  <c r="C36" i="19"/>
  <c r="AM18" i="19" s="1"/>
  <c r="AN18" i="19" s="1"/>
  <c r="P124" i="17"/>
  <c r="P169" i="17"/>
  <c r="P52" i="17"/>
  <c r="C60" i="18"/>
  <c r="C99" i="18"/>
  <c r="C98" i="18"/>
  <c r="C191" i="17"/>
  <c r="C191" i="18"/>
  <c r="C238" i="17"/>
  <c r="C238" i="18"/>
  <c r="C262" i="18"/>
  <c r="C262" i="17"/>
  <c r="C98" i="17"/>
  <c r="T92" i="17" s="1"/>
  <c r="C225" i="17"/>
  <c r="C225" i="18"/>
  <c r="C243" i="18"/>
  <c r="C243" i="17"/>
  <c r="C275" i="18"/>
  <c r="C275" i="17"/>
  <c r="C274" i="18"/>
  <c r="C274" i="17"/>
  <c r="C225" i="14"/>
  <c r="AC213" i="14" s="1"/>
  <c r="C36" i="14"/>
  <c r="AN19" i="14" s="1"/>
  <c r="AO19" i="14" s="1"/>
  <c r="C170" i="14"/>
  <c r="O168" i="14" s="1"/>
  <c r="C267" i="18"/>
  <c r="C267" i="17"/>
  <c r="P115" i="17"/>
  <c r="P172" i="17"/>
  <c r="P51" i="17"/>
  <c r="AB26" i="17"/>
  <c r="C60" i="17"/>
  <c r="AN46" i="17" s="1"/>
  <c r="C49" i="18"/>
  <c r="C28" i="17"/>
  <c r="X114" i="17" s="1"/>
  <c r="C109" i="17"/>
  <c r="AP93" i="17" s="1"/>
  <c r="C221" i="17"/>
  <c r="C221" i="18"/>
  <c r="C255" i="17"/>
  <c r="C255" i="18"/>
  <c r="C244" i="18"/>
  <c r="C244" i="17"/>
  <c r="C202" i="18"/>
  <c r="C202" i="17"/>
  <c r="C225" i="16"/>
  <c r="AC219" i="16" s="1"/>
  <c r="C36" i="15"/>
  <c r="AM18" i="15" s="1"/>
  <c r="C169" i="15"/>
  <c r="O165" i="15" s="1"/>
  <c r="C250" i="18"/>
  <c r="C250" i="17"/>
  <c r="P120" i="17"/>
  <c r="P23" i="17"/>
  <c r="AP69" i="17"/>
  <c r="K72" i="21"/>
  <c r="C28" i="18"/>
  <c r="C192" i="18"/>
  <c r="C192" i="17"/>
  <c r="C205" i="17"/>
  <c r="C205" i="18"/>
  <c r="C251" i="18"/>
  <c r="C251" i="17"/>
  <c r="C50" i="14"/>
  <c r="S43" i="14" s="1"/>
  <c r="C177" i="14"/>
  <c r="AC169" i="14" s="1"/>
  <c r="C224" i="15"/>
  <c r="AC214" i="15" s="1"/>
  <c r="C170" i="16"/>
  <c r="O173" i="16" s="1"/>
  <c r="K79" i="21"/>
  <c r="C260" i="18"/>
  <c r="C260" i="17"/>
  <c r="C222" i="17"/>
  <c r="C222" i="18"/>
  <c r="C204" i="18"/>
  <c r="C204" i="17"/>
  <c r="C189" i="17"/>
  <c r="C189" i="18"/>
  <c r="C248" i="18"/>
  <c r="C248" i="17"/>
  <c r="C50" i="16"/>
  <c r="S52" i="16" s="1"/>
  <c r="C176" i="15"/>
  <c r="AC169" i="15" s="1"/>
  <c r="C28" i="14"/>
  <c r="X27" i="14" s="1"/>
  <c r="C225" i="19"/>
  <c r="AC221" i="19" s="1"/>
  <c r="C170" i="19"/>
  <c r="O175" i="19" s="1"/>
  <c r="C271" i="18"/>
  <c r="C271" i="17"/>
  <c r="P114" i="17"/>
  <c r="P22" i="17"/>
  <c r="C52" i="18"/>
  <c r="Q216" i="21"/>
  <c r="C268" i="18"/>
  <c r="C268" i="17"/>
  <c r="C227" i="17"/>
  <c r="C227" i="18"/>
  <c r="C223" i="17"/>
  <c r="C223" i="18"/>
  <c r="C241" i="18"/>
  <c r="C241" i="17"/>
  <c r="C206" i="17"/>
  <c r="C206" i="18"/>
  <c r="C240" i="18"/>
  <c r="C240" i="17"/>
  <c r="C50" i="15"/>
  <c r="S51" i="15" s="1"/>
  <c r="C177" i="16"/>
  <c r="AC175" i="16" s="1"/>
  <c r="C28" i="15"/>
  <c r="W28" i="15" s="1"/>
  <c r="C212" i="18"/>
  <c r="C212" i="17"/>
  <c r="P170" i="17"/>
  <c r="P20" i="17"/>
  <c r="C52" i="17"/>
  <c r="X44" i="17" s="1"/>
  <c r="C224" i="18"/>
  <c r="C224" i="17"/>
  <c r="C175" i="18"/>
  <c r="C175" i="17"/>
  <c r="P163" i="17"/>
  <c r="P116" i="17"/>
  <c r="P49" i="17"/>
  <c r="P29" i="17"/>
  <c r="AP75" i="17"/>
  <c r="AP72" i="17"/>
  <c r="H95" i="17"/>
  <c r="C173" i="18"/>
  <c r="C173" i="17"/>
  <c r="C170" i="17"/>
  <c r="C170" i="18"/>
  <c r="C127" i="15"/>
  <c r="AC118" i="15" s="1"/>
  <c r="P122" i="17"/>
  <c r="P121" i="17"/>
  <c r="P24" i="17"/>
  <c r="P43" i="17"/>
  <c r="AP71" i="17"/>
  <c r="H94" i="17"/>
  <c r="C168" i="17"/>
  <c r="C168" i="18"/>
  <c r="C182" i="18"/>
  <c r="C182" i="17"/>
  <c r="C176" i="17"/>
  <c r="C176" i="18"/>
  <c r="C171" i="17"/>
  <c r="C171" i="18"/>
  <c r="C128" i="16"/>
  <c r="AC119" i="16" s="1"/>
  <c r="C166" i="18"/>
  <c r="C166" i="17"/>
  <c r="C164" i="17"/>
  <c r="C164" i="18"/>
  <c r="C128" i="19"/>
  <c r="AC122" i="19" s="1"/>
  <c r="C167" i="18"/>
  <c r="C167" i="17"/>
  <c r="P168" i="17"/>
  <c r="P174" i="17"/>
  <c r="P19" i="17"/>
  <c r="P45" i="17"/>
  <c r="AP74" i="17"/>
  <c r="AP67" i="17"/>
  <c r="AN98" i="17"/>
  <c r="H98" i="17"/>
  <c r="C151" i="18"/>
  <c r="C151" i="17"/>
  <c r="N167" i="17"/>
  <c r="P123" i="17"/>
  <c r="P173" i="17"/>
  <c r="AN71" i="17"/>
  <c r="AN67" i="17"/>
  <c r="P27" i="17"/>
  <c r="P44" i="17"/>
  <c r="AB21" i="17"/>
  <c r="H91" i="17"/>
  <c r="H96" i="17"/>
  <c r="C154" i="18"/>
  <c r="C154" i="17"/>
  <c r="C140" i="17"/>
  <c r="C140" i="18"/>
  <c r="C156" i="17"/>
  <c r="C156" i="18"/>
  <c r="AB43" i="17"/>
  <c r="H93" i="17"/>
  <c r="C142" i="17"/>
  <c r="C142" i="18"/>
  <c r="C94" i="16"/>
  <c r="I101" i="16" s="1"/>
  <c r="N165" i="17"/>
  <c r="AN73" i="17"/>
  <c r="AN99" i="17"/>
  <c r="H100" i="17"/>
  <c r="C158" i="17"/>
  <c r="C158" i="18"/>
  <c r="AN90" i="17"/>
  <c r="C144" i="18"/>
  <c r="C144" i="17"/>
  <c r="C93" i="15"/>
  <c r="I98" i="15" s="1"/>
  <c r="AN72" i="17"/>
  <c r="AN68" i="17"/>
  <c r="L49" i="17"/>
  <c r="H99" i="17"/>
  <c r="C148" i="17"/>
  <c r="C148" i="18"/>
  <c r="C146" i="18"/>
  <c r="C146" i="17"/>
  <c r="AN92" i="17"/>
  <c r="C153" i="17"/>
  <c r="C153" i="18"/>
  <c r="C94" i="14"/>
  <c r="I99" i="14" s="1"/>
  <c r="AN74" i="17"/>
  <c r="L29" i="17"/>
  <c r="H90" i="17"/>
  <c r="C155" i="18"/>
  <c r="C155" i="17"/>
  <c r="AB167" i="17"/>
  <c r="AD97" i="17"/>
  <c r="AD92" i="17"/>
  <c r="AB25" i="17"/>
  <c r="C120" i="18"/>
  <c r="C120" i="17"/>
  <c r="L121" i="17"/>
  <c r="AB174" i="17"/>
  <c r="AB163" i="17"/>
  <c r="AB168" i="17"/>
  <c r="P164" i="17"/>
  <c r="P166" i="17"/>
  <c r="P125" i="17"/>
  <c r="AN101" i="17"/>
  <c r="AN97" i="17"/>
  <c r="AN75" i="17"/>
  <c r="P28" i="17"/>
  <c r="P47" i="17"/>
  <c r="P42" i="17"/>
  <c r="AB24" i="17"/>
  <c r="AB29" i="17"/>
  <c r="C130" i="17"/>
  <c r="C130" i="18"/>
  <c r="C128" i="18"/>
  <c r="C128" i="17"/>
  <c r="AB122" i="17"/>
  <c r="AD99" i="17"/>
  <c r="C131" i="17"/>
  <c r="C131" i="18"/>
  <c r="L164" i="17"/>
  <c r="AB173" i="17"/>
  <c r="AB118" i="17"/>
  <c r="AB164" i="17"/>
  <c r="AN91" i="17"/>
  <c r="AN95" i="17"/>
  <c r="AD93" i="17"/>
  <c r="AD98" i="17"/>
  <c r="AB46" i="17"/>
  <c r="AB20" i="17"/>
  <c r="L20" i="17"/>
  <c r="F73" i="17"/>
  <c r="L124" i="17"/>
  <c r="AB124" i="17"/>
  <c r="AB169" i="17"/>
  <c r="AB172" i="17"/>
  <c r="AN96" i="17"/>
  <c r="AB23" i="17"/>
  <c r="AB27" i="17"/>
  <c r="L48" i="17"/>
  <c r="C114" i="18"/>
  <c r="C114" i="17"/>
  <c r="C117" i="17"/>
  <c r="C117" i="18"/>
  <c r="C133" i="17"/>
  <c r="C133" i="18"/>
  <c r="N114" i="18"/>
  <c r="N120" i="18"/>
  <c r="N125" i="18"/>
  <c r="L117" i="17"/>
  <c r="AB125" i="17"/>
  <c r="AB117" i="17"/>
  <c r="AB165" i="17"/>
  <c r="AN100" i="17"/>
  <c r="AD91" i="17"/>
  <c r="AD90" i="17"/>
  <c r="AB45" i="17"/>
  <c r="AB19" i="17"/>
  <c r="C127" i="18"/>
  <c r="C127" i="17"/>
  <c r="C123" i="17"/>
  <c r="C123" i="18"/>
  <c r="L116" i="17"/>
  <c r="AB123" i="17"/>
  <c r="AB120" i="17"/>
  <c r="AB171" i="17"/>
  <c r="AN94" i="17"/>
  <c r="AD96" i="17"/>
  <c r="AD94" i="17"/>
  <c r="AB28" i="17"/>
  <c r="AB22" i="17"/>
  <c r="AB51" i="17"/>
  <c r="AB114" i="17"/>
  <c r="C124" i="17"/>
  <c r="C124" i="18"/>
  <c r="C126" i="18"/>
  <c r="C126" i="17"/>
  <c r="L114" i="17"/>
  <c r="AB170" i="17"/>
  <c r="AB116" i="17"/>
  <c r="AB121" i="17"/>
  <c r="N115" i="17"/>
  <c r="P119" i="17"/>
  <c r="P118" i="17"/>
  <c r="P165" i="17"/>
  <c r="AN70" i="17"/>
  <c r="AD95" i="17"/>
  <c r="P25" i="17"/>
  <c r="P21" i="17"/>
  <c r="AB52" i="17"/>
  <c r="D70" i="18"/>
  <c r="D94" i="18"/>
  <c r="C70" i="18"/>
  <c r="C70" i="17"/>
  <c r="C94" i="18"/>
  <c r="C94" i="17"/>
  <c r="D106" i="18"/>
  <c r="D82" i="18"/>
  <c r="D73" i="18"/>
  <c r="D97" i="18"/>
  <c r="D79" i="18"/>
  <c r="D103" i="18"/>
  <c r="C83" i="17"/>
  <c r="C107" i="18"/>
  <c r="C107" i="17"/>
  <c r="C83" i="18"/>
  <c r="AP170" i="17"/>
  <c r="L42" i="17"/>
  <c r="H72" i="17"/>
  <c r="H77" i="17"/>
  <c r="C97" i="17"/>
  <c r="C73" i="18"/>
  <c r="C97" i="18"/>
  <c r="C73" i="17"/>
  <c r="D108" i="18"/>
  <c r="D84" i="18"/>
  <c r="D72" i="18"/>
  <c r="D96" i="18"/>
  <c r="N47" i="17"/>
  <c r="L47" i="17"/>
  <c r="L43" i="17"/>
  <c r="H74" i="17"/>
  <c r="C104" i="17"/>
  <c r="C80" i="18"/>
  <c r="C80" i="17"/>
  <c r="C104" i="18"/>
  <c r="D98" i="18"/>
  <c r="D74" i="18"/>
  <c r="C105" i="18"/>
  <c r="C105" i="17"/>
  <c r="C81" i="18"/>
  <c r="C81" i="17"/>
  <c r="D78" i="18"/>
  <c r="D102" i="18"/>
  <c r="D99" i="18"/>
  <c r="D75" i="18"/>
  <c r="L50" i="17"/>
  <c r="H71" i="17"/>
  <c r="H66" i="17"/>
  <c r="C106" i="18"/>
  <c r="C106" i="17"/>
  <c r="C82" i="17"/>
  <c r="C82" i="18"/>
  <c r="D92" i="18"/>
  <c r="D68" i="18"/>
  <c r="C96" i="17"/>
  <c r="C72" i="18"/>
  <c r="C72" i="17"/>
  <c r="C96" i="18"/>
  <c r="D91" i="18"/>
  <c r="D67" i="18"/>
  <c r="D105" i="18"/>
  <c r="D81" i="18"/>
  <c r="C78" i="18"/>
  <c r="C102" i="17"/>
  <c r="C78" i="17"/>
  <c r="C102" i="18"/>
  <c r="L51" i="17"/>
  <c r="AP25" i="17"/>
  <c r="H73" i="17"/>
  <c r="H70" i="17"/>
  <c r="D71" i="18"/>
  <c r="D95" i="18"/>
  <c r="D80" i="18"/>
  <c r="D104" i="18"/>
  <c r="AP122" i="17"/>
  <c r="L53" i="17"/>
  <c r="L46" i="17"/>
  <c r="H69" i="17"/>
  <c r="D100" i="18"/>
  <c r="D76" i="18"/>
  <c r="D77" i="18"/>
  <c r="D101" i="18"/>
  <c r="D107" i="18"/>
  <c r="D83" i="18"/>
  <c r="C66" i="18"/>
  <c r="C66" i="17"/>
  <c r="C90" i="18"/>
  <c r="C90" i="17"/>
  <c r="AP117" i="17"/>
  <c r="L45" i="17"/>
  <c r="H76" i="17"/>
  <c r="C95" i="17"/>
  <c r="C71" i="18"/>
  <c r="C71" i="17"/>
  <c r="C95" i="18"/>
  <c r="D66" i="18"/>
  <c r="D90" i="18"/>
  <c r="D93" i="18"/>
  <c r="D69" i="18"/>
  <c r="D109" i="18"/>
  <c r="D85" i="18"/>
  <c r="AP169" i="17"/>
  <c r="L52" i="17"/>
  <c r="L44" i="17"/>
  <c r="H75" i="17"/>
  <c r="H67" i="17"/>
  <c r="D46" i="18"/>
  <c r="L52" i="18"/>
  <c r="O73" i="21"/>
  <c r="AU74" i="21" s="1"/>
  <c r="Y75" i="21"/>
  <c r="Z75" i="21"/>
  <c r="D51" i="18"/>
  <c r="O78" i="21"/>
  <c r="AU79" i="21" s="1"/>
  <c r="D57" i="18"/>
  <c r="O84" i="21"/>
  <c r="D43" i="18"/>
  <c r="O70" i="21"/>
  <c r="AU71" i="21" s="1"/>
  <c r="O77" i="21"/>
  <c r="D50" i="18"/>
  <c r="L120" i="17"/>
  <c r="L123" i="17"/>
  <c r="L169" i="17"/>
  <c r="AJ119" i="17"/>
  <c r="F115" i="17"/>
  <c r="F174" i="17"/>
  <c r="AI70" i="21"/>
  <c r="AJ70" i="21"/>
  <c r="AJ72" i="21"/>
  <c r="AI72" i="21"/>
  <c r="U71" i="21"/>
  <c r="T71" i="21"/>
  <c r="L81" i="21"/>
  <c r="Q224" i="21"/>
  <c r="AD75" i="21"/>
  <c r="AE75" i="21"/>
  <c r="Y120" i="21" s="1"/>
  <c r="Z71" i="21"/>
  <c r="Y71" i="21"/>
  <c r="Z72" i="21"/>
  <c r="Y72" i="21"/>
  <c r="AN77" i="21"/>
  <c r="AO77" i="21"/>
  <c r="O80" i="21"/>
  <c r="D53" i="18"/>
  <c r="O74" i="21"/>
  <c r="AU75" i="21" s="1"/>
  <c r="D47" i="18"/>
  <c r="AN79" i="21"/>
  <c r="AO79" i="21"/>
  <c r="D44" i="18"/>
  <c r="O71" i="21"/>
  <c r="AU72" i="21" s="1"/>
  <c r="L118" i="17"/>
  <c r="L119" i="17"/>
  <c r="L165" i="17"/>
  <c r="F121" i="17"/>
  <c r="F164" i="17"/>
  <c r="F25" i="17"/>
  <c r="L22" i="17"/>
  <c r="AJ75" i="21"/>
  <c r="AI75" i="21"/>
  <c r="AI79" i="21"/>
  <c r="AJ79" i="21"/>
  <c r="T79" i="21"/>
  <c r="U79" i="21"/>
  <c r="AE70" i="21"/>
  <c r="Y115" i="21" s="1"/>
  <c r="AD70" i="21"/>
  <c r="AE78" i="21"/>
  <c r="AD78" i="21"/>
  <c r="Y76" i="21"/>
  <c r="Z76" i="21"/>
  <c r="AN78" i="21"/>
  <c r="AO78" i="21"/>
  <c r="AN80" i="21"/>
  <c r="AO80" i="21"/>
  <c r="Y73" i="21"/>
  <c r="Z73" i="21"/>
  <c r="V118" i="21" s="1"/>
  <c r="Y79" i="21"/>
  <c r="Z79" i="21"/>
  <c r="D52" i="18"/>
  <c r="O79" i="21"/>
  <c r="D60" i="18"/>
  <c r="D59" i="18"/>
  <c r="O86" i="21"/>
  <c r="L172" i="17"/>
  <c r="L115" i="17"/>
  <c r="L122" i="17"/>
  <c r="AJ165" i="17"/>
  <c r="F166" i="17"/>
  <c r="F18" i="17"/>
  <c r="F28" i="17"/>
  <c r="F66" i="17"/>
  <c r="C25" i="17"/>
  <c r="AI77" i="21"/>
  <c r="AJ77" i="21"/>
  <c r="AJ73" i="21"/>
  <c r="AI73" i="21"/>
  <c r="T77" i="21"/>
  <c r="U77" i="21"/>
  <c r="AE72" i="21"/>
  <c r="AD72" i="21"/>
  <c r="AE76" i="21"/>
  <c r="AD76" i="21"/>
  <c r="Z78" i="21"/>
  <c r="Y78" i="21"/>
  <c r="AO72" i="21"/>
  <c r="AN72" i="21"/>
  <c r="AO75" i="21"/>
  <c r="AN75" i="21"/>
  <c r="O82" i="21"/>
  <c r="D55" i="18"/>
  <c r="T76" i="21"/>
  <c r="U76" i="21"/>
  <c r="O85" i="21"/>
  <c r="D58" i="18"/>
  <c r="Z80" i="21"/>
  <c r="Y80" i="21"/>
  <c r="D61" i="18"/>
  <c r="P49" i="18"/>
  <c r="O75" i="21"/>
  <c r="AU76" i="21" s="1"/>
  <c r="D48" i="18"/>
  <c r="Y303" i="13"/>
  <c r="O72" i="21"/>
  <c r="D45" i="18"/>
  <c r="L171" i="17"/>
  <c r="L170" i="17"/>
  <c r="L173" i="17"/>
  <c r="F163" i="17"/>
  <c r="F168" i="17"/>
  <c r="F21" i="17"/>
  <c r="F19" i="17"/>
  <c r="L25" i="17"/>
  <c r="C34" i="18"/>
  <c r="C49" i="17"/>
  <c r="AJ80" i="21"/>
  <c r="AI80" i="21"/>
  <c r="T72" i="21"/>
  <c r="U72" i="21"/>
  <c r="U75" i="21"/>
  <c r="T75" i="21"/>
  <c r="AE80" i="21"/>
  <c r="AD80" i="21"/>
  <c r="Z70" i="21"/>
  <c r="V115" i="21" s="1"/>
  <c r="Y70" i="21"/>
  <c r="AO73" i="21"/>
  <c r="AN73" i="21"/>
  <c r="AO76" i="21"/>
  <c r="AN76" i="21"/>
  <c r="AI78" i="21"/>
  <c r="AJ78" i="21"/>
  <c r="AO70" i="21"/>
  <c r="AN70" i="21"/>
  <c r="T80" i="21"/>
  <c r="U80" i="21"/>
  <c r="AD79" i="21"/>
  <c r="AE79" i="21"/>
  <c r="Y124" i="21" s="1"/>
  <c r="O83" i="21"/>
  <c r="D56" i="18"/>
  <c r="D49" i="18"/>
  <c r="O76" i="21"/>
  <c r="AU77" i="21" s="1"/>
  <c r="O69" i="21"/>
  <c r="AU70" i="21" s="1"/>
  <c r="D42" i="18"/>
  <c r="C34" i="14"/>
  <c r="AJ28" i="14" s="1"/>
  <c r="C25" i="14"/>
  <c r="R18" i="14" s="1"/>
  <c r="L125" i="17"/>
  <c r="L167" i="17"/>
  <c r="L166" i="17"/>
  <c r="F165" i="17"/>
  <c r="F75" i="17"/>
  <c r="K85" i="21"/>
  <c r="C25" i="18"/>
  <c r="AJ71" i="21"/>
  <c r="AI71" i="21"/>
  <c r="T74" i="21"/>
  <c r="U74" i="21"/>
  <c r="T70" i="21"/>
  <c r="U70" i="21"/>
  <c r="AD74" i="21"/>
  <c r="AE74" i="21"/>
  <c r="Y119" i="21" s="1"/>
  <c r="AE73" i="21"/>
  <c r="AD73" i="21"/>
  <c r="Y74" i="21"/>
  <c r="Z74" i="21"/>
  <c r="AO74" i="21"/>
  <c r="AN74" i="21"/>
  <c r="AE71" i="21"/>
  <c r="AD71" i="21"/>
  <c r="AI76" i="21"/>
  <c r="AJ76" i="21"/>
  <c r="AB27" i="18"/>
  <c r="D54" i="18"/>
  <c r="O81" i="21"/>
  <c r="C34" i="19"/>
  <c r="AI21" i="19" s="1"/>
  <c r="AJ21" i="19" s="1"/>
  <c r="C25" i="16"/>
  <c r="Q19" i="16" s="1"/>
  <c r="L168" i="17"/>
  <c r="L163" i="17"/>
  <c r="L174" i="17"/>
  <c r="F167" i="17"/>
  <c r="F27" i="17"/>
  <c r="L24" i="17"/>
  <c r="P53" i="17"/>
  <c r="C58" i="18"/>
  <c r="K76" i="21"/>
  <c r="AI74" i="21"/>
  <c r="AJ74" i="21"/>
  <c r="T78" i="21"/>
  <c r="U78" i="21"/>
  <c r="T73" i="21"/>
  <c r="U73" i="21"/>
  <c r="AE77" i="21"/>
  <c r="AD77" i="21"/>
  <c r="Y77" i="21"/>
  <c r="Z77" i="21"/>
  <c r="AO71" i="21"/>
  <c r="AN71" i="21"/>
  <c r="C59" i="17"/>
  <c r="C35" i="17"/>
  <c r="C59" i="18"/>
  <c r="K86" i="21"/>
  <c r="C35" i="18"/>
  <c r="AB42" i="17"/>
  <c r="L19" i="17"/>
  <c r="AB49" i="17"/>
  <c r="AB48" i="17"/>
  <c r="C50" i="17"/>
  <c r="C26" i="17"/>
  <c r="C50" i="18"/>
  <c r="K77" i="21"/>
  <c r="C26" i="18"/>
  <c r="K83" i="21"/>
  <c r="C32" i="18"/>
  <c r="C56" i="17"/>
  <c r="C32" i="17"/>
  <c r="C56" i="18"/>
  <c r="L27" i="17"/>
  <c r="AB44" i="17"/>
  <c r="AB53" i="17"/>
  <c r="C29" i="18"/>
  <c r="C53" i="17"/>
  <c r="C29" i="17"/>
  <c r="C53" i="18"/>
  <c r="K80" i="21"/>
  <c r="C51" i="17"/>
  <c r="C27" i="17"/>
  <c r="V20" i="17" s="1"/>
  <c r="C51" i="18"/>
  <c r="K78" i="21"/>
  <c r="C27" i="18"/>
  <c r="L28" i="17"/>
  <c r="AB47" i="17"/>
  <c r="C57" i="18"/>
  <c r="K84" i="21"/>
  <c r="C33" i="18"/>
  <c r="C57" i="17"/>
  <c r="C33" i="17"/>
  <c r="L18" i="17"/>
  <c r="L21" i="17"/>
  <c r="L26" i="17"/>
  <c r="C18" i="18"/>
  <c r="C42" i="17"/>
  <c r="C18" i="17"/>
  <c r="C42" i="18"/>
  <c r="K69" i="21"/>
  <c r="K82" i="21"/>
  <c r="C31" i="18"/>
  <c r="C55" i="17"/>
  <c r="C31" i="17"/>
  <c r="C55" i="18"/>
  <c r="V90" i="17"/>
  <c r="V74" i="17"/>
  <c r="V76" i="17"/>
  <c r="V67" i="17"/>
  <c r="V68" i="17"/>
  <c r="V66" i="17"/>
  <c r="V75" i="17"/>
  <c r="V99" i="17"/>
  <c r="V73" i="17"/>
  <c r="Y142" i="14"/>
  <c r="Y140" i="14"/>
  <c r="Y150" i="14"/>
  <c r="Y144" i="14"/>
  <c r="Y148" i="14"/>
  <c r="Y147" i="14"/>
  <c r="Y141" i="14"/>
  <c r="Y151" i="14"/>
  <c r="Y149" i="14"/>
  <c r="Y143" i="14"/>
  <c r="Z143" i="14" s="1"/>
  <c r="Y145" i="14"/>
  <c r="Y146" i="14"/>
  <c r="Y190" i="15"/>
  <c r="Y187" i="15"/>
  <c r="AM170" i="14"/>
  <c r="AN170" i="14" s="1"/>
  <c r="AM174" i="14"/>
  <c r="AN174" i="14" s="1"/>
  <c r="AM171" i="14"/>
  <c r="AN171" i="14" s="1"/>
  <c r="AM172" i="14"/>
  <c r="AN172" i="14" s="1"/>
  <c r="AM175" i="14"/>
  <c r="AN175" i="14" s="1"/>
  <c r="AM165" i="14"/>
  <c r="AN165" i="14" s="1"/>
  <c r="AM173" i="14"/>
  <c r="AN173" i="14" s="1"/>
  <c r="AM168" i="14"/>
  <c r="AN168" i="14" s="1"/>
  <c r="AM167" i="14"/>
  <c r="AN167" i="14" s="1"/>
  <c r="AM166" i="14"/>
  <c r="AN166" i="14" s="1"/>
  <c r="AM164" i="14"/>
  <c r="AN164" i="14" s="1"/>
  <c r="AM169" i="14"/>
  <c r="AN169" i="14" s="1"/>
  <c r="O24" i="19"/>
  <c r="O28" i="19"/>
  <c r="O23" i="19"/>
  <c r="O18" i="19"/>
  <c r="O29" i="19"/>
  <c r="O22" i="19"/>
  <c r="O25" i="19"/>
  <c r="O26" i="19"/>
  <c r="O19" i="19"/>
  <c r="O27" i="19"/>
  <c r="O20" i="19"/>
  <c r="O21" i="19"/>
  <c r="W173" i="15"/>
  <c r="W164" i="15"/>
  <c r="W171" i="15"/>
  <c r="W165" i="15"/>
  <c r="W167" i="15"/>
  <c r="W166" i="15"/>
  <c r="W163" i="15"/>
  <c r="W169" i="15"/>
  <c r="W170" i="15"/>
  <c r="W174" i="15"/>
  <c r="W168" i="15"/>
  <c r="W172" i="15"/>
  <c r="M121" i="19"/>
  <c r="M119" i="19"/>
  <c r="AM70" i="14"/>
  <c r="AN70" i="14" s="1"/>
  <c r="AM71" i="14"/>
  <c r="AN71" i="14" s="1"/>
  <c r="AM69" i="14"/>
  <c r="AM77" i="14"/>
  <c r="AM68" i="14"/>
  <c r="AM75" i="14"/>
  <c r="AM67" i="14"/>
  <c r="AM74" i="14"/>
  <c r="AM76" i="14"/>
  <c r="AN76" i="14" s="1"/>
  <c r="AM73" i="14"/>
  <c r="AN73" i="14" s="1"/>
  <c r="AM66" i="14"/>
  <c r="AM72" i="14"/>
  <c r="G26" i="15"/>
  <c r="AK124" i="19"/>
  <c r="AL124" i="19" s="1"/>
  <c r="AK116" i="19"/>
  <c r="AL116" i="19" s="1"/>
  <c r="AK125" i="19"/>
  <c r="AL125" i="19" s="1"/>
  <c r="AK121" i="19"/>
  <c r="AL121" i="19" s="1"/>
  <c r="AK122" i="19"/>
  <c r="AL122" i="19" s="1"/>
  <c r="AK118" i="19"/>
  <c r="AL118" i="19" s="1"/>
  <c r="AK126" i="19"/>
  <c r="AL126" i="19" s="1"/>
  <c r="AK119" i="19"/>
  <c r="AL119" i="19" s="1"/>
  <c r="AK123" i="19"/>
  <c r="AL123" i="19" s="1"/>
  <c r="AK115" i="19"/>
  <c r="AL115" i="19" s="1"/>
  <c r="AK120" i="19"/>
  <c r="AL120" i="19" s="1"/>
  <c r="AK117" i="19"/>
  <c r="AL117" i="19" s="1"/>
  <c r="Y66" i="15"/>
  <c r="Y68" i="15"/>
  <c r="Y76" i="15"/>
  <c r="Y74" i="15"/>
  <c r="Y69" i="15"/>
  <c r="Y77" i="15"/>
  <c r="Y70" i="15"/>
  <c r="Y71" i="15"/>
  <c r="Y72" i="15"/>
  <c r="Y67" i="15"/>
  <c r="Y75" i="15"/>
  <c r="Y73" i="15"/>
  <c r="E19" i="19"/>
  <c r="E27" i="19"/>
  <c r="E26" i="19"/>
  <c r="E18" i="19"/>
  <c r="E25" i="19"/>
  <c r="E23" i="19"/>
  <c r="E20" i="19"/>
  <c r="E24" i="19"/>
  <c r="E21" i="19"/>
  <c r="E29" i="19"/>
  <c r="E22" i="19"/>
  <c r="E28" i="19"/>
  <c r="AC175" i="19"/>
  <c r="AC168" i="19"/>
  <c r="AC170" i="19"/>
  <c r="AB22" i="14"/>
  <c r="AB21" i="14"/>
  <c r="J27" i="14"/>
  <c r="AB29" i="14"/>
  <c r="AB23" i="14"/>
  <c r="AB27" i="14"/>
  <c r="AB19" i="14"/>
  <c r="AB26" i="14"/>
  <c r="AB28" i="14"/>
  <c r="AB25" i="14"/>
  <c r="AC25" i="14" s="1"/>
  <c r="AB20" i="14"/>
  <c r="AB24" i="14"/>
  <c r="AB18" i="14"/>
  <c r="Y196" i="16"/>
  <c r="Y195" i="16"/>
  <c r="Y191" i="16"/>
  <c r="Y193" i="16"/>
  <c r="AM174" i="16"/>
  <c r="AN174" i="16" s="1"/>
  <c r="AM167" i="16"/>
  <c r="AN167" i="16" s="1"/>
  <c r="AM168" i="16"/>
  <c r="AN168" i="16" s="1"/>
  <c r="AM169" i="16"/>
  <c r="AN169" i="16" s="1"/>
  <c r="AM164" i="16"/>
  <c r="AN164" i="16" s="1"/>
  <c r="AM170" i="16"/>
  <c r="AN170" i="16" s="1"/>
  <c r="AM172" i="16"/>
  <c r="AN172" i="16" s="1"/>
  <c r="AM171" i="16"/>
  <c r="AN171" i="16" s="1"/>
  <c r="AM165" i="16"/>
  <c r="AN165" i="16" s="1"/>
  <c r="AM175" i="16"/>
  <c r="AN175" i="16" s="1"/>
  <c r="AM173" i="16"/>
  <c r="AN173" i="16" s="1"/>
  <c r="AM166" i="16"/>
  <c r="AN166" i="16" s="1"/>
  <c r="U173" i="14"/>
  <c r="U166" i="14"/>
  <c r="U169" i="14"/>
  <c r="U172" i="14"/>
  <c r="AG170" i="14"/>
  <c r="AG171" i="14"/>
  <c r="AG172" i="14"/>
  <c r="AG164" i="14"/>
  <c r="AG165" i="14"/>
  <c r="AG169" i="14"/>
  <c r="AG173" i="14"/>
  <c r="AG166" i="14"/>
  <c r="AG174" i="14"/>
  <c r="AG167" i="14"/>
  <c r="AG175" i="14"/>
  <c r="AG168" i="14"/>
  <c r="AE122" i="14"/>
  <c r="C78" i="19"/>
  <c r="C78" i="15"/>
  <c r="C78" i="16"/>
  <c r="C78" i="14"/>
  <c r="AM71" i="19"/>
  <c r="AN71" i="19" s="1"/>
  <c r="AM68" i="19"/>
  <c r="AN68" i="19" s="1"/>
  <c r="AM76" i="19"/>
  <c r="AN76" i="19" s="1"/>
  <c r="AM69" i="19"/>
  <c r="AM77" i="19"/>
  <c r="AM72" i="19"/>
  <c r="AM73" i="19"/>
  <c r="AM67" i="19"/>
  <c r="AM74" i="19"/>
  <c r="AN74" i="19" s="1"/>
  <c r="AM66" i="19"/>
  <c r="AN66" i="19" s="1"/>
  <c r="AM75" i="19"/>
  <c r="AN75" i="19" s="1"/>
  <c r="AM70" i="19"/>
  <c r="C152" i="19"/>
  <c r="C152" i="14"/>
  <c r="C152" i="16"/>
  <c r="C151" i="15"/>
  <c r="C228" i="16"/>
  <c r="C228" i="14"/>
  <c r="C227" i="15"/>
  <c r="C228" i="19"/>
  <c r="C46" i="19"/>
  <c r="C46" i="16"/>
  <c r="C46" i="15"/>
  <c r="C46" i="14"/>
  <c r="C205" i="19"/>
  <c r="C204" i="15"/>
  <c r="C205" i="14"/>
  <c r="C205" i="16"/>
  <c r="AK118" i="15"/>
  <c r="AK120" i="15"/>
  <c r="AK122" i="15"/>
  <c r="AK119" i="15"/>
  <c r="AK121" i="15"/>
  <c r="AK115" i="15"/>
  <c r="AK123" i="15"/>
  <c r="AK124" i="15"/>
  <c r="AK117" i="15"/>
  <c r="AK125" i="15"/>
  <c r="AK114" i="15"/>
  <c r="AK116" i="15"/>
  <c r="AG124" i="19"/>
  <c r="AG117" i="19"/>
  <c r="AG126" i="19"/>
  <c r="AG115" i="19"/>
  <c r="AG120" i="19"/>
  <c r="AG125" i="19"/>
  <c r="AG116" i="19"/>
  <c r="AG121" i="19"/>
  <c r="AG122" i="19"/>
  <c r="AG118" i="19"/>
  <c r="AG119" i="19"/>
  <c r="AG123" i="19"/>
  <c r="U141" i="15"/>
  <c r="U147" i="15"/>
  <c r="U140" i="15"/>
  <c r="U146" i="15"/>
  <c r="U148" i="15"/>
  <c r="U142" i="15"/>
  <c r="U149" i="15"/>
  <c r="U150" i="15"/>
  <c r="U143" i="15"/>
  <c r="U139" i="15"/>
  <c r="U144" i="15"/>
  <c r="U145" i="15"/>
  <c r="AO91" i="14"/>
  <c r="AP91" i="14" s="1"/>
  <c r="AO102" i="14"/>
  <c r="AP102" i="14" s="1"/>
  <c r="AG70" i="16"/>
  <c r="AM170" i="19"/>
  <c r="AN170" i="19" s="1"/>
  <c r="AM175" i="19"/>
  <c r="AN175" i="19" s="1"/>
  <c r="AM171" i="19"/>
  <c r="AN171" i="19" s="1"/>
  <c r="AM164" i="19"/>
  <c r="AN164" i="19" s="1"/>
  <c r="AM172" i="19"/>
  <c r="AN172" i="19" s="1"/>
  <c r="AM165" i="19"/>
  <c r="AN165" i="19" s="1"/>
  <c r="AM173" i="19"/>
  <c r="AN173" i="19" s="1"/>
  <c r="AM166" i="19"/>
  <c r="AN166" i="19" s="1"/>
  <c r="AM167" i="19"/>
  <c r="AN167" i="19" s="1"/>
  <c r="AM169" i="19"/>
  <c r="AN169" i="19" s="1"/>
  <c r="AM168" i="19"/>
  <c r="AN168" i="19" s="1"/>
  <c r="AM174" i="19"/>
  <c r="AN174" i="19" s="1"/>
  <c r="U42" i="15"/>
  <c r="U45" i="15"/>
  <c r="U53" i="15"/>
  <c r="U47" i="15"/>
  <c r="U46" i="15"/>
  <c r="U48" i="15"/>
  <c r="U52" i="15"/>
  <c r="U44" i="15"/>
  <c r="U51" i="15"/>
  <c r="U43" i="15"/>
  <c r="U50" i="15"/>
  <c r="U49" i="15"/>
  <c r="G43" i="16"/>
  <c r="G53" i="16"/>
  <c r="G45" i="16"/>
  <c r="G46" i="16"/>
  <c r="G50" i="16"/>
  <c r="G42" i="16"/>
  <c r="G52" i="16"/>
  <c r="G44" i="16"/>
  <c r="G49" i="16"/>
  <c r="G48" i="16"/>
  <c r="G47" i="16"/>
  <c r="H47" i="16" s="1"/>
  <c r="G51" i="16"/>
  <c r="AG166" i="15"/>
  <c r="AG169" i="15"/>
  <c r="AG173" i="15"/>
  <c r="AG168" i="15"/>
  <c r="AG167" i="15"/>
  <c r="AG170" i="15"/>
  <c r="AG163" i="15"/>
  <c r="AG174" i="15"/>
  <c r="AG171" i="15"/>
  <c r="AG164" i="15"/>
  <c r="AG172" i="15"/>
  <c r="AG165" i="15"/>
  <c r="AC51" i="16"/>
  <c r="AC42" i="16"/>
  <c r="AC44" i="16"/>
  <c r="AC52" i="16"/>
  <c r="AC53" i="16"/>
  <c r="AC49" i="16"/>
  <c r="AC50" i="16"/>
  <c r="AC47" i="16"/>
  <c r="AC48" i="16"/>
  <c r="AC46" i="16"/>
  <c r="AC45" i="16"/>
  <c r="AC43" i="16"/>
  <c r="I96" i="19"/>
  <c r="I91" i="19"/>
  <c r="I98" i="19"/>
  <c r="I100" i="19"/>
  <c r="I93" i="19"/>
  <c r="I99" i="19"/>
  <c r="I101" i="19"/>
  <c r="I95" i="19"/>
  <c r="I97" i="19"/>
  <c r="I94" i="19"/>
  <c r="J94" i="19" s="1"/>
  <c r="I102" i="19"/>
  <c r="I92" i="19"/>
  <c r="AE115" i="15"/>
  <c r="AE114" i="15"/>
  <c r="O150" i="19"/>
  <c r="O141" i="19"/>
  <c r="O143" i="19"/>
  <c r="O142" i="19"/>
  <c r="O151" i="19"/>
  <c r="O146" i="19"/>
  <c r="O144" i="19"/>
  <c r="O147" i="19"/>
  <c r="O140" i="19"/>
  <c r="O148" i="19"/>
  <c r="O145" i="19"/>
  <c r="O149" i="19"/>
  <c r="W91" i="19"/>
  <c r="W53" i="19"/>
  <c r="O125" i="14"/>
  <c r="O117" i="14"/>
  <c r="O119" i="14"/>
  <c r="O115" i="14"/>
  <c r="O126" i="14"/>
  <c r="O124" i="14"/>
  <c r="O118" i="14"/>
  <c r="O120" i="14"/>
  <c r="O121" i="14"/>
  <c r="O123" i="14"/>
  <c r="O122" i="14"/>
  <c r="O116" i="14"/>
  <c r="G118" i="15"/>
  <c r="G117" i="15"/>
  <c r="G125" i="15"/>
  <c r="G114" i="15"/>
  <c r="G124" i="15"/>
  <c r="G119" i="15"/>
  <c r="G120" i="15"/>
  <c r="G115" i="15"/>
  <c r="G116" i="15"/>
  <c r="G123" i="15"/>
  <c r="G121" i="15"/>
  <c r="G122" i="15"/>
  <c r="I147" i="16"/>
  <c r="C155" i="19"/>
  <c r="C155" i="16"/>
  <c r="C155" i="14"/>
  <c r="C154" i="15"/>
  <c r="C178" i="19"/>
  <c r="C178" i="16"/>
  <c r="C177" i="15"/>
  <c r="C178" i="14"/>
  <c r="C224" i="19"/>
  <c r="C223" i="15"/>
  <c r="C224" i="16"/>
  <c r="C224" i="14"/>
  <c r="C103" i="19"/>
  <c r="C103" i="14"/>
  <c r="C102" i="15"/>
  <c r="C103" i="16"/>
  <c r="C49" i="19"/>
  <c r="C49" i="16"/>
  <c r="C49" i="15"/>
  <c r="C49" i="14"/>
  <c r="AI119" i="14"/>
  <c r="AJ119" i="14" s="1"/>
  <c r="AI125" i="14"/>
  <c r="AJ125" i="14" s="1"/>
  <c r="AI116" i="14"/>
  <c r="AJ116" i="14" s="1"/>
  <c r="AI118" i="14"/>
  <c r="AJ118" i="14" s="1"/>
  <c r="AI124" i="14"/>
  <c r="AJ124" i="14" s="1"/>
  <c r="AI123" i="14"/>
  <c r="AJ123" i="14" s="1"/>
  <c r="AI115" i="14"/>
  <c r="AJ115" i="14" s="1"/>
  <c r="AI120" i="14"/>
  <c r="AJ120" i="14" s="1"/>
  <c r="AI121" i="14"/>
  <c r="AJ121" i="14" s="1"/>
  <c r="AI122" i="14"/>
  <c r="AJ122" i="14" s="1"/>
  <c r="AI117" i="14"/>
  <c r="AJ117" i="14" s="1"/>
  <c r="AI126" i="14"/>
  <c r="AJ126" i="14" s="1"/>
  <c r="AM93" i="14"/>
  <c r="AN93" i="14" s="1"/>
  <c r="C134" i="16"/>
  <c r="C133" i="15"/>
  <c r="C134" i="19"/>
  <c r="C134" i="14"/>
  <c r="AM219" i="19"/>
  <c r="AN219" i="19" s="1"/>
  <c r="AM220" i="19"/>
  <c r="AN220" i="19" s="1"/>
  <c r="AM215" i="19"/>
  <c r="AN215" i="19" s="1"/>
  <c r="AM213" i="19"/>
  <c r="AN213" i="19" s="1"/>
  <c r="AM223" i="19"/>
  <c r="AN223" i="19" s="1"/>
  <c r="AM221" i="19"/>
  <c r="AN221" i="19" s="1"/>
  <c r="AM216" i="19"/>
  <c r="AN216" i="19" s="1"/>
  <c r="AM214" i="19"/>
  <c r="AN214" i="19" s="1"/>
  <c r="AM212" i="19"/>
  <c r="AN212" i="19" s="1"/>
  <c r="AM222" i="19"/>
  <c r="AN222" i="19" s="1"/>
  <c r="AM217" i="19"/>
  <c r="AN217" i="19" s="1"/>
  <c r="AM218" i="19"/>
  <c r="AN218" i="19" s="1"/>
  <c r="AO147" i="15"/>
  <c r="AO144" i="15"/>
  <c r="AO145" i="15"/>
  <c r="AO140" i="15"/>
  <c r="AO146" i="15"/>
  <c r="AO148" i="15"/>
  <c r="AO150" i="15"/>
  <c r="AO139" i="15"/>
  <c r="AO142" i="15"/>
  <c r="AO141" i="15"/>
  <c r="AO143" i="15"/>
  <c r="AO149" i="15"/>
  <c r="Q70" i="15"/>
  <c r="Q74" i="15"/>
  <c r="Q66" i="15"/>
  <c r="Q71" i="15"/>
  <c r="Q67" i="15"/>
  <c r="Q75" i="15"/>
  <c r="Q68" i="15"/>
  <c r="Q73" i="15"/>
  <c r="Q69" i="15"/>
  <c r="Q72" i="15"/>
  <c r="Q77" i="15"/>
  <c r="Q76" i="15"/>
  <c r="AI167" i="14"/>
  <c r="AI164" i="14"/>
  <c r="AI169" i="14"/>
  <c r="AI170" i="14"/>
  <c r="AI171" i="14"/>
  <c r="AI172" i="14"/>
  <c r="AI165" i="14"/>
  <c r="AI168" i="14"/>
  <c r="AI173" i="14"/>
  <c r="AI175" i="14"/>
  <c r="AI174" i="14"/>
  <c r="AI166" i="14"/>
  <c r="U151" i="19"/>
  <c r="C229" i="16"/>
  <c r="C229" i="19"/>
  <c r="C229" i="14"/>
  <c r="C228" i="15"/>
  <c r="L22" i="14"/>
  <c r="L29" i="14"/>
  <c r="L23" i="14"/>
  <c r="L21" i="14"/>
  <c r="M21" i="14" s="1"/>
  <c r="J19" i="14"/>
  <c r="L28" i="14"/>
  <c r="L20" i="14"/>
  <c r="L27" i="14"/>
  <c r="L19" i="14"/>
  <c r="L24" i="14"/>
  <c r="L26" i="14"/>
  <c r="L18" i="14"/>
  <c r="M18" i="14" s="1"/>
  <c r="L25" i="14"/>
  <c r="AC93" i="14"/>
  <c r="AC95" i="14"/>
  <c r="AC97" i="14"/>
  <c r="AC91" i="14"/>
  <c r="AC98" i="14"/>
  <c r="AC92" i="14"/>
  <c r="AC100" i="14"/>
  <c r="AC102" i="14"/>
  <c r="AC101" i="14"/>
  <c r="AC96" i="14"/>
  <c r="AC99" i="14"/>
  <c r="AC94" i="14"/>
  <c r="AD94" i="14" s="1"/>
  <c r="AO92" i="16"/>
  <c r="AP92" i="16" s="1"/>
  <c r="AO95" i="16"/>
  <c r="AP95" i="16" s="1"/>
  <c r="AO102" i="16"/>
  <c r="AP102" i="16" s="1"/>
  <c r="AO96" i="16"/>
  <c r="AP96" i="16" s="1"/>
  <c r="AO97" i="16"/>
  <c r="AP97" i="16" s="1"/>
  <c r="AO98" i="16"/>
  <c r="AP98" i="16" s="1"/>
  <c r="AO99" i="16"/>
  <c r="AP99" i="16" s="1"/>
  <c r="AO93" i="16"/>
  <c r="AP93" i="16" s="1"/>
  <c r="AO94" i="16"/>
  <c r="AP94" i="16" s="1"/>
  <c r="AO100" i="16"/>
  <c r="AP100" i="16" s="1"/>
  <c r="AO91" i="16"/>
  <c r="AP91" i="16" s="1"/>
  <c r="AO101" i="16"/>
  <c r="AP101" i="16" s="1"/>
  <c r="AG66" i="15"/>
  <c r="U119" i="14"/>
  <c r="U121" i="14"/>
  <c r="U123" i="14"/>
  <c r="U126" i="14"/>
  <c r="U120" i="14"/>
  <c r="U116" i="14"/>
  <c r="U124" i="14"/>
  <c r="U117" i="14"/>
  <c r="U118" i="14"/>
  <c r="U122" i="14"/>
  <c r="U125" i="14"/>
  <c r="U115" i="14"/>
  <c r="AM50" i="14"/>
  <c r="AN50" i="14" s="1"/>
  <c r="AM43" i="14"/>
  <c r="AN43" i="14" s="1"/>
  <c r="AM51" i="14"/>
  <c r="AM46" i="14"/>
  <c r="AM48" i="14"/>
  <c r="AM49" i="14"/>
  <c r="AM47" i="14"/>
  <c r="AM45" i="14"/>
  <c r="AM52" i="14"/>
  <c r="AN52" i="14" s="1"/>
  <c r="AM44" i="14"/>
  <c r="AN44" i="14" s="1"/>
  <c r="AM42" i="14"/>
  <c r="AM53" i="14"/>
  <c r="AM167" i="15"/>
  <c r="AN167" i="15" s="1"/>
  <c r="AM166" i="15"/>
  <c r="AN166" i="15" s="1"/>
  <c r="AM163" i="15"/>
  <c r="AN163" i="15" s="1"/>
  <c r="AM168" i="15"/>
  <c r="AN168" i="15" s="1"/>
  <c r="AM169" i="15"/>
  <c r="AN169" i="15" s="1"/>
  <c r="AM174" i="15"/>
  <c r="AN174" i="15" s="1"/>
  <c r="AM171" i="15"/>
  <c r="AN171" i="15" s="1"/>
  <c r="AM172" i="15"/>
  <c r="AN172" i="15" s="1"/>
  <c r="AM173" i="15"/>
  <c r="AN173" i="15" s="1"/>
  <c r="AM164" i="15"/>
  <c r="AN164" i="15" s="1"/>
  <c r="AM165" i="15"/>
  <c r="AN165" i="15" s="1"/>
  <c r="AM170" i="15"/>
  <c r="AN170" i="15" s="1"/>
  <c r="I217" i="14"/>
  <c r="I221" i="14"/>
  <c r="I222" i="14"/>
  <c r="I223" i="14"/>
  <c r="I213" i="14"/>
  <c r="I218" i="14"/>
  <c r="I212" i="14"/>
  <c r="I216" i="14"/>
  <c r="I219" i="14"/>
  <c r="I215" i="14"/>
  <c r="I220" i="14"/>
  <c r="I214" i="14"/>
  <c r="U170" i="19"/>
  <c r="U175" i="19"/>
  <c r="U168" i="19"/>
  <c r="U164" i="19"/>
  <c r="U165" i="19"/>
  <c r="U169" i="19"/>
  <c r="U173" i="19"/>
  <c r="U171" i="19"/>
  <c r="U166" i="19"/>
  <c r="U172" i="19"/>
  <c r="U174" i="19"/>
  <c r="U167" i="19"/>
  <c r="AI97" i="14"/>
  <c r="AJ97" i="14" s="1"/>
  <c r="AI102" i="14"/>
  <c r="AJ102" i="14" s="1"/>
  <c r="AK172" i="14"/>
  <c r="AL172" i="14" s="1"/>
  <c r="G49" i="19"/>
  <c r="G51" i="19"/>
  <c r="G52" i="19"/>
  <c r="G50" i="19"/>
  <c r="G45" i="19"/>
  <c r="H45" i="19" s="1"/>
  <c r="G53" i="19"/>
  <c r="G48" i="19"/>
  <c r="G46" i="19"/>
  <c r="G42" i="19"/>
  <c r="G47" i="19"/>
  <c r="G44" i="19"/>
  <c r="G43" i="19"/>
  <c r="AG167" i="19"/>
  <c r="AG175" i="19"/>
  <c r="AG170" i="19"/>
  <c r="M21" i="16"/>
  <c r="M27" i="16"/>
  <c r="M22" i="16"/>
  <c r="M20" i="16"/>
  <c r="M18" i="16"/>
  <c r="M28" i="16"/>
  <c r="M23" i="16"/>
  <c r="M24" i="16"/>
  <c r="M25" i="16"/>
  <c r="N25" i="16" s="1"/>
  <c r="M26" i="16"/>
  <c r="M19" i="16"/>
  <c r="M29" i="16"/>
  <c r="M73" i="15"/>
  <c r="M70" i="15"/>
  <c r="M68" i="15"/>
  <c r="M72" i="15"/>
  <c r="M66" i="15"/>
  <c r="M76" i="15"/>
  <c r="M69" i="15"/>
  <c r="M77" i="15"/>
  <c r="M74" i="15"/>
  <c r="M71" i="15"/>
  <c r="M75" i="15"/>
  <c r="M67" i="15"/>
  <c r="W147" i="14"/>
  <c r="W148" i="14"/>
  <c r="W144" i="14"/>
  <c r="W140" i="14"/>
  <c r="W141" i="14"/>
  <c r="W145" i="14"/>
  <c r="W149" i="14"/>
  <c r="W142" i="14"/>
  <c r="W150" i="14"/>
  <c r="W146" i="14"/>
  <c r="W143" i="14"/>
  <c r="W151" i="14"/>
  <c r="AO21" i="15"/>
  <c r="AO27" i="15"/>
  <c r="AO219" i="15"/>
  <c r="AO216" i="15"/>
  <c r="AO218" i="15"/>
  <c r="AO212" i="15"/>
  <c r="AO220" i="15"/>
  <c r="AO20" i="15"/>
  <c r="AO215" i="15"/>
  <c r="AO213" i="15"/>
  <c r="AO221" i="15"/>
  <c r="AO25" i="15"/>
  <c r="AO28" i="15"/>
  <c r="AO214" i="15"/>
  <c r="AO26" i="15"/>
  <c r="AO222" i="15"/>
  <c r="AO217" i="15"/>
  <c r="AO19" i="15"/>
  <c r="AO24" i="15"/>
  <c r="AO18" i="15"/>
  <c r="AO23" i="15"/>
  <c r="AO22" i="15"/>
  <c r="AO29" i="15"/>
  <c r="O139" i="15"/>
  <c r="O143" i="15"/>
  <c r="O147" i="15"/>
  <c r="O140" i="15"/>
  <c r="O148" i="15"/>
  <c r="O141" i="15"/>
  <c r="O142" i="15"/>
  <c r="O149" i="15"/>
  <c r="O150" i="15"/>
  <c r="O145" i="15"/>
  <c r="O144" i="15"/>
  <c r="O146" i="15"/>
  <c r="E217" i="14"/>
  <c r="E220" i="14"/>
  <c r="E221" i="14"/>
  <c r="E222" i="14"/>
  <c r="E223" i="14"/>
  <c r="E213" i="14"/>
  <c r="E212" i="14"/>
  <c r="E215" i="14"/>
  <c r="E216" i="14"/>
  <c r="E218" i="14"/>
  <c r="E219" i="14"/>
  <c r="E214" i="14"/>
  <c r="C108" i="19"/>
  <c r="C108" i="16"/>
  <c r="C107" i="15"/>
  <c r="C108" i="14"/>
  <c r="AI49" i="14"/>
  <c r="AJ49" i="14" s="1"/>
  <c r="AI52" i="14"/>
  <c r="AJ52" i="14" s="1"/>
  <c r="O120" i="15"/>
  <c r="O121" i="15"/>
  <c r="O125" i="15"/>
  <c r="O118" i="15"/>
  <c r="U213" i="14"/>
  <c r="U214" i="14"/>
  <c r="U215" i="14"/>
  <c r="V215" i="14" s="1"/>
  <c r="U216" i="14"/>
  <c r="U217" i="14"/>
  <c r="U221" i="14"/>
  <c r="U218" i="14"/>
  <c r="U222" i="14"/>
  <c r="U223" i="14"/>
  <c r="U219" i="14"/>
  <c r="U220" i="14"/>
  <c r="U212" i="14"/>
  <c r="G214" i="16"/>
  <c r="G218" i="16"/>
  <c r="Q144" i="14"/>
  <c r="Q141" i="14"/>
  <c r="Q149" i="14"/>
  <c r="Q142" i="14"/>
  <c r="Q145" i="14"/>
  <c r="Q140" i="14"/>
  <c r="Q146" i="14"/>
  <c r="Q151" i="14"/>
  <c r="Q147" i="14"/>
  <c r="Q148" i="14"/>
  <c r="Q150" i="14"/>
  <c r="Q143" i="14"/>
  <c r="I195" i="15"/>
  <c r="I198" i="15"/>
  <c r="I187" i="15"/>
  <c r="I189" i="15"/>
  <c r="I188" i="15"/>
  <c r="I190" i="15"/>
  <c r="I196" i="15"/>
  <c r="I191" i="15"/>
  <c r="I192" i="15"/>
  <c r="I193" i="15"/>
  <c r="I197" i="15"/>
  <c r="I194" i="15"/>
  <c r="G70" i="14"/>
  <c r="G71" i="14"/>
  <c r="G69" i="14"/>
  <c r="G68" i="14"/>
  <c r="G75" i="14"/>
  <c r="G67" i="14"/>
  <c r="G74" i="14"/>
  <c r="G77" i="14"/>
  <c r="G73" i="14"/>
  <c r="G66" i="14"/>
  <c r="G72" i="14"/>
  <c r="G76" i="14"/>
  <c r="G125" i="19"/>
  <c r="G124" i="19"/>
  <c r="G118" i="19"/>
  <c r="G119" i="19"/>
  <c r="G120" i="19"/>
  <c r="G115" i="19"/>
  <c r="G126" i="19"/>
  <c r="G122" i="19"/>
  <c r="G117" i="19"/>
  <c r="G123" i="19"/>
  <c r="G116" i="19"/>
  <c r="G121" i="19"/>
  <c r="AM69" i="16"/>
  <c r="AN69" i="16" s="1"/>
  <c r="AM66" i="16"/>
  <c r="AM77" i="16"/>
  <c r="AM70" i="16"/>
  <c r="AM73" i="16"/>
  <c r="AM74" i="16"/>
  <c r="AM75" i="16"/>
  <c r="AM71" i="16"/>
  <c r="AM68" i="16"/>
  <c r="AN68" i="16" s="1"/>
  <c r="AM67" i="16"/>
  <c r="AM76" i="16"/>
  <c r="AM72" i="16"/>
  <c r="K169" i="16"/>
  <c r="K170" i="16"/>
  <c r="K168" i="16"/>
  <c r="K171" i="16"/>
  <c r="K164" i="16"/>
  <c r="K175" i="16"/>
  <c r="K165" i="16"/>
  <c r="K173" i="16"/>
  <c r="K172" i="16"/>
  <c r="K166" i="16"/>
  <c r="K174" i="16"/>
  <c r="K167" i="16"/>
  <c r="AO174" i="19"/>
  <c r="AP174" i="19" s="1"/>
  <c r="AO167" i="19"/>
  <c r="AP167" i="19" s="1"/>
  <c r="AO175" i="19"/>
  <c r="AP175" i="19" s="1"/>
  <c r="AO168" i="19"/>
  <c r="AP168" i="19" s="1"/>
  <c r="AO171" i="19"/>
  <c r="AP171" i="19" s="1"/>
  <c r="AO164" i="19"/>
  <c r="AP164" i="19" s="1"/>
  <c r="AO165" i="19"/>
  <c r="AP165" i="19" s="1"/>
  <c r="AO169" i="19"/>
  <c r="AP169" i="19" s="1"/>
  <c r="AO173" i="19"/>
  <c r="AP173" i="19" s="1"/>
  <c r="AO166" i="19"/>
  <c r="AP166" i="19" s="1"/>
  <c r="AO172" i="19"/>
  <c r="AP172" i="19" s="1"/>
  <c r="AO170" i="19"/>
  <c r="AP170" i="19" s="1"/>
  <c r="I151" i="14"/>
  <c r="I142" i="14"/>
  <c r="I140" i="14"/>
  <c r="I144" i="14"/>
  <c r="I148" i="14"/>
  <c r="I150" i="14"/>
  <c r="I145" i="14"/>
  <c r="I146" i="14"/>
  <c r="I143" i="14"/>
  <c r="I147" i="14"/>
  <c r="I141" i="14"/>
  <c r="I149" i="14"/>
  <c r="C192" i="16"/>
  <c r="C192" i="19"/>
  <c r="C191" i="15"/>
  <c r="C192" i="14"/>
  <c r="AK119" i="14"/>
  <c r="AL119" i="14" s="1"/>
  <c r="AK121" i="14"/>
  <c r="AL121" i="14" s="1"/>
  <c r="AK123" i="14"/>
  <c r="AL123" i="14" s="1"/>
  <c r="AK118" i="14"/>
  <c r="AL118" i="14" s="1"/>
  <c r="AK126" i="14"/>
  <c r="AL126" i="14" s="1"/>
  <c r="AK120" i="14"/>
  <c r="AL120" i="14" s="1"/>
  <c r="AK116" i="14"/>
  <c r="AL116" i="14" s="1"/>
  <c r="AK124" i="14"/>
  <c r="AL124" i="14" s="1"/>
  <c r="AK122" i="14"/>
  <c r="AL122" i="14" s="1"/>
  <c r="AK117" i="14"/>
  <c r="AL117" i="14" s="1"/>
  <c r="AK115" i="14"/>
  <c r="AL115" i="14" s="1"/>
  <c r="AK125" i="14"/>
  <c r="AL125" i="14" s="1"/>
  <c r="W215" i="19"/>
  <c r="W221" i="19"/>
  <c r="W212" i="19"/>
  <c r="W213" i="19"/>
  <c r="W216" i="19"/>
  <c r="W217" i="19"/>
  <c r="W218" i="19"/>
  <c r="W219" i="19"/>
  <c r="W220" i="19"/>
  <c r="X220" i="19" s="1"/>
  <c r="W214" i="19"/>
  <c r="W222" i="19"/>
  <c r="W223" i="19"/>
  <c r="AI140" i="19"/>
  <c r="AJ140" i="19" s="1"/>
  <c r="AI151" i="19"/>
  <c r="AJ151" i="19" s="1"/>
  <c r="AA21" i="16"/>
  <c r="AA29" i="16"/>
  <c r="AA22" i="16"/>
  <c r="AA19" i="16"/>
  <c r="AA20" i="16"/>
  <c r="AA25" i="16"/>
  <c r="AA26" i="16"/>
  <c r="AA27" i="16"/>
  <c r="AA28" i="16"/>
  <c r="AA24" i="16"/>
  <c r="AA18" i="16"/>
  <c r="AA23" i="16"/>
  <c r="AM118" i="15"/>
  <c r="AM115" i="15"/>
  <c r="AM123" i="15"/>
  <c r="AM117" i="15"/>
  <c r="AM125" i="15"/>
  <c r="AM120" i="15"/>
  <c r="AM122" i="15"/>
  <c r="AM119" i="15"/>
  <c r="AM121" i="15"/>
  <c r="AM114" i="15"/>
  <c r="AM124" i="15"/>
  <c r="AM116" i="15"/>
  <c r="Y94" i="14"/>
  <c r="Y101" i="14"/>
  <c r="Y91" i="14"/>
  <c r="Y98" i="14"/>
  <c r="Y92" i="14"/>
  <c r="Y100" i="14"/>
  <c r="Y99" i="14"/>
  <c r="Y95" i="14"/>
  <c r="Y97" i="14"/>
  <c r="Z97" i="14" s="1"/>
  <c r="Y93" i="14"/>
  <c r="Y102" i="14"/>
  <c r="Y96" i="14"/>
  <c r="G50" i="14"/>
  <c r="G51" i="14"/>
  <c r="G43" i="14"/>
  <c r="G46" i="14"/>
  <c r="G48" i="14"/>
  <c r="G47" i="14"/>
  <c r="G45" i="14"/>
  <c r="G52" i="14"/>
  <c r="G44" i="14"/>
  <c r="G49" i="14"/>
  <c r="G42" i="14"/>
  <c r="G53" i="14"/>
  <c r="I90" i="15"/>
  <c r="I100" i="15"/>
  <c r="I101" i="15"/>
  <c r="AC74" i="14"/>
  <c r="AC73" i="14"/>
  <c r="AC72" i="14"/>
  <c r="AC71" i="14"/>
  <c r="AC66" i="14"/>
  <c r="AC75" i="14"/>
  <c r="AC70" i="14"/>
  <c r="AC67" i="14"/>
  <c r="AC77" i="14"/>
  <c r="AC69" i="14"/>
  <c r="AC76" i="14"/>
  <c r="AC68" i="14"/>
  <c r="S167" i="14"/>
  <c r="S164" i="14"/>
  <c r="S169" i="14"/>
  <c r="S170" i="14"/>
  <c r="S171" i="14"/>
  <c r="S172" i="14"/>
  <c r="S165" i="14"/>
  <c r="S168" i="14"/>
  <c r="S166" i="14"/>
  <c r="S173" i="14"/>
  <c r="S174" i="14"/>
  <c r="S175" i="14"/>
  <c r="I146" i="19"/>
  <c r="I150" i="19"/>
  <c r="I144" i="19"/>
  <c r="I149" i="19"/>
  <c r="I142" i="19"/>
  <c r="I143" i="19"/>
  <c r="J143" i="19" s="1"/>
  <c r="I147" i="19"/>
  <c r="I151" i="19"/>
  <c r="I145" i="19"/>
  <c r="I148" i="19"/>
  <c r="I141" i="19"/>
  <c r="I140" i="19"/>
  <c r="C106" i="16"/>
  <c r="C105" i="15"/>
  <c r="C106" i="14"/>
  <c r="C106" i="19"/>
  <c r="AG121" i="16"/>
  <c r="AG116" i="16"/>
  <c r="AG120" i="16"/>
  <c r="AG124" i="16"/>
  <c r="AG115" i="16"/>
  <c r="AG119" i="16"/>
  <c r="AG117" i="16"/>
  <c r="AG118" i="16"/>
  <c r="AG126" i="16"/>
  <c r="AG125" i="16"/>
  <c r="AG123" i="16"/>
  <c r="AG122" i="16"/>
  <c r="AC95" i="16"/>
  <c r="AC97" i="16"/>
  <c r="AC98" i="16"/>
  <c r="AC99" i="16"/>
  <c r="AC100" i="16"/>
  <c r="AC102" i="16"/>
  <c r="AC93" i="16"/>
  <c r="AC91" i="16"/>
  <c r="AC96" i="16"/>
  <c r="AC92" i="16"/>
  <c r="AC94" i="16"/>
  <c r="AC101" i="16"/>
  <c r="G44" i="15"/>
  <c r="G47" i="15"/>
  <c r="G48" i="15"/>
  <c r="G43" i="15"/>
  <c r="G49" i="15"/>
  <c r="G51" i="15"/>
  <c r="G50" i="15"/>
  <c r="G45" i="15"/>
  <c r="G52" i="15"/>
  <c r="G53" i="15"/>
  <c r="G46" i="15"/>
  <c r="G42" i="15"/>
  <c r="C206" i="19"/>
  <c r="C206" i="16"/>
  <c r="C205" i="15"/>
  <c r="C206" i="14"/>
  <c r="W91" i="16"/>
  <c r="C124" i="15"/>
  <c r="C125" i="19"/>
  <c r="C125" i="14"/>
  <c r="C125" i="16"/>
  <c r="S170" i="16"/>
  <c r="C167" i="19"/>
  <c r="C166" i="15"/>
  <c r="C167" i="14"/>
  <c r="C167" i="16"/>
  <c r="C98" i="16"/>
  <c r="C98" i="14"/>
  <c r="C98" i="19"/>
  <c r="C97" i="15"/>
  <c r="AI117" i="16"/>
  <c r="AJ117" i="16" s="1"/>
  <c r="AI121" i="16"/>
  <c r="AJ121" i="16" s="1"/>
  <c r="AI122" i="16"/>
  <c r="AJ122" i="16" s="1"/>
  <c r="AI120" i="16"/>
  <c r="AJ120" i="16" s="1"/>
  <c r="AI124" i="16"/>
  <c r="AJ124" i="16" s="1"/>
  <c r="AI123" i="16"/>
  <c r="AJ123" i="16" s="1"/>
  <c r="AI116" i="16"/>
  <c r="AJ116" i="16" s="1"/>
  <c r="AI125" i="16"/>
  <c r="AJ125" i="16" s="1"/>
  <c r="AI115" i="16"/>
  <c r="AJ115" i="16" s="1"/>
  <c r="AI119" i="16"/>
  <c r="AJ119" i="16" s="1"/>
  <c r="AI126" i="16"/>
  <c r="AJ126" i="16" s="1"/>
  <c r="AI118" i="16"/>
  <c r="AJ118" i="16" s="1"/>
  <c r="AO146" i="19"/>
  <c r="AP146" i="19" s="1"/>
  <c r="AO151" i="19"/>
  <c r="AP151" i="19" s="1"/>
  <c r="AO141" i="19"/>
  <c r="AP141" i="19" s="1"/>
  <c r="AO144" i="19"/>
  <c r="AP144" i="19" s="1"/>
  <c r="AO145" i="19"/>
  <c r="AP145" i="19" s="1"/>
  <c r="AO150" i="19"/>
  <c r="AP150" i="19" s="1"/>
  <c r="AO140" i="19"/>
  <c r="AP140" i="19" s="1"/>
  <c r="AO142" i="19"/>
  <c r="AP142" i="19" s="1"/>
  <c r="AO143" i="19"/>
  <c r="AP143" i="19" s="1"/>
  <c r="AO149" i="19"/>
  <c r="AP149" i="19" s="1"/>
  <c r="AO147" i="19"/>
  <c r="AP147" i="19" s="1"/>
  <c r="AO148" i="19"/>
  <c r="AP148" i="19" s="1"/>
  <c r="Y69" i="19"/>
  <c r="Y76" i="19"/>
  <c r="Y75" i="19"/>
  <c r="Y73" i="19"/>
  <c r="Y70" i="19"/>
  <c r="Y77" i="19"/>
  <c r="Y67" i="19"/>
  <c r="Y66" i="19"/>
  <c r="Y68" i="19"/>
  <c r="Y74" i="19"/>
  <c r="Y71" i="19"/>
  <c r="Y72" i="19"/>
  <c r="K25" i="15"/>
  <c r="K23" i="15"/>
  <c r="K21" i="15"/>
  <c r="K18" i="15"/>
  <c r="K29" i="15"/>
  <c r="K24" i="15"/>
  <c r="K22" i="15"/>
  <c r="K27" i="15"/>
  <c r="K26" i="15"/>
  <c r="K19" i="15"/>
  <c r="K20" i="15"/>
  <c r="K28" i="15"/>
  <c r="AC100" i="15"/>
  <c r="AC94" i="15"/>
  <c r="AC95" i="15"/>
  <c r="AC96" i="15"/>
  <c r="AC97" i="15"/>
  <c r="AC99" i="15"/>
  <c r="AC91" i="15"/>
  <c r="AC98" i="15"/>
  <c r="AC93" i="15"/>
  <c r="AC92" i="15"/>
  <c r="AC101" i="15"/>
  <c r="AC90" i="15"/>
  <c r="AC140" i="15"/>
  <c r="AC146" i="15"/>
  <c r="AC149" i="15"/>
  <c r="AC148" i="15"/>
  <c r="AC142" i="15"/>
  <c r="AC150" i="15"/>
  <c r="AC139" i="15"/>
  <c r="AC143" i="15"/>
  <c r="AC147" i="15"/>
  <c r="AC144" i="15"/>
  <c r="AC145" i="15"/>
  <c r="AC141" i="15"/>
  <c r="AA29" i="19"/>
  <c r="AA21" i="19"/>
  <c r="AB21" i="19" s="1"/>
  <c r="AA24" i="19"/>
  <c r="AA20" i="19"/>
  <c r="AA23" i="19"/>
  <c r="AA22" i="19"/>
  <c r="AA18" i="19"/>
  <c r="AA25" i="19"/>
  <c r="AA28" i="19"/>
  <c r="AA26" i="19"/>
  <c r="AB26" i="19" s="1"/>
  <c r="AA19" i="19"/>
  <c r="AA27" i="19"/>
  <c r="U116" i="16"/>
  <c r="U124" i="16"/>
  <c r="U117" i="16"/>
  <c r="U122" i="16"/>
  <c r="U125" i="16"/>
  <c r="U123" i="16"/>
  <c r="U118" i="16"/>
  <c r="U119" i="16"/>
  <c r="U115" i="16"/>
  <c r="U126" i="16"/>
  <c r="U120" i="16"/>
  <c r="U121" i="16"/>
  <c r="C116" i="16"/>
  <c r="C116" i="14"/>
  <c r="C115" i="15"/>
  <c r="C116" i="19"/>
  <c r="U164" i="16"/>
  <c r="U175" i="16"/>
  <c r="U169" i="16"/>
  <c r="U170" i="16"/>
  <c r="U166" i="16"/>
  <c r="U167" i="16"/>
  <c r="U171" i="16"/>
  <c r="U165" i="16"/>
  <c r="U172" i="16"/>
  <c r="U168" i="16"/>
  <c r="U173" i="16"/>
  <c r="U174" i="16"/>
  <c r="N25" i="14"/>
  <c r="O25" i="14" s="1"/>
  <c r="AO21" i="16"/>
  <c r="AP21" i="16" s="1"/>
  <c r="AO198" i="16"/>
  <c r="AP198" i="16" s="1"/>
  <c r="Y170" i="19"/>
  <c r="AC197" i="16"/>
  <c r="AC193" i="16"/>
  <c r="AC71" i="16"/>
  <c r="U214" i="15"/>
  <c r="U222" i="15"/>
  <c r="U217" i="15"/>
  <c r="U216" i="15"/>
  <c r="U218" i="15"/>
  <c r="U220" i="15"/>
  <c r="U211" i="15"/>
  <c r="U221" i="15"/>
  <c r="U219" i="15"/>
  <c r="U215" i="15"/>
  <c r="U212" i="15"/>
  <c r="U213" i="15"/>
  <c r="S165" i="19"/>
  <c r="S175" i="19"/>
  <c r="S166" i="19"/>
  <c r="S164" i="19"/>
  <c r="S169" i="19"/>
  <c r="S167" i="19"/>
  <c r="S170" i="19"/>
  <c r="S168" i="19"/>
  <c r="S173" i="19"/>
  <c r="S172" i="19"/>
  <c r="S174" i="19"/>
  <c r="S171" i="19"/>
  <c r="Y48" i="15"/>
  <c r="Y42" i="15"/>
  <c r="Y45" i="15"/>
  <c r="Y53" i="15"/>
  <c r="Y46" i="15"/>
  <c r="Y47" i="15"/>
  <c r="Y49" i="15"/>
  <c r="Y43" i="15"/>
  <c r="Y44" i="15"/>
  <c r="Y50" i="15"/>
  <c r="Y51" i="15"/>
  <c r="Y52" i="15"/>
  <c r="AM68" i="15"/>
  <c r="AM69" i="15"/>
  <c r="AM66" i="15"/>
  <c r="AM67" i="15"/>
  <c r="AM77" i="15"/>
  <c r="AM76" i="15"/>
  <c r="AM75" i="15"/>
  <c r="AM74" i="15"/>
  <c r="AM72" i="15"/>
  <c r="AM71" i="15"/>
  <c r="AM73" i="15"/>
  <c r="AM70" i="15"/>
  <c r="K169" i="15"/>
  <c r="K164" i="15"/>
  <c r="K170" i="15"/>
  <c r="K172" i="15"/>
  <c r="K165" i="15"/>
  <c r="K166" i="15"/>
  <c r="K171" i="15"/>
  <c r="K174" i="15"/>
  <c r="K173" i="15"/>
  <c r="K167" i="15"/>
  <c r="K163" i="15"/>
  <c r="K168" i="15"/>
  <c r="AO167" i="15"/>
  <c r="AO173" i="15"/>
  <c r="AO166" i="15"/>
  <c r="AO174" i="15"/>
  <c r="AO169" i="15"/>
  <c r="AO164" i="15"/>
  <c r="AO163" i="15"/>
  <c r="AO168" i="15"/>
  <c r="AO172" i="15"/>
  <c r="AO165" i="15"/>
  <c r="AO171" i="15"/>
  <c r="AO170" i="15"/>
  <c r="C195" i="19"/>
  <c r="C194" i="15"/>
  <c r="C195" i="14"/>
  <c r="C195" i="16"/>
  <c r="C227" i="16"/>
  <c r="C227" i="14"/>
  <c r="C226" i="15"/>
  <c r="C227" i="19"/>
  <c r="C92" i="19"/>
  <c r="C91" i="15"/>
  <c r="C92" i="16"/>
  <c r="C92" i="14"/>
  <c r="C57" i="19"/>
  <c r="C57" i="16"/>
  <c r="C57" i="15"/>
  <c r="C57" i="14"/>
  <c r="AI126" i="19"/>
  <c r="AJ126" i="19" s="1"/>
  <c r="AI115" i="19"/>
  <c r="AJ115" i="19" s="1"/>
  <c r="AI120" i="19"/>
  <c r="AJ120" i="19" s="1"/>
  <c r="AI125" i="19"/>
  <c r="AJ125" i="19" s="1"/>
  <c r="AI122" i="19"/>
  <c r="AJ122" i="19" s="1"/>
  <c r="AI123" i="19"/>
  <c r="AJ123" i="19" s="1"/>
  <c r="AI118" i="19"/>
  <c r="AJ118" i="19" s="1"/>
  <c r="AI117" i="19"/>
  <c r="AJ117" i="19" s="1"/>
  <c r="AI116" i="19"/>
  <c r="AJ116" i="19" s="1"/>
  <c r="AI119" i="19"/>
  <c r="AJ119" i="19" s="1"/>
  <c r="AI121" i="19"/>
  <c r="AJ121" i="19" s="1"/>
  <c r="AI124" i="19"/>
  <c r="AJ124" i="19" s="1"/>
  <c r="AM99" i="15"/>
  <c r="AM96" i="15"/>
  <c r="AM92" i="15"/>
  <c r="AM100" i="15"/>
  <c r="AM93" i="15"/>
  <c r="AM101" i="15"/>
  <c r="AM95" i="15"/>
  <c r="AM98" i="15"/>
  <c r="AM97" i="15"/>
  <c r="AM91" i="15"/>
  <c r="AM90" i="15"/>
  <c r="AM94" i="15"/>
  <c r="O213" i="14"/>
  <c r="O218" i="14"/>
  <c r="O214" i="14"/>
  <c r="O219" i="14"/>
  <c r="O222" i="14"/>
  <c r="O220" i="14"/>
  <c r="O215" i="14"/>
  <c r="P215" i="14" s="1"/>
  <c r="O221" i="14"/>
  <c r="O223" i="14"/>
  <c r="O216" i="14"/>
  <c r="O212" i="14"/>
  <c r="O217" i="14"/>
  <c r="C193" i="16"/>
  <c r="C193" i="19"/>
  <c r="C192" i="15"/>
  <c r="C193" i="14"/>
  <c r="AO151" i="14"/>
  <c r="AP151" i="14" s="1"/>
  <c r="AO143" i="14"/>
  <c r="AP143" i="14" s="1"/>
  <c r="AO145" i="14"/>
  <c r="AP145" i="14" s="1"/>
  <c r="AO140" i="14"/>
  <c r="AP140" i="14" s="1"/>
  <c r="AO146" i="14"/>
  <c r="AP146" i="14" s="1"/>
  <c r="AO147" i="14"/>
  <c r="AP147" i="14" s="1"/>
  <c r="AO148" i="14"/>
  <c r="AP148" i="14" s="1"/>
  <c r="AO141" i="14"/>
  <c r="AP141" i="14" s="1"/>
  <c r="AO150" i="14"/>
  <c r="AP150" i="14" s="1"/>
  <c r="AO144" i="14"/>
  <c r="AP144" i="14" s="1"/>
  <c r="AO149" i="14"/>
  <c r="AP149" i="14" s="1"/>
  <c r="AO142" i="14"/>
  <c r="AP142" i="14" s="1"/>
  <c r="Q71" i="14"/>
  <c r="Q76" i="14"/>
  <c r="AI165" i="15"/>
  <c r="AI168" i="15"/>
  <c r="AI169" i="15"/>
  <c r="AI164" i="15"/>
  <c r="AI166" i="15"/>
  <c r="AI171" i="15"/>
  <c r="AI172" i="15"/>
  <c r="AI173" i="15"/>
  <c r="AI174" i="15"/>
  <c r="AI167" i="15"/>
  <c r="AI163" i="15"/>
  <c r="AI170" i="15"/>
  <c r="K70" i="14"/>
  <c r="K71" i="14"/>
  <c r="K69" i="14"/>
  <c r="K76" i="14"/>
  <c r="K77" i="14"/>
  <c r="K68" i="14"/>
  <c r="K75" i="14"/>
  <c r="K67" i="14"/>
  <c r="K72" i="14"/>
  <c r="K66" i="14"/>
  <c r="K74" i="14"/>
  <c r="K73" i="14"/>
  <c r="C27" i="15"/>
  <c r="C27" i="19"/>
  <c r="C27" i="16"/>
  <c r="C27" i="14"/>
  <c r="E24" i="15"/>
  <c r="O96" i="15"/>
  <c r="O93" i="15"/>
  <c r="C226" i="19"/>
  <c r="C226" i="16"/>
  <c r="C225" i="15"/>
  <c r="C226" i="14"/>
  <c r="K25" i="16"/>
  <c r="K21" i="16"/>
  <c r="L21" i="16" s="1"/>
  <c r="K28" i="16"/>
  <c r="K27" i="16"/>
  <c r="K29" i="16"/>
  <c r="K19" i="16"/>
  <c r="K20" i="16"/>
  <c r="K22" i="16"/>
  <c r="K26" i="16"/>
  <c r="K23" i="16"/>
  <c r="L23" i="16" s="1"/>
  <c r="K18" i="16"/>
  <c r="K24" i="16"/>
  <c r="C59" i="19"/>
  <c r="C59" i="16"/>
  <c r="C59" i="14"/>
  <c r="C59" i="15"/>
  <c r="AC95" i="19"/>
  <c r="AC93" i="19"/>
  <c r="AC94" i="19"/>
  <c r="AD94" i="19" s="1"/>
  <c r="AC92" i="19"/>
  <c r="AC96" i="19"/>
  <c r="AC100" i="19"/>
  <c r="AC101" i="19"/>
  <c r="AC102" i="19"/>
  <c r="AC97" i="19"/>
  <c r="AC91" i="19"/>
  <c r="AC98" i="19"/>
  <c r="AD98" i="19" s="1"/>
  <c r="AC99" i="19"/>
  <c r="AC149" i="16"/>
  <c r="AC142" i="16"/>
  <c r="AC150" i="16"/>
  <c r="AC143" i="16"/>
  <c r="AC144" i="16"/>
  <c r="AC145" i="16"/>
  <c r="AC140" i="16"/>
  <c r="AC146" i="16"/>
  <c r="AC148" i="16"/>
  <c r="AC141" i="16"/>
  <c r="AC147" i="16"/>
  <c r="AC151" i="16"/>
  <c r="AO98" i="15"/>
  <c r="AO92" i="15"/>
  <c r="AO100" i="15"/>
  <c r="AO99" i="15"/>
  <c r="AO93" i="15"/>
  <c r="AO101" i="15"/>
  <c r="AO95" i="15"/>
  <c r="AO97" i="15"/>
  <c r="AO91" i="15"/>
  <c r="AO96" i="15"/>
  <c r="AO94" i="15"/>
  <c r="AO90" i="15"/>
  <c r="M44" i="14"/>
  <c r="M48" i="14"/>
  <c r="E193" i="16"/>
  <c r="E189" i="16"/>
  <c r="E197" i="16"/>
  <c r="E190" i="16"/>
  <c r="E198" i="16"/>
  <c r="E194" i="16"/>
  <c r="E192" i="16"/>
  <c r="E195" i="16"/>
  <c r="E196" i="16"/>
  <c r="E199" i="16"/>
  <c r="E191" i="16"/>
  <c r="F191" i="16" s="1"/>
  <c r="E188" i="16"/>
  <c r="C105" i="16"/>
  <c r="C104" i="15"/>
  <c r="C105" i="19"/>
  <c r="C105" i="14"/>
  <c r="U118" i="15"/>
  <c r="U119" i="15"/>
  <c r="U121" i="15"/>
  <c r="U115" i="15"/>
  <c r="U122" i="15"/>
  <c r="U123" i="15"/>
  <c r="U124" i="15"/>
  <c r="U116" i="15"/>
  <c r="U117" i="15"/>
  <c r="U125" i="15"/>
  <c r="U114" i="15"/>
  <c r="U120" i="15"/>
  <c r="AM52" i="15"/>
  <c r="AM45" i="15"/>
  <c r="AM53" i="15"/>
  <c r="AM46" i="15"/>
  <c r="AM47" i="15"/>
  <c r="AM48" i="15"/>
  <c r="AM43" i="15"/>
  <c r="AM49" i="15"/>
  <c r="AM50" i="15"/>
  <c r="AM42" i="15"/>
  <c r="AM51" i="15"/>
  <c r="AM44" i="15"/>
  <c r="O196" i="14"/>
  <c r="K139" i="15"/>
  <c r="K143" i="15"/>
  <c r="K145" i="15"/>
  <c r="K148" i="15"/>
  <c r="K141" i="15"/>
  <c r="K149" i="15"/>
  <c r="K142" i="15"/>
  <c r="K146" i="15"/>
  <c r="K144" i="15"/>
  <c r="K147" i="15"/>
  <c r="K140" i="15"/>
  <c r="K150" i="15"/>
  <c r="U50" i="16"/>
  <c r="I223" i="16"/>
  <c r="I219" i="16"/>
  <c r="I217" i="16"/>
  <c r="I220" i="16"/>
  <c r="I213" i="16"/>
  <c r="I212" i="16"/>
  <c r="I221" i="16"/>
  <c r="I216" i="16"/>
  <c r="I214" i="16"/>
  <c r="I222" i="16"/>
  <c r="I215" i="16"/>
  <c r="J215" i="16" s="1"/>
  <c r="I218" i="16"/>
  <c r="AK169" i="15"/>
  <c r="C32" i="16"/>
  <c r="C32" i="19"/>
  <c r="C32" i="14"/>
  <c r="C32" i="15"/>
  <c r="M74" i="14"/>
  <c r="M66" i="14"/>
  <c r="M75" i="14"/>
  <c r="M67" i="14"/>
  <c r="M70" i="14"/>
  <c r="M72" i="14"/>
  <c r="M71" i="14"/>
  <c r="M77" i="14"/>
  <c r="M69" i="14"/>
  <c r="M76" i="14"/>
  <c r="M73" i="14"/>
  <c r="M68" i="14"/>
  <c r="G99" i="14"/>
  <c r="G98" i="14"/>
  <c r="G92" i="14"/>
  <c r="G100" i="14"/>
  <c r="G91" i="14"/>
  <c r="G95" i="14"/>
  <c r="G97" i="14"/>
  <c r="G96" i="14"/>
  <c r="G102" i="14"/>
  <c r="G94" i="14"/>
  <c r="G101" i="14"/>
  <c r="G93" i="14"/>
  <c r="AE117" i="19"/>
  <c r="AE115" i="19"/>
  <c r="W141" i="15"/>
  <c r="W149" i="15"/>
  <c r="W142" i="15"/>
  <c r="W144" i="15"/>
  <c r="W150" i="15"/>
  <c r="W146" i="15"/>
  <c r="W143" i="15"/>
  <c r="W147" i="15"/>
  <c r="W145" i="15"/>
  <c r="W139" i="15"/>
  <c r="W140" i="15"/>
  <c r="W148" i="15"/>
  <c r="AO19" i="19"/>
  <c r="AP19" i="19" s="1"/>
  <c r="AO25" i="19"/>
  <c r="AP25" i="19" s="1"/>
  <c r="AO22" i="19"/>
  <c r="AP22" i="19" s="1"/>
  <c r="AO29" i="19"/>
  <c r="AP29" i="19" s="1"/>
  <c r="AO26" i="19"/>
  <c r="AP26" i="19" s="1"/>
  <c r="AO20" i="19"/>
  <c r="AP20" i="19" s="1"/>
  <c r="AO27" i="19"/>
  <c r="AP27" i="19" s="1"/>
  <c r="AO28" i="19"/>
  <c r="AP28" i="19" s="1"/>
  <c r="AO24" i="19"/>
  <c r="AP24" i="19" s="1"/>
  <c r="AO23" i="19"/>
  <c r="AP23" i="19" s="1"/>
  <c r="AO21" i="19"/>
  <c r="AP21" i="19" s="1"/>
  <c r="AO18" i="19"/>
  <c r="AP18" i="19" s="1"/>
  <c r="Q18" i="15"/>
  <c r="Q26" i="15"/>
  <c r="G216" i="15"/>
  <c r="E222" i="15"/>
  <c r="E212" i="15"/>
  <c r="G222" i="15"/>
  <c r="E213" i="15"/>
  <c r="G215" i="15"/>
  <c r="G220" i="15"/>
  <c r="G217" i="15"/>
  <c r="G218" i="15"/>
  <c r="C164" i="16"/>
  <c r="C163" i="15"/>
  <c r="C164" i="19"/>
  <c r="C164" i="14"/>
  <c r="C75" i="19"/>
  <c r="C75" i="15"/>
  <c r="C75" i="16"/>
  <c r="C75" i="14"/>
  <c r="O120" i="16"/>
  <c r="O125" i="16"/>
  <c r="U221" i="16"/>
  <c r="U212" i="16"/>
  <c r="U214" i="16"/>
  <c r="U222" i="16"/>
  <c r="U215" i="16"/>
  <c r="U223" i="16"/>
  <c r="U217" i="16"/>
  <c r="U216" i="16"/>
  <c r="U218" i="16"/>
  <c r="U213" i="16"/>
  <c r="U219" i="16"/>
  <c r="U220" i="16"/>
  <c r="G219" i="19"/>
  <c r="G212" i="19"/>
  <c r="Q151" i="16"/>
  <c r="Q148" i="16"/>
  <c r="Q140" i="16"/>
  <c r="Q141" i="16"/>
  <c r="Q143" i="16"/>
  <c r="R143" i="16" s="1"/>
  <c r="Q142" i="16"/>
  <c r="Q150" i="16"/>
  <c r="Q149" i="16"/>
  <c r="Q146" i="16"/>
  <c r="Q145" i="16"/>
  <c r="Q147" i="16"/>
  <c r="Q144" i="16"/>
  <c r="I194" i="19"/>
  <c r="I196" i="19"/>
  <c r="I189" i="19"/>
  <c r="I191" i="19"/>
  <c r="I197" i="19"/>
  <c r="I199" i="19"/>
  <c r="I188" i="19"/>
  <c r="I192" i="19"/>
  <c r="I193" i="19"/>
  <c r="I195" i="19"/>
  <c r="I190" i="19"/>
  <c r="I198" i="19"/>
  <c r="J198" i="19" s="1"/>
  <c r="G72" i="19"/>
  <c r="G77" i="19"/>
  <c r="G73" i="19"/>
  <c r="G70" i="19"/>
  <c r="G74" i="19"/>
  <c r="G66" i="19"/>
  <c r="G76" i="19"/>
  <c r="G67" i="19"/>
  <c r="G75" i="19"/>
  <c r="G71" i="19"/>
  <c r="G69" i="19"/>
  <c r="G68" i="19"/>
  <c r="E66" i="16"/>
  <c r="E71" i="16"/>
  <c r="E72" i="16"/>
  <c r="E73" i="16"/>
  <c r="E68" i="16"/>
  <c r="E74" i="16"/>
  <c r="E67" i="16"/>
  <c r="E76" i="16"/>
  <c r="E75" i="16"/>
  <c r="E69" i="16"/>
  <c r="E77" i="16"/>
  <c r="E70" i="16"/>
  <c r="M148" i="14"/>
  <c r="M150" i="14"/>
  <c r="M140" i="14"/>
  <c r="M146" i="14"/>
  <c r="M147" i="14"/>
  <c r="M141" i="14"/>
  <c r="M149" i="14"/>
  <c r="M144" i="14"/>
  <c r="M143" i="14"/>
  <c r="M145" i="14"/>
  <c r="M142" i="14"/>
  <c r="M151" i="14"/>
  <c r="Y115" i="14"/>
  <c r="Y116" i="14"/>
  <c r="Y124" i="14"/>
  <c r="Y117" i="14"/>
  <c r="Y125" i="14"/>
  <c r="Y123" i="14"/>
  <c r="Y118" i="14"/>
  <c r="Y122" i="14"/>
  <c r="Y120" i="14"/>
  <c r="Y119" i="14"/>
  <c r="Y121" i="14"/>
  <c r="Y126" i="14"/>
  <c r="M175" i="14"/>
  <c r="M168" i="14"/>
  <c r="M164" i="14"/>
  <c r="M165" i="14"/>
  <c r="M169" i="14"/>
  <c r="M173" i="14"/>
  <c r="M166" i="14"/>
  <c r="M172" i="14"/>
  <c r="M174" i="14"/>
  <c r="M167" i="14"/>
  <c r="M171" i="14"/>
  <c r="M170" i="14"/>
  <c r="K96" i="15"/>
  <c r="K98" i="15"/>
  <c r="K90" i="15"/>
  <c r="K99" i="15"/>
  <c r="K92" i="15"/>
  <c r="K100" i="15"/>
  <c r="K93" i="15"/>
  <c r="K97" i="15"/>
  <c r="K101" i="15"/>
  <c r="K94" i="15"/>
  <c r="K95" i="15"/>
  <c r="K91" i="15"/>
  <c r="C72" i="19"/>
  <c r="C72" i="16"/>
  <c r="C72" i="15"/>
  <c r="C72" i="14"/>
  <c r="I45" i="15"/>
  <c r="I46" i="15"/>
  <c r="I49" i="15"/>
  <c r="I47" i="15"/>
  <c r="I53" i="15"/>
  <c r="I48" i="15"/>
  <c r="I42" i="15"/>
  <c r="I43" i="15"/>
  <c r="I44" i="15"/>
  <c r="I51" i="15"/>
  <c r="I50" i="15"/>
  <c r="I52" i="15"/>
  <c r="AA175" i="19"/>
  <c r="AA171" i="19"/>
  <c r="G195" i="19"/>
  <c r="G188" i="19"/>
  <c r="G197" i="19"/>
  <c r="G194" i="19"/>
  <c r="G190" i="19"/>
  <c r="G196" i="19"/>
  <c r="G198" i="19"/>
  <c r="G191" i="19"/>
  <c r="G189" i="19"/>
  <c r="G199" i="19"/>
  <c r="G193" i="19"/>
  <c r="G192" i="19"/>
  <c r="AO220" i="19"/>
  <c r="AP220" i="19" s="1"/>
  <c r="AO212" i="19"/>
  <c r="AP212" i="19" s="1"/>
  <c r="AO213" i="19"/>
  <c r="AP213" i="19" s="1"/>
  <c r="AO217" i="19"/>
  <c r="AP217" i="19" s="1"/>
  <c r="AO221" i="19"/>
  <c r="AP221" i="19" s="1"/>
  <c r="AO218" i="19"/>
  <c r="AP218" i="19" s="1"/>
  <c r="AO214" i="19"/>
  <c r="AP214" i="19" s="1"/>
  <c r="AO222" i="19"/>
  <c r="AP222" i="19" s="1"/>
  <c r="AO215" i="19"/>
  <c r="AP215" i="19" s="1"/>
  <c r="AO219" i="19"/>
  <c r="AP219" i="19" s="1"/>
  <c r="AO223" i="19"/>
  <c r="AP223" i="19" s="1"/>
  <c r="AO216" i="19"/>
  <c r="AP216" i="19" s="1"/>
  <c r="AG74" i="14"/>
  <c r="AG73" i="14"/>
  <c r="AG67" i="14"/>
  <c r="AG70" i="14"/>
  <c r="AG72" i="14"/>
  <c r="AG71" i="14"/>
  <c r="AG75" i="14"/>
  <c r="AG69" i="14"/>
  <c r="AG76" i="14"/>
  <c r="AG66" i="14"/>
  <c r="AG68" i="14"/>
  <c r="AG77" i="14"/>
  <c r="AI197" i="16"/>
  <c r="AJ197" i="16" s="1"/>
  <c r="AI194" i="16"/>
  <c r="AJ194" i="16" s="1"/>
  <c r="AI198" i="16"/>
  <c r="AJ198" i="16" s="1"/>
  <c r="AI199" i="16"/>
  <c r="AJ199" i="16" s="1"/>
  <c r="AI196" i="16"/>
  <c r="AJ196" i="16" s="1"/>
  <c r="AI190" i="16"/>
  <c r="AJ190" i="16" s="1"/>
  <c r="AI192" i="16"/>
  <c r="AJ192" i="16" s="1"/>
  <c r="AI191" i="16"/>
  <c r="AJ191" i="16" s="1"/>
  <c r="AI188" i="16"/>
  <c r="AJ188" i="16" s="1"/>
  <c r="AI193" i="16"/>
  <c r="AJ193" i="16" s="1"/>
  <c r="AI189" i="16"/>
  <c r="AJ189" i="16" s="1"/>
  <c r="AI195" i="16"/>
  <c r="AJ195" i="16" s="1"/>
  <c r="U196" i="19"/>
  <c r="U191" i="19"/>
  <c r="U189" i="19"/>
  <c r="U199" i="19"/>
  <c r="U197" i="19"/>
  <c r="U192" i="19"/>
  <c r="U190" i="19"/>
  <c r="U188" i="19"/>
  <c r="U198" i="19"/>
  <c r="U193" i="19"/>
  <c r="U195" i="19"/>
  <c r="U194" i="19"/>
  <c r="W49" i="15"/>
  <c r="W43" i="15"/>
  <c r="W52" i="15"/>
  <c r="W51" i="15"/>
  <c r="W44" i="15"/>
  <c r="W45" i="15"/>
  <c r="W53" i="15"/>
  <c r="W46" i="15"/>
  <c r="W42" i="15"/>
  <c r="W50" i="15"/>
  <c r="W47" i="15"/>
  <c r="W48" i="15"/>
  <c r="U100" i="19"/>
  <c r="S77" i="14"/>
  <c r="S73" i="14"/>
  <c r="S101" i="19"/>
  <c r="S97" i="19"/>
  <c r="S98" i="19"/>
  <c r="S102" i="19"/>
  <c r="G119" i="14"/>
  <c r="G117" i="14"/>
  <c r="G120" i="14"/>
  <c r="G121" i="14"/>
  <c r="G122" i="14"/>
  <c r="G116" i="14"/>
  <c r="G124" i="14"/>
  <c r="G126" i="14"/>
  <c r="G125" i="14"/>
  <c r="G115" i="14"/>
  <c r="G123" i="14"/>
  <c r="G118" i="14"/>
  <c r="AO171" i="14"/>
  <c r="AP171" i="14" s="1"/>
  <c r="AO175" i="14"/>
  <c r="AP175" i="14" s="1"/>
  <c r="AO168" i="14"/>
  <c r="AP168" i="14" s="1"/>
  <c r="AO172" i="14"/>
  <c r="AP172" i="14" s="1"/>
  <c r="AO164" i="14"/>
  <c r="AP164" i="14" s="1"/>
  <c r="AO165" i="14"/>
  <c r="AP165" i="14" s="1"/>
  <c r="AO169" i="14"/>
  <c r="AP169" i="14" s="1"/>
  <c r="AO173" i="14"/>
  <c r="AP173" i="14" s="1"/>
  <c r="AO166" i="14"/>
  <c r="AP166" i="14" s="1"/>
  <c r="AO174" i="14"/>
  <c r="AP174" i="14" s="1"/>
  <c r="AO167" i="14"/>
  <c r="AP167" i="14" s="1"/>
  <c r="AO170" i="14"/>
  <c r="AP170" i="14" s="1"/>
  <c r="C157" i="19"/>
  <c r="C156" i="15"/>
  <c r="C157" i="16"/>
  <c r="C157" i="14"/>
  <c r="C56" i="15"/>
  <c r="C56" i="16"/>
  <c r="C56" i="14"/>
  <c r="C56" i="19"/>
  <c r="AM219" i="16"/>
  <c r="AN219" i="16" s="1"/>
  <c r="U142" i="14"/>
  <c r="U147" i="14"/>
  <c r="U143" i="14"/>
  <c r="U148" i="14"/>
  <c r="U141" i="14"/>
  <c r="U144" i="14"/>
  <c r="U149" i="14"/>
  <c r="U150" i="14"/>
  <c r="U145" i="14"/>
  <c r="U146" i="14"/>
  <c r="U151" i="14"/>
  <c r="V151" i="14" s="1"/>
  <c r="U140" i="14"/>
  <c r="W190" i="19"/>
  <c r="W191" i="19"/>
  <c r="W199" i="19"/>
  <c r="W195" i="19"/>
  <c r="W192" i="19"/>
  <c r="W196" i="19"/>
  <c r="W188" i="19"/>
  <c r="W197" i="19"/>
  <c r="W198" i="19"/>
  <c r="W193" i="19"/>
  <c r="W194" i="19"/>
  <c r="W189" i="19"/>
  <c r="U117" i="19"/>
  <c r="AI190" i="15"/>
  <c r="AI189" i="15"/>
  <c r="AP26" i="14"/>
  <c r="AQ26" i="14" s="1"/>
  <c r="AO190" i="14"/>
  <c r="AP190" i="14" s="1"/>
  <c r="AO198" i="14"/>
  <c r="AP198" i="14" s="1"/>
  <c r="AO195" i="14"/>
  <c r="AP195" i="14" s="1"/>
  <c r="AO191" i="14"/>
  <c r="AP191" i="14" s="1"/>
  <c r="AO199" i="14"/>
  <c r="AP199" i="14" s="1"/>
  <c r="AO192" i="14"/>
  <c r="AP192" i="14" s="1"/>
  <c r="AO196" i="14"/>
  <c r="AP196" i="14" s="1"/>
  <c r="AO193" i="14"/>
  <c r="AP193" i="14" s="1"/>
  <c r="AO197" i="14"/>
  <c r="AP197" i="14" s="1"/>
  <c r="AO194" i="14"/>
  <c r="AP194" i="14" s="1"/>
  <c r="AO189" i="14"/>
  <c r="AP189" i="14" s="1"/>
  <c r="AP19" i="14"/>
  <c r="AQ19" i="14" s="1"/>
  <c r="AP27" i="14"/>
  <c r="AQ27" i="14" s="1"/>
  <c r="AP24" i="14"/>
  <c r="AQ24" i="14" s="1"/>
  <c r="AP25" i="14"/>
  <c r="AQ25" i="14" s="1"/>
  <c r="AP23" i="14"/>
  <c r="AQ23" i="14" s="1"/>
  <c r="AP18" i="14"/>
  <c r="AQ18" i="14" s="1"/>
  <c r="AP22" i="14"/>
  <c r="AQ22" i="14" s="1"/>
  <c r="AP29" i="14"/>
  <c r="AQ29" i="14" s="1"/>
  <c r="AP21" i="14"/>
  <c r="AQ21" i="14" s="1"/>
  <c r="AP28" i="14"/>
  <c r="AQ28" i="14" s="1"/>
  <c r="AP20" i="14"/>
  <c r="AQ20" i="14" s="1"/>
  <c r="C201" i="15"/>
  <c r="C202" i="16"/>
  <c r="C202" i="14"/>
  <c r="C202" i="19"/>
  <c r="AC74" i="19"/>
  <c r="AC75" i="19"/>
  <c r="AC69" i="19"/>
  <c r="AC77" i="19"/>
  <c r="AC67" i="19"/>
  <c r="AC66" i="19"/>
  <c r="AC71" i="19"/>
  <c r="AC76" i="19"/>
  <c r="AC70" i="19"/>
  <c r="AC68" i="19"/>
  <c r="AC72" i="19"/>
  <c r="AC73" i="19"/>
  <c r="C219" i="16"/>
  <c r="C219" i="14"/>
  <c r="C219" i="19"/>
  <c r="C218" i="15"/>
  <c r="Y49" i="16"/>
  <c r="Y44" i="16"/>
  <c r="G121" i="16"/>
  <c r="G116" i="16"/>
  <c r="G122" i="16"/>
  <c r="G120" i="16"/>
  <c r="G123" i="16"/>
  <c r="G124" i="16"/>
  <c r="G119" i="16"/>
  <c r="G126" i="16"/>
  <c r="G118" i="16"/>
  <c r="G125" i="16"/>
  <c r="G117" i="16"/>
  <c r="G115" i="16"/>
  <c r="I145" i="15"/>
  <c r="AM217" i="15"/>
  <c r="AM218" i="15"/>
  <c r="AM212" i="15"/>
  <c r="AM214" i="15"/>
  <c r="AM220" i="15"/>
  <c r="AM219" i="15"/>
  <c r="AM215" i="15"/>
  <c r="AM222" i="15"/>
  <c r="AM221" i="15"/>
  <c r="AM213" i="15"/>
  <c r="AM216" i="15"/>
  <c r="AM211" i="15"/>
  <c r="C196" i="19"/>
  <c r="C196" i="16"/>
  <c r="C195" i="15"/>
  <c r="C196" i="14"/>
  <c r="C119" i="16"/>
  <c r="C119" i="19"/>
  <c r="C118" i="15"/>
  <c r="C119" i="14"/>
  <c r="C76" i="16"/>
  <c r="C76" i="15"/>
  <c r="C76" i="19"/>
  <c r="C76" i="14"/>
  <c r="C48" i="19"/>
  <c r="C48" i="15"/>
  <c r="C48" i="16"/>
  <c r="C48" i="14"/>
  <c r="AM91" i="16"/>
  <c r="AN91" i="16" s="1"/>
  <c r="AM95" i="16"/>
  <c r="AN95" i="16" s="1"/>
  <c r="O214" i="15"/>
  <c r="O215" i="15"/>
  <c r="O212" i="15"/>
  <c r="O219" i="15"/>
  <c r="O220" i="15"/>
  <c r="O221" i="15"/>
  <c r="O216" i="15"/>
  <c r="O222" i="15"/>
  <c r="O217" i="15"/>
  <c r="O211" i="15"/>
  <c r="O218" i="15"/>
  <c r="O213" i="15"/>
  <c r="G174" i="16"/>
  <c r="G167" i="16"/>
  <c r="G168" i="16"/>
  <c r="G169" i="16"/>
  <c r="G164" i="16"/>
  <c r="G170" i="16"/>
  <c r="G172" i="16"/>
  <c r="G171" i="16"/>
  <c r="G165" i="16"/>
  <c r="G175" i="16"/>
  <c r="H175" i="16" s="1"/>
  <c r="G173" i="16"/>
  <c r="G166" i="16"/>
  <c r="Q71" i="19"/>
  <c r="Q67" i="19"/>
  <c r="Q75" i="19"/>
  <c r="Q76" i="19"/>
  <c r="Q72" i="19"/>
  <c r="Q74" i="19"/>
  <c r="Q66" i="19"/>
  <c r="Q77" i="19"/>
  <c r="Q73" i="19"/>
  <c r="Q68" i="19"/>
  <c r="Q70" i="19"/>
  <c r="Q69" i="19"/>
  <c r="AI169" i="16"/>
  <c r="AJ169" i="16" s="1"/>
  <c r="AI174" i="16"/>
  <c r="AJ174" i="16" s="1"/>
  <c r="AI170" i="16"/>
  <c r="AJ170" i="16" s="1"/>
  <c r="AI168" i="16"/>
  <c r="AJ168" i="16" s="1"/>
  <c r="AI171" i="16"/>
  <c r="AI164" i="16"/>
  <c r="AJ164" i="16" s="1"/>
  <c r="AI175" i="16"/>
  <c r="AJ175" i="16" s="1"/>
  <c r="AI172" i="16"/>
  <c r="AJ172" i="16" s="1"/>
  <c r="AI167" i="16"/>
  <c r="AJ167" i="16" s="1"/>
  <c r="AI165" i="16"/>
  <c r="AJ165" i="16" s="1"/>
  <c r="AI173" i="16"/>
  <c r="AJ173" i="16" s="1"/>
  <c r="AI166" i="16"/>
  <c r="AJ166" i="16" s="1"/>
  <c r="K67" i="16"/>
  <c r="K71" i="16"/>
  <c r="K70" i="16"/>
  <c r="K69" i="16"/>
  <c r="K72" i="16"/>
  <c r="K73" i="16"/>
  <c r="K74" i="16"/>
  <c r="K66" i="16"/>
  <c r="K77" i="16"/>
  <c r="K75" i="16"/>
  <c r="K76" i="16"/>
  <c r="K68" i="16"/>
  <c r="G195" i="14"/>
  <c r="G190" i="14"/>
  <c r="G198" i="14"/>
  <c r="G191" i="14"/>
  <c r="G199" i="14"/>
  <c r="G194" i="14"/>
  <c r="G192" i="14"/>
  <c r="G196" i="14"/>
  <c r="G188" i="14"/>
  <c r="G189" i="14"/>
  <c r="G197" i="14"/>
  <c r="G193" i="14"/>
  <c r="H193" i="14" s="1"/>
  <c r="O98" i="16"/>
  <c r="O92" i="16"/>
  <c r="O94" i="16"/>
  <c r="O102" i="16"/>
  <c r="O96" i="16"/>
  <c r="O99" i="16"/>
  <c r="O95" i="16"/>
  <c r="O91" i="16"/>
  <c r="O100" i="16"/>
  <c r="O97" i="16"/>
  <c r="O101" i="16"/>
  <c r="O93" i="16"/>
  <c r="C42" i="14"/>
  <c r="C42" i="19"/>
  <c r="C42" i="15"/>
  <c r="C42" i="16"/>
  <c r="K22" i="19"/>
  <c r="K18" i="19"/>
  <c r="K24" i="19"/>
  <c r="K29" i="19"/>
  <c r="K28" i="19"/>
  <c r="K20" i="19"/>
  <c r="K25" i="19"/>
  <c r="K26" i="19"/>
  <c r="K23" i="19"/>
  <c r="K19" i="19"/>
  <c r="K27" i="19"/>
  <c r="K21" i="19"/>
  <c r="AO53" i="15"/>
  <c r="AO46" i="15"/>
  <c r="AO44" i="15"/>
  <c r="AO50" i="15"/>
  <c r="AO52" i="15"/>
  <c r="AO49" i="15"/>
  <c r="AO45" i="15"/>
  <c r="AO51" i="15"/>
  <c r="AO43" i="15"/>
  <c r="AO42" i="15"/>
  <c r="AO47" i="15"/>
  <c r="AO48" i="15"/>
  <c r="AI146" i="14"/>
  <c r="AI148" i="14"/>
  <c r="AJ148" i="14" s="1"/>
  <c r="AI142" i="14"/>
  <c r="AJ142" i="14" s="1"/>
  <c r="AI150" i="14"/>
  <c r="AJ150" i="14" s="1"/>
  <c r="AI143" i="14"/>
  <c r="AJ143" i="14" s="1"/>
  <c r="AI151" i="14"/>
  <c r="AJ151" i="14" s="1"/>
  <c r="AI144" i="14"/>
  <c r="AJ144" i="14" s="1"/>
  <c r="AI147" i="14"/>
  <c r="AJ147" i="14" s="1"/>
  <c r="AI140" i="14"/>
  <c r="AI145" i="14"/>
  <c r="AJ145" i="14" s="1"/>
  <c r="AI141" i="14"/>
  <c r="AJ141" i="14" s="1"/>
  <c r="AI149" i="14"/>
  <c r="AJ149" i="14" s="1"/>
  <c r="AC142" i="19"/>
  <c r="AC146" i="19"/>
  <c r="AC143" i="19"/>
  <c r="AC147" i="19"/>
  <c r="AC148" i="19"/>
  <c r="AC141" i="19"/>
  <c r="AC140" i="19"/>
  <c r="AC149" i="19"/>
  <c r="AC151" i="19"/>
  <c r="AC145" i="19"/>
  <c r="AC150" i="19"/>
  <c r="AC144" i="19"/>
  <c r="M45" i="15"/>
  <c r="M47" i="15"/>
  <c r="M53" i="15"/>
  <c r="M48" i="15"/>
  <c r="M42" i="15"/>
  <c r="M49" i="15"/>
  <c r="M46" i="15"/>
  <c r="M44" i="15"/>
  <c r="M50" i="15"/>
  <c r="M51" i="15"/>
  <c r="M43" i="15"/>
  <c r="M52" i="15"/>
  <c r="E190" i="15"/>
  <c r="E189" i="15"/>
  <c r="E191" i="15"/>
  <c r="E195" i="15"/>
  <c r="E188" i="15"/>
  <c r="E197" i="15"/>
  <c r="E196" i="15"/>
  <c r="E198" i="15"/>
  <c r="E192" i="15"/>
  <c r="E187" i="15"/>
  <c r="E194" i="15"/>
  <c r="E193" i="15"/>
  <c r="AM117" i="14"/>
  <c r="AN117" i="14" s="1"/>
  <c r="AM122" i="14"/>
  <c r="AN122" i="14" s="1"/>
  <c r="AM115" i="14"/>
  <c r="AN115" i="14" s="1"/>
  <c r="AM119" i="14"/>
  <c r="AN119" i="14" s="1"/>
  <c r="AM116" i="14"/>
  <c r="AN116" i="14" s="1"/>
  <c r="AM126" i="14"/>
  <c r="AN126" i="14" s="1"/>
  <c r="AM124" i="14"/>
  <c r="AN124" i="14" s="1"/>
  <c r="AM125" i="14"/>
  <c r="AN125" i="14" s="1"/>
  <c r="AM118" i="14"/>
  <c r="AN118" i="14" s="1"/>
  <c r="AM120" i="14"/>
  <c r="AN120" i="14" s="1"/>
  <c r="AM121" i="14"/>
  <c r="AN121" i="14" s="1"/>
  <c r="AM123" i="14"/>
  <c r="AN123" i="14" s="1"/>
  <c r="C35" i="15"/>
  <c r="C35" i="16"/>
  <c r="C35" i="19"/>
  <c r="C35" i="14"/>
  <c r="AM43" i="19"/>
  <c r="AN43" i="19" s="1"/>
  <c r="AM52" i="19"/>
  <c r="AN52" i="19" s="1"/>
  <c r="AM44" i="19"/>
  <c r="AN44" i="19" s="1"/>
  <c r="AM46" i="19"/>
  <c r="AN46" i="19" s="1"/>
  <c r="AM51" i="19"/>
  <c r="AN51" i="19" s="1"/>
  <c r="AM42" i="19"/>
  <c r="AN42" i="19" s="1"/>
  <c r="AM47" i="19"/>
  <c r="AN47" i="19" s="1"/>
  <c r="AM49" i="19"/>
  <c r="AN49" i="19" s="1"/>
  <c r="AM50" i="19"/>
  <c r="AN50" i="19" s="1"/>
  <c r="AM48" i="19"/>
  <c r="AN48" i="19" s="1"/>
  <c r="AM45" i="19"/>
  <c r="AN45" i="19" s="1"/>
  <c r="AM53" i="19"/>
  <c r="AN53" i="19" s="1"/>
  <c r="O189" i="19"/>
  <c r="O193" i="19"/>
  <c r="O197" i="19"/>
  <c r="O194" i="19"/>
  <c r="O190" i="19"/>
  <c r="O198" i="19"/>
  <c r="O191" i="19"/>
  <c r="P191" i="19" s="1"/>
  <c r="O199" i="19"/>
  <c r="O192" i="19"/>
  <c r="O188" i="19"/>
  <c r="O195" i="19"/>
  <c r="O196" i="19"/>
  <c r="K141" i="14"/>
  <c r="K147" i="14"/>
  <c r="K151" i="14"/>
  <c r="K140" i="14"/>
  <c r="U47" i="19"/>
  <c r="U42" i="19"/>
  <c r="I211" i="15"/>
  <c r="I215" i="15"/>
  <c r="I216" i="15"/>
  <c r="I217" i="15"/>
  <c r="I212" i="15"/>
  <c r="I218" i="15"/>
  <c r="I220" i="15"/>
  <c r="I219" i="15"/>
  <c r="I221" i="15"/>
  <c r="I213" i="15"/>
  <c r="I214" i="15"/>
  <c r="I222" i="15"/>
  <c r="M26" i="15"/>
  <c r="M23" i="15"/>
  <c r="M75" i="19"/>
  <c r="U191" i="14"/>
  <c r="U192" i="14"/>
  <c r="U188" i="14"/>
  <c r="U198" i="14"/>
  <c r="U193" i="14"/>
  <c r="U194" i="14"/>
  <c r="U190" i="14"/>
  <c r="U195" i="14"/>
  <c r="U196" i="14"/>
  <c r="U189" i="14"/>
  <c r="U197" i="14"/>
  <c r="U199" i="14"/>
  <c r="W142" i="16"/>
  <c r="W145" i="16"/>
  <c r="W141" i="16"/>
  <c r="W146" i="16"/>
  <c r="W143" i="16"/>
  <c r="W147" i="16"/>
  <c r="W148" i="16"/>
  <c r="W149" i="16"/>
  <c r="W140" i="16"/>
  <c r="W150" i="16"/>
  <c r="W144" i="16"/>
  <c r="W151" i="16"/>
  <c r="E47" i="14"/>
  <c r="Q26" i="19"/>
  <c r="E216" i="16"/>
  <c r="E217" i="16"/>
  <c r="E212" i="16"/>
  <c r="E222" i="16"/>
  <c r="W170" i="14"/>
  <c r="W171" i="14"/>
  <c r="W172" i="14"/>
  <c r="W165" i="14"/>
  <c r="W173" i="14"/>
  <c r="W168" i="14"/>
  <c r="W169" i="14"/>
  <c r="W175" i="14"/>
  <c r="W174" i="14"/>
  <c r="W166" i="14"/>
  <c r="W164" i="14"/>
  <c r="W167" i="14"/>
  <c r="AI42" i="16"/>
  <c r="AJ42" i="16" s="1"/>
  <c r="U98" i="14"/>
  <c r="U96" i="14"/>
  <c r="U222" i="19"/>
  <c r="U223" i="19"/>
  <c r="U219" i="19"/>
  <c r="U216" i="19"/>
  <c r="U220" i="19"/>
  <c r="U212" i="19"/>
  <c r="U213" i="19"/>
  <c r="U217" i="19"/>
  <c r="U221" i="19"/>
  <c r="U214" i="19"/>
  <c r="U215" i="19"/>
  <c r="U218" i="19"/>
  <c r="Q145" i="15"/>
  <c r="Q140" i="15"/>
  <c r="Q146" i="15"/>
  <c r="Q148" i="15"/>
  <c r="Q141" i="15"/>
  <c r="Q142" i="15"/>
  <c r="Q147" i="15"/>
  <c r="Q143" i="15"/>
  <c r="Q149" i="15"/>
  <c r="Q150" i="15"/>
  <c r="Q144" i="15"/>
  <c r="Q139" i="15"/>
  <c r="I190" i="16"/>
  <c r="I198" i="16"/>
  <c r="I191" i="16"/>
  <c r="I192" i="16"/>
  <c r="I193" i="16"/>
  <c r="I188" i="16"/>
  <c r="I194" i="16"/>
  <c r="I196" i="16"/>
  <c r="I195" i="16"/>
  <c r="I197" i="16"/>
  <c r="I199" i="16"/>
  <c r="J199" i="16" s="1"/>
  <c r="I189" i="16"/>
  <c r="G69" i="15"/>
  <c r="G68" i="15"/>
  <c r="G66" i="15"/>
  <c r="G73" i="15"/>
  <c r="G75" i="15"/>
  <c r="G74" i="15"/>
  <c r="G77" i="15"/>
  <c r="G67" i="15"/>
  <c r="G70" i="15"/>
  <c r="G71" i="15"/>
  <c r="G72" i="15"/>
  <c r="G76" i="15"/>
  <c r="E72" i="14"/>
  <c r="E71" i="14"/>
  <c r="E66" i="14"/>
  <c r="E73" i="14"/>
  <c r="E76" i="14"/>
  <c r="E68" i="14"/>
  <c r="E75" i="14"/>
  <c r="E67" i="14"/>
  <c r="E74" i="14"/>
  <c r="E70" i="14"/>
  <c r="E77" i="14"/>
  <c r="E69" i="14"/>
  <c r="M145" i="15"/>
  <c r="M140" i="15"/>
  <c r="M146" i="15"/>
  <c r="M148" i="15"/>
  <c r="M142" i="15"/>
  <c r="M143" i="15"/>
  <c r="M150" i="15"/>
  <c r="M139" i="15"/>
  <c r="M141" i="15"/>
  <c r="M144" i="15"/>
  <c r="M149" i="15"/>
  <c r="M147" i="15"/>
  <c r="AC123" i="14"/>
  <c r="AC126" i="14"/>
  <c r="Y119" i="15"/>
  <c r="Y118" i="15"/>
  <c r="Y121" i="15"/>
  <c r="Y120" i="15"/>
  <c r="Y115" i="15"/>
  <c r="Y122" i="15"/>
  <c r="Y123" i="15"/>
  <c r="Y114" i="15"/>
  <c r="Y116" i="15"/>
  <c r="Y124" i="15"/>
  <c r="Y117" i="15"/>
  <c r="Y125" i="15"/>
  <c r="K99" i="14"/>
  <c r="K98" i="14"/>
  <c r="K100" i="14"/>
  <c r="K92" i="14"/>
  <c r="K96" i="14"/>
  <c r="K91" i="14"/>
  <c r="K95" i="14"/>
  <c r="K102" i="14"/>
  <c r="K94" i="14"/>
  <c r="L94" i="14" s="1"/>
  <c r="K101" i="14"/>
  <c r="K93" i="14"/>
  <c r="K97" i="14"/>
  <c r="C158" i="19"/>
  <c r="C158" i="16"/>
  <c r="C157" i="15"/>
  <c r="C158" i="14"/>
  <c r="C33" i="19"/>
  <c r="C33" i="16"/>
  <c r="C33" i="15"/>
  <c r="C33" i="14"/>
  <c r="Y67" i="16"/>
  <c r="Y75" i="16"/>
  <c r="Y73" i="16"/>
  <c r="Y72" i="16"/>
  <c r="Y68" i="16"/>
  <c r="Y71" i="16"/>
  <c r="Y76" i="16"/>
  <c r="Y69" i="16"/>
  <c r="Y77" i="16"/>
  <c r="Y74" i="16"/>
  <c r="Y70" i="16"/>
  <c r="Y66" i="16"/>
  <c r="AO48" i="19"/>
  <c r="AP48" i="19" s="1"/>
  <c r="AO52" i="19"/>
  <c r="AP52" i="19" s="1"/>
  <c r="AO42" i="19"/>
  <c r="AP42" i="19" s="1"/>
  <c r="AO45" i="19"/>
  <c r="AP45" i="19" s="1"/>
  <c r="AO44" i="19"/>
  <c r="AP44" i="19" s="1"/>
  <c r="AO53" i="19"/>
  <c r="AP53" i="19" s="1"/>
  <c r="AO46" i="19"/>
  <c r="AP46" i="19" s="1"/>
  <c r="AO49" i="19"/>
  <c r="AP49" i="19" s="1"/>
  <c r="AO47" i="19"/>
  <c r="AP47" i="19" s="1"/>
  <c r="AO50" i="19"/>
  <c r="AP50" i="19" s="1"/>
  <c r="AO43" i="19"/>
  <c r="AP43" i="19" s="1"/>
  <c r="AO51" i="19"/>
  <c r="AP51" i="19" s="1"/>
  <c r="S214" i="15"/>
  <c r="C122" i="15"/>
  <c r="C123" i="14"/>
  <c r="C123" i="16"/>
  <c r="C123" i="19"/>
  <c r="M221" i="19"/>
  <c r="M218" i="19"/>
  <c r="M214" i="19"/>
  <c r="M222" i="19"/>
  <c r="M215" i="19"/>
  <c r="M223" i="19"/>
  <c r="M219" i="19"/>
  <c r="M216" i="19"/>
  <c r="M212" i="19"/>
  <c r="M217" i="19"/>
  <c r="M213" i="19"/>
  <c r="M220" i="19"/>
  <c r="K175" i="14"/>
  <c r="K174" i="14"/>
  <c r="K167" i="14"/>
  <c r="K170" i="14"/>
  <c r="K168" i="14"/>
  <c r="K171" i="14"/>
  <c r="K172" i="14"/>
  <c r="K165" i="14"/>
  <c r="K164" i="14"/>
  <c r="K173" i="14"/>
  <c r="K166" i="14"/>
  <c r="K169" i="14"/>
  <c r="C216" i="19"/>
  <c r="C215" i="15"/>
  <c r="C216" i="14"/>
  <c r="C216" i="16"/>
  <c r="AO142" i="16"/>
  <c r="AP142" i="16" s="1"/>
  <c r="AO150" i="16"/>
  <c r="AP150" i="16" s="1"/>
  <c r="AO146" i="16"/>
  <c r="AP146" i="16" s="1"/>
  <c r="AO144" i="16"/>
  <c r="AP144" i="16" s="1"/>
  <c r="AO147" i="16"/>
  <c r="AP147" i="16" s="1"/>
  <c r="AO140" i="16"/>
  <c r="AP140" i="16" s="1"/>
  <c r="AO151" i="16"/>
  <c r="AP151" i="16" s="1"/>
  <c r="AO148" i="16"/>
  <c r="AP148" i="16" s="1"/>
  <c r="AO143" i="16"/>
  <c r="AP143" i="16" s="1"/>
  <c r="AO141" i="16"/>
  <c r="AP141" i="16" s="1"/>
  <c r="AO149" i="16"/>
  <c r="AP149" i="16" s="1"/>
  <c r="AO145" i="16"/>
  <c r="AP145" i="16" s="1"/>
  <c r="W216" i="15"/>
  <c r="W222" i="15"/>
  <c r="W217" i="15"/>
  <c r="W211" i="15"/>
  <c r="W218" i="15"/>
  <c r="W213" i="15"/>
  <c r="W215" i="15"/>
  <c r="W212" i="15"/>
  <c r="W220" i="15"/>
  <c r="W214" i="15"/>
  <c r="W219" i="15"/>
  <c r="W221" i="15"/>
  <c r="C153" i="15"/>
  <c r="C154" i="19"/>
  <c r="C154" i="16"/>
  <c r="C154" i="14"/>
  <c r="AG71" i="19"/>
  <c r="Y91" i="19"/>
  <c r="Y96" i="19"/>
  <c r="Y98" i="19"/>
  <c r="Y97" i="19"/>
  <c r="Y102" i="19"/>
  <c r="Y92" i="19"/>
  <c r="Y100" i="19"/>
  <c r="Y93" i="19"/>
  <c r="Y95" i="19"/>
  <c r="Y99" i="19"/>
  <c r="Y101" i="19"/>
  <c r="Y94" i="19"/>
  <c r="S223" i="14"/>
  <c r="S221" i="14"/>
  <c r="S216" i="14"/>
  <c r="S212" i="14"/>
  <c r="S213" i="14"/>
  <c r="S217" i="14"/>
  <c r="S214" i="14"/>
  <c r="S218" i="14"/>
  <c r="S222" i="14"/>
  <c r="S215" i="14"/>
  <c r="T215" i="14" s="1"/>
  <c r="S219" i="14"/>
  <c r="S220" i="14"/>
  <c r="I102" i="14"/>
  <c r="I91" i="14"/>
  <c r="O146" i="16"/>
  <c r="K164" i="19"/>
  <c r="K169" i="19"/>
  <c r="K167" i="19"/>
  <c r="K170" i="19"/>
  <c r="K166" i="19"/>
  <c r="K171" i="19"/>
  <c r="K168" i="19"/>
  <c r="K172" i="19"/>
  <c r="K174" i="19"/>
  <c r="K165" i="19"/>
  <c r="K175" i="19"/>
  <c r="K173" i="19"/>
  <c r="O92" i="14"/>
  <c r="O97" i="14"/>
  <c r="O93" i="14"/>
  <c r="O101" i="14"/>
  <c r="O91" i="14"/>
  <c r="O94" i="14"/>
  <c r="O102" i="14"/>
  <c r="O96" i="14"/>
  <c r="O98" i="14"/>
  <c r="O95" i="14"/>
  <c r="O100" i="14"/>
  <c r="O99" i="14"/>
  <c r="C202" i="15"/>
  <c r="C203" i="16"/>
  <c r="C203" i="14"/>
  <c r="C203" i="19"/>
  <c r="C118" i="16"/>
  <c r="C118" i="19"/>
  <c r="C117" i="15"/>
  <c r="C118" i="14"/>
  <c r="C69" i="19"/>
  <c r="C69" i="15"/>
  <c r="C69" i="16"/>
  <c r="C69" i="14"/>
  <c r="C26" i="19"/>
  <c r="C26" i="15"/>
  <c r="C26" i="16"/>
  <c r="C26" i="14"/>
  <c r="C54" i="16"/>
  <c r="C54" i="15"/>
  <c r="C54" i="19"/>
  <c r="C54" i="14"/>
  <c r="AM99" i="19"/>
  <c r="AN99" i="19" s="1"/>
  <c r="O221" i="16"/>
  <c r="O216" i="16"/>
  <c r="O217" i="16"/>
  <c r="O220" i="16"/>
  <c r="O218" i="16"/>
  <c r="O219" i="16"/>
  <c r="O223" i="16"/>
  <c r="O212" i="16"/>
  <c r="O213" i="16"/>
  <c r="O215" i="16"/>
  <c r="O214" i="16"/>
  <c r="O222" i="16"/>
  <c r="AA166" i="14"/>
  <c r="AA175" i="14"/>
  <c r="AA167" i="14"/>
  <c r="AA164" i="14"/>
  <c r="AA169" i="14"/>
  <c r="AA170" i="14"/>
  <c r="AA171" i="14"/>
  <c r="AA172" i="14"/>
  <c r="AA165" i="14"/>
  <c r="AA174" i="14"/>
  <c r="AA168" i="14"/>
  <c r="AA173" i="14"/>
  <c r="Q74" i="16"/>
  <c r="Q71" i="16"/>
  <c r="AI167" i="19"/>
  <c r="AI168" i="19"/>
  <c r="AI170" i="19"/>
  <c r="AI175" i="19"/>
  <c r="AI171" i="19"/>
  <c r="AI164" i="19"/>
  <c r="AI172" i="19"/>
  <c r="AI165" i="19"/>
  <c r="AI169" i="19"/>
  <c r="AI173" i="19"/>
  <c r="AI166" i="19"/>
  <c r="AI174" i="19"/>
  <c r="K77" i="15"/>
  <c r="K66" i="15"/>
  <c r="K67" i="15"/>
  <c r="K68" i="15"/>
  <c r="K75" i="15"/>
  <c r="K69" i="15"/>
  <c r="K71" i="15"/>
  <c r="K72" i="15"/>
  <c r="K73" i="15"/>
  <c r="K70" i="15"/>
  <c r="K76" i="15"/>
  <c r="K74" i="15"/>
  <c r="G198" i="15"/>
  <c r="G191" i="15"/>
  <c r="G192" i="15"/>
  <c r="G193" i="15"/>
  <c r="G188" i="15"/>
  <c r="G194" i="15"/>
  <c r="G196" i="15"/>
  <c r="G195" i="15"/>
  <c r="G189" i="15"/>
  <c r="G187" i="15"/>
  <c r="G197" i="15"/>
  <c r="G190" i="15"/>
  <c r="W217" i="14"/>
  <c r="W214" i="14"/>
  <c r="W218" i="14"/>
  <c r="W222" i="14"/>
  <c r="W219" i="14"/>
  <c r="W215" i="14"/>
  <c r="W220" i="14"/>
  <c r="W223" i="14"/>
  <c r="W216" i="14"/>
  <c r="W212" i="14"/>
  <c r="W213" i="14"/>
  <c r="W221" i="14"/>
  <c r="AO42" i="16"/>
  <c r="AP42" i="16" s="1"/>
  <c r="AO47" i="16"/>
  <c r="AO43" i="16"/>
  <c r="AP43" i="16" s="1"/>
  <c r="AO44" i="16"/>
  <c r="AP44" i="16" s="1"/>
  <c r="AO52" i="16"/>
  <c r="AP52" i="16" s="1"/>
  <c r="AO48" i="16"/>
  <c r="AP48" i="16" s="1"/>
  <c r="AO51" i="16"/>
  <c r="AP51" i="16" s="1"/>
  <c r="AO49" i="16"/>
  <c r="AP49" i="16" s="1"/>
  <c r="AO53" i="16"/>
  <c r="AP53" i="16" s="1"/>
  <c r="AO50" i="16"/>
  <c r="AP50" i="16" s="1"/>
  <c r="AO46" i="16"/>
  <c r="AP46" i="16" s="1"/>
  <c r="AO45" i="16"/>
  <c r="AP45" i="16" s="1"/>
  <c r="AO223" i="14"/>
  <c r="AP223" i="14" s="1"/>
  <c r="AO215" i="14"/>
  <c r="AP215" i="14" s="1"/>
  <c r="AO217" i="14"/>
  <c r="AP217" i="14" s="1"/>
  <c r="AO212" i="14"/>
  <c r="AP212" i="14" s="1"/>
  <c r="AO218" i="14"/>
  <c r="AP218" i="14" s="1"/>
  <c r="AO213" i="14"/>
  <c r="AO219" i="14"/>
  <c r="AP219" i="14" s="1"/>
  <c r="AO220" i="14"/>
  <c r="AP220" i="14" s="1"/>
  <c r="AO216" i="14"/>
  <c r="AP216" i="14" s="1"/>
  <c r="AO221" i="14"/>
  <c r="AP221" i="14" s="1"/>
  <c r="AO222" i="14"/>
  <c r="AP222" i="14" s="1"/>
  <c r="AO214" i="14"/>
  <c r="AP214" i="14" s="1"/>
  <c r="Y141" i="16"/>
  <c r="Y151" i="16"/>
  <c r="Y149" i="16"/>
  <c r="Y140" i="16"/>
  <c r="Y142" i="16"/>
  <c r="Y143" i="16"/>
  <c r="Z143" i="16" s="1"/>
  <c r="Y150" i="16"/>
  <c r="Y144" i="16"/>
  <c r="Y145" i="16"/>
  <c r="Y148" i="16"/>
  <c r="Y146" i="16"/>
  <c r="Y147" i="16"/>
  <c r="W195" i="14"/>
  <c r="W191" i="14"/>
  <c r="W199" i="14"/>
  <c r="W192" i="14"/>
  <c r="W196" i="14"/>
  <c r="W188" i="14"/>
  <c r="W189" i="14"/>
  <c r="W193" i="14"/>
  <c r="W197" i="14"/>
  <c r="W190" i="14"/>
  <c r="W198" i="14"/>
  <c r="W194" i="14"/>
  <c r="M47" i="16"/>
  <c r="M46" i="16"/>
  <c r="M42" i="16"/>
  <c r="M53" i="16"/>
  <c r="M45" i="16"/>
  <c r="M52" i="16"/>
  <c r="M44" i="16"/>
  <c r="M51" i="16"/>
  <c r="M49" i="16"/>
  <c r="M43" i="16"/>
  <c r="M50" i="16"/>
  <c r="M48" i="16"/>
  <c r="E190" i="14"/>
  <c r="E198" i="14"/>
  <c r="E191" i="14"/>
  <c r="F191" i="14" s="1"/>
  <c r="E199" i="14"/>
  <c r="E193" i="14"/>
  <c r="E194" i="14"/>
  <c r="E195" i="14"/>
  <c r="E196" i="14"/>
  <c r="E189" i="14"/>
  <c r="E197" i="14"/>
  <c r="E192" i="14"/>
  <c r="F192" i="14" s="1"/>
  <c r="E188" i="14"/>
  <c r="AM122" i="19"/>
  <c r="AN122" i="19" s="1"/>
  <c r="AM121" i="19"/>
  <c r="AN121" i="19" s="1"/>
  <c r="AM123" i="19"/>
  <c r="AN123" i="19" s="1"/>
  <c r="AM125" i="19"/>
  <c r="AN125" i="19" s="1"/>
  <c r="AM116" i="19"/>
  <c r="AN116" i="19" s="1"/>
  <c r="AM126" i="19"/>
  <c r="AN126" i="19" s="1"/>
  <c r="AM124" i="19"/>
  <c r="AN124" i="19" s="1"/>
  <c r="AM115" i="19"/>
  <c r="AN115" i="19" s="1"/>
  <c r="AM118" i="19"/>
  <c r="AN118" i="19" s="1"/>
  <c r="AM119" i="19"/>
  <c r="AN119" i="19" s="1"/>
  <c r="AM117" i="19"/>
  <c r="AN117" i="19" s="1"/>
  <c r="AM120" i="19"/>
  <c r="AN120" i="19" s="1"/>
  <c r="AM43" i="16"/>
  <c r="AM51" i="16"/>
  <c r="AN51" i="16" s="1"/>
  <c r="AM50" i="16"/>
  <c r="AM47" i="16"/>
  <c r="AM44" i="16"/>
  <c r="AM52" i="16"/>
  <c r="AM45" i="16"/>
  <c r="AM53" i="16"/>
  <c r="AM46" i="16"/>
  <c r="AM42" i="16"/>
  <c r="AN42" i="16" s="1"/>
  <c r="AM48" i="16"/>
  <c r="AM49" i="16"/>
  <c r="AN49" i="16" s="1"/>
  <c r="O189" i="16"/>
  <c r="O195" i="16"/>
  <c r="O196" i="16"/>
  <c r="O197" i="16"/>
  <c r="O192" i="16"/>
  <c r="O198" i="16"/>
  <c r="O188" i="16"/>
  <c r="O199" i="16"/>
  <c r="O193" i="16"/>
  <c r="O194" i="16"/>
  <c r="O190" i="16"/>
  <c r="O191" i="16"/>
  <c r="K150" i="16"/>
  <c r="Y91" i="16"/>
  <c r="Y95" i="16"/>
  <c r="Y94" i="16"/>
  <c r="Y96" i="16"/>
  <c r="Y98" i="16"/>
  <c r="Y99" i="16"/>
  <c r="Y93" i="16"/>
  <c r="Y101" i="16"/>
  <c r="Y100" i="16"/>
  <c r="Y97" i="16"/>
  <c r="Y102" i="16"/>
  <c r="Z102" i="16" s="1"/>
  <c r="Y92" i="16"/>
  <c r="I220" i="19"/>
  <c r="I212" i="19"/>
  <c r="I213" i="19"/>
  <c r="I217" i="19"/>
  <c r="I221" i="19"/>
  <c r="I218" i="19"/>
  <c r="I214" i="19"/>
  <c r="I222" i="19"/>
  <c r="I215" i="19"/>
  <c r="I223" i="19"/>
  <c r="I219" i="19"/>
  <c r="I216" i="19"/>
  <c r="P23" i="14"/>
  <c r="P22" i="14"/>
  <c r="P24" i="14"/>
  <c r="P20" i="14"/>
  <c r="P27" i="14"/>
  <c r="P19" i="14"/>
  <c r="P29" i="14"/>
  <c r="P18" i="14"/>
  <c r="P21" i="14"/>
  <c r="Q21" i="14" s="1"/>
  <c r="P26" i="14"/>
  <c r="P28" i="14"/>
  <c r="P25" i="14"/>
  <c r="J21" i="14"/>
  <c r="E171" i="19"/>
  <c r="E172" i="19"/>
  <c r="E167" i="19"/>
  <c r="F167" i="19" s="1"/>
  <c r="E169" i="19"/>
  <c r="E175" i="19"/>
  <c r="E164" i="19"/>
  <c r="E170" i="19"/>
  <c r="E168" i="19"/>
  <c r="E174" i="19"/>
  <c r="E173" i="19"/>
  <c r="E166" i="19"/>
  <c r="E165" i="19"/>
  <c r="M75" i="16"/>
  <c r="G92" i="16"/>
  <c r="G99" i="16"/>
  <c r="G98" i="16"/>
  <c r="G100" i="16"/>
  <c r="G97" i="16"/>
  <c r="G93" i="16"/>
  <c r="G101" i="16"/>
  <c r="G102" i="16"/>
  <c r="G95" i="16"/>
  <c r="G94" i="16"/>
  <c r="G91" i="16"/>
  <c r="G96" i="16"/>
  <c r="U190" i="15"/>
  <c r="U188" i="15"/>
  <c r="U197" i="15"/>
  <c r="U196" i="15"/>
  <c r="U198" i="15"/>
  <c r="U192" i="15"/>
  <c r="U187" i="15"/>
  <c r="U193" i="15"/>
  <c r="U194" i="15"/>
  <c r="U189" i="15"/>
  <c r="U191" i="15"/>
  <c r="U195" i="15"/>
  <c r="W142" i="19"/>
  <c r="W148" i="19"/>
  <c r="W149" i="19"/>
  <c r="W143" i="19"/>
  <c r="W146" i="19"/>
  <c r="W151" i="19"/>
  <c r="W150" i="19"/>
  <c r="W144" i="19"/>
  <c r="W141" i="19"/>
  <c r="W140" i="19"/>
  <c r="W145" i="19"/>
  <c r="W147" i="19"/>
  <c r="X147" i="19" s="1"/>
  <c r="E47" i="15"/>
  <c r="E51" i="15"/>
  <c r="E220" i="19"/>
  <c r="E212" i="19"/>
  <c r="E221" i="19"/>
  <c r="E218" i="19"/>
  <c r="E214" i="19"/>
  <c r="E222" i="19"/>
  <c r="E215" i="19"/>
  <c r="E217" i="19"/>
  <c r="E219" i="19"/>
  <c r="E213" i="19"/>
  <c r="E223" i="19"/>
  <c r="E216" i="19"/>
  <c r="W167" i="16"/>
  <c r="AI48" i="19"/>
  <c r="AJ48" i="19" s="1"/>
  <c r="AI53" i="19"/>
  <c r="AJ53" i="19" s="1"/>
  <c r="U92" i="16"/>
  <c r="U96" i="16"/>
  <c r="U95" i="16"/>
  <c r="U99" i="16"/>
  <c r="U94" i="16"/>
  <c r="U93" i="16"/>
  <c r="U101" i="16"/>
  <c r="U102" i="16"/>
  <c r="U91" i="16"/>
  <c r="U100" i="16"/>
  <c r="U97" i="16"/>
  <c r="U98" i="16"/>
  <c r="M121" i="14"/>
  <c r="M116" i="14"/>
  <c r="M124" i="14"/>
  <c r="M117" i="14"/>
  <c r="M125" i="14"/>
  <c r="M118" i="14"/>
  <c r="M119" i="14"/>
  <c r="M120" i="14"/>
  <c r="M123" i="14"/>
  <c r="M115" i="14"/>
  <c r="M126" i="14"/>
  <c r="M122" i="14"/>
  <c r="M222" i="14"/>
  <c r="M215" i="14"/>
  <c r="N215" i="14" s="1"/>
  <c r="M223" i="14"/>
  <c r="M218" i="14"/>
  <c r="M213" i="14"/>
  <c r="M219" i="14"/>
  <c r="M212" i="14"/>
  <c r="M220" i="14"/>
  <c r="M216" i="14"/>
  <c r="M221" i="14"/>
  <c r="N221" i="14" s="1"/>
  <c r="M214" i="14"/>
  <c r="M217" i="14"/>
  <c r="C207" i="19"/>
  <c r="C207" i="14"/>
  <c r="AO188" i="14" s="1"/>
  <c r="AP188" i="14" s="1"/>
  <c r="C206" i="15"/>
  <c r="C207" i="16"/>
  <c r="AO188" i="16" s="1"/>
  <c r="AP188" i="16" s="1"/>
  <c r="Q142" i="19"/>
  <c r="Q147" i="19"/>
  <c r="Q143" i="19"/>
  <c r="R143" i="19" s="1"/>
  <c r="Q148" i="19"/>
  <c r="Q144" i="19"/>
  <c r="Q141" i="19"/>
  <c r="Q145" i="19"/>
  <c r="Q149" i="19"/>
  <c r="Q150" i="19"/>
  <c r="Q151" i="19"/>
  <c r="Q140" i="19"/>
  <c r="R140" i="19" s="1"/>
  <c r="Q146" i="19"/>
  <c r="G71" i="16"/>
  <c r="G70" i="16"/>
  <c r="G69" i="16"/>
  <c r="G66" i="16"/>
  <c r="G77" i="16"/>
  <c r="G75" i="16"/>
  <c r="G76" i="16"/>
  <c r="G72" i="16"/>
  <c r="G73" i="16"/>
  <c r="G74" i="16"/>
  <c r="G67" i="16"/>
  <c r="G68" i="16"/>
  <c r="E73" i="15"/>
  <c r="E70" i="15"/>
  <c r="E72" i="15"/>
  <c r="E68" i="15"/>
  <c r="E76" i="15"/>
  <c r="E69" i="15"/>
  <c r="E77" i="15"/>
  <c r="E71" i="15"/>
  <c r="E75" i="15"/>
  <c r="E66" i="15"/>
  <c r="E74" i="15"/>
  <c r="E67" i="15"/>
  <c r="M146" i="16"/>
  <c r="M148" i="16"/>
  <c r="M143" i="16"/>
  <c r="N143" i="16" s="1"/>
  <c r="M141" i="16"/>
  <c r="M144" i="16"/>
  <c r="M149" i="16"/>
  <c r="M145" i="16"/>
  <c r="M142" i="16"/>
  <c r="M150" i="16"/>
  <c r="M147" i="16"/>
  <c r="M151" i="16"/>
  <c r="M140" i="16"/>
  <c r="Y117" i="16"/>
  <c r="Y116" i="16"/>
  <c r="Y124" i="16"/>
  <c r="Y126" i="16"/>
  <c r="Y118" i="16"/>
  <c r="Y125" i="16"/>
  <c r="Y121" i="16"/>
  <c r="Y120" i="16"/>
  <c r="Y123" i="16"/>
  <c r="Y115" i="16"/>
  <c r="Y122" i="16"/>
  <c r="Y119" i="16"/>
  <c r="M170" i="16"/>
  <c r="M166" i="16"/>
  <c r="M167" i="16"/>
  <c r="N167" i="16" s="1"/>
  <c r="M171" i="16"/>
  <c r="M172" i="16"/>
  <c r="M173" i="16"/>
  <c r="M168" i="16"/>
  <c r="M174" i="16"/>
  <c r="M169" i="16"/>
  <c r="M175" i="16"/>
  <c r="M165" i="16"/>
  <c r="N165" i="16" s="1"/>
  <c r="M164" i="16"/>
  <c r="K92" i="16"/>
  <c r="K100" i="16"/>
  <c r="K102" i="16"/>
  <c r="K95" i="16"/>
  <c r="K91" i="16"/>
  <c r="K97" i="16"/>
  <c r="K93" i="16"/>
  <c r="K99" i="16"/>
  <c r="K94" i="16"/>
  <c r="K101" i="16"/>
  <c r="K98" i="16"/>
  <c r="K96" i="16"/>
  <c r="G141" i="16"/>
  <c r="G146" i="16"/>
  <c r="G142" i="16"/>
  <c r="G147" i="16"/>
  <c r="G150" i="16"/>
  <c r="G148" i="16"/>
  <c r="G143" i="16"/>
  <c r="G151" i="16"/>
  <c r="G144" i="16"/>
  <c r="G145" i="16"/>
  <c r="G149" i="16"/>
  <c r="G140" i="16"/>
  <c r="C127" i="19"/>
  <c r="C127" i="16"/>
  <c r="C126" i="15"/>
  <c r="C127" i="14"/>
  <c r="AM222" i="14"/>
  <c r="AN222" i="14" s="1"/>
  <c r="AG122" i="14"/>
  <c r="AG126" i="14"/>
  <c r="AG120" i="14"/>
  <c r="AG115" i="14"/>
  <c r="AG116" i="14"/>
  <c r="AG124" i="14"/>
  <c r="AG117" i="14"/>
  <c r="AG125" i="14"/>
  <c r="AG118" i="14"/>
  <c r="AG123" i="14"/>
  <c r="AG119" i="14"/>
  <c r="AG121" i="14"/>
  <c r="W189" i="16"/>
  <c r="W188" i="16"/>
  <c r="W199" i="16"/>
  <c r="W193" i="16"/>
  <c r="W194" i="16"/>
  <c r="W190" i="16"/>
  <c r="W191" i="16"/>
  <c r="W195" i="16"/>
  <c r="W196" i="16"/>
  <c r="W192" i="16"/>
  <c r="W198" i="16"/>
  <c r="W197" i="16"/>
  <c r="W29" i="19"/>
  <c r="U163" i="15"/>
  <c r="AM26" i="16"/>
  <c r="AN26" i="16" s="1"/>
  <c r="AM20" i="16"/>
  <c r="AN20" i="16" s="1"/>
  <c r="AM21" i="16"/>
  <c r="AN21" i="16" s="1"/>
  <c r="AM28" i="16"/>
  <c r="AN28" i="16" s="1"/>
  <c r="AM25" i="16"/>
  <c r="AN25" i="16" s="1"/>
  <c r="AM29" i="16"/>
  <c r="AN29" i="16" s="1"/>
  <c r="AM27" i="16"/>
  <c r="AN27" i="16" s="1"/>
  <c r="AM19" i="16"/>
  <c r="AN19" i="16" s="1"/>
  <c r="AM22" i="16"/>
  <c r="AN22" i="16" s="1"/>
  <c r="AM24" i="16"/>
  <c r="AN24" i="16" s="1"/>
  <c r="AM23" i="16"/>
  <c r="AN23" i="16" s="1"/>
  <c r="AM18" i="16"/>
  <c r="AN18" i="16" s="1"/>
  <c r="O146" i="14"/>
  <c r="O148" i="14"/>
  <c r="O142" i="14"/>
  <c r="O150" i="14"/>
  <c r="O143" i="14"/>
  <c r="O151" i="14"/>
  <c r="O145" i="14"/>
  <c r="O141" i="14"/>
  <c r="O140" i="14"/>
  <c r="O149" i="14"/>
  <c r="O144" i="14"/>
  <c r="O147" i="14"/>
  <c r="C18" i="19"/>
  <c r="C18" i="15"/>
  <c r="C18" i="16"/>
  <c r="C18" i="14"/>
  <c r="S43" i="19"/>
  <c r="S50" i="19"/>
  <c r="S52" i="19"/>
  <c r="S48" i="19"/>
  <c r="S51" i="19"/>
  <c r="S44" i="19"/>
  <c r="S49" i="19"/>
  <c r="S45" i="19"/>
  <c r="S53" i="19"/>
  <c r="S46" i="19"/>
  <c r="S47" i="19"/>
  <c r="S42" i="19"/>
  <c r="Y140" i="19"/>
  <c r="Y143" i="19"/>
  <c r="Y142" i="19"/>
  <c r="Y141" i="19"/>
  <c r="Y145" i="19"/>
  <c r="Y146" i="19"/>
  <c r="Y150" i="19"/>
  <c r="Y147" i="19"/>
  <c r="Y148" i="19"/>
  <c r="Y149" i="19"/>
  <c r="Z149" i="19" s="1"/>
  <c r="Y151" i="19"/>
  <c r="Y144" i="19"/>
  <c r="O26" i="16"/>
  <c r="O21" i="16"/>
  <c r="O25" i="16"/>
  <c r="O29" i="16"/>
  <c r="O20" i="16"/>
  <c r="O19" i="16"/>
  <c r="O28" i="16"/>
  <c r="O27" i="16"/>
  <c r="O24" i="16"/>
  <c r="O23" i="16"/>
  <c r="P23" i="16" s="1"/>
  <c r="O22" i="16"/>
  <c r="O18" i="16"/>
  <c r="AC50" i="15"/>
  <c r="S142" i="15"/>
  <c r="S144" i="15"/>
  <c r="S150" i="15"/>
  <c r="S146" i="15"/>
  <c r="S143" i="15"/>
  <c r="S147" i="15"/>
  <c r="S145" i="15"/>
  <c r="S140" i="15"/>
  <c r="S139" i="15"/>
  <c r="S148" i="15"/>
  <c r="S141" i="15"/>
  <c r="S149" i="15"/>
  <c r="Y168" i="16"/>
  <c r="Y164" i="16"/>
  <c r="Y171" i="16"/>
  <c r="Y172" i="16"/>
  <c r="Y165" i="16"/>
  <c r="Y166" i="16"/>
  <c r="W43" i="16"/>
  <c r="W51" i="16"/>
  <c r="W50" i="16"/>
  <c r="W49" i="16"/>
  <c r="W52" i="16"/>
  <c r="W45" i="16"/>
  <c r="W53" i="16"/>
  <c r="W46" i="16"/>
  <c r="W42" i="16"/>
  <c r="W47" i="16"/>
  <c r="W48" i="16"/>
  <c r="W44" i="16"/>
  <c r="M222" i="16"/>
  <c r="M215" i="16"/>
  <c r="M223" i="16"/>
  <c r="M216" i="16"/>
  <c r="M217" i="16"/>
  <c r="M218" i="16"/>
  <c r="M213" i="16"/>
  <c r="M219" i="16"/>
  <c r="M212" i="16"/>
  <c r="M221" i="16"/>
  <c r="N221" i="16" s="1"/>
  <c r="M214" i="16"/>
  <c r="M220" i="16"/>
  <c r="AO170" i="16"/>
  <c r="AP170" i="16" s="1"/>
  <c r="AO174" i="16"/>
  <c r="AP174" i="16" s="1"/>
  <c r="AO175" i="16"/>
  <c r="AP175" i="16" s="1"/>
  <c r="AO172" i="16"/>
  <c r="AP172" i="16" s="1"/>
  <c r="AO166" i="16"/>
  <c r="AP166" i="16" s="1"/>
  <c r="AO168" i="16"/>
  <c r="AP168" i="16" s="1"/>
  <c r="AO167" i="16"/>
  <c r="AP167" i="16" s="1"/>
  <c r="AO164" i="16"/>
  <c r="AP164" i="16" s="1"/>
  <c r="AO169" i="16"/>
  <c r="AP169" i="16" s="1"/>
  <c r="AO165" i="16"/>
  <c r="AP165" i="16" s="1"/>
  <c r="AO171" i="16"/>
  <c r="AP171" i="16" s="1"/>
  <c r="AO173" i="16"/>
  <c r="AP173" i="16" s="1"/>
  <c r="C171" i="19"/>
  <c r="C171" i="14"/>
  <c r="C171" i="16"/>
  <c r="C170" i="15"/>
  <c r="C141" i="16"/>
  <c r="C140" i="15"/>
  <c r="C141" i="14"/>
  <c r="C141" i="19"/>
  <c r="C200" i="16"/>
  <c r="C200" i="19"/>
  <c r="C200" i="14"/>
  <c r="C199" i="15"/>
  <c r="C122" i="19"/>
  <c r="C122" i="16"/>
  <c r="C121" i="15"/>
  <c r="C122" i="14"/>
  <c r="C85" i="19"/>
  <c r="C85" i="16"/>
  <c r="C85" i="15"/>
  <c r="C85" i="14"/>
  <c r="C29" i="19"/>
  <c r="C29" i="15"/>
  <c r="C29" i="14"/>
  <c r="C29" i="16"/>
  <c r="C82" i="16"/>
  <c r="C82" i="15"/>
  <c r="C82" i="19"/>
  <c r="C82" i="14"/>
  <c r="I46" i="14"/>
  <c r="I53" i="14"/>
  <c r="I45" i="14"/>
  <c r="I47" i="14"/>
  <c r="I50" i="14"/>
  <c r="I52" i="14"/>
  <c r="I44" i="14"/>
  <c r="I51" i="14"/>
  <c r="I49" i="14"/>
  <c r="I48" i="14"/>
  <c r="I42" i="14"/>
  <c r="J42" i="14" s="1"/>
  <c r="I43" i="14"/>
  <c r="AK124" i="16"/>
  <c r="AL124" i="16" s="1"/>
  <c r="AK116" i="16"/>
  <c r="AL116" i="16" s="1"/>
  <c r="AK118" i="16"/>
  <c r="AL118" i="16" s="1"/>
  <c r="AK126" i="16"/>
  <c r="AL126" i="16" s="1"/>
  <c r="AK119" i="16"/>
  <c r="AL119" i="16" s="1"/>
  <c r="AK120" i="16"/>
  <c r="AL120" i="16" s="1"/>
  <c r="AK121" i="16"/>
  <c r="AL121" i="16" s="1"/>
  <c r="AK125" i="16"/>
  <c r="AL125" i="16" s="1"/>
  <c r="AK115" i="16"/>
  <c r="AL115" i="16" s="1"/>
  <c r="AK122" i="16"/>
  <c r="AL122" i="16" s="1"/>
  <c r="AK123" i="16"/>
  <c r="AL123" i="16" s="1"/>
  <c r="AK117" i="16"/>
  <c r="AL117" i="16" s="1"/>
  <c r="O215" i="19"/>
  <c r="O213" i="19"/>
  <c r="O216" i="19"/>
  <c r="O214" i="19"/>
  <c r="O212" i="19"/>
  <c r="O222" i="19"/>
  <c r="O217" i="19"/>
  <c r="O218" i="19"/>
  <c r="O221" i="19"/>
  <c r="P221" i="19" s="1"/>
  <c r="O223" i="19"/>
  <c r="O219" i="19"/>
  <c r="O220" i="19"/>
  <c r="AA169" i="16"/>
  <c r="AA172" i="16"/>
  <c r="AA167" i="16"/>
  <c r="AA165" i="16"/>
  <c r="AA173" i="16"/>
  <c r="AA174" i="16"/>
  <c r="AA170" i="16"/>
  <c r="AA168" i="16"/>
  <c r="AA164" i="16"/>
  <c r="AA166" i="16"/>
  <c r="AA171" i="16"/>
  <c r="AA175" i="16"/>
  <c r="Y77" i="14"/>
  <c r="AG120" i="15"/>
  <c r="AG118" i="15"/>
  <c r="AG114" i="15"/>
  <c r="AG117" i="15"/>
  <c r="AG125" i="15"/>
  <c r="AG119" i="15"/>
  <c r="AG121" i="15"/>
  <c r="AG123" i="15"/>
  <c r="AG115" i="15"/>
  <c r="AG116" i="15"/>
  <c r="AG124" i="15"/>
  <c r="AG122" i="15"/>
  <c r="C96" i="19"/>
  <c r="C96" i="16"/>
  <c r="C96" i="14"/>
  <c r="C95" i="15"/>
  <c r="K69" i="19"/>
  <c r="K66" i="19"/>
  <c r="K75" i="19"/>
  <c r="K71" i="19"/>
  <c r="K70" i="19"/>
  <c r="K68" i="19"/>
  <c r="K76" i="19"/>
  <c r="K72" i="19"/>
  <c r="K73" i="19"/>
  <c r="K77" i="19"/>
  <c r="K67" i="19"/>
  <c r="K74" i="19"/>
  <c r="G195" i="16"/>
  <c r="G196" i="16"/>
  <c r="G197" i="16"/>
  <c r="G192" i="16"/>
  <c r="G198" i="16"/>
  <c r="G188" i="16"/>
  <c r="G199" i="16"/>
  <c r="G193" i="16"/>
  <c r="G194" i="16"/>
  <c r="G190" i="16"/>
  <c r="G191" i="16"/>
  <c r="G189" i="16"/>
  <c r="W216" i="16"/>
  <c r="W213" i="16"/>
  <c r="W223" i="16"/>
  <c r="W221" i="16"/>
  <c r="W212" i="16"/>
  <c r="W214" i="16"/>
  <c r="W215" i="16"/>
  <c r="X215" i="16" s="1"/>
  <c r="W222" i="16"/>
  <c r="W217" i="16"/>
  <c r="W218" i="16"/>
  <c r="W219" i="16"/>
  <c r="W220" i="16"/>
  <c r="AO46" i="14"/>
  <c r="AP46" i="14" s="1"/>
  <c r="AO53" i="14"/>
  <c r="AP53" i="14" s="1"/>
  <c r="AO47" i="14"/>
  <c r="AP47" i="14" s="1"/>
  <c r="AO45" i="14"/>
  <c r="AP45" i="14" s="1"/>
  <c r="AO50" i="14"/>
  <c r="AP50" i="14" s="1"/>
  <c r="AO52" i="14"/>
  <c r="AP52" i="14" s="1"/>
  <c r="AO44" i="14"/>
  <c r="AP44" i="14" s="1"/>
  <c r="AO51" i="14"/>
  <c r="AP51" i="14" s="1"/>
  <c r="AO49" i="14"/>
  <c r="AP49" i="14" s="1"/>
  <c r="AO48" i="14"/>
  <c r="AP48" i="14" s="1"/>
  <c r="AO42" i="14"/>
  <c r="AP42" i="14" s="1"/>
  <c r="AO43" i="14"/>
  <c r="AP43" i="14" s="1"/>
  <c r="AO214" i="16"/>
  <c r="AP214" i="16" s="1"/>
  <c r="AO222" i="16"/>
  <c r="AP222" i="16" s="1"/>
  <c r="AO217" i="16"/>
  <c r="AP217" i="16" s="1"/>
  <c r="AO215" i="16"/>
  <c r="AP215" i="16" s="1"/>
  <c r="AO218" i="16"/>
  <c r="AP218" i="16" s="1"/>
  <c r="AO223" i="16"/>
  <c r="AP223" i="16" s="1"/>
  <c r="AO219" i="16"/>
  <c r="AP219" i="16" s="1"/>
  <c r="AO216" i="16"/>
  <c r="AP216" i="16" s="1"/>
  <c r="AO220" i="16"/>
  <c r="AP220" i="16" s="1"/>
  <c r="AO212" i="16"/>
  <c r="AP212" i="16" s="1"/>
  <c r="AO213" i="16"/>
  <c r="AP213" i="16" s="1"/>
  <c r="AO221" i="16"/>
  <c r="AP221" i="16" s="1"/>
  <c r="Y147" i="15"/>
  <c r="Y139" i="15"/>
  <c r="Y144" i="15"/>
  <c r="Y145" i="15"/>
  <c r="Y140" i="15"/>
  <c r="Y146" i="15"/>
  <c r="Y142" i="15"/>
  <c r="Y148" i="15"/>
  <c r="Y150" i="15"/>
  <c r="Y143" i="15"/>
  <c r="Y141" i="15"/>
  <c r="Y149" i="15"/>
  <c r="W196" i="15"/>
  <c r="W195" i="15"/>
  <c r="W189" i="15"/>
  <c r="W187" i="15"/>
  <c r="W197" i="15"/>
  <c r="W190" i="15"/>
  <c r="W198" i="15"/>
  <c r="W191" i="15"/>
  <c r="W192" i="15"/>
  <c r="W188" i="15"/>
  <c r="W193" i="15"/>
  <c r="W194" i="15"/>
  <c r="AA25" i="15"/>
  <c r="AA18" i="15"/>
  <c r="AA21" i="15"/>
  <c r="AA23" i="15"/>
  <c r="AA24" i="15"/>
  <c r="AA22" i="15"/>
  <c r="AA29" i="15"/>
  <c r="AA19" i="15"/>
  <c r="AA20" i="15"/>
  <c r="AA28" i="15"/>
  <c r="AA26" i="15"/>
  <c r="AA27" i="15"/>
  <c r="E194" i="19"/>
  <c r="E188" i="19"/>
  <c r="E195" i="19"/>
  <c r="E196" i="19"/>
  <c r="E189" i="19"/>
  <c r="E197" i="19"/>
  <c r="E191" i="19"/>
  <c r="E190" i="19"/>
  <c r="E199" i="19"/>
  <c r="E193" i="19"/>
  <c r="E192" i="19"/>
  <c r="E198" i="19"/>
  <c r="AM122" i="16"/>
  <c r="AN122" i="16" s="1"/>
  <c r="AM120" i="16"/>
  <c r="AN120" i="16" s="1"/>
  <c r="AM121" i="16"/>
  <c r="AN121" i="16" s="1"/>
  <c r="AM123" i="16"/>
  <c r="AN123" i="16" s="1"/>
  <c r="AM124" i="16"/>
  <c r="AN124" i="16" s="1"/>
  <c r="AM116" i="16"/>
  <c r="AN116" i="16" s="1"/>
  <c r="AM125" i="16"/>
  <c r="AN125" i="16" s="1"/>
  <c r="AM117" i="16"/>
  <c r="AN117" i="16" s="1"/>
  <c r="AM115" i="16"/>
  <c r="AN115" i="16" s="1"/>
  <c r="AM126" i="16"/>
  <c r="AN126" i="16" s="1"/>
  <c r="AM118" i="16"/>
  <c r="AN118" i="16" s="1"/>
  <c r="AM119" i="16"/>
  <c r="AN119" i="16" s="1"/>
  <c r="C83" i="19"/>
  <c r="C83" i="16"/>
  <c r="C83" i="14"/>
  <c r="C83" i="15"/>
  <c r="O187" i="15"/>
  <c r="O188" i="15"/>
  <c r="O194" i="15"/>
  <c r="O196" i="15"/>
  <c r="O195" i="15"/>
  <c r="O189" i="15"/>
  <c r="O197" i="15"/>
  <c r="O198" i="15"/>
  <c r="O192" i="15"/>
  <c r="O190" i="15"/>
  <c r="O191" i="15"/>
  <c r="O193" i="15"/>
  <c r="K149" i="19"/>
  <c r="K142" i="19"/>
  <c r="K141" i="19"/>
  <c r="K143" i="19"/>
  <c r="K151" i="19"/>
  <c r="K144" i="19"/>
  <c r="K140" i="19"/>
  <c r="K147" i="19"/>
  <c r="K145" i="19"/>
  <c r="K148" i="19"/>
  <c r="K150" i="19"/>
  <c r="K146" i="19"/>
  <c r="L146" i="19" s="1"/>
  <c r="Y94" i="15"/>
  <c r="Y98" i="15"/>
  <c r="Y90" i="15"/>
  <c r="Y92" i="15"/>
  <c r="Y93" i="15"/>
  <c r="Y101" i="15"/>
  <c r="Y95" i="15"/>
  <c r="Y96" i="15"/>
  <c r="Y91" i="15"/>
  <c r="Y99" i="15"/>
  <c r="Y100" i="15"/>
  <c r="Y97" i="15"/>
  <c r="AI194" i="14"/>
  <c r="AJ194" i="14" s="1"/>
  <c r="AI195" i="14"/>
  <c r="AJ195" i="14" s="1"/>
  <c r="AI198" i="14"/>
  <c r="AJ198" i="14" s="1"/>
  <c r="AI191" i="14"/>
  <c r="AJ191" i="14" s="1"/>
  <c r="AI199" i="14"/>
  <c r="AJ199" i="14" s="1"/>
  <c r="AI196" i="14"/>
  <c r="AJ196" i="14" s="1"/>
  <c r="AI188" i="14"/>
  <c r="AJ188" i="14" s="1"/>
  <c r="AI189" i="14"/>
  <c r="AJ189" i="14" s="1"/>
  <c r="AI192" i="14"/>
  <c r="AJ192" i="14" s="1"/>
  <c r="AI193" i="14"/>
  <c r="AJ193" i="14" s="1"/>
  <c r="AI197" i="14"/>
  <c r="AJ197" i="14" s="1"/>
  <c r="AI190" i="14"/>
  <c r="AJ190" i="14" s="1"/>
  <c r="O19" i="15"/>
  <c r="O18" i="15"/>
  <c r="O27" i="15"/>
  <c r="O20" i="15"/>
  <c r="O28" i="15"/>
  <c r="O21" i="15"/>
  <c r="O23" i="15"/>
  <c r="O22" i="15"/>
  <c r="O25" i="15"/>
  <c r="O26" i="15"/>
  <c r="O24" i="15"/>
  <c r="O29" i="15"/>
  <c r="S219" i="19"/>
  <c r="S215" i="19"/>
  <c r="S213" i="19"/>
  <c r="S223" i="19"/>
  <c r="S221" i="19"/>
  <c r="S216" i="19"/>
  <c r="S214" i="19"/>
  <c r="S212" i="19"/>
  <c r="S222" i="19"/>
  <c r="S217" i="19"/>
  <c r="T217" i="19" s="1"/>
  <c r="S218" i="19"/>
  <c r="S220" i="19"/>
  <c r="C31" i="15"/>
  <c r="C31" i="19"/>
  <c r="C31" i="16"/>
  <c r="C31" i="14"/>
  <c r="AC48" i="14"/>
  <c r="G101" i="19"/>
  <c r="S146" i="14"/>
  <c r="S140" i="14"/>
  <c r="S149" i="14"/>
  <c r="S142" i="14"/>
  <c r="S150" i="14"/>
  <c r="S143" i="14"/>
  <c r="S147" i="14"/>
  <c r="S151" i="14"/>
  <c r="S148" i="14"/>
  <c r="S144" i="14"/>
  <c r="S141" i="14"/>
  <c r="S145" i="14"/>
  <c r="C223" i="19"/>
  <c r="C223" i="16"/>
  <c r="C223" i="14"/>
  <c r="C222" i="15"/>
  <c r="E53" i="16"/>
  <c r="E49" i="16"/>
  <c r="W97" i="14"/>
  <c r="W98" i="14"/>
  <c r="W91" i="14"/>
  <c r="W100" i="14"/>
  <c r="W92" i="14"/>
  <c r="W93" i="14"/>
  <c r="W101" i="14"/>
  <c r="W95" i="14"/>
  <c r="W94" i="14"/>
  <c r="W102" i="14"/>
  <c r="W96" i="14"/>
  <c r="W99" i="14"/>
  <c r="Y163" i="15"/>
  <c r="Y174" i="15"/>
  <c r="Y171" i="15"/>
  <c r="Y166" i="15"/>
  <c r="Y164" i="15"/>
  <c r="Y169" i="15"/>
  <c r="Y172" i="15"/>
  <c r="Y173" i="15"/>
  <c r="Y170" i="15"/>
  <c r="Y167" i="15"/>
  <c r="Y165" i="15"/>
  <c r="Y168" i="15"/>
  <c r="W166" i="19"/>
  <c r="W172" i="19"/>
  <c r="W50" i="14"/>
  <c r="W43" i="14"/>
  <c r="W51" i="14"/>
  <c r="W49" i="14"/>
  <c r="W47" i="14"/>
  <c r="W42" i="14"/>
  <c r="W46" i="14"/>
  <c r="W48" i="14"/>
  <c r="W53" i="14"/>
  <c r="W45" i="14"/>
  <c r="W52" i="14"/>
  <c r="W44" i="14"/>
  <c r="C80" i="19"/>
  <c r="C80" i="16"/>
  <c r="C80" i="15"/>
  <c r="C80" i="14"/>
  <c r="U100" i="15"/>
  <c r="U92" i="15"/>
  <c r="U94" i="15"/>
  <c r="U90" i="15"/>
  <c r="U96" i="15"/>
  <c r="U97" i="15"/>
  <c r="U91" i="15"/>
  <c r="U98" i="15"/>
  <c r="U99" i="15"/>
  <c r="U93" i="15"/>
  <c r="U95" i="15"/>
  <c r="U101" i="15"/>
  <c r="M118" i="15"/>
  <c r="M124" i="15"/>
  <c r="M215" i="15"/>
  <c r="M222" i="15"/>
  <c r="M217" i="15"/>
  <c r="M216" i="15"/>
  <c r="M218" i="15"/>
  <c r="M212" i="15"/>
  <c r="M219" i="15"/>
  <c r="M220" i="15"/>
  <c r="M211" i="15"/>
  <c r="M213" i="15"/>
  <c r="M221" i="15"/>
  <c r="M214" i="15"/>
  <c r="S171" i="15"/>
  <c r="S164" i="15"/>
  <c r="S170" i="15"/>
  <c r="S172" i="15"/>
  <c r="S166" i="15"/>
  <c r="S174" i="15"/>
  <c r="S163" i="15"/>
  <c r="S167" i="15"/>
  <c r="S173" i="15"/>
  <c r="S168" i="15"/>
  <c r="S169" i="15"/>
  <c r="S165" i="15"/>
  <c r="S100" i="14"/>
  <c r="E72" i="19"/>
  <c r="E75" i="19"/>
  <c r="E76" i="19"/>
  <c r="E67" i="19"/>
  <c r="E68" i="19"/>
  <c r="E73" i="19"/>
  <c r="E74" i="19"/>
  <c r="E77" i="19"/>
  <c r="E71" i="19"/>
  <c r="E66" i="19"/>
  <c r="E70" i="19"/>
  <c r="E69" i="19"/>
  <c r="M150" i="19"/>
  <c r="M145" i="19"/>
  <c r="M147" i="19"/>
  <c r="M148" i="19"/>
  <c r="M144" i="19"/>
  <c r="M143" i="19"/>
  <c r="M141" i="19"/>
  <c r="M149" i="19"/>
  <c r="M151" i="19"/>
  <c r="M140" i="19"/>
  <c r="M142" i="19"/>
  <c r="M146" i="19"/>
  <c r="Y116" i="19"/>
  <c r="Y118" i="19"/>
  <c r="Y117" i="19"/>
  <c r="Y126" i="19"/>
  <c r="Y121" i="19"/>
  <c r="Y119" i="19"/>
  <c r="Y122" i="19"/>
  <c r="Y115" i="19"/>
  <c r="Y120" i="19"/>
  <c r="Y123" i="19"/>
  <c r="Y124" i="19"/>
  <c r="Y125" i="19"/>
  <c r="M164" i="19"/>
  <c r="M165" i="19"/>
  <c r="M169" i="19"/>
  <c r="M173" i="19"/>
  <c r="M170" i="19"/>
  <c r="M166" i="19"/>
  <c r="M171" i="19"/>
  <c r="M174" i="19"/>
  <c r="M172" i="19"/>
  <c r="M167" i="19"/>
  <c r="N167" i="19" s="1"/>
  <c r="M175" i="19"/>
  <c r="M168" i="19"/>
  <c r="K95" i="19"/>
  <c r="K102" i="19"/>
  <c r="K99" i="19"/>
  <c r="K91" i="19"/>
  <c r="K92" i="19"/>
  <c r="K101" i="19"/>
  <c r="K96" i="19"/>
  <c r="K98" i="19"/>
  <c r="K94" i="19"/>
  <c r="K100" i="19"/>
  <c r="K93" i="19"/>
  <c r="K97" i="19"/>
  <c r="G149" i="19"/>
  <c r="G140" i="19"/>
  <c r="G145" i="19"/>
  <c r="G141" i="19"/>
  <c r="G142" i="19"/>
  <c r="G150" i="19"/>
  <c r="G143" i="19"/>
  <c r="G146" i="19"/>
  <c r="G151" i="19"/>
  <c r="G144" i="19"/>
  <c r="G147" i="19"/>
  <c r="G148" i="19"/>
  <c r="X288" i="13"/>
  <c r="X279" i="13"/>
  <c r="Y279" i="13"/>
  <c r="T280" i="13"/>
  <c r="U280" i="13"/>
  <c r="H303" i="13" s="1"/>
  <c r="X280" i="13"/>
  <c r="J301" i="13" s="1"/>
  <c r="X291" i="13"/>
  <c r="X278" i="13"/>
  <c r="X284" i="13"/>
  <c r="W288" i="13"/>
  <c r="P196" i="21"/>
  <c r="AR143" i="7"/>
  <c r="AS143" i="7"/>
  <c r="AW135" i="7"/>
  <c r="AX135" i="7"/>
  <c r="B120" i="16" s="1"/>
  <c r="AY139" i="7"/>
  <c r="B172" i="17" s="1"/>
  <c r="AZ139" i="7"/>
  <c r="B172" i="18" s="1"/>
  <c r="AZ138" i="7"/>
  <c r="B171" i="18" s="1"/>
  <c r="AY138" i="7"/>
  <c r="B171" i="17" s="1"/>
  <c r="AS133" i="7"/>
  <c r="AR133" i="7"/>
  <c r="AT133" i="7"/>
  <c r="BA141" i="7"/>
  <c r="B126" i="19" s="1"/>
  <c r="AX141" i="7"/>
  <c r="B126" i="16" s="1"/>
  <c r="AW141" i="7"/>
  <c r="B125" i="15" s="1"/>
  <c r="AZ148" i="7"/>
  <c r="B181" i="18" s="1"/>
  <c r="AY148" i="7"/>
  <c r="B181" i="17" s="1"/>
  <c r="AX134" i="7"/>
  <c r="B119" i="16" s="1"/>
  <c r="AW134" i="7"/>
  <c r="B118" i="15" s="1"/>
  <c r="BA134" i="7"/>
  <c r="B119" i="19" s="1"/>
  <c r="AS141" i="7"/>
  <c r="AT141" i="7"/>
  <c r="AR141" i="7"/>
  <c r="AZ143" i="7"/>
  <c r="B176" i="18" s="1"/>
  <c r="AY143" i="7"/>
  <c r="B176" i="17" s="1"/>
  <c r="AX144" i="7"/>
  <c r="B129" i="16" s="1"/>
  <c r="AW144" i="7"/>
  <c r="B128" i="15" s="1"/>
  <c r="BA144" i="7"/>
  <c r="B129" i="19" s="1"/>
  <c r="AZ132" i="7"/>
  <c r="B165" i="18" s="1"/>
  <c r="AY132" i="7"/>
  <c r="B165" i="17" s="1"/>
  <c r="AY147" i="7"/>
  <c r="B180" i="17" s="1"/>
  <c r="AZ147" i="7"/>
  <c r="B180" i="18" s="1"/>
  <c r="AT142" i="7"/>
  <c r="AS142" i="7"/>
  <c r="AR142" i="7"/>
  <c r="AR144" i="7"/>
  <c r="AS144" i="7"/>
  <c r="AT144" i="7"/>
  <c r="BA149" i="7"/>
  <c r="B134" i="19" s="1"/>
  <c r="AX149" i="7"/>
  <c r="B134" i="16" s="1"/>
  <c r="AW149" i="7"/>
  <c r="B133" i="15" s="1"/>
  <c r="AZ146" i="7"/>
  <c r="B179" i="18" s="1"/>
  <c r="AY146" i="7"/>
  <c r="B179" i="17" s="1"/>
  <c r="AS149" i="7"/>
  <c r="AR149" i="7"/>
  <c r="AT149" i="7"/>
  <c r="AX142" i="7"/>
  <c r="B127" i="16" s="1"/>
  <c r="AW142" i="7"/>
  <c r="B126" i="15" s="1"/>
  <c r="BA142" i="7"/>
  <c r="B127" i="19" s="1"/>
  <c r="BA130" i="7"/>
  <c r="B115" i="19" s="1"/>
  <c r="AX130" i="7"/>
  <c r="B115" i="16" s="1"/>
  <c r="AW130" i="7"/>
  <c r="B114" i="15" s="1"/>
  <c r="AZ145" i="7"/>
  <c r="B178" i="18" s="1"/>
  <c r="AY145" i="7"/>
  <c r="B178" i="17" s="1"/>
  <c r="AZ137" i="7"/>
  <c r="B170" i="18" s="1"/>
  <c r="AY137" i="7"/>
  <c r="B170" i="17" s="1"/>
  <c r="AX136" i="7"/>
  <c r="B121" i="16" s="1"/>
  <c r="AW136" i="7"/>
  <c r="B120" i="15" s="1"/>
  <c r="BA136" i="7"/>
  <c r="B121" i="19" s="1"/>
  <c r="AT130" i="7"/>
  <c r="AS130" i="7"/>
  <c r="AR130" i="7"/>
  <c r="AZ140" i="7"/>
  <c r="B173" i="18" s="1"/>
  <c r="AY140" i="7"/>
  <c r="B173" i="17" s="1"/>
  <c r="AY131" i="7"/>
  <c r="B164" i="17" s="1"/>
  <c r="AZ131" i="7"/>
  <c r="B164" i="18" s="1"/>
  <c r="AT134" i="7"/>
  <c r="AS134" i="7"/>
  <c r="AR134" i="7"/>
  <c r="BA133" i="7"/>
  <c r="B118" i="19" s="1"/>
  <c r="AX133" i="7"/>
  <c r="B118" i="16" s="1"/>
  <c r="AW133" i="7"/>
  <c r="B117" i="15" s="1"/>
  <c r="AR136" i="7"/>
  <c r="AS136" i="7"/>
  <c r="AT136" i="7"/>
  <c r="AS225" i="7"/>
  <c r="AS220" i="7"/>
  <c r="B225" i="14"/>
  <c r="BA263" i="7"/>
  <c r="B225" i="19" s="1"/>
  <c r="B191" i="21"/>
  <c r="T292" i="13"/>
  <c r="U292" i="13"/>
  <c r="Y292" i="13"/>
  <c r="AC286" i="13"/>
  <c r="U286" i="13"/>
  <c r="T293" i="13"/>
  <c r="U293" i="13"/>
  <c r="X290" i="13"/>
  <c r="Y286" i="13"/>
  <c r="Y293" i="13"/>
  <c r="Y284" i="13"/>
  <c r="X285" i="13"/>
  <c r="T287" i="13"/>
  <c r="U287" i="13"/>
  <c r="T278" i="13"/>
  <c r="U278" i="13"/>
  <c r="AC291" i="13"/>
  <c r="U291" i="13"/>
  <c r="Y296" i="13"/>
  <c r="AC292" i="13"/>
  <c r="W273" i="13"/>
  <c r="Z286" i="13"/>
  <c r="Z281" i="13"/>
  <c r="Z292" i="13"/>
  <c r="Z294" i="13"/>
  <c r="Z289" i="13"/>
  <c r="Z279" i="13"/>
  <c r="Z282" i="13"/>
  <c r="Z287" i="13"/>
  <c r="Z290" i="13"/>
  <c r="Z295" i="13"/>
  <c r="Z284" i="13"/>
  <c r="Z288" i="13"/>
  <c r="Z278" i="13"/>
  <c r="Z285" i="13"/>
  <c r="Z280" i="13"/>
  <c r="Z283" i="13"/>
  <c r="Z293" i="13"/>
  <c r="Z291" i="13"/>
  <c r="Z296" i="13"/>
  <c r="T290" i="13"/>
  <c r="U290" i="13"/>
  <c r="T285" i="13"/>
  <c r="U285" i="13"/>
  <c r="Y278" i="13"/>
  <c r="Y290" i="13"/>
  <c r="Y291" i="13"/>
  <c r="X293" i="13"/>
  <c r="X294" i="13"/>
  <c r="X287" i="13"/>
  <c r="Y289" i="13"/>
  <c r="T281" i="13"/>
  <c r="U281" i="13"/>
  <c r="T282" i="13"/>
  <c r="U282" i="13"/>
  <c r="T295" i="13"/>
  <c r="W295" i="13" s="1"/>
  <c r="U295" i="13"/>
  <c r="X286" i="13"/>
  <c r="Y281" i="13"/>
  <c r="Y287" i="13"/>
  <c r="X289" i="13"/>
  <c r="X283" i="13"/>
  <c r="X292" i="13"/>
  <c r="T283" i="13"/>
  <c r="U283" i="13"/>
  <c r="T294" i="13"/>
  <c r="U294" i="13"/>
  <c r="X281" i="13"/>
  <c r="Y282" i="13"/>
  <c r="X282" i="13"/>
  <c r="X296" i="13"/>
  <c r="X295" i="13"/>
  <c r="B218" i="13"/>
  <c r="AC289" i="13"/>
  <c r="AC296" i="13"/>
  <c r="B164" i="21"/>
  <c r="AC283" i="13"/>
  <c r="T286" i="13"/>
  <c r="AC294" i="13"/>
  <c r="T279" i="13"/>
  <c r="T291" i="13"/>
  <c r="AC279" i="13"/>
  <c r="AC285" i="13"/>
  <c r="T289" i="13"/>
  <c r="T284" i="13"/>
  <c r="AC278" i="13"/>
  <c r="AC281" i="13"/>
  <c r="AC295" i="13"/>
  <c r="T296" i="13"/>
  <c r="W296" i="13" s="1"/>
  <c r="AC287" i="13"/>
  <c r="AC282" i="13"/>
  <c r="AC280" i="13"/>
  <c r="AC284" i="13"/>
  <c r="AC293" i="13"/>
  <c r="AT253" i="7"/>
  <c r="AT257" i="7"/>
  <c r="AR265" i="7"/>
  <c r="AX263" i="7"/>
  <c r="B225" i="16" s="1"/>
  <c r="AR261" i="7"/>
  <c r="AR264" i="7"/>
  <c r="B220" i="15"/>
  <c r="AR253" i="7"/>
  <c r="AY259" i="7"/>
  <c r="B269" i="17" s="1"/>
  <c r="AS264" i="7"/>
  <c r="AS261" i="7"/>
  <c r="AR224" i="7"/>
  <c r="AT224" i="7"/>
  <c r="AR226" i="7"/>
  <c r="AS227" i="7"/>
  <c r="AR237" i="7"/>
  <c r="AS226" i="7"/>
  <c r="AT235" i="7"/>
  <c r="AS234" i="7"/>
  <c r="AS239" i="7"/>
  <c r="AR235" i="7"/>
  <c r="AR234" i="7"/>
  <c r="AT239" i="7"/>
  <c r="AR220" i="7"/>
  <c r="AT233" i="7"/>
  <c r="AT190" i="7"/>
  <c r="AT201" i="7"/>
  <c r="AT118" i="7"/>
  <c r="B107" i="15"/>
  <c r="AT107" i="7"/>
  <c r="AR103" i="7"/>
  <c r="AR107" i="7"/>
  <c r="AS103" i="7"/>
  <c r="AR114" i="7"/>
  <c r="AS108" i="7"/>
  <c r="AT89" i="7"/>
  <c r="AR89" i="7"/>
  <c r="AT72" i="7"/>
  <c r="AT86" i="7"/>
  <c r="AT80" i="7"/>
  <c r="AQ70" i="7"/>
  <c r="AS70" i="7" s="1"/>
  <c r="AR80" i="7"/>
  <c r="AQ77" i="7"/>
  <c r="AT77" i="7" s="1"/>
  <c r="AW81" i="7"/>
  <c r="B77" i="15" s="1"/>
  <c r="AU70" i="7"/>
  <c r="AS75" i="7"/>
  <c r="AR112" i="7"/>
  <c r="AW108" i="7"/>
  <c r="B98" i="15" s="1"/>
  <c r="AS119" i="7"/>
  <c r="B91" i="14"/>
  <c r="AQ100" i="7"/>
  <c r="AS100" i="7" s="1"/>
  <c r="AU100" i="7"/>
  <c r="AS112" i="7"/>
  <c r="AR118" i="7"/>
  <c r="AR116" i="7"/>
  <c r="AS116" i="7"/>
  <c r="AT114" i="7"/>
  <c r="AX100" i="7"/>
  <c r="B91" i="16" s="1"/>
  <c r="AW100" i="7"/>
  <c r="B90" i="15" s="1"/>
  <c r="B92" i="15"/>
  <c r="BA108" i="7"/>
  <c r="B99" i="19" s="1"/>
  <c r="AT108" i="7"/>
  <c r="AZ102" i="7"/>
  <c r="AR167" i="7"/>
  <c r="AT179" i="7"/>
  <c r="AR197" i="7"/>
  <c r="AS197" i="7"/>
  <c r="AT203" i="7"/>
  <c r="AT206" i="7"/>
  <c r="AR206" i="7"/>
  <c r="B180" i="14"/>
  <c r="AW206" i="7"/>
  <c r="AY206" i="7" s="1"/>
  <c r="B228" i="17" s="1"/>
  <c r="AU101" i="7"/>
  <c r="AT209" i="7"/>
  <c r="AR193" i="7"/>
  <c r="AR208" i="7"/>
  <c r="AR209" i="7"/>
  <c r="BA206" i="7"/>
  <c r="B180" i="19" s="1"/>
  <c r="AR201" i="7"/>
  <c r="AT193" i="7"/>
  <c r="AS190" i="7"/>
  <c r="AR199" i="7"/>
  <c r="AS199" i="7"/>
  <c r="AS208" i="7"/>
  <c r="AR200" i="7"/>
  <c r="AR191" i="7"/>
  <c r="AS167" i="7"/>
  <c r="B141" i="14"/>
  <c r="AQ163" i="7"/>
  <c r="AS163" i="7" s="1"/>
  <c r="B143" i="14"/>
  <c r="AX163" i="7"/>
  <c r="B143" i="16" s="1"/>
  <c r="AS170" i="7"/>
  <c r="AR177" i="7"/>
  <c r="AR174" i="7"/>
  <c r="AW163" i="7"/>
  <c r="AZ163" i="7" s="1"/>
  <c r="B191" i="18" s="1"/>
  <c r="AU163" i="7"/>
  <c r="AR169" i="7"/>
  <c r="AS172" i="7"/>
  <c r="AS177" i="7"/>
  <c r="AR179" i="7"/>
  <c r="AR178" i="7"/>
  <c r="AS178" i="7"/>
  <c r="AS174" i="7"/>
  <c r="AW161" i="7"/>
  <c r="AY161" i="7" s="1"/>
  <c r="B189" i="17" s="1"/>
  <c r="AT172" i="7"/>
  <c r="AT170" i="7"/>
  <c r="AT168" i="7"/>
  <c r="BA161" i="7"/>
  <c r="B141" i="19" s="1"/>
  <c r="AQ161" i="7"/>
  <c r="AR161" i="7" s="1"/>
  <c r="AS168" i="7"/>
  <c r="AU161" i="7"/>
  <c r="AT176" i="7"/>
  <c r="AY171" i="7"/>
  <c r="B199" i="17" s="1"/>
  <c r="B150" i="15"/>
  <c r="AS171" i="7"/>
  <c r="AR171" i="7"/>
  <c r="B140" i="14"/>
  <c r="AS166" i="7"/>
  <c r="AT165" i="7"/>
  <c r="AS164" i="7"/>
  <c r="AS175" i="7"/>
  <c r="AX160" i="7"/>
  <c r="B140" i="16" s="1"/>
  <c r="AT166" i="7"/>
  <c r="AT164" i="7"/>
  <c r="AR175" i="7"/>
  <c r="AR176" i="7"/>
  <c r="AS169" i="7"/>
  <c r="AW160" i="7"/>
  <c r="AZ160" i="7" s="1"/>
  <c r="B188" i="18" s="1"/>
  <c r="AT111" i="7"/>
  <c r="AS111" i="7"/>
  <c r="AR113" i="7"/>
  <c r="AQ101" i="7"/>
  <c r="AT101" i="7" s="1"/>
  <c r="AX81" i="7"/>
  <c r="B77" i="16" s="1"/>
  <c r="AU77" i="7"/>
  <c r="AR72" i="7"/>
  <c r="AR88" i="7"/>
  <c r="AS88" i="7"/>
  <c r="AU76" i="7"/>
  <c r="AV76" i="7"/>
  <c r="BA83" i="7"/>
  <c r="B79" i="19" s="1"/>
  <c r="AR75" i="7"/>
  <c r="AR86" i="7"/>
  <c r="AT73" i="7"/>
  <c r="AR73" i="7"/>
  <c r="AS10" i="7"/>
  <c r="AR11" i="7"/>
  <c r="BA73" i="7"/>
  <c r="B69" i="19" s="1"/>
  <c r="AW73" i="7"/>
  <c r="B69" i="15" s="1"/>
  <c r="AR102" i="7"/>
  <c r="AT104" i="7"/>
  <c r="AS162" i="7"/>
  <c r="AT162" i="7"/>
  <c r="AR192" i="7"/>
  <c r="AS192" i="7"/>
  <c r="AR165" i="7"/>
  <c r="AS102" i="7"/>
  <c r="AX75" i="7"/>
  <c r="B71" i="16" s="1"/>
  <c r="AR52" i="7"/>
  <c r="AX83" i="7"/>
  <c r="B79" i="16" s="1"/>
  <c r="AW75" i="7"/>
  <c r="B71" i="15" s="1"/>
  <c r="AS11" i="7"/>
  <c r="AT12" i="7"/>
  <c r="AS12" i="7"/>
  <c r="AS23" i="7"/>
  <c r="B99" i="14"/>
  <c r="AR104" i="7"/>
  <c r="AZ117" i="7"/>
  <c r="B156" i="18" s="1"/>
  <c r="AT113" i="7"/>
  <c r="AT117" i="7"/>
  <c r="AS117" i="7"/>
  <c r="AT119" i="7"/>
  <c r="AT83" i="7"/>
  <c r="AR83" i="7"/>
  <c r="AQ41" i="7"/>
  <c r="AR41" i="7" s="1"/>
  <c r="AS43" i="7"/>
  <c r="AU41" i="7"/>
  <c r="AR43" i="7"/>
  <c r="AS40" i="7"/>
  <c r="AT40" i="7"/>
  <c r="AY79" i="7"/>
  <c r="B123" i="17" s="1"/>
  <c r="AZ79" i="7"/>
  <c r="B123" i="18" s="1"/>
  <c r="AY71" i="7"/>
  <c r="B115" i="17" s="1"/>
  <c r="AZ71" i="7"/>
  <c r="B115" i="18" s="1"/>
  <c r="AZ80" i="7"/>
  <c r="B124" i="18" s="1"/>
  <c r="AY80" i="7"/>
  <c r="B124" i="17" s="1"/>
  <c r="BA84" i="7"/>
  <c r="B80" i="19" s="1"/>
  <c r="AX84" i="7"/>
  <c r="B80" i="16" s="1"/>
  <c r="AW84" i="7"/>
  <c r="B80" i="15" s="1"/>
  <c r="AZ72" i="7"/>
  <c r="B116" i="18" s="1"/>
  <c r="AY72" i="7"/>
  <c r="B116" i="17" s="1"/>
  <c r="AT71" i="7"/>
  <c r="AS71" i="7"/>
  <c r="AR71" i="7"/>
  <c r="AR84" i="7"/>
  <c r="AT84" i="7"/>
  <c r="AS84" i="7"/>
  <c r="AT82" i="7"/>
  <c r="AS82" i="7"/>
  <c r="AR82" i="7"/>
  <c r="AY87" i="7"/>
  <c r="B131" i="17" s="1"/>
  <c r="AZ87" i="7"/>
  <c r="B131" i="18" s="1"/>
  <c r="AZ88" i="7"/>
  <c r="B132" i="18" s="1"/>
  <c r="AY88" i="7"/>
  <c r="B132" i="17" s="1"/>
  <c r="AZ89" i="7"/>
  <c r="B133" i="18" s="1"/>
  <c r="AY89" i="7"/>
  <c r="B133" i="17" s="1"/>
  <c r="AT85" i="7"/>
  <c r="AS85" i="7"/>
  <c r="AR85" i="7"/>
  <c r="AZ86" i="7"/>
  <c r="B130" i="18" s="1"/>
  <c r="AY86" i="7"/>
  <c r="B130" i="17" s="1"/>
  <c r="AR79" i="7"/>
  <c r="AT79" i="7"/>
  <c r="AS79" i="7"/>
  <c r="AX82" i="7"/>
  <c r="B78" i="16" s="1"/>
  <c r="AW82" i="7"/>
  <c r="B78" i="15" s="1"/>
  <c r="BA82" i="7"/>
  <c r="B78" i="19" s="1"/>
  <c r="AX70" i="7"/>
  <c r="B66" i="16" s="1"/>
  <c r="AW70" i="7"/>
  <c r="B66" i="15" s="1"/>
  <c r="AR76" i="7"/>
  <c r="AS76" i="7"/>
  <c r="AT76" i="7"/>
  <c r="AW85" i="7"/>
  <c r="B81" i="15" s="1"/>
  <c r="BA85" i="7"/>
  <c r="B81" i="19" s="1"/>
  <c r="AX85" i="7"/>
  <c r="B81" i="16" s="1"/>
  <c r="AT74" i="7"/>
  <c r="AS74" i="7"/>
  <c r="AR74" i="7"/>
  <c r="AW77" i="7"/>
  <c r="B73" i="15" s="1"/>
  <c r="BA77" i="7"/>
  <c r="B73" i="19" s="1"/>
  <c r="AX77" i="7"/>
  <c r="B73" i="16" s="1"/>
  <c r="AZ78" i="7"/>
  <c r="B122" i="18" s="1"/>
  <c r="AY78" i="7"/>
  <c r="B122" i="17" s="1"/>
  <c r="AT87" i="7"/>
  <c r="AS87" i="7"/>
  <c r="AR87" i="7"/>
  <c r="AX74" i="7"/>
  <c r="B70" i="16" s="1"/>
  <c r="AW74" i="7"/>
  <c r="B70" i="15" s="1"/>
  <c r="BA74" i="7"/>
  <c r="B70" i="19" s="1"/>
  <c r="AS191" i="7"/>
  <c r="AT227" i="7"/>
  <c r="AS200" i="7"/>
  <c r="AS265" i="7"/>
  <c r="AT258" i="7"/>
  <c r="AR258" i="7"/>
  <c r="B204" i="15"/>
  <c r="AZ237" i="7"/>
  <c r="B253" i="18" s="1"/>
  <c r="AZ221" i="7"/>
  <c r="B237" i="18" s="1"/>
  <c r="AY221" i="7"/>
  <c r="B237" i="17" s="1"/>
  <c r="B188" i="15"/>
  <c r="AS269" i="7"/>
  <c r="AR262" i="7"/>
  <c r="AR269" i="7"/>
  <c r="AZ238" i="7"/>
  <c r="B254" i="18" s="1"/>
  <c r="B205" i="15"/>
  <c r="AZ105" i="7"/>
  <c r="B95" i="15"/>
  <c r="AY105" i="7"/>
  <c r="B144" i="17" s="1"/>
  <c r="AS262" i="7"/>
  <c r="AS237" i="7"/>
  <c r="AT196" i="7"/>
  <c r="AS196" i="7"/>
  <c r="AT53" i="7"/>
  <c r="AS53" i="7"/>
  <c r="AR53" i="7"/>
  <c r="AR268" i="7"/>
  <c r="B103" i="15"/>
  <c r="AR238" i="7"/>
  <c r="AT238" i="7"/>
  <c r="AS238" i="7"/>
  <c r="AT105" i="7"/>
  <c r="AS105" i="7"/>
  <c r="AR105" i="7"/>
  <c r="AT268" i="7"/>
  <c r="AY113" i="7"/>
  <c r="B152" i="17" s="1"/>
  <c r="AR57" i="7"/>
  <c r="AT57" i="7"/>
  <c r="AZ258" i="7"/>
  <c r="B268" i="18" s="1"/>
  <c r="AY258" i="7"/>
  <c r="B268" i="17" s="1"/>
  <c r="B219" i="15"/>
  <c r="B55" i="15"/>
  <c r="AY53" i="7"/>
  <c r="B79" i="17" s="1"/>
  <c r="AZ53" i="7"/>
  <c r="AZ57" i="7"/>
  <c r="AY57" i="7"/>
  <c r="B83" i="17" s="1"/>
  <c r="B59" i="15"/>
  <c r="AR203" i="7"/>
  <c r="AR115" i="7"/>
  <c r="AT115" i="7"/>
  <c r="B106" i="14"/>
  <c r="AX115" i="7"/>
  <c r="B106" i="16" s="1"/>
  <c r="AR233" i="7"/>
  <c r="AW115" i="7"/>
  <c r="AY115" i="7" s="1"/>
  <c r="B154" i="17" s="1"/>
  <c r="B144" i="14"/>
  <c r="AX164" i="7"/>
  <c r="B144" i="16" s="1"/>
  <c r="AW164" i="7"/>
  <c r="B143" i="15" s="1"/>
  <c r="AY269" i="7"/>
  <c r="B279" i="17" s="1"/>
  <c r="AZ269" i="7"/>
  <c r="B279" i="18" s="1"/>
  <c r="B230" i="15"/>
  <c r="AP213" i="14"/>
  <c r="B222" i="15"/>
  <c r="AZ261" i="7"/>
  <c r="B271" i="18" s="1"/>
  <c r="AY261" i="7"/>
  <c r="B271" i="17" s="1"/>
  <c r="B152" i="18"/>
  <c r="AY13" i="7"/>
  <c r="AZ13" i="7"/>
  <c r="B21" i="18" s="1"/>
  <c r="B21" i="15"/>
  <c r="AY193" i="7"/>
  <c r="B215" i="17" s="1"/>
  <c r="B166" i="15"/>
  <c r="AZ193" i="7"/>
  <c r="B215" i="18" s="1"/>
  <c r="AZ265" i="7"/>
  <c r="B275" i="18" s="1"/>
  <c r="AY265" i="7"/>
  <c r="B275" i="17" s="1"/>
  <c r="B226" i="15"/>
  <c r="AP47" i="16"/>
  <c r="AZ59" i="7"/>
  <c r="AY59" i="7"/>
  <c r="B85" i="17" s="1"/>
  <c r="B61" i="15"/>
  <c r="AS42" i="7"/>
  <c r="AZ200" i="7"/>
  <c r="B222" i="18" s="1"/>
  <c r="B173" i="15"/>
  <c r="AY200" i="7"/>
  <c r="B222" i="17" s="1"/>
  <c r="AT42" i="7"/>
  <c r="AZ253" i="7"/>
  <c r="B263" i="18" s="1"/>
  <c r="AY253" i="7"/>
  <c r="B263" i="17" s="1"/>
  <c r="B214" i="15"/>
  <c r="AY54" i="7"/>
  <c r="B80" i="17" s="1"/>
  <c r="B104" i="17" s="1"/>
  <c r="AZ54" i="7"/>
  <c r="B56" i="15"/>
  <c r="AZ48" i="7"/>
  <c r="AY48" i="7"/>
  <c r="B50" i="15"/>
  <c r="BA204" i="7"/>
  <c r="B178" i="19" s="1"/>
  <c r="AW204" i="7"/>
  <c r="AX204" i="7"/>
  <c r="B178" i="16" s="1"/>
  <c r="B178" i="14"/>
  <c r="AY257" i="7"/>
  <c r="B267" i="17" s="1"/>
  <c r="AZ257" i="7"/>
  <c r="B267" i="18" s="1"/>
  <c r="B218" i="15"/>
  <c r="AZ50" i="7"/>
  <c r="AY50" i="7"/>
  <c r="B52" i="15"/>
  <c r="AY227" i="7"/>
  <c r="B243" i="17" s="1"/>
  <c r="AZ227" i="7"/>
  <c r="B243" i="18" s="1"/>
  <c r="B194" i="15"/>
  <c r="BA110" i="7"/>
  <c r="B101" i="19" s="1"/>
  <c r="AW110" i="7"/>
  <c r="AX110" i="7"/>
  <c r="B101" i="16" s="1"/>
  <c r="B101" i="14"/>
  <c r="AS252" i="7"/>
  <c r="AR252" i="7"/>
  <c r="AT252" i="7"/>
  <c r="BA230" i="7"/>
  <c r="B198" i="19" s="1"/>
  <c r="AW230" i="7"/>
  <c r="AX230" i="7"/>
  <c r="B198" i="16" s="1"/>
  <c r="B198" i="14"/>
  <c r="AZ29" i="7"/>
  <c r="B37" i="18" s="1"/>
  <c r="B37" i="15"/>
  <c r="AY29" i="7"/>
  <c r="BA202" i="7"/>
  <c r="B176" i="19" s="1"/>
  <c r="AW202" i="7"/>
  <c r="AX202" i="7"/>
  <c r="B176" i="16" s="1"/>
  <c r="B176" i="14"/>
  <c r="AZ21" i="7"/>
  <c r="B29" i="18" s="1"/>
  <c r="AY21" i="7"/>
  <c r="B29" i="15"/>
  <c r="AZ56" i="7"/>
  <c r="AY56" i="7"/>
  <c r="B82" i="17" s="1"/>
  <c r="B58" i="15"/>
  <c r="BA109" i="7"/>
  <c r="B100" i="19" s="1"/>
  <c r="AW109" i="7"/>
  <c r="AX109" i="7"/>
  <c r="B100" i="16" s="1"/>
  <c r="B100" i="14"/>
  <c r="AY119" i="7"/>
  <c r="B158" i="17" s="1"/>
  <c r="AZ119" i="7"/>
  <c r="B158" i="18" s="1"/>
  <c r="B109" i="15"/>
  <c r="AZ27" i="7"/>
  <c r="B35" i="18" s="1"/>
  <c r="AY27" i="7"/>
  <c r="B35" i="15"/>
  <c r="AZ43" i="7"/>
  <c r="AY43" i="7"/>
  <c r="B45" i="15"/>
  <c r="V191" i="14"/>
  <c r="V196" i="14"/>
  <c r="AT194" i="7"/>
  <c r="AS194" i="7"/>
  <c r="AR194" i="7"/>
  <c r="AT173" i="7"/>
  <c r="AS173" i="7"/>
  <c r="AR173" i="7"/>
  <c r="AS198" i="7"/>
  <c r="AT198" i="7"/>
  <c r="AR198" i="7"/>
  <c r="AS110" i="7"/>
  <c r="AT110" i="7"/>
  <c r="AR110" i="7"/>
  <c r="AZ20" i="7"/>
  <c r="B28" i="18" s="1"/>
  <c r="B28" i="15"/>
  <c r="AY20" i="7"/>
  <c r="AZ235" i="7"/>
  <c r="B251" i="18" s="1"/>
  <c r="AY235" i="7"/>
  <c r="B251" i="17" s="1"/>
  <c r="B202" i="15"/>
  <c r="BA252" i="7"/>
  <c r="B214" i="19" s="1"/>
  <c r="AW252" i="7"/>
  <c r="B214" i="14"/>
  <c r="AX252" i="7"/>
  <c r="B214" i="16" s="1"/>
  <c r="BA173" i="7"/>
  <c r="B153" i="19" s="1"/>
  <c r="AW173" i="7"/>
  <c r="AX173" i="7"/>
  <c r="B153" i="16" s="1"/>
  <c r="B153" i="14"/>
  <c r="AZ207" i="7"/>
  <c r="B229" i="18" s="1"/>
  <c r="AY207" i="7"/>
  <c r="B229" i="17" s="1"/>
  <c r="B180" i="15"/>
  <c r="AT204" i="7"/>
  <c r="AR204" i="7"/>
  <c r="AS204" i="7"/>
  <c r="B229" i="15"/>
  <c r="AY268" i="7"/>
  <c r="B278" i="17" s="1"/>
  <c r="AZ268" i="7"/>
  <c r="B278" i="18" s="1"/>
  <c r="AZ23" i="7"/>
  <c r="B31" i="18" s="1"/>
  <c r="AY23" i="7"/>
  <c r="B31" i="15"/>
  <c r="AS228" i="7"/>
  <c r="AT228" i="7"/>
  <c r="AR228" i="7"/>
  <c r="AJ140" i="14"/>
  <c r="AJ146" i="14"/>
  <c r="AZ44" i="7"/>
  <c r="AY44" i="7"/>
  <c r="B46" i="15"/>
  <c r="AS45" i="7"/>
  <c r="AR45" i="7"/>
  <c r="AT45" i="7"/>
  <c r="BA194" i="7"/>
  <c r="B168" i="19" s="1"/>
  <c r="AW194" i="7"/>
  <c r="AX194" i="7"/>
  <c r="B168" i="16" s="1"/>
  <c r="B168" i="14"/>
  <c r="AT251" i="7"/>
  <c r="AS251" i="7"/>
  <c r="AR251" i="7"/>
  <c r="BA198" i="7"/>
  <c r="B172" i="19" s="1"/>
  <c r="AW198" i="7"/>
  <c r="B172" i="14"/>
  <c r="AX198" i="7"/>
  <c r="B172" i="16" s="1"/>
  <c r="AZ174" i="7"/>
  <c r="B202" i="18" s="1"/>
  <c r="AY174" i="7"/>
  <c r="B202" i="17" s="1"/>
  <c r="B153" i="15"/>
  <c r="AT109" i="7"/>
  <c r="AS109" i="7"/>
  <c r="AR109" i="7"/>
  <c r="AZ18" i="7"/>
  <c r="B26" i="18" s="1"/>
  <c r="AY18" i="7"/>
  <c r="B26" i="15"/>
  <c r="AZ197" i="7"/>
  <c r="B219" i="18" s="1"/>
  <c r="AY197" i="7"/>
  <c r="B219" i="17" s="1"/>
  <c r="B170" i="15"/>
  <c r="AR106" i="7"/>
  <c r="AT106" i="7"/>
  <c r="AS106" i="7"/>
  <c r="AZ162" i="7"/>
  <c r="B190" i="18" s="1"/>
  <c r="B141" i="15"/>
  <c r="AY162" i="7"/>
  <c r="B190" i="17" s="1"/>
  <c r="AZ165" i="7"/>
  <c r="B193" i="18" s="1"/>
  <c r="AY165" i="7"/>
  <c r="B193" i="17" s="1"/>
  <c r="B144" i="15"/>
  <c r="BA41" i="7"/>
  <c r="B43" i="19" s="1"/>
  <c r="AX41" i="7"/>
  <c r="B43" i="16" s="1"/>
  <c r="AW41" i="7"/>
  <c r="B43" i="14"/>
  <c r="B155" i="15"/>
  <c r="AY176" i="7"/>
  <c r="B204" i="17" s="1"/>
  <c r="AZ176" i="7"/>
  <c r="B204" i="18" s="1"/>
  <c r="AY236" i="7"/>
  <c r="B252" i="17" s="1"/>
  <c r="B203" i="15"/>
  <c r="AZ236" i="7"/>
  <c r="B252" i="18" s="1"/>
  <c r="AZ191" i="7"/>
  <c r="B213" i="18" s="1"/>
  <c r="AY191" i="7"/>
  <c r="B213" i="17" s="1"/>
  <c r="B164" i="15"/>
  <c r="AZ170" i="7"/>
  <c r="B198" i="18" s="1"/>
  <c r="AY170" i="7"/>
  <c r="B198" i="17" s="1"/>
  <c r="B149" i="15"/>
  <c r="AY234" i="7"/>
  <c r="B250" i="17" s="1"/>
  <c r="AZ234" i="7"/>
  <c r="B250" i="18" s="1"/>
  <c r="B201" i="15"/>
  <c r="AZ28" i="7"/>
  <c r="B36" i="18" s="1"/>
  <c r="AY28" i="7"/>
  <c r="B36" i="15"/>
  <c r="AZ12" i="7"/>
  <c r="B20" i="18" s="1"/>
  <c r="AY12" i="7"/>
  <c r="B20" i="15"/>
  <c r="BA228" i="7"/>
  <c r="B196" i="19" s="1"/>
  <c r="AW228" i="7"/>
  <c r="B196" i="14"/>
  <c r="AX228" i="7"/>
  <c r="B196" i="16" s="1"/>
  <c r="AZ10" i="7"/>
  <c r="B18" i="18" s="1"/>
  <c r="B42" i="18" s="1"/>
  <c r="B18" i="15"/>
  <c r="BA45" i="7"/>
  <c r="B47" i="19" s="1"/>
  <c r="AW45" i="7"/>
  <c r="AX45" i="7"/>
  <c r="B47" i="16" s="1"/>
  <c r="B47" i="14"/>
  <c r="AY26" i="7"/>
  <c r="AZ166" i="7"/>
  <c r="B194" i="18" s="1"/>
  <c r="AY166" i="7"/>
  <c r="B194" i="17" s="1"/>
  <c r="B145" i="15"/>
  <c r="BA251" i="7"/>
  <c r="B213" i="19" s="1"/>
  <c r="AW251" i="7"/>
  <c r="AX251" i="7"/>
  <c r="B213" i="16" s="1"/>
  <c r="B213" i="14"/>
  <c r="AY209" i="7"/>
  <c r="B231" i="17" s="1"/>
  <c r="B182" i="15"/>
  <c r="AZ209" i="7"/>
  <c r="B231" i="18" s="1"/>
  <c r="AZ192" i="7"/>
  <c r="B214" i="18" s="1"/>
  <c r="AY192" i="7"/>
  <c r="B214" i="17" s="1"/>
  <c r="B165" i="15"/>
  <c r="AZ264" i="7"/>
  <c r="B274" i="18" s="1"/>
  <c r="AY264" i="7"/>
  <c r="B274" i="17" s="1"/>
  <c r="B225" i="15"/>
  <c r="BA106" i="7"/>
  <c r="B97" i="19" s="1"/>
  <c r="AW106" i="7"/>
  <c r="B97" i="14"/>
  <c r="AX106" i="7"/>
  <c r="B97" i="16" s="1"/>
  <c r="AY250" i="7"/>
  <c r="B260" i="17" s="1"/>
  <c r="AZ250" i="7"/>
  <c r="B260" i="18" s="1"/>
  <c r="B211" i="15"/>
  <c r="B228" i="15"/>
  <c r="AY267" i="7"/>
  <c r="B277" i="17" s="1"/>
  <c r="AZ267" i="7"/>
  <c r="B277" i="18" s="1"/>
  <c r="AT230" i="7"/>
  <c r="AR230" i="7"/>
  <c r="AS230" i="7"/>
  <c r="AY118" i="7"/>
  <c r="B157" i="17" s="1"/>
  <c r="AZ118" i="7"/>
  <c r="B157" i="18" s="1"/>
  <c r="B108" i="15"/>
  <c r="AT202" i="7"/>
  <c r="AS202" i="7"/>
  <c r="AR202" i="7"/>
  <c r="AX101" i="7"/>
  <c r="B92" i="16" s="1"/>
  <c r="B92" i="14"/>
  <c r="BA101" i="7"/>
  <c r="B92" i="19" s="1"/>
  <c r="AW101" i="7"/>
  <c r="AZ16" i="7"/>
  <c r="B24" i="18" s="1"/>
  <c r="AY16" i="7"/>
  <c r="B24" i="15"/>
  <c r="AZ179" i="7"/>
  <c r="B207" i="18" s="1"/>
  <c r="AY179" i="7"/>
  <c r="B207" i="17" s="1"/>
  <c r="B158" i="15"/>
  <c r="AZ112" i="7"/>
  <c r="AY112" i="7"/>
  <c r="B151" i="17" s="1"/>
  <c r="B102" i="15"/>
  <c r="AZ254" i="7"/>
  <c r="B264" i="18" s="1"/>
  <c r="AY254" i="7"/>
  <c r="B264" i="17" s="1"/>
  <c r="B215" i="15"/>
  <c r="AZ172" i="7"/>
  <c r="B200" i="18" s="1"/>
  <c r="AY172" i="7"/>
  <c r="B200" i="17" s="1"/>
  <c r="B151" i="15"/>
  <c r="AZ226" i="7"/>
  <c r="B242" i="18" s="1"/>
  <c r="AY226" i="7"/>
  <c r="B242" i="17" s="1"/>
  <c r="B193" i="15"/>
  <c r="AZ114" i="7"/>
  <c r="B153" i="18" s="1"/>
  <c r="AY114" i="7"/>
  <c r="B153" i="17" s="1"/>
  <c r="B104" i="15"/>
  <c r="AZ266" i="7"/>
  <c r="B276" i="18" s="1"/>
  <c r="AY266" i="7"/>
  <c r="B276" i="17" s="1"/>
  <c r="B227" i="15"/>
  <c r="AZ224" i="7"/>
  <c r="B240" i="18" s="1"/>
  <c r="AY224" i="7"/>
  <c r="B240" i="17" s="1"/>
  <c r="B191" i="15"/>
  <c r="AZ22" i="7"/>
  <c r="B30" i="18" s="1"/>
  <c r="AY22" i="7"/>
  <c r="B30" i="15"/>
  <c r="AZ232" i="7"/>
  <c r="B248" i="18" s="1"/>
  <c r="AY232" i="7"/>
  <c r="B248" i="17" s="1"/>
  <c r="B199" i="15"/>
  <c r="AZ24" i="7"/>
  <c r="B32" i="18" s="1"/>
  <c r="AY24" i="7"/>
  <c r="B32" i="15"/>
  <c r="AZ175" i="7"/>
  <c r="B203" i="18" s="1"/>
  <c r="AY175" i="7"/>
  <c r="B203" i="17" s="1"/>
  <c r="B154" i="15"/>
  <c r="AZ55" i="7"/>
  <c r="AY55" i="7"/>
  <c r="B81" i="17" s="1"/>
  <c r="B105" i="17" s="1"/>
  <c r="B57" i="15"/>
  <c r="AZ203" i="7"/>
  <c r="B225" i="18" s="1"/>
  <c r="AY203" i="7"/>
  <c r="B225" i="17" s="1"/>
  <c r="B176" i="15"/>
  <c r="AZ231" i="7"/>
  <c r="B247" i="18" s="1"/>
  <c r="AY231" i="7"/>
  <c r="B247" i="17" s="1"/>
  <c r="B198" i="15"/>
  <c r="AZ223" i="7"/>
  <c r="B239" i="18" s="1"/>
  <c r="AY223" i="7"/>
  <c r="B239" i="17" s="1"/>
  <c r="B190" i="15"/>
  <c r="AZ177" i="7"/>
  <c r="B205" i="18" s="1"/>
  <c r="AY177" i="7"/>
  <c r="B205" i="17" s="1"/>
  <c r="B156" i="15"/>
  <c r="AZ15" i="7"/>
  <c r="B23" i="18" s="1"/>
  <c r="AY15" i="7"/>
  <c r="B23" i="15"/>
  <c r="AZ167" i="7"/>
  <c r="B195" i="18" s="1"/>
  <c r="AY167" i="7"/>
  <c r="B195" i="17" s="1"/>
  <c r="B146" i="15"/>
  <c r="AZ51" i="7"/>
  <c r="AY51" i="7"/>
  <c r="B53" i="15"/>
  <c r="AJ171" i="16"/>
  <c r="AZ49" i="7"/>
  <c r="AY49" i="7"/>
  <c r="B51" i="15"/>
  <c r="AZ11" i="7"/>
  <c r="B19" i="18" s="1"/>
  <c r="AY11" i="7"/>
  <c r="B19" i="17" s="1"/>
  <c r="B19" i="15"/>
  <c r="AZ169" i="7"/>
  <c r="B197" i="18" s="1"/>
  <c r="AY169" i="7"/>
  <c r="B197" i="17" s="1"/>
  <c r="B148" i="15"/>
  <c r="AZ222" i="7"/>
  <c r="B238" i="18" s="1"/>
  <c r="AY222" i="7"/>
  <c r="B238" i="17" s="1"/>
  <c r="B189" i="15"/>
  <c r="AZ46" i="7"/>
  <c r="AY46" i="7"/>
  <c r="B48" i="15"/>
  <c r="AZ260" i="7"/>
  <c r="B270" i="18" s="1"/>
  <c r="AY260" i="7"/>
  <c r="B270" i="17" s="1"/>
  <c r="B221" i="15"/>
  <c r="AZ107" i="7"/>
  <c r="AY107" i="7"/>
  <c r="B146" i="17" s="1"/>
  <c r="B97" i="15"/>
  <c r="AY40" i="7"/>
  <c r="B66" i="18"/>
  <c r="B42" i="15"/>
  <c r="AZ17" i="7"/>
  <c r="B25" i="18" s="1"/>
  <c r="AY17" i="7"/>
  <c r="B25" i="15"/>
  <c r="AZ47" i="7"/>
  <c r="AY47" i="7"/>
  <c r="B49" i="15"/>
  <c r="AZ263" i="7"/>
  <c r="B273" i="18" s="1"/>
  <c r="AY263" i="7"/>
  <c r="B273" i="17" s="1"/>
  <c r="B224" i="15"/>
  <c r="AZ116" i="7"/>
  <c r="B155" i="18" s="1"/>
  <c r="B106" i="15"/>
  <c r="AY116" i="7"/>
  <c r="B155" i="17" s="1"/>
  <c r="AZ195" i="7"/>
  <c r="B217" i="18" s="1"/>
  <c r="AY195" i="7"/>
  <c r="B217" i="17" s="1"/>
  <c r="B168" i="15"/>
  <c r="AZ19" i="7"/>
  <c r="B27" i="18" s="1"/>
  <c r="AY19" i="7"/>
  <c r="B27" i="15"/>
  <c r="AZ225" i="7"/>
  <c r="B241" i="18" s="1"/>
  <c r="AY225" i="7"/>
  <c r="B241" i="17" s="1"/>
  <c r="B192" i="15"/>
  <c r="AZ239" i="7"/>
  <c r="B255" i="18" s="1"/>
  <c r="AY239" i="7"/>
  <c r="B255" i="17" s="1"/>
  <c r="B206" i="15"/>
  <c r="AZ255" i="7"/>
  <c r="B265" i="18" s="1"/>
  <c r="AY255" i="7"/>
  <c r="B265" i="17" s="1"/>
  <c r="B216" i="15"/>
  <c r="AZ262" i="7"/>
  <c r="B272" i="18" s="1"/>
  <c r="AY262" i="7"/>
  <c r="B272" i="17" s="1"/>
  <c r="B223" i="15"/>
  <c r="AZ25" i="7"/>
  <c r="B33" i="18" s="1"/>
  <c r="AY25" i="7"/>
  <c r="B33" i="15"/>
  <c r="AZ205" i="7"/>
  <c r="B227" i="18" s="1"/>
  <c r="AY205" i="7"/>
  <c r="B227" i="17" s="1"/>
  <c r="B178" i="15"/>
  <c r="AZ201" i="7"/>
  <c r="B223" i="18" s="1"/>
  <c r="AY201" i="7"/>
  <c r="B223" i="17" s="1"/>
  <c r="B174" i="15"/>
  <c r="AZ178" i="7"/>
  <c r="B206" i="18" s="1"/>
  <c r="AY178" i="7"/>
  <c r="B206" i="17" s="1"/>
  <c r="B157" i="15"/>
  <c r="AZ233" i="7"/>
  <c r="B249" i="18" s="1"/>
  <c r="AY233" i="7"/>
  <c r="B249" i="17" s="1"/>
  <c r="B200" i="15"/>
  <c r="AZ111" i="7"/>
  <c r="AY111" i="7"/>
  <c r="B150" i="17" s="1"/>
  <c r="B101" i="15"/>
  <c r="AY52" i="7"/>
  <c r="AZ52" i="7"/>
  <c r="B54" i="15"/>
  <c r="AZ168" i="7"/>
  <c r="B196" i="18" s="1"/>
  <c r="AY168" i="7"/>
  <c r="B196" i="17" s="1"/>
  <c r="B147" i="15"/>
  <c r="AZ103" i="7"/>
  <c r="AY103" i="7"/>
  <c r="B142" i="17" s="1"/>
  <c r="B93" i="15"/>
  <c r="AZ104" i="7"/>
  <c r="AY104" i="7"/>
  <c r="B143" i="17" s="1"/>
  <c r="B94" i="15"/>
  <c r="N215" i="19"/>
  <c r="AZ42" i="7"/>
  <c r="AY42" i="7"/>
  <c r="B44" i="15"/>
  <c r="AZ14" i="7"/>
  <c r="B22" i="18" s="1"/>
  <c r="AY14" i="7"/>
  <c r="B22" i="15"/>
  <c r="AZ58" i="7"/>
  <c r="AY58" i="7"/>
  <c r="B84" i="17" s="1"/>
  <c r="B60" i="15"/>
  <c r="AZ220" i="7"/>
  <c r="B236" i="18" s="1"/>
  <c r="AY220" i="7"/>
  <c r="B236" i="17" s="1"/>
  <c r="B187" i="15"/>
  <c r="AZ199" i="7"/>
  <c r="B221" i="18" s="1"/>
  <c r="AY199" i="7"/>
  <c r="B221" i="17" s="1"/>
  <c r="B172" i="15"/>
  <c r="R4" i="22" l="1"/>
  <c r="R3" i="22"/>
  <c r="M116" i="15"/>
  <c r="W175" i="19"/>
  <c r="W25" i="19"/>
  <c r="K149" i="16"/>
  <c r="M18" i="15"/>
  <c r="I144" i="15"/>
  <c r="I148" i="15"/>
  <c r="AI196" i="15"/>
  <c r="AI197" i="15"/>
  <c r="U126" i="19"/>
  <c r="AA170" i="19"/>
  <c r="AA172" i="19"/>
  <c r="O119" i="16"/>
  <c r="O122" i="16"/>
  <c r="U53" i="16"/>
  <c r="AC66" i="16"/>
  <c r="AD66" i="16" s="1"/>
  <c r="AO20" i="16"/>
  <c r="AP20" i="16" s="1"/>
  <c r="AO27" i="16"/>
  <c r="AP27" i="16" s="1"/>
  <c r="AO25" i="16"/>
  <c r="AP25" i="16" s="1"/>
  <c r="S174" i="16"/>
  <c r="AI94" i="14"/>
  <c r="AJ94" i="14" s="1"/>
  <c r="AI95" i="14"/>
  <c r="AJ95" i="14" s="1"/>
  <c r="U148" i="19"/>
  <c r="U150" i="19"/>
  <c r="V150" i="19" s="1"/>
  <c r="W45" i="19"/>
  <c r="X45" i="19" s="1"/>
  <c r="AO100" i="14"/>
  <c r="AP100" i="14" s="1"/>
  <c r="AO101" i="14"/>
  <c r="AP101" i="14" s="1"/>
  <c r="Y197" i="15"/>
  <c r="Y188" i="15"/>
  <c r="AP124" i="17"/>
  <c r="AP26" i="17"/>
  <c r="AP164" i="17"/>
  <c r="AQ164" i="17" s="1"/>
  <c r="AP19" i="17"/>
  <c r="M123" i="15"/>
  <c r="W171" i="19"/>
  <c r="W24" i="19"/>
  <c r="W23" i="19"/>
  <c r="K146" i="16"/>
  <c r="M22" i="15"/>
  <c r="I150" i="15"/>
  <c r="I139" i="15"/>
  <c r="AI195" i="15"/>
  <c r="U122" i="19"/>
  <c r="U116" i="19"/>
  <c r="AA168" i="19"/>
  <c r="O118" i="16"/>
  <c r="O121" i="16"/>
  <c r="U47" i="16"/>
  <c r="U49" i="16"/>
  <c r="AC74" i="16"/>
  <c r="AC77" i="16"/>
  <c r="AO22" i="16"/>
  <c r="AP22" i="16" s="1"/>
  <c r="AO195" i="16"/>
  <c r="AP195" i="16" s="1"/>
  <c r="AO192" i="16"/>
  <c r="AP192" i="16" s="1"/>
  <c r="S167" i="16"/>
  <c r="S166" i="16"/>
  <c r="T166" i="16" s="1"/>
  <c r="AI101" i="14"/>
  <c r="AJ101" i="14" s="1"/>
  <c r="AI91" i="14"/>
  <c r="AJ91" i="14" s="1"/>
  <c r="U141" i="19"/>
  <c r="U146" i="19"/>
  <c r="W49" i="19"/>
  <c r="AO95" i="14"/>
  <c r="AP95" i="14" s="1"/>
  <c r="AO94" i="14"/>
  <c r="AP94" i="14" s="1"/>
  <c r="Y194" i="15"/>
  <c r="Y195" i="15"/>
  <c r="V70" i="17"/>
  <c r="AJ173" i="17"/>
  <c r="AP120" i="17"/>
  <c r="AP27" i="17"/>
  <c r="AP165" i="17"/>
  <c r="M115" i="15"/>
  <c r="W168" i="19"/>
  <c r="X168" i="19" s="1"/>
  <c r="W18" i="19"/>
  <c r="W20" i="19"/>
  <c r="K147" i="16"/>
  <c r="AC188" i="15"/>
  <c r="M29" i="15"/>
  <c r="I142" i="15"/>
  <c r="I143" i="15"/>
  <c r="AI188" i="15"/>
  <c r="AJ188" i="15" s="1"/>
  <c r="U124" i="19"/>
  <c r="U118" i="19"/>
  <c r="AA169" i="19"/>
  <c r="O126" i="16"/>
  <c r="O117" i="16"/>
  <c r="U51" i="16"/>
  <c r="U52" i="16"/>
  <c r="AC73" i="16"/>
  <c r="AD73" i="16" s="1"/>
  <c r="AC69" i="16"/>
  <c r="AO189" i="16"/>
  <c r="AP189" i="16" s="1"/>
  <c r="AO196" i="16"/>
  <c r="AP196" i="16" s="1"/>
  <c r="AO19" i="16"/>
  <c r="AP19" i="16" s="1"/>
  <c r="S175" i="16"/>
  <c r="S173" i="16"/>
  <c r="AI93" i="14"/>
  <c r="AJ93" i="14" s="1"/>
  <c r="U145" i="19"/>
  <c r="V145" i="19" s="1"/>
  <c r="U140" i="19"/>
  <c r="W48" i="19"/>
  <c r="W47" i="19"/>
  <c r="AO92" i="14"/>
  <c r="AP92" i="14" s="1"/>
  <c r="Y193" i="15"/>
  <c r="V69" i="17"/>
  <c r="V72" i="17"/>
  <c r="AP18" i="17"/>
  <c r="AP20" i="17"/>
  <c r="AP123" i="17"/>
  <c r="M121" i="15"/>
  <c r="W170" i="19"/>
  <c r="W27" i="19"/>
  <c r="W21" i="19"/>
  <c r="X21" i="19" s="1"/>
  <c r="K142" i="16"/>
  <c r="K145" i="16"/>
  <c r="L145" i="16" s="1"/>
  <c r="M21" i="15"/>
  <c r="I140" i="15"/>
  <c r="I147" i="15"/>
  <c r="AI194" i="15"/>
  <c r="U120" i="19"/>
  <c r="U125" i="19"/>
  <c r="AA167" i="19"/>
  <c r="O115" i="16"/>
  <c r="P115" i="16" s="1"/>
  <c r="U44" i="16"/>
  <c r="U48" i="16"/>
  <c r="AC70" i="16"/>
  <c r="AC76" i="16"/>
  <c r="AO197" i="16"/>
  <c r="AP197" i="16" s="1"/>
  <c r="AO24" i="16"/>
  <c r="AP24" i="16" s="1"/>
  <c r="AO29" i="16"/>
  <c r="AP29" i="16" s="1"/>
  <c r="S172" i="16"/>
  <c r="T172" i="16" s="1"/>
  <c r="S165" i="16"/>
  <c r="AI98" i="14"/>
  <c r="AJ98" i="14" s="1"/>
  <c r="M22" i="14"/>
  <c r="U144" i="19"/>
  <c r="U149" i="19"/>
  <c r="W50" i="19"/>
  <c r="W52" i="19"/>
  <c r="AO98" i="14"/>
  <c r="AP98" i="14" s="1"/>
  <c r="Y192" i="15"/>
  <c r="AP28" i="17"/>
  <c r="AP22" i="17"/>
  <c r="AP23" i="17"/>
  <c r="AP119" i="17"/>
  <c r="AP115" i="17"/>
  <c r="M125" i="15"/>
  <c r="M120" i="15"/>
  <c r="W165" i="19"/>
  <c r="W174" i="19"/>
  <c r="W19" i="19"/>
  <c r="W28" i="19"/>
  <c r="AI94" i="19"/>
  <c r="AJ94" i="19" s="1"/>
  <c r="K141" i="16"/>
  <c r="K143" i="16"/>
  <c r="M27" i="15"/>
  <c r="N27" i="15" s="1"/>
  <c r="M20" i="15"/>
  <c r="I149" i="15"/>
  <c r="AI192" i="15"/>
  <c r="U121" i="19"/>
  <c r="U123" i="19"/>
  <c r="AA166" i="19"/>
  <c r="O116" i="16"/>
  <c r="U46" i="16"/>
  <c r="V46" i="16" s="1"/>
  <c r="U42" i="16"/>
  <c r="AC68" i="16"/>
  <c r="AC67" i="16"/>
  <c r="AO194" i="16"/>
  <c r="AP194" i="16" s="1"/>
  <c r="AO191" i="16"/>
  <c r="AP191" i="16" s="1"/>
  <c r="AO26" i="16"/>
  <c r="AP26" i="16" s="1"/>
  <c r="E19" i="16"/>
  <c r="S164" i="16"/>
  <c r="T164" i="16" s="1"/>
  <c r="S169" i="16"/>
  <c r="AI100" i="14"/>
  <c r="AJ100" i="14" s="1"/>
  <c r="U143" i="19"/>
  <c r="W42" i="19"/>
  <c r="W44" i="19"/>
  <c r="AO97" i="14"/>
  <c r="AP97" i="14" s="1"/>
  <c r="Y198" i="15"/>
  <c r="AP174" i="17"/>
  <c r="AP21" i="17"/>
  <c r="AJ25" i="17"/>
  <c r="M119" i="15"/>
  <c r="M122" i="15"/>
  <c r="W173" i="19"/>
  <c r="W169" i="19"/>
  <c r="W22" i="19"/>
  <c r="AI101" i="19"/>
  <c r="AJ101" i="19" s="1"/>
  <c r="K144" i="16"/>
  <c r="K140" i="16"/>
  <c r="M19" i="15"/>
  <c r="M28" i="15"/>
  <c r="I146" i="15"/>
  <c r="AI191" i="15"/>
  <c r="AI193" i="15"/>
  <c r="U115" i="19"/>
  <c r="V115" i="19" s="1"/>
  <c r="AA164" i="19"/>
  <c r="AA173" i="19"/>
  <c r="O124" i="16"/>
  <c r="U45" i="16"/>
  <c r="V45" i="16" s="1"/>
  <c r="AC75" i="16"/>
  <c r="AO23" i="16"/>
  <c r="AP23" i="16" s="1"/>
  <c r="AO199" i="16"/>
  <c r="AP199" i="16" s="1"/>
  <c r="AO193" i="16"/>
  <c r="AP193" i="16" s="1"/>
  <c r="S171" i="16"/>
  <c r="AI92" i="14"/>
  <c r="AJ92" i="14" s="1"/>
  <c r="U147" i="19"/>
  <c r="W46" i="19"/>
  <c r="W43" i="19"/>
  <c r="AO99" i="14"/>
  <c r="AP99" i="14" s="1"/>
  <c r="Y191" i="15"/>
  <c r="V77" i="17"/>
  <c r="AP163" i="17"/>
  <c r="AP167" i="17"/>
  <c r="AP121" i="17"/>
  <c r="M117" i="15"/>
  <c r="W164" i="19"/>
  <c r="X164" i="19" s="1"/>
  <c r="K151" i="16"/>
  <c r="M24" i="15"/>
  <c r="AI187" i="15"/>
  <c r="AJ187" i="15" s="1"/>
  <c r="AA174" i="19"/>
  <c r="AO190" i="16"/>
  <c r="AP190" i="16" s="1"/>
  <c r="AO28" i="16"/>
  <c r="AP28" i="16" s="1"/>
  <c r="AH170" i="19"/>
  <c r="AI96" i="14"/>
  <c r="AJ96" i="14" s="1"/>
  <c r="AO93" i="14"/>
  <c r="AP93" i="14" s="1"/>
  <c r="Y189" i="15"/>
  <c r="AP114" i="17"/>
  <c r="AQ114" i="17" s="1"/>
  <c r="AP118" i="17"/>
  <c r="AP171" i="17"/>
  <c r="AQ171" i="17" s="1"/>
  <c r="AP172" i="17"/>
  <c r="AQ172" i="17" s="1"/>
  <c r="AC53" i="14"/>
  <c r="AC48" i="15"/>
  <c r="AI123" i="15"/>
  <c r="AI20" i="16"/>
  <c r="AJ20" i="16" s="1"/>
  <c r="AI117" i="15"/>
  <c r="AJ117" i="15" s="1"/>
  <c r="AM98" i="16"/>
  <c r="AN98" i="16" s="1"/>
  <c r="E46" i="16"/>
  <c r="G97" i="19"/>
  <c r="E167" i="16"/>
  <c r="AI49" i="19"/>
  <c r="AJ49" i="19" s="1"/>
  <c r="AI43" i="19"/>
  <c r="AJ43" i="19" s="1"/>
  <c r="AI118" i="15"/>
  <c r="AI116" i="15"/>
  <c r="AJ116" i="15" s="1"/>
  <c r="O115" i="19"/>
  <c r="E214" i="16"/>
  <c r="AI93" i="16"/>
  <c r="AJ93" i="16" s="1"/>
  <c r="AA172" i="15"/>
  <c r="AM93" i="16"/>
  <c r="AN93" i="16" s="1"/>
  <c r="AM99" i="16"/>
  <c r="AN99" i="16" s="1"/>
  <c r="AI22" i="16"/>
  <c r="AJ22" i="16" s="1"/>
  <c r="I45" i="19"/>
  <c r="J42" i="19" s="1"/>
  <c r="AI45" i="14"/>
  <c r="AJ45" i="14" s="1"/>
  <c r="AI51" i="14"/>
  <c r="AJ51" i="14" s="1"/>
  <c r="AI193" i="19"/>
  <c r="AJ193" i="19" s="1"/>
  <c r="X66" i="17"/>
  <c r="X71" i="17"/>
  <c r="G98" i="19"/>
  <c r="AI44" i="14"/>
  <c r="AJ44" i="14" s="1"/>
  <c r="U195" i="16"/>
  <c r="G96" i="19"/>
  <c r="E172" i="16"/>
  <c r="AI47" i="19"/>
  <c r="AJ47" i="19" s="1"/>
  <c r="AI115" i="15"/>
  <c r="AI124" i="15"/>
  <c r="AJ124" i="15" s="1"/>
  <c r="M174" i="15"/>
  <c r="O124" i="19"/>
  <c r="E220" i="16"/>
  <c r="F220" i="16" s="1"/>
  <c r="AI94" i="16"/>
  <c r="AJ94" i="16" s="1"/>
  <c r="AA171" i="15"/>
  <c r="AM97" i="16"/>
  <c r="AN97" i="16" s="1"/>
  <c r="AM96" i="16"/>
  <c r="AN96" i="16" s="1"/>
  <c r="S223" i="16"/>
  <c r="AI53" i="14"/>
  <c r="AJ53" i="14" s="1"/>
  <c r="AI50" i="14"/>
  <c r="AJ50" i="14" s="1"/>
  <c r="AE119" i="16"/>
  <c r="G22" i="19"/>
  <c r="AI191" i="19"/>
  <c r="AJ191" i="19" s="1"/>
  <c r="AI125" i="15"/>
  <c r="AJ125" i="15" s="1"/>
  <c r="AM102" i="16"/>
  <c r="AN102" i="16" s="1"/>
  <c r="G99" i="19"/>
  <c r="G93" i="19"/>
  <c r="M44" i="19"/>
  <c r="AI42" i="19"/>
  <c r="AJ42" i="19" s="1"/>
  <c r="AK171" i="19"/>
  <c r="AL171" i="19" s="1"/>
  <c r="M122" i="16"/>
  <c r="AI122" i="15"/>
  <c r="AJ122" i="15" s="1"/>
  <c r="O119" i="19"/>
  <c r="E221" i="16"/>
  <c r="AM94" i="16"/>
  <c r="AN94" i="16" s="1"/>
  <c r="G145" i="14"/>
  <c r="M19" i="19"/>
  <c r="N19" i="19" s="1"/>
  <c r="S221" i="16"/>
  <c r="AC77" i="15"/>
  <c r="AI46" i="14"/>
  <c r="AJ46" i="14" s="1"/>
  <c r="AE117" i="16"/>
  <c r="AI198" i="19"/>
  <c r="AJ198" i="19" s="1"/>
  <c r="AI44" i="19"/>
  <c r="AJ44" i="19" s="1"/>
  <c r="AI46" i="16"/>
  <c r="AJ46" i="16" s="1"/>
  <c r="E170" i="14"/>
  <c r="F170" i="14" s="1"/>
  <c r="G95" i="19"/>
  <c r="G100" i="19"/>
  <c r="AC115" i="16"/>
  <c r="AI51" i="19"/>
  <c r="AJ51" i="19" s="1"/>
  <c r="M123" i="16"/>
  <c r="AI121" i="15"/>
  <c r="G149" i="15"/>
  <c r="O120" i="19"/>
  <c r="P120" i="19" s="1"/>
  <c r="E219" i="16"/>
  <c r="AM101" i="16"/>
  <c r="AN101" i="16" s="1"/>
  <c r="M23" i="19"/>
  <c r="AI90" i="15"/>
  <c r="AC69" i="15"/>
  <c r="AI42" i="14"/>
  <c r="AJ42" i="14" s="1"/>
  <c r="Y193" i="19"/>
  <c r="Y194" i="14"/>
  <c r="AI119" i="15"/>
  <c r="AI45" i="19"/>
  <c r="AJ45" i="19" s="1"/>
  <c r="AI43" i="14"/>
  <c r="AJ43" i="14" s="1"/>
  <c r="G92" i="19"/>
  <c r="G102" i="19"/>
  <c r="AC122" i="16"/>
  <c r="AI50" i="19"/>
  <c r="AJ50" i="19" s="1"/>
  <c r="G169" i="15"/>
  <c r="H169" i="15" s="1"/>
  <c r="M117" i="16"/>
  <c r="AI114" i="15"/>
  <c r="AJ114" i="15" s="1"/>
  <c r="G141" i="15"/>
  <c r="E223" i="16"/>
  <c r="E213" i="16"/>
  <c r="AM100" i="16"/>
  <c r="AN100" i="16" s="1"/>
  <c r="M28" i="19"/>
  <c r="AI95" i="15"/>
  <c r="AC70" i="15"/>
  <c r="AI47" i="14"/>
  <c r="AJ47" i="14" s="1"/>
  <c r="Y198" i="19"/>
  <c r="Y199" i="14"/>
  <c r="S69" i="19"/>
  <c r="G94" i="19"/>
  <c r="AM217" i="14"/>
  <c r="AN217" i="14" s="1"/>
  <c r="AI46" i="19"/>
  <c r="AJ46" i="19" s="1"/>
  <c r="AN21" i="14"/>
  <c r="AO21" i="14" s="1"/>
  <c r="E215" i="16"/>
  <c r="AM212" i="16"/>
  <c r="AN212" i="16" s="1"/>
  <c r="M25" i="19"/>
  <c r="AI101" i="15"/>
  <c r="S99" i="16"/>
  <c r="AC73" i="15"/>
  <c r="AG69" i="15"/>
  <c r="AE119" i="15"/>
  <c r="C163" i="18"/>
  <c r="Y71" i="14"/>
  <c r="Z71" i="14" s="1"/>
  <c r="AC120" i="14"/>
  <c r="U92" i="19"/>
  <c r="AE121" i="19"/>
  <c r="AE122" i="19"/>
  <c r="O192" i="14"/>
  <c r="M53" i="14"/>
  <c r="M47" i="14"/>
  <c r="AC199" i="16"/>
  <c r="N29" i="14"/>
  <c r="O29" i="14" s="1"/>
  <c r="N27" i="14"/>
  <c r="O27" i="14" s="1"/>
  <c r="AI143" i="19"/>
  <c r="AJ143" i="19" s="1"/>
  <c r="AI149" i="19"/>
  <c r="AJ149" i="19" s="1"/>
  <c r="G219" i="16"/>
  <c r="G212" i="16"/>
  <c r="AM100" i="14"/>
  <c r="AN100" i="14" s="1"/>
  <c r="G29" i="19"/>
  <c r="W92" i="19"/>
  <c r="W99" i="19"/>
  <c r="M118" i="19"/>
  <c r="M124" i="19"/>
  <c r="V96" i="17"/>
  <c r="V94" i="17"/>
  <c r="H45" i="17"/>
  <c r="N171" i="17"/>
  <c r="N166" i="17"/>
  <c r="N26" i="17"/>
  <c r="W174" i="16"/>
  <c r="S92" i="14"/>
  <c r="S99" i="14"/>
  <c r="T99" i="14" s="1"/>
  <c r="Y72" i="14"/>
  <c r="Z72" i="14" s="1"/>
  <c r="W166" i="16"/>
  <c r="X166" i="16" s="1"/>
  <c r="AC170" i="14"/>
  <c r="Q70" i="16"/>
  <c r="AM95" i="19"/>
  <c r="AN95" i="19" s="1"/>
  <c r="AM97" i="19"/>
  <c r="AN97" i="19" s="1"/>
  <c r="I93" i="14"/>
  <c r="I95" i="14"/>
  <c r="AC122" i="14"/>
  <c r="AD122" i="14" s="1"/>
  <c r="AC121" i="14"/>
  <c r="AD121" i="14" s="1"/>
  <c r="K143" i="14"/>
  <c r="S96" i="19"/>
  <c r="U101" i="19"/>
  <c r="U91" i="19"/>
  <c r="E215" i="15"/>
  <c r="E217" i="15"/>
  <c r="G219" i="15"/>
  <c r="AE120" i="19"/>
  <c r="AE126" i="19"/>
  <c r="O199" i="14"/>
  <c r="M42" i="14"/>
  <c r="M45" i="14"/>
  <c r="AC188" i="16"/>
  <c r="J20" i="14"/>
  <c r="K20" i="14" s="1"/>
  <c r="N24" i="14"/>
  <c r="O24" i="14" s="1"/>
  <c r="AI147" i="19"/>
  <c r="AJ147" i="19" s="1"/>
  <c r="AI144" i="19"/>
  <c r="AJ144" i="19" s="1"/>
  <c r="G220" i="16"/>
  <c r="G223" i="16"/>
  <c r="O117" i="15"/>
  <c r="O119" i="15"/>
  <c r="AG172" i="19"/>
  <c r="AH172" i="19" s="1"/>
  <c r="U50" i="14"/>
  <c r="AM92" i="14"/>
  <c r="AN92" i="14" s="1"/>
  <c r="G28" i="19"/>
  <c r="W102" i="19"/>
  <c r="W100" i="19"/>
  <c r="U164" i="14"/>
  <c r="U171" i="14"/>
  <c r="Y192" i="16"/>
  <c r="Z192" i="16" s="1"/>
  <c r="Y194" i="16"/>
  <c r="Z194" i="16" s="1"/>
  <c r="AC166" i="19"/>
  <c r="AC167" i="19"/>
  <c r="AD164" i="19" s="1"/>
  <c r="M117" i="19"/>
  <c r="V91" i="17"/>
  <c r="AP53" i="17"/>
  <c r="AJ47" i="17"/>
  <c r="N121" i="17"/>
  <c r="N172" i="17"/>
  <c r="N119" i="17"/>
  <c r="S91" i="14"/>
  <c r="Q66" i="16"/>
  <c r="S96" i="14"/>
  <c r="S95" i="14"/>
  <c r="Y75" i="14"/>
  <c r="Y70" i="14"/>
  <c r="Z70" i="14" s="1"/>
  <c r="W173" i="16"/>
  <c r="X173" i="16" s="1"/>
  <c r="AC165" i="14"/>
  <c r="Q77" i="16"/>
  <c r="AM102" i="19"/>
  <c r="AN102" i="19" s="1"/>
  <c r="AM96" i="19"/>
  <c r="AN96" i="19" s="1"/>
  <c r="I97" i="14"/>
  <c r="AC125" i="14"/>
  <c r="AC119" i="14"/>
  <c r="AD119" i="14" s="1"/>
  <c r="K150" i="14"/>
  <c r="S93" i="19"/>
  <c r="T93" i="19" s="1"/>
  <c r="U97" i="19"/>
  <c r="U102" i="19"/>
  <c r="G211" i="15"/>
  <c r="E220" i="15"/>
  <c r="E214" i="15"/>
  <c r="AE124" i="19"/>
  <c r="E172" i="15"/>
  <c r="O191" i="14"/>
  <c r="P191" i="14" s="1"/>
  <c r="M49" i="14"/>
  <c r="N49" i="14" s="1"/>
  <c r="M46" i="14"/>
  <c r="AC195" i="16"/>
  <c r="N20" i="14"/>
  <c r="O20" i="14" s="1"/>
  <c r="N22" i="14"/>
  <c r="O22" i="14" s="1"/>
  <c r="AI142" i="19"/>
  <c r="AJ142" i="19" s="1"/>
  <c r="Y44" i="19"/>
  <c r="G217" i="16"/>
  <c r="H217" i="16" s="1"/>
  <c r="G222" i="16"/>
  <c r="O114" i="15"/>
  <c r="O116" i="15"/>
  <c r="AG173" i="19"/>
  <c r="AM95" i="14"/>
  <c r="AN95" i="14" s="1"/>
  <c r="W101" i="19"/>
  <c r="W93" i="19"/>
  <c r="U165" i="14"/>
  <c r="V165" i="14" s="1"/>
  <c r="U170" i="14"/>
  <c r="Y198" i="16"/>
  <c r="Y188" i="16"/>
  <c r="AC173" i="19"/>
  <c r="AC172" i="19"/>
  <c r="M116" i="19"/>
  <c r="V100" i="17"/>
  <c r="N25" i="17"/>
  <c r="N173" i="17"/>
  <c r="N18" i="17"/>
  <c r="AM98" i="19"/>
  <c r="AN98" i="19" s="1"/>
  <c r="I94" i="14"/>
  <c r="J94" i="14" s="1"/>
  <c r="S102" i="14"/>
  <c r="S97" i="14"/>
  <c r="T97" i="14" s="1"/>
  <c r="AM19" i="15"/>
  <c r="AN19" i="15" s="1"/>
  <c r="Y68" i="14"/>
  <c r="Z68" i="14" s="1"/>
  <c r="Y66" i="14"/>
  <c r="Z66" i="14" s="1"/>
  <c r="W170" i="16"/>
  <c r="W175" i="16"/>
  <c r="X20" i="14"/>
  <c r="AC164" i="14"/>
  <c r="Q69" i="16"/>
  <c r="AM100" i="19"/>
  <c r="AN100" i="19" s="1"/>
  <c r="AM101" i="19"/>
  <c r="AN101" i="19" s="1"/>
  <c r="I98" i="14"/>
  <c r="J98" i="14" s="1"/>
  <c r="AC117" i="14"/>
  <c r="K145" i="14"/>
  <c r="K142" i="14"/>
  <c r="S73" i="16"/>
  <c r="S92" i="19"/>
  <c r="S94" i="19"/>
  <c r="T94" i="19" s="1"/>
  <c r="U95" i="19"/>
  <c r="U99" i="19"/>
  <c r="G212" i="15"/>
  <c r="G221" i="15"/>
  <c r="E216" i="15"/>
  <c r="AE119" i="19"/>
  <c r="O193" i="14"/>
  <c r="O194" i="14"/>
  <c r="M52" i="14"/>
  <c r="N52" i="14" s="1"/>
  <c r="AC192" i="16"/>
  <c r="AD192" i="16" s="1"/>
  <c r="N28" i="14"/>
  <c r="O28" i="14" s="1"/>
  <c r="N19" i="14"/>
  <c r="O19" i="14" s="1"/>
  <c r="AI141" i="19"/>
  <c r="AJ141" i="19" s="1"/>
  <c r="G216" i="16"/>
  <c r="O123" i="15"/>
  <c r="AG169" i="19"/>
  <c r="AM102" i="14"/>
  <c r="AN102" i="14" s="1"/>
  <c r="AM96" i="14"/>
  <c r="AN96" i="14" s="1"/>
  <c r="W94" i="19"/>
  <c r="W95" i="19"/>
  <c r="U168" i="14"/>
  <c r="Y190" i="16"/>
  <c r="AC171" i="19"/>
  <c r="AD171" i="19" s="1"/>
  <c r="AC174" i="19"/>
  <c r="M120" i="19"/>
  <c r="V98" i="17"/>
  <c r="V95" i="17"/>
  <c r="V92" i="17"/>
  <c r="N168" i="17"/>
  <c r="N124" i="17"/>
  <c r="S93" i="14"/>
  <c r="T93" i="14" s="1"/>
  <c r="AC175" i="14"/>
  <c r="I100" i="14"/>
  <c r="J100" i="14" s="1"/>
  <c r="AC118" i="14"/>
  <c r="S94" i="14"/>
  <c r="S67" i="15"/>
  <c r="AM26" i="15"/>
  <c r="Y73" i="14"/>
  <c r="Y67" i="14"/>
  <c r="Z67" i="14" s="1"/>
  <c r="W169" i="16"/>
  <c r="W165" i="16"/>
  <c r="X165" i="16" s="1"/>
  <c r="Q68" i="16"/>
  <c r="Q76" i="16"/>
  <c r="AM93" i="19"/>
  <c r="AN93" i="19" s="1"/>
  <c r="AM91" i="19"/>
  <c r="AN91" i="19" s="1"/>
  <c r="I101" i="14"/>
  <c r="AC124" i="14"/>
  <c r="AD124" i="14" s="1"/>
  <c r="K146" i="14"/>
  <c r="K149" i="14"/>
  <c r="S91" i="19"/>
  <c r="S99" i="19"/>
  <c r="U96" i="19"/>
  <c r="U98" i="19"/>
  <c r="G214" i="15"/>
  <c r="E219" i="15"/>
  <c r="G213" i="15"/>
  <c r="AE116" i="19"/>
  <c r="O197" i="14"/>
  <c r="O198" i="14"/>
  <c r="M50" i="14"/>
  <c r="AC191" i="16"/>
  <c r="AC194" i="16"/>
  <c r="N23" i="14"/>
  <c r="O23" i="14" s="1"/>
  <c r="N26" i="14"/>
  <c r="O26" i="14" s="1"/>
  <c r="AI148" i="19"/>
  <c r="AJ148" i="19" s="1"/>
  <c r="G221" i="16"/>
  <c r="O124" i="15"/>
  <c r="AG166" i="19"/>
  <c r="AG165" i="19"/>
  <c r="AM98" i="14"/>
  <c r="AN98" i="14" s="1"/>
  <c r="AM99" i="14"/>
  <c r="AN99" i="14" s="1"/>
  <c r="W98" i="19"/>
  <c r="U175" i="14"/>
  <c r="V175" i="14" s="1"/>
  <c r="Y197" i="16"/>
  <c r="AC169" i="19"/>
  <c r="M115" i="19"/>
  <c r="N169" i="17"/>
  <c r="N125" i="17"/>
  <c r="N22" i="17"/>
  <c r="Y76" i="14"/>
  <c r="Z76" i="14" s="1"/>
  <c r="W171" i="16"/>
  <c r="X171" i="16" s="1"/>
  <c r="Q73" i="16"/>
  <c r="Q67" i="16"/>
  <c r="AM92" i="19"/>
  <c r="AN92" i="19" s="1"/>
  <c r="I96" i="14"/>
  <c r="AC115" i="14"/>
  <c r="U94" i="19"/>
  <c r="V125" i="19" s="1"/>
  <c r="AE118" i="19"/>
  <c r="O189" i="14"/>
  <c r="P189" i="14" s="1"/>
  <c r="O190" i="14"/>
  <c r="M43" i="14"/>
  <c r="AC189" i="16"/>
  <c r="AC198" i="16"/>
  <c r="N21" i="14"/>
  <c r="O21" i="14" s="1"/>
  <c r="AI145" i="19"/>
  <c r="AJ145" i="19" s="1"/>
  <c r="G215" i="16"/>
  <c r="O115" i="15"/>
  <c r="AG174" i="19"/>
  <c r="AG164" i="19"/>
  <c r="AM94" i="14"/>
  <c r="AN94" i="14" s="1"/>
  <c r="AM91" i="14"/>
  <c r="AN91" i="14" s="1"/>
  <c r="W97" i="19"/>
  <c r="AI18" i="15"/>
  <c r="AJ18" i="15" s="1"/>
  <c r="U167" i="14"/>
  <c r="V167" i="14" s="1"/>
  <c r="Y199" i="16"/>
  <c r="Z199" i="16" s="1"/>
  <c r="AC165" i="19"/>
  <c r="AD165" i="19" s="1"/>
  <c r="M125" i="19"/>
  <c r="M126" i="19"/>
  <c r="V97" i="17"/>
  <c r="V93" i="17"/>
  <c r="AJ49" i="17"/>
  <c r="N120" i="17"/>
  <c r="N29" i="17"/>
  <c r="N123" i="17"/>
  <c r="S101" i="14"/>
  <c r="AM24" i="15"/>
  <c r="Y74" i="14"/>
  <c r="W164" i="16"/>
  <c r="AM21" i="15"/>
  <c r="AN21" i="15" s="1"/>
  <c r="T218" i="19"/>
  <c r="W168" i="16"/>
  <c r="X168" i="16" s="1"/>
  <c r="Q72" i="16"/>
  <c r="I92" i="14"/>
  <c r="K144" i="14"/>
  <c r="S95" i="19"/>
  <c r="E221" i="15"/>
  <c r="E218" i="15"/>
  <c r="AE125" i="19"/>
  <c r="O188" i="14"/>
  <c r="P188" i="14" s="1"/>
  <c r="AC196" i="16"/>
  <c r="AD196" i="16" s="1"/>
  <c r="AI146" i="19"/>
  <c r="AJ146" i="19" s="1"/>
  <c r="AG171" i="19"/>
  <c r="AM101" i="14"/>
  <c r="AN101" i="14" s="1"/>
  <c r="M122" i="19"/>
  <c r="N118" i="17"/>
  <c r="N21" i="17"/>
  <c r="N164" i="17"/>
  <c r="N20" i="17"/>
  <c r="N114" i="17"/>
  <c r="U190" i="16"/>
  <c r="M168" i="15"/>
  <c r="AG70" i="15"/>
  <c r="Y196" i="14"/>
  <c r="Z196" i="14" s="1"/>
  <c r="E48" i="16"/>
  <c r="U197" i="16"/>
  <c r="U194" i="16"/>
  <c r="E169" i="16"/>
  <c r="E165" i="16"/>
  <c r="M53" i="19"/>
  <c r="AC45" i="15"/>
  <c r="AM219" i="14"/>
  <c r="AN219" i="14" s="1"/>
  <c r="G174" i="15"/>
  <c r="G168" i="15"/>
  <c r="M119" i="16"/>
  <c r="O144" i="16"/>
  <c r="O145" i="16"/>
  <c r="G139" i="15"/>
  <c r="M166" i="15"/>
  <c r="O126" i="19"/>
  <c r="O118" i="19"/>
  <c r="E49" i="14"/>
  <c r="E166" i="14"/>
  <c r="AI92" i="16"/>
  <c r="AJ92" i="16" s="1"/>
  <c r="AI99" i="16"/>
  <c r="AJ99" i="16" s="1"/>
  <c r="AA170" i="15"/>
  <c r="Y52" i="16"/>
  <c r="AI24" i="16"/>
  <c r="AJ24" i="16" s="1"/>
  <c r="AI21" i="16"/>
  <c r="AJ21" i="16" s="1"/>
  <c r="AM222" i="16"/>
  <c r="AN222" i="16" s="1"/>
  <c r="AM217" i="16"/>
  <c r="AN217" i="16" s="1"/>
  <c r="G143" i="14"/>
  <c r="G151" i="14"/>
  <c r="M18" i="19"/>
  <c r="S216" i="16"/>
  <c r="S222" i="16"/>
  <c r="T222" i="16" s="1"/>
  <c r="W102" i="16"/>
  <c r="AC76" i="15"/>
  <c r="AD76" i="15" s="1"/>
  <c r="AE124" i="16"/>
  <c r="Y188" i="19"/>
  <c r="AG76" i="15"/>
  <c r="AG74" i="15"/>
  <c r="S75" i="19"/>
  <c r="S76" i="19"/>
  <c r="T76" i="19" s="1"/>
  <c r="AE125" i="15"/>
  <c r="AI188" i="19"/>
  <c r="AJ188" i="19" s="1"/>
  <c r="AI190" i="19"/>
  <c r="AJ190" i="19" s="1"/>
  <c r="Y193" i="14"/>
  <c r="X68" i="17"/>
  <c r="E42" i="16"/>
  <c r="U189" i="16"/>
  <c r="U198" i="16"/>
  <c r="E175" i="16"/>
  <c r="M46" i="19"/>
  <c r="N46" i="19" s="1"/>
  <c r="M48" i="19"/>
  <c r="AC42" i="15"/>
  <c r="AM212" i="14"/>
  <c r="AN212" i="14" s="1"/>
  <c r="G172" i="15"/>
  <c r="G171" i="15"/>
  <c r="M120" i="16"/>
  <c r="O141" i="16"/>
  <c r="O142" i="16"/>
  <c r="G148" i="15"/>
  <c r="M173" i="15"/>
  <c r="O116" i="19"/>
  <c r="O117" i="19"/>
  <c r="E53" i="14"/>
  <c r="E173" i="14"/>
  <c r="F173" i="14" s="1"/>
  <c r="AI91" i="16"/>
  <c r="AJ91" i="16" s="1"/>
  <c r="AI96" i="16"/>
  <c r="AJ96" i="16" s="1"/>
  <c r="AA166" i="15"/>
  <c r="Y48" i="16"/>
  <c r="AI27" i="16"/>
  <c r="AJ27" i="16" s="1"/>
  <c r="AI25" i="16"/>
  <c r="AJ25" i="16" s="1"/>
  <c r="AM214" i="16"/>
  <c r="AN214" i="16" s="1"/>
  <c r="AM216" i="16"/>
  <c r="AN216" i="16" s="1"/>
  <c r="G150" i="14"/>
  <c r="G146" i="14"/>
  <c r="H146" i="14" s="1"/>
  <c r="M22" i="19"/>
  <c r="S215" i="16"/>
  <c r="S213" i="16"/>
  <c r="W92" i="16"/>
  <c r="AC72" i="15"/>
  <c r="AE121" i="16"/>
  <c r="Y197" i="19"/>
  <c r="Y190" i="19"/>
  <c r="Z190" i="19" s="1"/>
  <c r="AG75" i="15"/>
  <c r="S71" i="19"/>
  <c r="S66" i="19"/>
  <c r="AE124" i="15"/>
  <c r="AI189" i="19"/>
  <c r="AJ189" i="19" s="1"/>
  <c r="AI194" i="19"/>
  <c r="AJ194" i="19" s="1"/>
  <c r="Y192" i="14"/>
  <c r="X77" i="17"/>
  <c r="X70" i="17"/>
  <c r="AM218" i="14"/>
  <c r="AN218" i="14" s="1"/>
  <c r="AI101" i="16"/>
  <c r="AJ101" i="16" s="1"/>
  <c r="AI28" i="16"/>
  <c r="AJ28" i="16" s="1"/>
  <c r="AM218" i="16"/>
  <c r="AN218" i="16" s="1"/>
  <c r="S68" i="19"/>
  <c r="T68" i="19" s="1"/>
  <c r="X76" i="17"/>
  <c r="E45" i="16"/>
  <c r="F67" i="16" s="1"/>
  <c r="U191" i="16"/>
  <c r="V196" i="16" s="1"/>
  <c r="U193" i="16"/>
  <c r="E164" i="16"/>
  <c r="M51" i="19"/>
  <c r="M42" i="19"/>
  <c r="AC53" i="15"/>
  <c r="AM216" i="14"/>
  <c r="AN216" i="14" s="1"/>
  <c r="G165" i="15"/>
  <c r="G163" i="15"/>
  <c r="M125" i="16"/>
  <c r="O151" i="16"/>
  <c r="O140" i="16"/>
  <c r="G143" i="15"/>
  <c r="G147" i="15"/>
  <c r="H147" i="15" s="1"/>
  <c r="M164" i="15"/>
  <c r="N164" i="15" s="1"/>
  <c r="M169" i="15"/>
  <c r="N169" i="15" s="1"/>
  <c r="O125" i="19"/>
  <c r="E44" i="14"/>
  <c r="E164" i="14"/>
  <c r="E169" i="14"/>
  <c r="AI98" i="16"/>
  <c r="AJ98" i="16" s="1"/>
  <c r="AA174" i="15"/>
  <c r="AA164" i="15"/>
  <c r="Y47" i="16"/>
  <c r="Y53" i="16"/>
  <c r="AI23" i="16"/>
  <c r="AJ23" i="16" s="1"/>
  <c r="AM220" i="16"/>
  <c r="AN220" i="16" s="1"/>
  <c r="G142" i="14"/>
  <c r="G148" i="14"/>
  <c r="M21" i="19"/>
  <c r="N27" i="19" s="1"/>
  <c r="I191" i="14"/>
  <c r="S219" i="16"/>
  <c r="T219" i="16" s="1"/>
  <c r="S220" i="16"/>
  <c r="T220" i="16" s="1"/>
  <c r="AC199" i="14"/>
  <c r="AC68" i="15"/>
  <c r="AE120" i="16"/>
  <c r="Y196" i="19"/>
  <c r="Y192" i="19"/>
  <c r="Z192" i="19" s="1"/>
  <c r="AG67" i="15"/>
  <c r="S67" i="19"/>
  <c r="T67" i="19" s="1"/>
  <c r="S74" i="19"/>
  <c r="T74" i="19" s="1"/>
  <c r="AE117" i="15"/>
  <c r="AI196" i="19"/>
  <c r="AJ196" i="19" s="1"/>
  <c r="AI197" i="19"/>
  <c r="AJ197" i="19" s="1"/>
  <c r="Y198" i="14"/>
  <c r="X74" i="17"/>
  <c r="X67" i="17"/>
  <c r="U192" i="16"/>
  <c r="V192" i="16" s="1"/>
  <c r="E170" i="16"/>
  <c r="F170" i="16" s="1"/>
  <c r="G173" i="15"/>
  <c r="E174" i="14"/>
  <c r="X69" i="17"/>
  <c r="E51" i="16"/>
  <c r="E47" i="16"/>
  <c r="F47" i="16" s="1"/>
  <c r="U196" i="16"/>
  <c r="E174" i="16"/>
  <c r="F174" i="16" s="1"/>
  <c r="M43" i="19"/>
  <c r="N43" i="19" s="1"/>
  <c r="M45" i="19"/>
  <c r="AC52" i="15"/>
  <c r="AC47" i="15"/>
  <c r="AM223" i="14"/>
  <c r="AN223" i="14" s="1"/>
  <c r="G166" i="15"/>
  <c r="H171" i="15" s="1"/>
  <c r="M121" i="16"/>
  <c r="M116" i="16"/>
  <c r="O150" i="16"/>
  <c r="O147" i="16"/>
  <c r="G150" i="15"/>
  <c r="G140" i="15"/>
  <c r="M172" i="15"/>
  <c r="M165" i="15"/>
  <c r="N165" i="15" s="1"/>
  <c r="O123" i="19"/>
  <c r="G90" i="15"/>
  <c r="E168" i="14"/>
  <c r="F168" i="14" s="1"/>
  <c r="E165" i="14"/>
  <c r="AI95" i="16"/>
  <c r="AJ95" i="16" s="1"/>
  <c r="AA173" i="15"/>
  <c r="AA169" i="15"/>
  <c r="Y51" i="16"/>
  <c r="Y45" i="16"/>
  <c r="AI19" i="16"/>
  <c r="AJ19" i="16" s="1"/>
  <c r="AM221" i="16"/>
  <c r="AN221" i="16" s="1"/>
  <c r="G149" i="14"/>
  <c r="G144" i="14"/>
  <c r="M27" i="19"/>
  <c r="S218" i="16"/>
  <c r="S214" i="16"/>
  <c r="T214" i="16" s="1"/>
  <c r="AC195" i="14"/>
  <c r="AC75" i="15"/>
  <c r="AD75" i="15" s="1"/>
  <c r="AE125" i="16"/>
  <c r="AE116" i="16"/>
  <c r="Y195" i="19"/>
  <c r="Y189" i="19"/>
  <c r="AG71" i="15"/>
  <c r="S70" i="19"/>
  <c r="T70" i="19" s="1"/>
  <c r="AE116" i="15"/>
  <c r="AE122" i="15"/>
  <c r="AI192" i="19"/>
  <c r="AJ192" i="19" s="1"/>
  <c r="Y189" i="14"/>
  <c r="Y191" i="14"/>
  <c r="AM337" i="13"/>
  <c r="E171" i="16"/>
  <c r="M49" i="19"/>
  <c r="N49" i="19" s="1"/>
  <c r="G167" i="15"/>
  <c r="O143" i="16"/>
  <c r="AI100" i="16"/>
  <c r="AJ100" i="16" s="1"/>
  <c r="AM223" i="16"/>
  <c r="AN223" i="16" s="1"/>
  <c r="AE115" i="16"/>
  <c r="AG68" i="15"/>
  <c r="S72" i="19"/>
  <c r="E43" i="16"/>
  <c r="E52" i="16"/>
  <c r="U199" i="16"/>
  <c r="E168" i="16"/>
  <c r="F168" i="16" s="1"/>
  <c r="M50" i="19"/>
  <c r="M47" i="19"/>
  <c r="AC43" i="15"/>
  <c r="AC46" i="15"/>
  <c r="AM221" i="14"/>
  <c r="AN221" i="14" s="1"/>
  <c r="AM215" i="14"/>
  <c r="AN215" i="14" s="1"/>
  <c r="G170" i="15"/>
  <c r="M118" i="16"/>
  <c r="M115" i="16"/>
  <c r="O149" i="16"/>
  <c r="G144" i="15"/>
  <c r="G145" i="15"/>
  <c r="M171" i="15"/>
  <c r="N171" i="15" s="1"/>
  <c r="M163" i="15"/>
  <c r="N163" i="15" s="1"/>
  <c r="O121" i="19"/>
  <c r="G101" i="15"/>
  <c r="E175" i="14"/>
  <c r="E172" i="14"/>
  <c r="AI97" i="16"/>
  <c r="AJ97" i="16" s="1"/>
  <c r="AO100" i="19"/>
  <c r="AP100" i="19" s="1"/>
  <c r="AA163" i="15"/>
  <c r="AA165" i="15"/>
  <c r="Y50" i="16"/>
  <c r="Z50" i="16" s="1"/>
  <c r="Y46" i="16"/>
  <c r="AI18" i="16"/>
  <c r="AJ18" i="16" s="1"/>
  <c r="AM215" i="16"/>
  <c r="AN215" i="16" s="1"/>
  <c r="G147" i="14"/>
  <c r="M29" i="19"/>
  <c r="M26" i="19"/>
  <c r="N26" i="19" s="1"/>
  <c r="S212" i="16"/>
  <c r="AC67" i="15"/>
  <c r="AD67" i="15" s="1"/>
  <c r="AC74" i="15"/>
  <c r="AD74" i="15" s="1"/>
  <c r="AE118" i="16"/>
  <c r="AE122" i="16"/>
  <c r="Y199" i="19"/>
  <c r="Z199" i="19" s="1"/>
  <c r="Y191" i="19"/>
  <c r="Z191" i="19" s="1"/>
  <c r="AG72" i="15"/>
  <c r="S73" i="19"/>
  <c r="T73" i="19" s="1"/>
  <c r="AE121" i="15"/>
  <c r="AE123" i="15"/>
  <c r="AI195" i="19"/>
  <c r="AJ195" i="19" s="1"/>
  <c r="Y195" i="14"/>
  <c r="Y190" i="14"/>
  <c r="U142" i="16"/>
  <c r="X75" i="17"/>
  <c r="AP125" i="17"/>
  <c r="AC44" i="15"/>
  <c r="AD44" i="15" s="1"/>
  <c r="AM214" i="14"/>
  <c r="AN214" i="14" s="1"/>
  <c r="AI29" i="16"/>
  <c r="AJ29" i="16" s="1"/>
  <c r="G140" i="14"/>
  <c r="E50" i="16"/>
  <c r="E166" i="16"/>
  <c r="AC51" i="15"/>
  <c r="AD51" i="15" s="1"/>
  <c r="AM220" i="14"/>
  <c r="AN220" i="14" s="1"/>
  <c r="M126" i="16"/>
  <c r="G142" i="15"/>
  <c r="H140" i="15" s="1"/>
  <c r="M170" i="15"/>
  <c r="E167" i="14"/>
  <c r="AO91" i="19"/>
  <c r="AP91" i="19" s="1"/>
  <c r="AA167" i="15"/>
  <c r="Y43" i="16"/>
  <c r="M20" i="19"/>
  <c r="AC71" i="15"/>
  <c r="AD71" i="15" s="1"/>
  <c r="AE126" i="16"/>
  <c r="AG77" i="15"/>
  <c r="AC146" i="14"/>
  <c r="AE120" i="15"/>
  <c r="Y197" i="14"/>
  <c r="X73" i="17"/>
  <c r="M66" i="16"/>
  <c r="N66" i="16" s="1"/>
  <c r="AI100" i="19"/>
  <c r="AJ100" i="19" s="1"/>
  <c r="AG75" i="19"/>
  <c r="AG66" i="19"/>
  <c r="U97" i="14"/>
  <c r="U102" i="14"/>
  <c r="Q25" i="19"/>
  <c r="U43" i="19"/>
  <c r="V43" i="19" s="1"/>
  <c r="U44" i="19"/>
  <c r="V44" i="19" s="1"/>
  <c r="AO92" i="19"/>
  <c r="AP92" i="19" s="1"/>
  <c r="AO94" i="19"/>
  <c r="AP94" i="19" s="1"/>
  <c r="AK163" i="15"/>
  <c r="O92" i="15"/>
  <c r="O94" i="15"/>
  <c r="Q69" i="14"/>
  <c r="Q67" i="14"/>
  <c r="I143" i="16"/>
  <c r="AG77" i="16"/>
  <c r="G24" i="15"/>
  <c r="H24" i="15" s="1"/>
  <c r="N51" i="17"/>
  <c r="N46" i="17"/>
  <c r="N163" i="17"/>
  <c r="M72" i="16"/>
  <c r="AI99" i="19"/>
  <c r="AJ99" i="19" s="1"/>
  <c r="AG68" i="19"/>
  <c r="AG77" i="19"/>
  <c r="U101" i="14"/>
  <c r="Q23" i="19"/>
  <c r="U50" i="19"/>
  <c r="U46" i="19"/>
  <c r="AO99" i="19"/>
  <c r="AP99" i="19" s="1"/>
  <c r="AO93" i="19"/>
  <c r="AP93" i="19" s="1"/>
  <c r="AK174" i="15"/>
  <c r="O90" i="15"/>
  <c r="Q77" i="14"/>
  <c r="Q74" i="14"/>
  <c r="Y49" i="14"/>
  <c r="I146" i="16"/>
  <c r="AG69" i="16"/>
  <c r="G22" i="15"/>
  <c r="H22" i="15" s="1"/>
  <c r="N53" i="17"/>
  <c r="M68" i="16"/>
  <c r="N68" i="16" s="1"/>
  <c r="M70" i="16"/>
  <c r="N70" i="16" s="1"/>
  <c r="AI98" i="19"/>
  <c r="AJ98" i="19" s="1"/>
  <c r="AG70" i="19"/>
  <c r="AG76" i="19"/>
  <c r="L93" i="14"/>
  <c r="U91" i="14"/>
  <c r="Q18" i="19"/>
  <c r="U49" i="19"/>
  <c r="V49" i="19" s="1"/>
  <c r="AO98" i="19"/>
  <c r="AP98" i="19" s="1"/>
  <c r="AK172" i="15"/>
  <c r="AK168" i="15"/>
  <c r="O100" i="15"/>
  <c r="Q73" i="14"/>
  <c r="G171" i="14"/>
  <c r="I150" i="16"/>
  <c r="J150" i="16" s="1"/>
  <c r="AG76" i="16"/>
  <c r="M76" i="16"/>
  <c r="N76" i="16" s="1"/>
  <c r="M77" i="16"/>
  <c r="AI96" i="19"/>
  <c r="AJ96" i="19" s="1"/>
  <c r="AG73" i="19"/>
  <c r="AG74" i="19"/>
  <c r="U94" i="14"/>
  <c r="V124" i="14" s="1"/>
  <c r="Q28" i="19"/>
  <c r="Q20" i="19"/>
  <c r="R20" i="19" s="1"/>
  <c r="V195" i="14"/>
  <c r="U53" i="19"/>
  <c r="AO97" i="19"/>
  <c r="AP97" i="19" s="1"/>
  <c r="AK171" i="15"/>
  <c r="AK167" i="15"/>
  <c r="O99" i="15"/>
  <c r="Q72" i="14"/>
  <c r="G169" i="14"/>
  <c r="I151" i="16"/>
  <c r="I145" i="16"/>
  <c r="AG72" i="16"/>
  <c r="AG68" i="16"/>
  <c r="M71" i="16"/>
  <c r="M69" i="16"/>
  <c r="N69" i="16" s="1"/>
  <c r="AI93" i="19"/>
  <c r="AJ93" i="19" s="1"/>
  <c r="AI91" i="19"/>
  <c r="AJ91" i="19" s="1"/>
  <c r="AG69" i="19"/>
  <c r="U100" i="14"/>
  <c r="Q27" i="19"/>
  <c r="Q22" i="19"/>
  <c r="U45" i="19"/>
  <c r="V45" i="19" s="1"/>
  <c r="AO101" i="19"/>
  <c r="AP101" i="19" s="1"/>
  <c r="E49" i="19"/>
  <c r="AK170" i="15"/>
  <c r="AL170" i="15" s="1"/>
  <c r="AK166" i="15"/>
  <c r="O91" i="15"/>
  <c r="Q70" i="14"/>
  <c r="G166" i="14"/>
  <c r="S141" i="16"/>
  <c r="I144" i="16"/>
  <c r="I142" i="16"/>
  <c r="J142" i="16" s="1"/>
  <c r="AG71" i="16"/>
  <c r="AG67" i="16"/>
  <c r="N44" i="17"/>
  <c r="M73" i="16"/>
  <c r="M67" i="16"/>
  <c r="AI92" i="19"/>
  <c r="AJ92" i="19" s="1"/>
  <c r="AI97" i="19"/>
  <c r="AJ97" i="19" s="1"/>
  <c r="AG72" i="19"/>
  <c r="U93" i="14"/>
  <c r="U99" i="14"/>
  <c r="Q21" i="19"/>
  <c r="R29" i="19" s="1"/>
  <c r="Q19" i="19"/>
  <c r="V194" i="14"/>
  <c r="U51" i="19"/>
  <c r="V51" i="19" s="1"/>
  <c r="AO95" i="19"/>
  <c r="AP95" i="19" s="1"/>
  <c r="AK165" i="15"/>
  <c r="AK173" i="15"/>
  <c r="AL173" i="15" s="1"/>
  <c r="O98" i="15"/>
  <c r="O95" i="15"/>
  <c r="Q66" i="14"/>
  <c r="I148" i="16"/>
  <c r="I149" i="16"/>
  <c r="AG73" i="16"/>
  <c r="AG75" i="16"/>
  <c r="N48" i="17"/>
  <c r="N49" i="17"/>
  <c r="N42" i="17"/>
  <c r="AN44" i="16"/>
  <c r="AI102" i="19"/>
  <c r="AJ102" i="19" s="1"/>
  <c r="AC189" i="15"/>
  <c r="U95" i="14"/>
  <c r="V95" i="14" s="1"/>
  <c r="Q24" i="19"/>
  <c r="V193" i="14"/>
  <c r="U52" i="19"/>
  <c r="AO96" i="19"/>
  <c r="AP96" i="19" s="1"/>
  <c r="O101" i="15"/>
  <c r="Q68" i="14"/>
  <c r="I140" i="16"/>
  <c r="AG66" i="16"/>
  <c r="G20" i="15"/>
  <c r="H20" i="15" s="1"/>
  <c r="N45" i="17"/>
  <c r="N43" i="17"/>
  <c r="N50" i="17"/>
  <c r="N23" i="17"/>
  <c r="Y122" i="21"/>
  <c r="Y116" i="21"/>
  <c r="Y117" i="21"/>
  <c r="Y123" i="21"/>
  <c r="Y118" i="21"/>
  <c r="Y125" i="21"/>
  <c r="Y121" i="21"/>
  <c r="J170" i="17"/>
  <c r="AA208" i="21"/>
  <c r="Z208" i="21" s="1"/>
  <c r="AN45" i="14"/>
  <c r="AN74" i="14"/>
  <c r="AN47" i="14"/>
  <c r="AN67" i="14"/>
  <c r="AN49" i="14"/>
  <c r="AN75" i="14"/>
  <c r="AN48" i="14"/>
  <c r="AN68" i="14"/>
  <c r="AN53" i="14"/>
  <c r="AN46" i="14"/>
  <c r="AN72" i="14"/>
  <c r="AN77" i="14"/>
  <c r="AN42" i="14"/>
  <c r="AN51" i="14"/>
  <c r="AN66" i="14"/>
  <c r="AN69" i="14"/>
  <c r="AN72" i="16"/>
  <c r="AN70" i="16"/>
  <c r="AN76" i="16"/>
  <c r="AN77" i="16"/>
  <c r="AN48" i="16"/>
  <c r="AN50" i="16"/>
  <c r="AN67" i="16"/>
  <c r="AN66" i="16"/>
  <c r="AN47" i="16"/>
  <c r="AN46" i="16"/>
  <c r="AN43" i="16"/>
  <c r="AN71" i="16"/>
  <c r="AZ229" i="7"/>
  <c r="B245" i="18" s="1"/>
  <c r="AN53" i="16"/>
  <c r="AN75" i="16"/>
  <c r="AN45" i="16"/>
  <c r="AN74" i="16"/>
  <c r="AN52" i="16"/>
  <c r="AN73" i="16"/>
  <c r="AZ26" i="7"/>
  <c r="B34" i="18" s="1"/>
  <c r="V191" i="16"/>
  <c r="AN67" i="19"/>
  <c r="AN73" i="19"/>
  <c r="AY100" i="7"/>
  <c r="B139" i="17" s="1"/>
  <c r="AN72" i="19"/>
  <c r="AZ100" i="7"/>
  <c r="AN77" i="19"/>
  <c r="P215" i="16"/>
  <c r="AN70" i="19"/>
  <c r="AN69" i="19"/>
  <c r="B217" i="15"/>
  <c r="AZ256" i="7"/>
  <c r="B266" i="18" s="1"/>
  <c r="V193" i="19"/>
  <c r="V191" i="19"/>
  <c r="B196" i="15"/>
  <c r="V195" i="15" s="1"/>
  <c r="AY83" i="7"/>
  <c r="B127" i="17" s="1"/>
  <c r="AZ83" i="7"/>
  <c r="B127" i="18" s="1"/>
  <c r="AL116" i="15"/>
  <c r="AL119" i="15"/>
  <c r="AP163" i="15"/>
  <c r="AL125" i="15"/>
  <c r="AL120" i="15"/>
  <c r="AN120" i="15"/>
  <c r="AQ163" i="17"/>
  <c r="B68" i="18"/>
  <c r="B92" i="18"/>
  <c r="B27" i="17"/>
  <c r="B51" i="17" s="1"/>
  <c r="B139" i="15"/>
  <c r="B83" i="18"/>
  <c r="B107" i="18"/>
  <c r="AJ166" i="19"/>
  <c r="AJ120" i="15"/>
  <c r="AN125" i="15"/>
  <c r="AL117" i="15"/>
  <c r="AL118" i="15"/>
  <c r="AQ167" i="17"/>
  <c r="B33" i="17"/>
  <c r="B57" i="17" s="1"/>
  <c r="B73" i="18"/>
  <c r="B97" i="18"/>
  <c r="B72" i="18"/>
  <c r="B96" i="18"/>
  <c r="B77" i="18"/>
  <c r="B101" i="18"/>
  <c r="B26" i="17"/>
  <c r="B50" i="17" s="1"/>
  <c r="B35" i="17"/>
  <c r="B59" i="17" s="1"/>
  <c r="B76" i="18"/>
  <c r="B100" i="18"/>
  <c r="B85" i="18"/>
  <c r="B109" i="18"/>
  <c r="B79" i="18"/>
  <c r="B103" i="18"/>
  <c r="AJ119" i="15"/>
  <c r="AN116" i="15"/>
  <c r="AN117" i="15"/>
  <c r="AL124" i="15"/>
  <c r="AK173" i="17"/>
  <c r="AQ169" i="17"/>
  <c r="AQ170" i="17"/>
  <c r="B84" i="18"/>
  <c r="B108" i="18"/>
  <c r="AZ161" i="7"/>
  <c r="B189" i="18" s="1"/>
  <c r="B30" i="17"/>
  <c r="B54" i="17" s="1"/>
  <c r="AX76" i="7"/>
  <c r="B72" i="16" s="1"/>
  <c r="B72" i="14"/>
  <c r="AJ123" i="15"/>
  <c r="AN124" i="15"/>
  <c r="AN123" i="15"/>
  <c r="AL123" i="15"/>
  <c r="AQ165" i="17"/>
  <c r="AO173" i="17"/>
  <c r="B36" i="17"/>
  <c r="B60" i="17" s="1"/>
  <c r="AY135" i="7"/>
  <c r="B168" i="17" s="1"/>
  <c r="B119" i="15"/>
  <c r="B31" i="17"/>
  <c r="B55" i="17" s="1"/>
  <c r="B74" i="18"/>
  <c r="B98" i="18"/>
  <c r="AJ118" i="15"/>
  <c r="AN114" i="15"/>
  <c r="AN115" i="15"/>
  <c r="AL115" i="15"/>
  <c r="AQ174" i="17"/>
  <c r="AK165" i="17"/>
  <c r="B22" i="17"/>
  <c r="B46" i="17" s="1"/>
  <c r="B78" i="18"/>
  <c r="B102" i="18"/>
  <c r="B25" i="17"/>
  <c r="B49" i="17" s="1"/>
  <c r="B32" i="17"/>
  <c r="B56" i="17" s="1"/>
  <c r="B20" i="17"/>
  <c r="B44" i="17" s="1"/>
  <c r="B70" i="18"/>
  <c r="B94" i="18"/>
  <c r="B28" i="17"/>
  <c r="B52" i="17" s="1"/>
  <c r="B82" i="18"/>
  <c r="B106" i="18"/>
  <c r="B37" i="17"/>
  <c r="B61" i="17" s="1"/>
  <c r="AJ115" i="15"/>
  <c r="AN121" i="15"/>
  <c r="AN118" i="15"/>
  <c r="AL121" i="15"/>
  <c r="B75" i="18"/>
  <c r="B99" i="18"/>
  <c r="B80" i="18"/>
  <c r="B104" i="18"/>
  <c r="AN119" i="15"/>
  <c r="B24" i="17"/>
  <c r="B48" i="17" s="1"/>
  <c r="B23" i="17"/>
  <c r="B47" i="17" s="1"/>
  <c r="B81" i="18"/>
  <c r="B105" i="18"/>
  <c r="B34" i="17"/>
  <c r="B58" i="17" s="1"/>
  <c r="B29" i="17"/>
  <c r="B53" i="17" s="1"/>
  <c r="AJ121" i="15"/>
  <c r="AN122" i="15"/>
  <c r="AL114" i="15"/>
  <c r="AL122" i="15"/>
  <c r="B21" i="17"/>
  <c r="B45" i="17" s="1"/>
  <c r="B69" i="18"/>
  <c r="B93" i="18"/>
  <c r="Z377" i="21"/>
  <c r="Y377" i="21" s="1"/>
  <c r="Y376" i="21"/>
  <c r="AX353" i="21"/>
  <c r="AX354" i="21"/>
  <c r="AW354" i="21" s="1"/>
  <c r="Y166" i="19"/>
  <c r="AK168" i="14"/>
  <c r="AL168" i="14" s="1"/>
  <c r="BN353" i="21"/>
  <c r="BM353" i="21" s="1"/>
  <c r="BN354" i="21"/>
  <c r="BM354" i="21" s="1"/>
  <c r="Y168" i="19"/>
  <c r="Y172" i="19"/>
  <c r="AK175" i="14"/>
  <c r="AL175" i="14" s="1"/>
  <c r="CD354" i="21"/>
  <c r="CC354" i="21" s="1"/>
  <c r="CD353" i="21"/>
  <c r="CC353" i="21" s="1"/>
  <c r="Y164" i="19"/>
  <c r="Y173" i="19"/>
  <c r="AK166" i="14"/>
  <c r="AL166" i="14" s="1"/>
  <c r="AK167" i="14"/>
  <c r="AL167" i="14" s="1"/>
  <c r="Z354" i="21"/>
  <c r="Y354" i="21" s="1"/>
  <c r="CL353" i="21"/>
  <c r="CK353" i="21" s="1"/>
  <c r="CL354" i="21"/>
  <c r="CK354" i="21" s="1"/>
  <c r="Z353" i="21"/>
  <c r="Y353" i="21" s="1"/>
  <c r="AK168" i="16"/>
  <c r="AL168" i="16" s="1"/>
  <c r="Y175" i="19"/>
  <c r="Y169" i="19"/>
  <c r="AK173" i="14"/>
  <c r="AL173" i="14" s="1"/>
  <c r="AK174" i="14"/>
  <c r="AL174" i="14" s="1"/>
  <c r="AK173" i="16"/>
  <c r="AL173" i="16" s="1"/>
  <c r="Y167" i="19"/>
  <c r="Z170" i="19" s="1"/>
  <c r="Y165" i="19"/>
  <c r="AK169" i="14"/>
  <c r="AL169" i="14" s="1"/>
  <c r="AK171" i="14"/>
  <c r="AL171" i="14" s="1"/>
  <c r="AP354" i="21"/>
  <c r="AO354" i="21" s="1"/>
  <c r="AP353" i="21"/>
  <c r="AO353" i="21" s="1"/>
  <c r="Y171" i="19"/>
  <c r="AK165" i="14"/>
  <c r="AL165" i="14" s="1"/>
  <c r="AK170" i="14"/>
  <c r="AL170" i="14" s="1"/>
  <c r="BF354" i="21"/>
  <c r="BE354" i="21" s="1"/>
  <c r="BF353" i="21"/>
  <c r="BE353" i="21" s="1"/>
  <c r="BV353" i="21"/>
  <c r="BU353" i="21" s="1"/>
  <c r="BV354" i="21"/>
  <c r="BU354" i="21" s="1"/>
  <c r="Z331" i="21"/>
  <c r="Y331" i="21" s="1"/>
  <c r="Z330" i="21"/>
  <c r="Y330" i="21" s="1"/>
  <c r="AP308" i="21"/>
  <c r="AO308" i="21" s="1"/>
  <c r="AP307" i="21"/>
  <c r="AO307" i="21" s="1"/>
  <c r="Z308" i="21"/>
  <c r="Y308" i="21" s="1"/>
  <c r="Z307" i="21"/>
  <c r="Y307" i="21" s="1"/>
  <c r="C115" i="19"/>
  <c r="C163" i="17"/>
  <c r="G98" i="15"/>
  <c r="G93" i="15"/>
  <c r="H116" i="15" s="1"/>
  <c r="G99" i="15"/>
  <c r="G100" i="15"/>
  <c r="H100" i="15" s="1"/>
  <c r="G91" i="15"/>
  <c r="G92" i="15"/>
  <c r="Z284" i="21"/>
  <c r="Y284" i="21" s="1"/>
  <c r="Z285" i="21"/>
  <c r="Y285" i="21" s="1"/>
  <c r="G94" i="15"/>
  <c r="G97" i="15"/>
  <c r="H97" i="15" s="1"/>
  <c r="AH285" i="21"/>
  <c r="AG285" i="21" s="1"/>
  <c r="AH284" i="21"/>
  <c r="AG284" i="21" s="1"/>
  <c r="G95" i="15"/>
  <c r="AX262" i="21"/>
  <c r="AW262" i="21" s="1"/>
  <c r="AX261" i="21"/>
  <c r="AW261" i="21" s="1"/>
  <c r="AH261" i="21"/>
  <c r="AG261" i="21" s="1"/>
  <c r="AH262" i="21"/>
  <c r="AG262" i="21" s="1"/>
  <c r="AP262" i="21"/>
  <c r="AO262" i="21" s="1"/>
  <c r="AP261" i="21"/>
  <c r="AO261" i="21" s="1"/>
  <c r="Z262" i="21"/>
  <c r="Y262" i="21" s="1"/>
  <c r="Z261" i="21"/>
  <c r="Y261" i="21" s="1"/>
  <c r="Y45" i="19"/>
  <c r="Z45" i="19" s="1"/>
  <c r="U43" i="14"/>
  <c r="F72" i="17"/>
  <c r="Z239" i="21"/>
  <c r="Z238" i="21"/>
  <c r="Y42" i="19"/>
  <c r="U51" i="14"/>
  <c r="V51" i="14" s="1"/>
  <c r="AD74" i="17"/>
  <c r="Y52" i="19"/>
  <c r="U42" i="14"/>
  <c r="U46" i="14"/>
  <c r="Y47" i="19"/>
  <c r="Y51" i="19"/>
  <c r="U47" i="14"/>
  <c r="U49" i="14"/>
  <c r="AD75" i="17"/>
  <c r="AD67" i="17"/>
  <c r="AH238" i="21"/>
  <c r="AH239" i="21"/>
  <c r="Y46" i="19"/>
  <c r="Y43" i="19"/>
  <c r="U48" i="14"/>
  <c r="U44" i="14"/>
  <c r="V44" i="14" s="1"/>
  <c r="AD70" i="17"/>
  <c r="AD69" i="17"/>
  <c r="AK338" i="13"/>
  <c r="O3" i="22" s="1"/>
  <c r="AM338" i="13"/>
  <c r="O4" i="22" s="1"/>
  <c r="Y49" i="19"/>
  <c r="Y50" i="19"/>
  <c r="U53" i="14"/>
  <c r="U45" i="14"/>
  <c r="V43" i="14" s="1"/>
  <c r="AD76" i="17"/>
  <c r="AD77" i="17"/>
  <c r="AD71" i="17"/>
  <c r="Y53" i="19"/>
  <c r="F77" i="17"/>
  <c r="F74" i="17"/>
  <c r="AD66" i="17"/>
  <c r="AD73" i="17"/>
  <c r="AD68" i="17"/>
  <c r="AP239" i="21"/>
  <c r="AO239" i="21" s="1"/>
  <c r="AP238" i="21"/>
  <c r="AO238" i="21" s="1"/>
  <c r="AI25" i="15"/>
  <c r="AI23" i="15"/>
  <c r="AP116" i="17"/>
  <c r="AQ116" i="17" s="1"/>
  <c r="N24" i="17"/>
  <c r="AI21" i="15"/>
  <c r="AJ25" i="15" s="1"/>
  <c r="AP166" i="17"/>
  <c r="AQ166" i="17" s="1"/>
  <c r="AP168" i="17"/>
  <c r="AQ168" i="17" s="1"/>
  <c r="AP173" i="17"/>
  <c r="AQ173" i="17" s="1"/>
  <c r="N19" i="17"/>
  <c r="N28" i="17"/>
  <c r="N117" i="17"/>
  <c r="N174" i="17"/>
  <c r="N116" i="17"/>
  <c r="N122" i="17"/>
  <c r="AI20" i="15"/>
  <c r="AI28" i="15"/>
  <c r="AI27" i="15"/>
  <c r="AI24" i="15"/>
  <c r="AI26" i="15"/>
  <c r="AI29" i="15"/>
  <c r="AI19" i="15"/>
  <c r="AJ19" i="15" s="1"/>
  <c r="Q21" i="15"/>
  <c r="Q25" i="15"/>
  <c r="E24" i="16"/>
  <c r="E27" i="16"/>
  <c r="AJ46" i="17"/>
  <c r="X207" i="21"/>
  <c r="T207" i="21"/>
  <c r="S207" i="21" s="1"/>
  <c r="AA207" i="21"/>
  <c r="AE207" i="21" s="1"/>
  <c r="Q20" i="15"/>
  <c r="G21" i="16"/>
  <c r="H26" i="16" s="1"/>
  <c r="E23" i="16"/>
  <c r="E21" i="16"/>
  <c r="F19" i="16" s="1"/>
  <c r="F22" i="14"/>
  <c r="Q27" i="15"/>
  <c r="R27" i="15" s="1"/>
  <c r="E25" i="16"/>
  <c r="E29" i="16"/>
  <c r="F24" i="14"/>
  <c r="Q28" i="15"/>
  <c r="R23" i="14"/>
  <c r="E18" i="16"/>
  <c r="E22" i="16"/>
  <c r="F27" i="14"/>
  <c r="Q19" i="15"/>
  <c r="E26" i="16"/>
  <c r="Q22" i="15"/>
  <c r="Q24" i="15"/>
  <c r="E20" i="16"/>
  <c r="J43" i="17"/>
  <c r="Q29" i="15"/>
  <c r="F119" i="17"/>
  <c r="AJ21" i="17"/>
  <c r="AJ123" i="17"/>
  <c r="AK123" i="17" s="1"/>
  <c r="AJ170" i="17"/>
  <c r="AK170" i="17" s="1"/>
  <c r="AJ172" i="17"/>
  <c r="AK172" i="17" s="1"/>
  <c r="AJ166" i="17"/>
  <c r="AK166" i="17" s="1"/>
  <c r="AJ29" i="17"/>
  <c r="AJ52" i="17"/>
  <c r="AJ53" i="17"/>
  <c r="AJ45" i="17"/>
  <c r="AJ168" i="17"/>
  <c r="AK168" i="17" s="1"/>
  <c r="AJ51" i="17"/>
  <c r="AJ124" i="17"/>
  <c r="AJ169" i="17"/>
  <c r="AK169" i="17" s="1"/>
  <c r="AJ27" i="17"/>
  <c r="AJ163" i="17"/>
  <c r="AK163" i="17" s="1"/>
  <c r="AJ22" i="17"/>
  <c r="AJ171" i="17"/>
  <c r="AK171" i="17" s="1"/>
  <c r="AJ23" i="17"/>
  <c r="AJ42" i="17"/>
  <c r="AJ121" i="17"/>
  <c r="AK121" i="17" s="1"/>
  <c r="AJ26" i="14"/>
  <c r="AJ44" i="17"/>
  <c r="AJ164" i="17"/>
  <c r="AK164" i="17" s="1"/>
  <c r="AJ20" i="17"/>
  <c r="AJ19" i="17"/>
  <c r="AJ116" i="17"/>
  <c r="AK116" i="17" s="1"/>
  <c r="AJ28" i="17"/>
  <c r="AJ122" i="17"/>
  <c r="AJ43" i="17"/>
  <c r="AJ167" i="17"/>
  <c r="AK167" i="17" s="1"/>
  <c r="AJ24" i="17"/>
  <c r="AJ26" i="17"/>
  <c r="AJ115" i="17"/>
  <c r="AK115" i="17" s="1"/>
  <c r="AJ18" i="17"/>
  <c r="AJ48" i="17"/>
  <c r="AJ174" i="17"/>
  <c r="AK174" i="17" s="1"/>
  <c r="AJ117" i="17"/>
  <c r="AK117" i="17" s="1"/>
  <c r="AJ114" i="17"/>
  <c r="AJ118" i="17"/>
  <c r="AK118" i="17" s="1"/>
  <c r="AJ120" i="17"/>
  <c r="AK120" i="17" s="1"/>
  <c r="F29" i="14"/>
  <c r="G27" i="19"/>
  <c r="F26" i="14"/>
  <c r="F19" i="14"/>
  <c r="G25" i="19"/>
  <c r="G19" i="19"/>
  <c r="H49" i="17"/>
  <c r="F28" i="14"/>
  <c r="F21" i="14"/>
  <c r="G21" i="14" s="1"/>
  <c r="G26" i="19"/>
  <c r="G24" i="19"/>
  <c r="AP50" i="17"/>
  <c r="F23" i="14"/>
  <c r="F20" i="14"/>
  <c r="G20" i="19"/>
  <c r="G21" i="19"/>
  <c r="H44" i="17"/>
  <c r="AP43" i="17"/>
  <c r="W304" i="13"/>
  <c r="Y304" i="13"/>
  <c r="F18" i="14"/>
  <c r="G18" i="19"/>
  <c r="H53" i="17"/>
  <c r="AP51" i="17"/>
  <c r="H51" i="17"/>
  <c r="AP42" i="17"/>
  <c r="F172" i="17"/>
  <c r="F170" i="17"/>
  <c r="AP46" i="17"/>
  <c r="F71" i="17"/>
  <c r="X164" i="17"/>
  <c r="AP48" i="17"/>
  <c r="F118" i="17"/>
  <c r="H48" i="17"/>
  <c r="F122" i="17"/>
  <c r="H47" i="17"/>
  <c r="F68" i="17"/>
  <c r="F23" i="17"/>
  <c r="AP49" i="17"/>
  <c r="F124" i="17"/>
  <c r="N123" i="18"/>
  <c r="F76" i="17"/>
  <c r="F70" i="17"/>
  <c r="F114" i="17"/>
  <c r="F24" i="17"/>
  <c r="F117" i="17"/>
  <c r="F120" i="17"/>
  <c r="AP47" i="17"/>
  <c r="F173" i="17"/>
  <c r="F93" i="17"/>
  <c r="H43" i="17"/>
  <c r="F69" i="17"/>
  <c r="N124" i="18"/>
  <c r="N118" i="18"/>
  <c r="N116" i="18"/>
  <c r="N119" i="18"/>
  <c r="U144" i="16"/>
  <c r="U148" i="16"/>
  <c r="U147" i="16"/>
  <c r="N122" i="18"/>
  <c r="H42" i="17"/>
  <c r="N117" i="18"/>
  <c r="AC143" i="14"/>
  <c r="AM29" i="15"/>
  <c r="AN29" i="15" s="1"/>
  <c r="S52" i="14"/>
  <c r="E45" i="14"/>
  <c r="F69" i="14" s="1"/>
  <c r="AG169" i="16"/>
  <c r="I197" i="14"/>
  <c r="I190" i="14"/>
  <c r="S102" i="16"/>
  <c r="W101" i="16"/>
  <c r="W100" i="16"/>
  <c r="AC189" i="14"/>
  <c r="AC191" i="14"/>
  <c r="AD190" i="14" s="1"/>
  <c r="AC148" i="14"/>
  <c r="U141" i="16"/>
  <c r="J50" i="17"/>
  <c r="AG172" i="16"/>
  <c r="AG166" i="16"/>
  <c r="J42" i="17"/>
  <c r="AM28" i="15"/>
  <c r="AN28" i="15" s="1"/>
  <c r="AM22" i="15"/>
  <c r="AN22" i="15" s="1"/>
  <c r="AI148" i="15"/>
  <c r="E51" i="14"/>
  <c r="AG165" i="16"/>
  <c r="AG171" i="16"/>
  <c r="I189" i="14"/>
  <c r="S94" i="16"/>
  <c r="T94" i="16" s="1"/>
  <c r="W96" i="16"/>
  <c r="W99" i="16"/>
  <c r="AC197" i="14"/>
  <c r="AC147" i="14"/>
  <c r="U151" i="16"/>
  <c r="J53" i="17"/>
  <c r="J48" i="17"/>
  <c r="AP44" i="17"/>
  <c r="I196" i="14"/>
  <c r="J196" i="14" s="1"/>
  <c r="AM27" i="15"/>
  <c r="AN27" i="15" s="1"/>
  <c r="AM25" i="15"/>
  <c r="AK167" i="19"/>
  <c r="AL167" i="19" s="1"/>
  <c r="E50" i="14"/>
  <c r="E52" i="14"/>
  <c r="E46" i="19"/>
  <c r="AG175" i="16"/>
  <c r="AG168" i="16"/>
  <c r="AI51" i="15"/>
  <c r="AJ51" i="15" s="1"/>
  <c r="I195" i="14"/>
  <c r="S93" i="16"/>
  <c r="S98" i="16"/>
  <c r="W94" i="16"/>
  <c r="X92" i="16" s="1"/>
  <c r="Y53" i="14"/>
  <c r="Z53" i="14" s="1"/>
  <c r="AC196" i="14"/>
  <c r="AC142" i="14"/>
  <c r="AC145" i="14"/>
  <c r="U150" i="16"/>
  <c r="U146" i="16"/>
  <c r="J49" i="17"/>
  <c r="J51" i="17"/>
  <c r="AC192" i="19"/>
  <c r="AM20" i="15"/>
  <c r="AN20" i="15" s="1"/>
  <c r="AK165" i="19"/>
  <c r="AL165" i="19" s="1"/>
  <c r="E46" i="14"/>
  <c r="F46" i="14" s="1"/>
  <c r="E43" i="14"/>
  <c r="AG174" i="16"/>
  <c r="I20" i="16"/>
  <c r="J20" i="16" s="1"/>
  <c r="I188" i="14"/>
  <c r="I194" i="14"/>
  <c r="S97" i="16"/>
  <c r="T97" i="16" s="1"/>
  <c r="S100" i="16"/>
  <c r="W93" i="16"/>
  <c r="AC190" i="14"/>
  <c r="AC194" i="14"/>
  <c r="AC149" i="14"/>
  <c r="AC144" i="14"/>
  <c r="O99" i="19"/>
  <c r="U143" i="16"/>
  <c r="U145" i="16"/>
  <c r="J47" i="17"/>
  <c r="H52" i="17"/>
  <c r="AG167" i="16"/>
  <c r="AI50" i="15"/>
  <c r="S96" i="16"/>
  <c r="AC197" i="19"/>
  <c r="AM23" i="15"/>
  <c r="AN23" i="15" s="1"/>
  <c r="E42" i="14"/>
  <c r="AG170" i="16"/>
  <c r="AH170" i="16" s="1"/>
  <c r="I22" i="16"/>
  <c r="J22" i="16" s="1"/>
  <c r="I192" i="14"/>
  <c r="I193" i="14"/>
  <c r="S91" i="16"/>
  <c r="S92" i="16"/>
  <c r="W97" i="16"/>
  <c r="X97" i="16" s="1"/>
  <c r="AC188" i="14"/>
  <c r="AC192" i="14"/>
  <c r="AD192" i="14" s="1"/>
  <c r="AC140" i="14"/>
  <c r="AC151" i="14"/>
  <c r="G175" i="19"/>
  <c r="U149" i="16"/>
  <c r="F101" i="17"/>
  <c r="AG164" i="16"/>
  <c r="S101" i="16"/>
  <c r="J46" i="17"/>
  <c r="J44" i="17"/>
  <c r="J52" i="17"/>
  <c r="I18" i="16"/>
  <c r="I198" i="14"/>
  <c r="W95" i="16"/>
  <c r="AC198" i="14"/>
  <c r="AC141" i="14"/>
  <c r="G173" i="19"/>
  <c r="V220" i="14"/>
  <c r="F123" i="17"/>
  <c r="F22" i="17"/>
  <c r="H167" i="17"/>
  <c r="AC221" i="15"/>
  <c r="AD221" i="15" s="1"/>
  <c r="Y168" i="14"/>
  <c r="F46" i="17"/>
  <c r="AN43" i="17"/>
  <c r="I18" i="19"/>
  <c r="S95" i="15"/>
  <c r="I43" i="16"/>
  <c r="G222" i="14"/>
  <c r="F49" i="17"/>
  <c r="S90" i="15"/>
  <c r="G218" i="14"/>
  <c r="I25" i="15"/>
  <c r="S147" i="19"/>
  <c r="AC217" i="19"/>
  <c r="R146" i="19"/>
  <c r="R148" i="19"/>
  <c r="W98" i="15"/>
  <c r="Q24" i="16"/>
  <c r="S141" i="19"/>
  <c r="J122" i="17"/>
  <c r="I25" i="19"/>
  <c r="S101" i="15"/>
  <c r="S98" i="15"/>
  <c r="I51" i="16"/>
  <c r="Y173" i="14"/>
  <c r="Y175" i="14"/>
  <c r="G221" i="14"/>
  <c r="I18" i="15"/>
  <c r="I26" i="15"/>
  <c r="S144" i="19"/>
  <c r="J21" i="17"/>
  <c r="F53" i="17"/>
  <c r="J18" i="17"/>
  <c r="J19" i="17"/>
  <c r="F51" i="17"/>
  <c r="J114" i="17"/>
  <c r="J163" i="17"/>
  <c r="W96" i="15"/>
  <c r="I21" i="19"/>
  <c r="J21" i="19" s="1"/>
  <c r="I27" i="19"/>
  <c r="V199" i="14"/>
  <c r="V198" i="14"/>
  <c r="M66" i="19"/>
  <c r="M74" i="19"/>
  <c r="E173" i="15"/>
  <c r="AI99" i="15"/>
  <c r="AI93" i="15"/>
  <c r="AJ93" i="15" s="1"/>
  <c r="S93" i="15"/>
  <c r="I47" i="16"/>
  <c r="Y170" i="14"/>
  <c r="Y167" i="14"/>
  <c r="Z167" i="14" s="1"/>
  <c r="G214" i="14"/>
  <c r="I29" i="15"/>
  <c r="I20" i="15"/>
  <c r="S146" i="19"/>
  <c r="F48" i="17"/>
  <c r="F47" i="17"/>
  <c r="J22" i="17"/>
  <c r="F52" i="17"/>
  <c r="F29" i="17"/>
  <c r="J164" i="17"/>
  <c r="AA73" i="21"/>
  <c r="W118" i="21" s="1"/>
  <c r="L63" i="21"/>
  <c r="W93" i="15"/>
  <c r="W97" i="15"/>
  <c r="I29" i="19"/>
  <c r="I22" i="19"/>
  <c r="V197" i="14"/>
  <c r="V188" i="14"/>
  <c r="M77" i="19"/>
  <c r="M72" i="19"/>
  <c r="E168" i="15"/>
  <c r="AI94" i="15"/>
  <c r="AJ94" i="15" s="1"/>
  <c r="AI100" i="15"/>
  <c r="AJ100" i="15" s="1"/>
  <c r="S100" i="15"/>
  <c r="Y166" i="14"/>
  <c r="Y174" i="14"/>
  <c r="G217" i="14"/>
  <c r="I24" i="15"/>
  <c r="I28" i="15"/>
  <c r="S151" i="19"/>
  <c r="F50" i="17"/>
  <c r="F20" i="17"/>
  <c r="F116" i="17"/>
  <c r="J27" i="17"/>
  <c r="J118" i="17"/>
  <c r="AC119" i="19"/>
  <c r="W100" i="15"/>
  <c r="W94" i="15"/>
  <c r="I28" i="19"/>
  <c r="I26" i="19"/>
  <c r="V189" i="14"/>
  <c r="V192" i="14"/>
  <c r="M69" i="19"/>
  <c r="M68" i="19"/>
  <c r="AC117" i="15"/>
  <c r="AD117" i="15" s="1"/>
  <c r="E167" i="15"/>
  <c r="AI91" i="15"/>
  <c r="AJ91" i="15" s="1"/>
  <c r="AI92" i="15"/>
  <c r="AJ92" i="15" s="1"/>
  <c r="S92" i="15"/>
  <c r="T92" i="15" s="1"/>
  <c r="Y169" i="14"/>
  <c r="Y171" i="14"/>
  <c r="G220" i="14"/>
  <c r="I22" i="15"/>
  <c r="I21" i="15"/>
  <c r="J19" i="15" s="1"/>
  <c r="S142" i="19"/>
  <c r="F42" i="17"/>
  <c r="F44" i="17"/>
  <c r="J24" i="17"/>
  <c r="J171" i="17"/>
  <c r="AC115" i="19"/>
  <c r="N223" i="19"/>
  <c r="W92" i="15"/>
  <c r="W95" i="15"/>
  <c r="I19" i="19"/>
  <c r="I20" i="19"/>
  <c r="M73" i="19"/>
  <c r="M76" i="19"/>
  <c r="AC122" i="15"/>
  <c r="AD122" i="15" s="1"/>
  <c r="AI98" i="15"/>
  <c r="AJ98" i="15" s="1"/>
  <c r="S99" i="15"/>
  <c r="T99" i="15" s="1"/>
  <c r="Y165" i="14"/>
  <c r="G223" i="14"/>
  <c r="G219" i="14"/>
  <c r="I23" i="15"/>
  <c r="S148" i="19"/>
  <c r="S143" i="19"/>
  <c r="F45" i="17"/>
  <c r="J116" i="17"/>
  <c r="J174" i="17"/>
  <c r="F125" i="17"/>
  <c r="W91" i="15"/>
  <c r="W90" i="15"/>
  <c r="W101" i="15"/>
  <c r="I24" i="19"/>
  <c r="M71" i="19"/>
  <c r="N71" i="19" s="1"/>
  <c r="AI97" i="15"/>
  <c r="AJ97" i="15" s="1"/>
  <c r="S96" i="15"/>
  <c r="S97" i="15"/>
  <c r="Y164" i="14"/>
  <c r="G215" i="14"/>
  <c r="G212" i="14"/>
  <c r="I27" i="15"/>
  <c r="S145" i="19"/>
  <c r="S150" i="19"/>
  <c r="F26" i="17"/>
  <c r="F169" i="17"/>
  <c r="M67" i="19"/>
  <c r="N67" i="19" s="1"/>
  <c r="V190" i="14"/>
  <c r="S94" i="15"/>
  <c r="G213" i="14"/>
  <c r="S140" i="19"/>
  <c r="J20" i="17"/>
  <c r="S222" i="15"/>
  <c r="S220" i="15"/>
  <c r="S221" i="15"/>
  <c r="T221" i="15" s="1"/>
  <c r="S213" i="15"/>
  <c r="T213" i="15" s="1"/>
  <c r="S217" i="15"/>
  <c r="S212" i="15"/>
  <c r="T212" i="15" s="1"/>
  <c r="S218" i="15"/>
  <c r="T218" i="15" s="1"/>
  <c r="S211" i="15"/>
  <c r="T211" i="15" s="1"/>
  <c r="S219" i="15"/>
  <c r="S215" i="15"/>
  <c r="Y170" i="16"/>
  <c r="Y167" i="16"/>
  <c r="E166" i="15"/>
  <c r="E169" i="15"/>
  <c r="G170" i="14"/>
  <c r="O174" i="14"/>
  <c r="G174" i="19"/>
  <c r="Y173" i="16"/>
  <c r="O170" i="15"/>
  <c r="E165" i="15"/>
  <c r="E163" i="15"/>
  <c r="G164" i="14"/>
  <c r="G165" i="19"/>
  <c r="F166" i="19"/>
  <c r="Y175" i="16"/>
  <c r="E164" i="15"/>
  <c r="G173" i="14"/>
  <c r="G166" i="19"/>
  <c r="G168" i="19"/>
  <c r="AC166" i="15"/>
  <c r="Y174" i="16"/>
  <c r="Z174" i="16" s="1"/>
  <c r="E171" i="15"/>
  <c r="G167" i="14"/>
  <c r="G165" i="14"/>
  <c r="G164" i="19"/>
  <c r="G172" i="19"/>
  <c r="AC163" i="15"/>
  <c r="E170" i="15"/>
  <c r="G174" i="14"/>
  <c r="G172" i="14"/>
  <c r="G170" i="19"/>
  <c r="G167" i="19"/>
  <c r="H171" i="19" s="1"/>
  <c r="AC164" i="16"/>
  <c r="G175" i="14"/>
  <c r="G169" i="19"/>
  <c r="AC174" i="16"/>
  <c r="S140" i="16"/>
  <c r="N151" i="16"/>
  <c r="S144" i="16"/>
  <c r="S150" i="16"/>
  <c r="S151" i="16"/>
  <c r="S149" i="16"/>
  <c r="S147" i="16"/>
  <c r="S148" i="16"/>
  <c r="S146" i="16"/>
  <c r="S143" i="16"/>
  <c r="T149" i="16" s="1"/>
  <c r="S142" i="16"/>
  <c r="S71" i="15"/>
  <c r="AC198" i="19"/>
  <c r="AC190" i="19"/>
  <c r="AC187" i="15"/>
  <c r="AC196" i="15"/>
  <c r="E22" i="15"/>
  <c r="E19" i="15"/>
  <c r="G23" i="16"/>
  <c r="G25" i="16"/>
  <c r="AE116" i="14"/>
  <c r="H168" i="17"/>
  <c r="H120" i="17"/>
  <c r="H164" i="17"/>
  <c r="H23" i="17"/>
  <c r="H124" i="17"/>
  <c r="S75" i="15"/>
  <c r="AC189" i="19"/>
  <c r="AC188" i="19"/>
  <c r="AC190" i="15"/>
  <c r="AC195" i="15"/>
  <c r="E23" i="15"/>
  <c r="E21" i="15"/>
  <c r="F26" i="15" s="1"/>
  <c r="G28" i="16"/>
  <c r="G22" i="16"/>
  <c r="AE126" i="14"/>
  <c r="H21" i="17"/>
  <c r="H27" i="17"/>
  <c r="H116" i="17"/>
  <c r="H28" i="17"/>
  <c r="S77" i="15"/>
  <c r="AC196" i="19"/>
  <c r="AD196" i="19" s="1"/>
  <c r="AC199" i="19"/>
  <c r="AD199" i="19" s="1"/>
  <c r="AC193" i="15"/>
  <c r="AC191" i="15"/>
  <c r="O169" i="15"/>
  <c r="E20" i="15"/>
  <c r="G27" i="16"/>
  <c r="AE118" i="14"/>
  <c r="AE121" i="14"/>
  <c r="H20" i="17"/>
  <c r="S66" i="15"/>
  <c r="S74" i="15"/>
  <c r="AC191" i="19"/>
  <c r="AC194" i="15"/>
  <c r="O166" i="15"/>
  <c r="P166" i="15" s="1"/>
  <c r="E27" i="15"/>
  <c r="F27" i="15" s="1"/>
  <c r="G19" i="16"/>
  <c r="AE120" i="14"/>
  <c r="AE117" i="14"/>
  <c r="H22" i="17"/>
  <c r="H24" i="17"/>
  <c r="H125" i="17"/>
  <c r="S69" i="15"/>
  <c r="S70" i="15"/>
  <c r="AC195" i="19"/>
  <c r="AD195" i="19" s="1"/>
  <c r="AC198" i="15"/>
  <c r="AC217" i="14"/>
  <c r="E28" i="15"/>
  <c r="G20" i="16"/>
  <c r="AE123" i="14"/>
  <c r="AE119" i="14"/>
  <c r="H25" i="17"/>
  <c r="H26" i="17"/>
  <c r="H122" i="17"/>
  <c r="S72" i="15"/>
  <c r="S68" i="15"/>
  <c r="AC194" i="19"/>
  <c r="AD194" i="19" s="1"/>
  <c r="AC192" i="15"/>
  <c r="AM20" i="19"/>
  <c r="AN20" i="19" s="1"/>
  <c r="E18" i="15"/>
  <c r="E25" i="15"/>
  <c r="G18" i="16"/>
  <c r="G29" i="16"/>
  <c r="AE124" i="14"/>
  <c r="AE125" i="14"/>
  <c r="H173" i="17"/>
  <c r="S73" i="15"/>
  <c r="E29" i="15"/>
  <c r="G24" i="16"/>
  <c r="H174" i="17"/>
  <c r="AC126" i="19"/>
  <c r="AD126" i="19" s="1"/>
  <c r="AC117" i="19"/>
  <c r="AD117" i="19" s="1"/>
  <c r="AC125" i="19"/>
  <c r="AD125" i="19" s="1"/>
  <c r="AC116" i="19"/>
  <c r="AD116" i="19" s="1"/>
  <c r="AC121" i="19"/>
  <c r="AD121" i="19" s="1"/>
  <c r="AC118" i="19"/>
  <c r="AD118" i="19" s="1"/>
  <c r="AC124" i="19"/>
  <c r="AC123" i="19"/>
  <c r="AD123" i="19" s="1"/>
  <c r="AC120" i="19"/>
  <c r="AD120" i="19" s="1"/>
  <c r="C115" i="14"/>
  <c r="C115" i="16"/>
  <c r="C114" i="15"/>
  <c r="O98" i="19"/>
  <c r="O94" i="19"/>
  <c r="O97" i="19"/>
  <c r="O93" i="19"/>
  <c r="O101" i="19"/>
  <c r="O91" i="19"/>
  <c r="O96" i="19"/>
  <c r="O95" i="19"/>
  <c r="O102" i="19"/>
  <c r="O100" i="19"/>
  <c r="P100" i="19" s="1"/>
  <c r="S72" i="16"/>
  <c r="S74" i="14"/>
  <c r="S70" i="14"/>
  <c r="S76" i="16"/>
  <c r="S67" i="14"/>
  <c r="S75" i="16"/>
  <c r="S68" i="16"/>
  <c r="S75" i="14"/>
  <c r="S67" i="16"/>
  <c r="S66" i="16"/>
  <c r="S68" i="14"/>
  <c r="S69" i="16"/>
  <c r="S71" i="16"/>
  <c r="S76" i="14"/>
  <c r="S70" i="16"/>
  <c r="S77" i="16"/>
  <c r="S66" i="14"/>
  <c r="S71" i="14"/>
  <c r="S72" i="14"/>
  <c r="P216" i="16"/>
  <c r="I53" i="19"/>
  <c r="I50" i="19"/>
  <c r="Z147" i="16"/>
  <c r="AI53" i="16"/>
  <c r="AJ53" i="16" s="1"/>
  <c r="AC223" i="16"/>
  <c r="E47" i="19"/>
  <c r="I28" i="16"/>
  <c r="J28" i="16" s="1"/>
  <c r="I24" i="16"/>
  <c r="J24" i="16" s="1"/>
  <c r="I42" i="19"/>
  <c r="I44" i="19"/>
  <c r="G19" i="15"/>
  <c r="H19" i="15" s="1"/>
  <c r="G29" i="15"/>
  <c r="H29" i="15" s="1"/>
  <c r="AN167" i="17"/>
  <c r="AO167" i="17" s="1"/>
  <c r="H26" i="18"/>
  <c r="J166" i="17"/>
  <c r="Z146" i="16"/>
  <c r="AI47" i="16"/>
  <c r="AJ47" i="16" s="1"/>
  <c r="AI51" i="16"/>
  <c r="AJ51" i="16" s="1"/>
  <c r="AC218" i="16"/>
  <c r="E45" i="19"/>
  <c r="F74" i="19" s="1"/>
  <c r="E43" i="19"/>
  <c r="I19" i="16"/>
  <c r="J19" i="16" s="1"/>
  <c r="I23" i="16"/>
  <c r="J23" i="16" s="1"/>
  <c r="I52" i="19"/>
  <c r="J52" i="19" s="1"/>
  <c r="I49" i="19"/>
  <c r="G27" i="15"/>
  <c r="H27" i="15" s="1"/>
  <c r="G25" i="15"/>
  <c r="H25" i="15" s="1"/>
  <c r="V214" i="15"/>
  <c r="AI45" i="16"/>
  <c r="AJ45" i="16" s="1"/>
  <c r="AI49" i="16"/>
  <c r="AJ49" i="16" s="1"/>
  <c r="E48" i="19"/>
  <c r="E52" i="19"/>
  <c r="F52" i="19" s="1"/>
  <c r="I27" i="16"/>
  <c r="J27" i="16" s="1"/>
  <c r="I26" i="16"/>
  <c r="I48" i="19"/>
  <c r="I47" i="19"/>
  <c r="G28" i="15"/>
  <c r="H28" i="15" s="1"/>
  <c r="AN19" i="17"/>
  <c r="AP45" i="17"/>
  <c r="J26" i="17"/>
  <c r="J168" i="17"/>
  <c r="AI52" i="16"/>
  <c r="AJ52" i="16" s="1"/>
  <c r="AI43" i="16"/>
  <c r="AJ43" i="16" s="1"/>
  <c r="E44" i="19"/>
  <c r="F44" i="19" s="1"/>
  <c r="E42" i="19"/>
  <c r="F42" i="19" s="1"/>
  <c r="I25" i="16"/>
  <c r="R20" i="14"/>
  <c r="I51" i="19"/>
  <c r="J51" i="19" s="1"/>
  <c r="G23" i="15"/>
  <c r="R23" i="18"/>
  <c r="AN171" i="17"/>
  <c r="AO171" i="17" s="1"/>
  <c r="AI44" i="16"/>
  <c r="AJ44" i="16" s="1"/>
  <c r="AI50" i="16"/>
  <c r="AJ50" i="16" s="1"/>
  <c r="E50" i="19"/>
  <c r="E51" i="19"/>
  <c r="I29" i="16"/>
  <c r="J29" i="16" s="1"/>
  <c r="J22" i="14"/>
  <c r="K22" i="14" s="1"/>
  <c r="I46" i="19"/>
  <c r="G18" i="15"/>
  <c r="H18" i="15" s="1"/>
  <c r="P22" i="16"/>
  <c r="P25" i="16"/>
  <c r="R22" i="14"/>
  <c r="J165" i="17"/>
  <c r="J117" i="17"/>
  <c r="AB28" i="16"/>
  <c r="AJ22" i="14"/>
  <c r="AJ23" i="14"/>
  <c r="AI43" i="15"/>
  <c r="AJ43" i="15" s="1"/>
  <c r="AI49" i="15"/>
  <c r="AJ49" i="15" s="1"/>
  <c r="Y50" i="14"/>
  <c r="Z50" i="14" s="1"/>
  <c r="Y46" i="14"/>
  <c r="Z46" i="14" s="1"/>
  <c r="H165" i="17"/>
  <c r="H123" i="17"/>
  <c r="H166" i="17"/>
  <c r="X97" i="17"/>
  <c r="H169" i="17"/>
  <c r="J29" i="17"/>
  <c r="J169" i="17"/>
  <c r="J115" i="17"/>
  <c r="AJ18" i="14"/>
  <c r="AJ21" i="14"/>
  <c r="Z149" i="16"/>
  <c r="AI47" i="15"/>
  <c r="AJ47" i="15" s="1"/>
  <c r="AI46" i="15"/>
  <c r="AJ46" i="15" s="1"/>
  <c r="Y43" i="14"/>
  <c r="Z43" i="14" s="1"/>
  <c r="AJ27" i="14"/>
  <c r="AJ29" i="14"/>
  <c r="AI48" i="15"/>
  <c r="AJ48" i="15" s="1"/>
  <c r="Y51" i="14"/>
  <c r="Z51" i="14" s="1"/>
  <c r="H18" i="14"/>
  <c r="AH171" i="14"/>
  <c r="X91" i="17"/>
  <c r="J91" i="14"/>
  <c r="AJ24" i="14"/>
  <c r="AJ19" i="14"/>
  <c r="O172" i="19"/>
  <c r="L101" i="14"/>
  <c r="AI53" i="15"/>
  <c r="Y44" i="14"/>
  <c r="Z44" i="14" s="1"/>
  <c r="H24" i="14"/>
  <c r="P145" i="19"/>
  <c r="AI147" i="15"/>
  <c r="AJ25" i="14"/>
  <c r="O169" i="19"/>
  <c r="L91" i="14"/>
  <c r="L99" i="14"/>
  <c r="H116" i="14"/>
  <c r="AI45" i="15"/>
  <c r="AJ45" i="15" s="1"/>
  <c r="Y52" i="14"/>
  <c r="Z52" i="14" s="1"/>
  <c r="AP79" i="21"/>
  <c r="X94" i="17"/>
  <c r="H163" i="17"/>
  <c r="H114" i="17"/>
  <c r="H171" i="17"/>
  <c r="AN118" i="17"/>
  <c r="AO118" i="17" s="1"/>
  <c r="J167" i="17"/>
  <c r="J123" i="17"/>
  <c r="J173" i="17"/>
  <c r="AI146" i="15"/>
  <c r="AJ20" i="14"/>
  <c r="O175" i="16"/>
  <c r="AI52" i="15"/>
  <c r="Y42" i="14"/>
  <c r="Z42" i="14" s="1"/>
  <c r="Y47" i="14"/>
  <c r="Z47" i="14" s="1"/>
  <c r="AN18" i="17"/>
  <c r="J92" i="17"/>
  <c r="H29" i="17"/>
  <c r="H121" i="17"/>
  <c r="X93" i="17"/>
  <c r="H118" i="17"/>
  <c r="J121" i="17"/>
  <c r="F90" i="17"/>
  <c r="J124" i="17"/>
  <c r="J120" i="17"/>
  <c r="AI141" i="15"/>
  <c r="AI42" i="15"/>
  <c r="AJ42" i="15" s="1"/>
  <c r="Y48" i="14"/>
  <c r="Z48" i="14" s="1"/>
  <c r="K18" i="14"/>
  <c r="H29" i="14"/>
  <c r="H23" i="14"/>
  <c r="AN164" i="17"/>
  <c r="AO164" i="17" s="1"/>
  <c r="AN115" i="17"/>
  <c r="AO115" i="17" s="1"/>
  <c r="AN21" i="17"/>
  <c r="AN163" i="17"/>
  <c r="AO163" i="17" s="1"/>
  <c r="H50" i="17"/>
  <c r="AN28" i="17"/>
  <c r="AN172" i="17"/>
  <c r="AO172" i="17" s="1"/>
  <c r="H170" i="17"/>
  <c r="H18" i="17"/>
  <c r="H117" i="17"/>
  <c r="J125" i="17"/>
  <c r="H115" i="17"/>
  <c r="J23" i="17"/>
  <c r="J172" i="17"/>
  <c r="J28" i="17"/>
  <c r="J119" i="17"/>
  <c r="AN22" i="17"/>
  <c r="AN174" i="17"/>
  <c r="AO174" i="17" s="1"/>
  <c r="AN169" i="17"/>
  <c r="AO169" i="17" s="1"/>
  <c r="H19" i="14"/>
  <c r="X28" i="14"/>
  <c r="H27" i="14"/>
  <c r="AN114" i="17"/>
  <c r="AO114" i="17" s="1"/>
  <c r="AN26" i="17"/>
  <c r="AN165" i="17"/>
  <c r="AO165" i="17" s="1"/>
  <c r="AN116" i="17"/>
  <c r="AO116" i="17" s="1"/>
  <c r="H20" i="14"/>
  <c r="AN25" i="17"/>
  <c r="AN117" i="17"/>
  <c r="AO117" i="17" s="1"/>
  <c r="AN123" i="17"/>
  <c r="AN121" i="17"/>
  <c r="AO121" i="17" s="1"/>
  <c r="H28" i="14"/>
  <c r="AN166" i="17"/>
  <c r="AO166" i="17" s="1"/>
  <c r="W21" i="15"/>
  <c r="H25" i="14"/>
  <c r="H21" i="14"/>
  <c r="I21" i="14" s="1"/>
  <c r="AN119" i="17"/>
  <c r="AO119" i="17" s="1"/>
  <c r="H26" i="14"/>
  <c r="AN124" i="17"/>
  <c r="AN27" i="17"/>
  <c r="AN122" i="17"/>
  <c r="AO122" i="17" s="1"/>
  <c r="H119" i="17"/>
  <c r="H172" i="17"/>
  <c r="O173" i="14"/>
  <c r="AC49" i="14"/>
  <c r="AC47" i="14"/>
  <c r="S43" i="15"/>
  <c r="N220" i="19"/>
  <c r="N222" i="19"/>
  <c r="G216" i="19"/>
  <c r="O168" i="15"/>
  <c r="I91" i="15"/>
  <c r="O172" i="14"/>
  <c r="O175" i="14"/>
  <c r="AC49" i="19"/>
  <c r="AN168" i="17"/>
  <c r="AO168" i="17" s="1"/>
  <c r="G214" i="19"/>
  <c r="R21" i="19"/>
  <c r="R146" i="16"/>
  <c r="AC43" i="14"/>
  <c r="AC46" i="14"/>
  <c r="N213" i="19"/>
  <c r="G221" i="19"/>
  <c r="O163" i="15"/>
  <c r="I97" i="15"/>
  <c r="O164" i="14"/>
  <c r="O167" i="14"/>
  <c r="P167" i="14" s="1"/>
  <c r="AC42" i="19"/>
  <c r="AC53" i="19"/>
  <c r="J95" i="17"/>
  <c r="AN24" i="17"/>
  <c r="AC44" i="19"/>
  <c r="S48" i="15"/>
  <c r="L22" i="16"/>
  <c r="AC51" i="14"/>
  <c r="S51" i="16"/>
  <c r="W20" i="16"/>
  <c r="N217" i="19"/>
  <c r="G223" i="19"/>
  <c r="O167" i="15"/>
  <c r="I96" i="15"/>
  <c r="O171" i="14"/>
  <c r="O166" i="14"/>
  <c r="P166" i="14" s="1"/>
  <c r="AC46" i="19"/>
  <c r="AC45" i="19"/>
  <c r="AD45" i="19" s="1"/>
  <c r="J94" i="17"/>
  <c r="AC42" i="14"/>
  <c r="AC50" i="19"/>
  <c r="AC44" i="14"/>
  <c r="S47" i="16"/>
  <c r="Z115" i="16"/>
  <c r="Z116" i="16"/>
  <c r="AI151" i="16"/>
  <c r="AJ151" i="16" s="1"/>
  <c r="W22" i="16"/>
  <c r="N212" i="19"/>
  <c r="N221" i="19"/>
  <c r="L96" i="14"/>
  <c r="J197" i="19"/>
  <c r="G218" i="19"/>
  <c r="G213" i="19"/>
  <c r="O172" i="15"/>
  <c r="O171" i="15"/>
  <c r="I99" i="15"/>
  <c r="I93" i="15"/>
  <c r="J101" i="15" s="1"/>
  <c r="O170" i="14"/>
  <c r="AC51" i="19"/>
  <c r="AC48" i="19"/>
  <c r="J96" i="17"/>
  <c r="O165" i="14"/>
  <c r="AC52" i="14"/>
  <c r="S45" i="16"/>
  <c r="AI140" i="16"/>
  <c r="AJ140" i="16" s="1"/>
  <c r="N216" i="19"/>
  <c r="L97" i="14"/>
  <c r="G217" i="19"/>
  <c r="G215" i="19"/>
  <c r="H215" i="19" s="1"/>
  <c r="O164" i="15"/>
  <c r="O174" i="15"/>
  <c r="I95" i="15"/>
  <c r="I92" i="15"/>
  <c r="J92" i="15" s="1"/>
  <c r="O169" i="14"/>
  <c r="AC43" i="19"/>
  <c r="AC47" i="19"/>
  <c r="Z91" i="17"/>
  <c r="X51" i="17"/>
  <c r="AC45" i="14"/>
  <c r="AD45" i="14" s="1"/>
  <c r="S50" i="16"/>
  <c r="N164" i="16"/>
  <c r="N171" i="16"/>
  <c r="N219" i="19"/>
  <c r="G222" i="19"/>
  <c r="O173" i="15"/>
  <c r="I94" i="15"/>
  <c r="N26" i="18"/>
  <c r="J93" i="17"/>
  <c r="AN125" i="17"/>
  <c r="AO125" i="17" s="1"/>
  <c r="AP76" i="21"/>
  <c r="V75" i="21"/>
  <c r="T120" i="21" s="1"/>
  <c r="AJ25" i="18"/>
  <c r="AK79" i="21"/>
  <c r="AN170" i="17"/>
  <c r="AO170" i="17" s="1"/>
  <c r="J91" i="17"/>
  <c r="AN20" i="17"/>
  <c r="AN23" i="17"/>
  <c r="P29" i="18"/>
  <c r="H29" i="18"/>
  <c r="L51" i="18"/>
  <c r="V193" i="16"/>
  <c r="V144" i="19"/>
  <c r="T150" i="14"/>
  <c r="Z101" i="17"/>
  <c r="P223" i="16"/>
  <c r="N48" i="18"/>
  <c r="V188" i="16"/>
  <c r="P199" i="16"/>
  <c r="Z95" i="19"/>
  <c r="L98" i="14"/>
  <c r="R19" i="19"/>
  <c r="J95" i="19"/>
  <c r="Z97" i="17"/>
  <c r="X101" i="17"/>
  <c r="Z95" i="17"/>
  <c r="J97" i="17"/>
  <c r="Z66" i="17"/>
  <c r="F91" i="17"/>
  <c r="F96" i="17"/>
  <c r="F92" i="17"/>
  <c r="F100" i="17"/>
  <c r="J101" i="17"/>
  <c r="J100" i="17"/>
  <c r="J98" i="17"/>
  <c r="X100" i="17"/>
  <c r="X99" i="17"/>
  <c r="J90" i="17"/>
  <c r="Z68" i="17"/>
  <c r="E52" i="15"/>
  <c r="S49" i="14"/>
  <c r="I44" i="16"/>
  <c r="Z67" i="17"/>
  <c r="Z69" i="17"/>
  <c r="Z72" i="17"/>
  <c r="J76" i="17"/>
  <c r="Z74" i="17"/>
  <c r="E48" i="15"/>
  <c r="I52" i="16"/>
  <c r="J75" i="17"/>
  <c r="Z73" i="17"/>
  <c r="E45" i="15"/>
  <c r="I45" i="16"/>
  <c r="Z75" i="17"/>
  <c r="Z76" i="17"/>
  <c r="E49" i="15"/>
  <c r="E42" i="15"/>
  <c r="I49" i="16"/>
  <c r="I53" i="16"/>
  <c r="J74" i="17"/>
  <c r="J66" i="17"/>
  <c r="J68" i="17"/>
  <c r="E43" i="15"/>
  <c r="E53" i="15"/>
  <c r="I48" i="16"/>
  <c r="I42" i="16"/>
  <c r="J70" i="17"/>
  <c r="E44" i="15"/>
  <c r="E50" i="15"/>
  <c r="I50" i="16"/>
  <c r="Z98" i="17"/>
  <c r="Z96" i="17"/>
  <c r="J72" i="17"/>
  <c r="F99" i="17"/>
  <c r="X92" i="17"/>
  <c r="J77" i="17"/>
  <c r="J71" i="17"/>
  <c r="J73" i="17"/>
  <c r="Z100" i="17"/>
  <c r="Z94" i="17"/>
  <c r="Z90" i="17"/>
  <c r="F94" i="17"/>
  <c r="F95" i="17"/>
  <c r="Z70" i="17"/>
  <c r="Z71" i="17"/>
  <c r="F98" i="17"/>
  <c r="Z99" i="17"/>
  <c r="Z93" i="17"/>
  <c r="X95" i="17"/>
  <c r="X98" i="17"/>
  <c r="X90" i="17"/>
  <c r="J67" i="17"/>
  <c r="O171" i="19"/>
  <c r="O174" i="19"/>
  <c r="O165" i="16"/>
  <c r="AC219" i="14"/>
  <c r="V43" i="16"/>
  <c r="I93" i="16"/>
  <c r="O168" i="19"/>
  <c r="O164" i="19"/>
  <c r="H67" i="15"/>
  <c r="O169" i="16"/>
  <c r="O171" i="16"/>
  <c r="J195" i="19"/>
  <c r="AC216" i="14"/>
  <c r="V50" i="16"/>
  <c r="AP94" i="17"/>
  <c r="X42" i="17"/>
  <c r="O167" i="19"/>
  <c r="P167" i="19" s="1"/>
  <c r="O165" i="19"/>
  <c r="O167" i="16"/>
  <c r="P173" i="16" s="1"/>
  <c r="O172" i="16"/>
  <c r="AC218" i="14"/>
  <c r="AD218" i="14" s="1"/>
  <c r="V53" i="16"/>
  <c r="AP90" i="17"/>
  <c r="AP99" i="17"/>
  <c r="Z94" i="19"/>
  <c r="O173" i="19"/>
  <c r="O168" i="16"/>
  <c r="O170" i="16"/>
  <c r="J192" i="19"/>
  <c r="AC223" i="14"/>
  <c r="AC215" i="14"/>
  <c r="V47" i="16"/>
  <c r="H47" i="18"/>
  <c r="I63" i="21"/>
  <c r="X49" i="17"/>
  <c r="T69" i="17"/>
  <c r="O166" i="19"/>
  <c r="AD125" i="14"/>
  <c r="O174" i="16"/>
  <c r="O164" i="16"/>
  <c r="AC220" i="14"/>
  <c r="AC214" i="14"/>
  <c r="V51" i="16"/>
  <c r="H45" i="18"/>
  <c r="H27" i="18"/>
  <c r="O170" i="19"/>
  <c r="O166" i="16"/>
  <c r="AC221" i="14"/>
  <c r="AC212" i="14"/>
  <c r="V44" i="16"/>
  <c r="AB29" i="16"/>
  <c r="J102" i="19"/>
  <c r="AH175" i="14"/>
  <c r="P23" i="19"/>
  <c r="H18" i="18"/>
  <c r="X123" i="17"/>
  <c r="Z70" i="16"/>
  <c r="R27" i="19"/>
  <c r="AC222" i="14"/>
  <c r="H22" i="18"/>
  <c r="X168" i="17"/>
  <c r="T94" i="17"/>
  <c r="AC212" i="19"/>
  <c r="W18" i="15"/>
  <c r="H198" i="16"/>
  <c r="AC120" i="16"/>
  <c r="AD120" i="16" s="1"/>
  <c r="AC116" i="16"/>
  <c r="AD116" i="16" s="1"/>
  <c r="AK174" i="19"/>
  <c r="AL174" i="19" s="1"/>
  <c r="AC215" i="15"/>
  <c r="AD215" i="15" s="1"/>
  <c r="AC211" i="15"/>
  <c r="AD211" i="15" s="1"/>
  <c r="X25" i="14"/>
  <c r="X29" i="14"/>
  <c r="AI150" i="16"/>
  <c r="AJ150" i="16" s="1"/>
  <c r="AC171" i="14"/>
  <c r="AC172" i="14"/>
  <c r="W26" i="16"/>
  <c r="AC120" i="15"/>
  <c r="AD120" i="15" s="1"/>
  <c r="AC168" i="16"/>
  <c r="X174" i="17"/>
  <c r="X19" i="17"/>
  <c r="X173" i="17"/>
  <c r="X118" i="17"/>
  <c r="X169" i="17"/>
  <c r="T90" i="17"/>
  <c r="T96" i="17"/>
  <c r="T91" i="17"/>
  <c r="AC117" i="16"/>
  <c r="AD117" i="16" s="1"/>
  <c r="AC215" i="19"/>
  <c r="AD215" i="19" s="1"/>
  <c r="AC220" i="19"/>
  <c r="W26" i="15"/>
  <c r="W23" i="15"/>
  <c r="AC121" i="16"/>
  <c r="AC124" i="16"/>
  <c r="AD124" i="16" s="1"/>
  <c r="AK170" i="19"/>
  <c r="AL170" i="19" s="1"/>
  <c r="AC217" i="15"/>
  <c r="AD217" i="15" s="1"/>
  <c r="AC220" i="15"/>
  <c r="AD220" i="15" s="1"/>
  <c r="X18" i="14"/>
  <c r="X21" i="14"/>
  <c r="Y27" i="14" s="1"/>
  <c r="AI147" i="16"/>
  <c r="AJ147" i="16" s="1"/>
  <c r="AI144" i="16"/>
  <c r="AJ144" i="16" s="1"/>
  <c r="AC167" i="14"/>
  <c r="AD169" i="14" s="1"/>
  <c r="W27" i="16"/>
  <c r="AC116" i="15"/>
  <c r="AD116" i="15" s="1"/>
  <c r="V48" i="16"/>
  <c r="H51" i="19"/>
  <c r="J98" i="19"/>
  <c r="AH172" i="14"/>
  <c r="AC167" i="16"/>
  <c r="AC173" i="16"/>
  <c r="X163" i="17"/>
  <c r="X24" i="17"/>
  <c r="X166" i="17"/>
  <c r="T97" i="17"/>
  <c r="X45" i="17"/>
  <c r="AC213" i="19"/>
  <c r="W21" i="16"/>
  <c r="X124" i="17"/>
  <c r="T99" i="17"/>
  <c r="AD167" i="19"/>
  <c r="AC222" i="19"/>
  <c r="AC216" i="19"/>
  <c r="W27" i="15"/>
  <c r="W29" i="15"/>
  <c r="AC118" i="16"/>
  <c r="AD118" i="16" s="1"/>
  <c r="AK166" i="19"/>
  <c r="AL166" i="19" s="1"/>
  <c r="AC219" i="15"/>
  <c r="AD219" i="15" s="1"/>
  <c r="AC218" i="15"/>
  <c r="AD218" i="15" s="1"/>
  <c r="X19" i="14"/>
  <c r="J25" i="14"/>
  <c r="K25" i="14" s="1"/>
  <c r="AI143" i="16"/>
  <c r="AJ143" i="16" s="1"/>
  <c r="AI149" i="16"/>
  <c r="AJ149" i="16" s="1"/>
  <c r="AC174" i="14"/>
  <c r="W28" i="16"/>
  <c r="AC123" i="15"/>
  <c r="AD123" i="15" s="1"/>
  <c r="H72" i="19"/>
  <c r="AC166" i="16"/>
  <c r="AC172" i="16"/>
  <c r="X21" i="18"/>
  <c r="X116" i="17"/>
  <c r="X28" i="17"/>
  <c r="X20" i="17"/>
  <c r="X52" i="17"/>
  <c r="W24" i="15"/>
  <c r="AC123" i="16"/>
  <c r="H48" i="19"/>
  <c r="AC214" i="19"/>
  <c r="AC219" i="19"/>
  <c r="W19" i="15"/>
  <c r="W22" i="15"/>
  <c r="T48" i="19"/>
  <c r="AC125" i="16"/>
  <c r="AD125" i="16" s="1"/>
  <c r="AK164" i="19"/>
  <c r="AL164" i="19" s="1"/>
  <c r="AK172" i="19"/>
  <c r="AL172" i="19" s="1"/>
  <c r="AC216" i="15"/>
  <c r="AD216" i="15" s="1"/>
  <c r="AC212" i="15"/>
  <c r="AD212" i="15" s="1"/>
  <c r="X26" i="14"/>
  <c r="X23" i="14"/>
  <c r="AI145" i="16"/>
  <c r="AJ145" i="16" s="1"/>
  <c r="AI148" i="16"/>
  <c r="AJ148" i="16" s="1"/>
  <c r="AC166" i="14"/>
  <c r="W24" i="16"/>
  <c r="W29" i="16"/>
  <c r="AC125" i="15"/>
  <c r="AD125" i="15" s="1"/>
  <c r="AC115" i="15"/>
  <c r="H67" i="19"/>
  <c r="AC170" i="16"/>
  <c r="AC171" i="16"/>
  <c r="R45" i="18"/>
  <c r="X22" i="17"/>
  <c r="X25" i="17"/>
  <c r="Q23" i="14"/>
  <c r="AC124" i="15"/>
  <c r="AD124" i="15" s="1"/>
  <c r="T93" i="17"/>
  <c r="H49" i="19"/>
  <c r="AC218" i="19"/>
  <c r="AC223" i="19"/>
  <c r="W20" i="15"/>
  <c r="W25" i="15"/>
  <c r="AC126" i="16"/>
  <c r="AK168" i="19"/>
  <c r="AL168" i="19" s="1"/>
  <c r="AK173" i="19"/>
  <c r="AL173" i="19" s="1"/>
  <c r="AC222" i="15"/>
  <c r="AD222" i="15" s="1"/>
  <c r="X24" i="14"/>
  <c r="X22" i="14"/>
  <c r="AI142" i="16"/>
  <c r="AJ142" i="16" s="1"/>
  <c r="AI141" i="16"/>
  <c r="AJ141" i="16" s="1"/>
  <c r="AC173" i="14"/>
  <c r="W18" i="16"/>
  <c r="W25" i="16"/>
  <c r="N214" i="19"/>
  <c r="L95" i="14"/>
  <c r="AC114" i="15"/>
  <c r="AD114" i="15" s="1"/>
  <c r="AC121" i="15"/>
  <c r="AD121" i="15" s="1"/>
  <c r="AC169" i="16"/>
  <c r="AC165" i="16"/>
  <c r="X170" i="17"/>
  <c r="X27" i="17"/>
  <c r="X29" i="17"/>
  <c r="X46" i="17"/>
  <c r="T95" i="17"/>
  <c r="AC213" i="15"/>
  <c r="X120" i="17"/>
  <c r="H150" i="19"/>
  <c r="AK175" i="19"/>
  <c r="AL175" i="19" s="1"/>
  <c r="AC168" i="14"/>
  <c r="W23" i="16"/>
  <c r="N218" i="19"/>
  <c r="V53" i="19"/>
  <c r="AC119" i="15"/>
  <c r="R142" i="16"/>
  <c r="V223" i="16"/>
  <c r="X171" i="17"/>
  <c r="X172" i="17"/>
  <c r="AI145" i="15"/>
  <c r="AJ145" i="15" s="1"/>
  <c r="AI139" i="15"/>
  <c r="AJ139" i="15" s="1"/>
  <c r="AC165" i="15"/>
  <c r="AC167" i="15"/>
  <c r="X214" i="16"/>
  <c r="S48" i="16"/>
  <c r="S46" i="16"/>
  <c r="U167" i="15"/>
  <c r="S42" i="15"/>
  <c r="S44" i="15"/>
  <c r="N175" i="16"/>
  <c r="N166" i="16"/>
  <c r="R151" i="19"/>
  <c r="R147" i="19"/>
  <c r="H100" i="16"/>
  <c r="S53" i="14"/>
  <c r="S50" i="14"/>
  <c r="AM19" i="19"/>
  <c r="AN19" i="19" s="1"/>
  <c r="AK172" i="16"/>
  <c r="AL172" i="16" s="1"/>
  <c r="R148" i="16"/>
  <c r="AD93" i="19"/>
  <c r="V165" i="16"/>
  <c r="Z49" i="14"/>
  <c r="M26" i="14"/>
  <c r="P18" i="19"/>
  <c r="V163" i="17"/>
  <c r="AN51" i="18"/>
  <c r="AN44" i="17"/>
  <c r="AI143" i="15"/>
  <c r="AJ143" i="15" s="1"/>
  <c r="AI140" i="15"/>
  <c r="AJ140" i="15" s="1"/>
  <c r="AC172" i="15"/>
  <c r="AC174" i="15"/>
  <c r="S49" i="16"/>
  <c r="S53" i="16"/>
  <c r="U173" i="15"/>
  <c r="S46" i="15"/>
  <c r="S52" i="15"/>
  <c r="S47" i="14"/>
  <c r="AM26" i="19"/>
  <c r="AN26" i="19" s="1"/>
  <c r="AM22" i="19"/>
  <c r="AN22" i="19" s="1"/>
  <c r="AK170" i="16"/>
  <c r="AL170" i="16" s="1"/>
  <c r="AK171" i="16"/>
  <c r="AL171" i="16" s="1"/>
  <c r="X125" i="17"/>
  <c r="X53" i="17"/>
  <c r="T74" i="17"/>
  <c r="T75" i="17"/>
  <c r="S49" i="15"/>
  <c r="S45" i="14"/>
  <c r="T77" i="14" s="1"/>
  <c r="AI150" i="15"/>
  <c r="AJ150" i="15" s="1"/>
  <c r="AC164" i="15"/>
  <c r="S43" i="16"/>
  <c r="U170" i="15"/>
  <c r="U165" i="15"/>
  <c r="S53" i="15"/>
  <c r="S48" i="14"/>
  <c r="L100" i="14"/>
  <c r="R22" i="19"/>
  <c r="AM25" i="19"/>
  <c r="AN25" i="19" s="1"/>
  <c r="AM24" i="19"/>
  <c r="AN24" i="19" s="1"/>
  <c r="AK169" i="16"/>
  <c r="AL169" i="16" s="1"/>
  <c r="AK167" i="16"/>
  <c r="AL167" i="16" s="1"/>
  <c r="AN50" i="17"/>
  <c r="X165" i="17"/>
  <c r="AN49" i="17"/>
  <c r="X119" i="17"/>
  <c r="X23" i="17"/>
  <c r="X48" i="17"/>
  <c r="T101" i="17"/>
  <c r="X47" i="17"/>
  <c r="T100" i="17"/>
  <c r="T71" i="17"/>
  <c r="AM27" i="19"/>
  <c r="AN27" i="19" s="1"/>
  <c r="AI144" i="15"/>
  <c r="AJ144" i="15" s="1"/>
  <c r="AC170" i="15"/>
  <c r="S44" i="16"/>
  <c r="AD72" i="15"/>
  <c r="U169" i="15"/>
  <c r="U172" i="15"/>
  <c r="S50" i="15"/>
  <c r="N168" i="16"/>
  <c r="S46" i="14"/>
  <c r="AM29" i="19"/>
  <c r="AN29" i="19" s="1"/>
  <c r="AM28" i="19"/>
  <c r="AN28" i="19" s="1"/>
  <c r="AK175" i="16"/>
  <c r="AL175" i="16" s="1"/>
  <c r="AK166" i="16"/>
  <c r="AL166" i="16" s="1"/>
  <c r="H43" i="14"/>
  <c r="F25" i="18"/>
  <c r="AP45" i="18"/>
  <c r="F49" i="18"/>
  <c r="AN45" i="17"/>
  <c r="X115" i="17"/>
  <c r="X117" i="17"/>
  <c r="AN51" i="17"/>
  <c r="X121" i="17"/>
  <c r="T98" i="17"/>
  <c r="T76" i="17"/>
  <c r="AC173" i="15"/>
  <c r="U168" i="15"/>
  <c r="AI142" i="15"/>
  <c r="AJ142" i="15" s="1"/>
  <c r="AC171" i="15"/>
  <c r="S42" i="16"/>
  <c r="T42" i="16" s="1"/>
  <c r="U166" i="15"/>
  <c r="U164" i="15"/>
  <c r="S45" i="15"/>
  <c r="N173" i="16"/>
  <c r="R141" i="19"/>
  <c r="S42" i="14"/>
  <c r="AM23" i="19"/>
  <c r="AN23" i="19" s="1"/>
  <c r="AM21" i="19"/>
  <c r="AN21" i="19" s="1"/>
  <c r="AK164" i="16"/>
  <c r="AL164" i="16" s="1"/>
  <c r="AK165" i="16"/>
  <c r="AL165" i="16" s="1"/>
  <c r="F29" i="18"/>
  <c r="L18" i="18"/>
  <c r="F51" i="18"/>
  <c r="AN42" i="17"/>
  <c r="T68" i="17"/>
  <c r="AC168" i="15"/>
  <c r="S47" i="15"/>
  <c r="S51" i="14"/>
  <c r="AN52" i="17"/>
  <c r="U171" i="15"/>
  <c r="V171" i="15" s="1"/>
  <c r="L92" i="16"/>
  <c r="N172" i="16"/>
  <c r="S44" i="14"/>
  <c r="P19" i="18"/>
  <c r="AN45" i="18"/>
  <c r="T66" i="17"/>
  <c r="T77" i="17"/>
  <c r="L29" i="16"/>
  <c r="AB19" i="19"/>
  <c r="I99" i="16"/>
  <c r="I94" i="16"/>
  <c r="AN20" i="14"/>
  <c r="AO20" i="14" s="1"/>
  <c r="AN27" i="14"/>
  <c r="AO27" i="14" s="1"/>
  <c r="J102" i="14"/>
  <c r="AC222" i="16"/>
  <c r="AC216" i="16"/>
  <c r="V198" i="19"/>
  <c r="V196" i="19"/>
  <c r="AP97" i="17"/>
  <c r="AP101" i="17"/>
  <c r="I92" i="16"/>
  <c r="I96" i="16"/>
  <c r="AN24" i="14"/>
  <c r="AO24" i="14" s="1"/>
  <c r="AN23" i="14"/>
  <c r="AO23" i="14" s="1"/>
  <c r="AC214" i="16"/>
  <c r="AC217" i="16"/>
  <c r="V188" i="19"/>
  <c r="L26" i="18"/>
  <c r="V79" i="21"/>
  <c r="T124" i="21" s="1"/>
  <c r="AP91" i="17"/>
  <c r="AP100" i="17"/>
  <c r="T72" i="17"/>
  <c r="X43" i="17"/>
  <c r="X50" i="17"/>
  <c r="X18" i="17"/>
  <c r="X26" i="17"/>
  <c r="X122" i="17"/>
  <c r="X21" i="17"/>
  <c r="X167" i="17"/>
  <c r="I100" i="16"/>
  <c r="I95" i="16"/>
  <c r="AN28" i="14"/>
  <c r="AO28" i="14" s="1"/>
  <c r="AN29" i="14"/>
  <c r="AO29" i="14" s="1"/>
  <c r="AC212" i="16"/>
  <c r="V190" i="19"/>
  <c r="L20" i="16"/>
  <c r="V173" i="16"/>
  <c r="V169" i="16"/>
  <c r="AB18" i="19"/>
  <c r="AD102" i="16"/>
  <c r="AP27" i="18"/>
  <c r="L22" i="18"/>
  <c r="AJ53" i="18"/>
  <c r="AA79" i="21"/>
  <c r="W124" i="21" s="1"/>
  <c r="I102" i="16"/>
  <c r="I91" i="16"/>
  <c r="Z117" i="15"/>
  <c r="AN25" i="14"/>
  <c r="AO25" i="14" s="1"/>
  <c r="AN22" i="14"/>
  <c r="AO22" i="14" s="1"/>
  <c r="AC221" i="16"/>
  <c r="V192" i="19"/>
  <c r="AH173" i="16"/>
  <c r="N173" i="14"/>
  <c r="AP25" i="18"/>
  <c r="L29" i="18"/>
  <c r="S118" i="21"/>
  <c r="R22" i="18"/>
  <c r="AF79" i="21"/>
  <c r="Z124" i="21" s="1"/>
  <c r="AN47" i="17"/>
  <c r="AN53" i="17"/>
  <c r="AN48" i="17"/>
  <c r="V167" i="16"/>
  <c r="I98" i="16"/>
  <c r="AN18" i="14"/>
  <c r="AO18" i="14" s="1"/>
  <c r="AC220" i="16"/>
  <c r="V197" i="19"/>
  <c r="AP20" i="18"/>
  <c r="AB18" i="18"/>
  <c r="I97" i="16"/>
  <c r="AN26" i="14"/>
  <c r="AO26" i="14" s="1"/>
  <c r="AC213" i="16"/>
  <c r="V194" i="19"/>
  <c r="V199" i="19"/>
  <c r="H196" i="19"/>
  <c r="AD193" i="16"/>
  <c r="X213" i="19"/>
  <c r="AB44" i="18"/>
  <c r="AB25" i="18"/>
  <c r="AP95" i="17"/>
  <c r="AP92" i="17"/>
  <c r="AC215" i="16"/>
  <c r="Z47" i="16"/>
  <c r="V195" i="19"/>
  <c r="V189" i="19"/>
  <c r="V174" i="18"/>
  <c r="AP52" i="18"/>
  <c r="AP98" i="17"/>
  <c r="AP96" i="17"/>
  <c r="T73" i="17"/>
  <c r="T67" i="17"/>
  <c r="AN29" i="17"/>
  <c r="AN120" i="17"/>
  <c r="AO120" i="17" s="1"/>
  <c r="L26" i="16"/>
  <c r="V166" i="16"/>
  <c r="AB28" i="19"/>
  <c r="AB29" i="19"/>
  <c r="J142" i="19"/>
  <c r="H50" i="19"/>
  <c r="V23" i="17"/>
  <c r="AN27" i="18"/>
  <c r="R43" i="18"/>
  <c r="V174" i="16"/>
  <c r="Q23" i="16"/>
  <c r="R20" i="18"/>
  <c r="AN22" i="18"/>
  <c r="R53" i="18"/>
  <c r="L208" i="21"/>
  <c r="L19" i="16"/>
  <c r="V168" i="16"/>
  <c r="V175" i="16"/>
  <c r="AB22" i="19"/>
  <c r="J148" i="19"/>
  <c r="Q29" i="16"/>
  <c r="Z188" i="19"/>
  <c r="J91" i="19"/>
  <c r="AH169" i="14"/>
  <c r="K27" i="14"/>
  <c r="V169" i="17"/>
  <c r="AB42" i="18"/>
  <c r="AN25" i="18"/>
  <c r="AB19" i="18"/>
  <c r="AN53" i="18"/>
  <c r="X214" i="14"/>
  <c r="J101" i="14"/>
  <c r="R23" i="19"/>
  <c r="V213" i="16"/>
  <c r="V172" i="16"/>
  <c r="AB23" i="19"/>
  <c r="J145" i="19"/>
  <c r="J146" i="19"/>
  <c r="Q21" i="16"/>
  <c r="R21" i="16" s="1"/>
  <c r="X43" i="19"/>
  <c r="J97" i="19"/>
  <c r="AH170" i="14"/>
  <c r="AB52" i="18"/>
  <c r="AB20" i="18"/>
  <c r="AN44" i="18"/>
  <c r="H197" i="16"/>
  <c r="L24" i="16"/>
  <c r="L27" i="16"/>
  <c r="AB27" i="19"/>
  <c r="AB20" i="19"/>
  <c r="J151" i="19"/>
  <c r="AH174" i="19"/>
  <c r="AH164" i="19"/>
  <c r="AB43" i="18"/>
  <c r="AB26" i="18"/>
  <c r="AN48" i="18"/>
  <c r="P27" i="16"/>
  <c r="L18" i="16"/>
  <c r="L28" i="16"/>
  <c r="V171" i="16"/>
  <c r="AB53" i="18"/>
  <c r="AB21" i="18"/>
  <c r="R144" i="16"/>
  <c r="Q18" i="16"/>
  <c r="Q22" i="16"/>
  <c r="AH174" i="14"/>
  <c r="H51" i="18"/>
  <c r="AJ51" i="18"/>
  <c r="H24" i="18"/>
  <c r="AJ42" i="18"/>
  <c r="R145" i="16"/>
  <c r="R141" i="16"/>
  <c r="P20" i="16"/>
  <c r="J99" i="19"/>
  <c r="V215" i="16"/>
  <c r="AI27" i="19"/>
  <c r="AJ27" i="19" s="1"/>
  <c r="F172" i="19"/>
  <c r="Z92" i="16"/>
  <c r="P190" i="16"/>
  <c r="P196" i="16"/>
  <c r="L92" i="14"/>
  <c r="H171" i="16"/>
  <c r="R147" i="16"/>
  <c r="R140" i="16"/>
  <c r="V219" i="16"/>
  <c r="AD198" i="16"/>
  <c r="R28" i="14"/>
  <c r="R25" i="14"/>
  <c r="Q26" i="16"/>
  <c r="V140" i="19"/>
  <c r="Z197" i="14"/>
  <c r="AH166" i="14"/>
  <c r="AC22" i="14"/>
  <c r="H48" i="18"/>
  <c r="H50" i="18"/>
  <c r="R28" i="18"/>
  <c r="AB51" i="18"/>
  <c r="AN20" i="18"/>
  <c r="H20" i="18"/>
  <c r="N53" i="18"/>
  <c r="P45" i="18"/>
  <c r="R49" i="18"/>
  <c r="AN47" i="18"/>
  <c r="L47" i="18"/>
  <c r="S115" i="21"/>
  <c r="AJ50" i="18"/>
  <c r="J101" i="19"/>
  <c r="P24" i="16"/>
  <c r="V222" i="16"/>
  <c r="V42" i="19"/>
  <c r="V212" i="16"/>
  <c r="P28" i="16"/>
  <c r="AI29" i="19"/>
  <c r="AJ29" i="19" s="1"/>
  <c r="R21" i="14"/>
  <c r="R19" i="14"/>
  <c r="Q27" i="16"/>
  <c r="H42" i="18"/>
  <c r="H53" i="18"/>
  <c r="R18" i="18"/>
  <c r="AN19" i="18"/>
  <c r="H25" i="18"/>
  <c r="R47" i="18"/>
  <c r="AN49" i="18"/>
  <c r="AA77" i="21"/>
  <c r="W122" i="21" s="1"/>
  <c r="V167" i="18"/>
  <c r="P21" i="16"/>
  <c r="AH165" i="16"/>
  <c r="H191" i="16"/>
  <c r="P25" i="19"/>
  <c r="V46" i="19"/>
  <c r="P19" i="16"/>
  <c r="V218" i="16"/>
  <c r="V221" i="16"/>
  <c r="R29" i="14"/>
  <c r="R27" i="14"/>
  <c r="Q20" i="16"/>
  <c r="H44" i="18"/>
  <c r="H43" i="18"/>
  <c r="R21" i="18"/>
  <c r="AN23" i="18"/>
  <c r="H23" i="18"/>
  <c r="R50" i="18"/>
  <c r="AN43" i="18"/>
  <c r="V50" i="19"/>
  <c r="T222" i="19"/>
  <c r="P26" i="16"/>
  <c r="P194" i="16"/>
  <c r="AH167" i="14"/>
  <c r="AD191" i="16"/>
  <c r="R149" i="16"/>
  <c r="V216" i="16"/>
  <c r="R24" i="14"/>
  <c r="R26" i="14"/>
  <c r="Q28" i="16"/>
  <c r="N20" i="16"/>
  <c r="AH165" i="14"/>
  <c r="H46" i="18"/>
  <c r="H49" i="18"/>
  <c r="R25" i="18"/>
  <c r="AN21" i="18"/>
  <c r="H19" i="18"/>
  <c r="H28" i="18"/>
  <c r="R42" i="18"/>
  <c r="AN50" i="18"/>
  <c r="V220" i="16"/>
  <c r="T220" i="19"/>
  <c r="T223" i="19"/>
  <c r="P18" i="16"/>
  <c r="P29" i="16"/>
  <c r="L102" i="14"/>
  <c r="R150" i="16"/>
  <c r="V217" i="16"/>
  <c r="Z72" i="19"/>
  <c r="Z73" i="19"/>
  <c r="H74" i="15"/>
  <c r="Q25" i="16"/>
  <c r="H52" i="18"/>
  <c r="R29" i="18"/>
  <c r="AB49" i="18"/>
  <c r="AN29" i="18"/>
  <c r="AP28" i="18"/>
  <c r="H21" i="18"/>
  <c r="AB23" i="18"/>
  <c r="R44" i="18"/>
  <c r="AN42" i="18"/>
  <c r="S120" i="21"/>
  <c r="N216" i="14"/>
  <c r="F20" i="18"/>
  <c r="F45" i="18"/>
  <c r="H190" i="16"/>
  <c r="P21" i="19"/>
  <c r="N220" i="14"/>
  <c r="H102" i="16"/>
  <c r="J219" i="19"/>
  <c r="P219" i="16"/>
  <c r="Z74" i="19"/>
  <c r="Z76" i="19"/>
  <c r="AD92" i="16"/>
  <c r="AD97" i="16"/>
  <c r="J219" i="14"/>
  <c r="V116" i="17"/>
  <c r="V24" i="17"/>
  <c r="F26" i="18"/>
  <c r="R24" i="18"/>
  <c r="R26" i="18"/>
  <c r="AB47" i="18"/>
  <c r="AN28" i="18"/>
  <c r="AN24" i="18"/>
  <c r="AP29" i="18"/>
  <c r="AP26" i="18"/>
  <c r="P21" i="18"/>
  <c r="AJ18" i="18"/>
  <c r="X22" i="18"/>
  <c r="AP42" i="18"/>
  <c r="AP47" i="18"/>
  <c r="L25" i="18"/>
  <c r="P43" i="18"/>
  <c r="P51" i="18"/>
  <c r="AB29" i="18"/>
  <c r="F42" i="18"/>
  <c r="F50" i="18"/>
  <c r="R51" i="18"/>
  <c r="AN46" i="18"/>
  <c r="AN52" i="18"/>
  <c r="L44" i="18"/>
  <c r="AP74" i="21"/>
  <c r="AF74" i="21"/>
  <c r="Z119" i="21" s="1"/>
  <c r="S121" i="21"/>
  <c r="AP75" i="21"/>
  <c r="N214" i="14"/>
  <c r="H77" i="15"/>
  <c r="P46" i="18"/>
  <c r="N218" i="14"/>
  <c r="P20" i="19"/>
  <c r="H146" i="16"/>
  <c r="N212" i="14"/>
  <c r="H101" i="16"/>
  <c r="P193" i="16"/>
  <c r="Z145" i="16"/>
  <c r="Z141" i="16"/>
  <c r="P218" i="16"/>
  <c r="V49" i="16"/>
  <c r="Z68" i="19"/>
  <c r="Z52" i="19"/>
  <c r="V173" i="19"/>
  <c r="J216" i="14"/>
  <c r="AC23" i="14"/>
  <c r="P27" i="19"/>
  <c r="AP23" i="18"/>
  <c r="P26" i="18"/>
  <c r="AP51" i="18"/>
  <c r="AP46" i="18"/>
  <c r="L24" i="18"/>
  <c r="P50" i="18"/>
  <c r="P53" i="18"/>
  <c r="F46" i="18"/>
  <c r="F44" i="18"/>
  <c r="L50" i="18"/>
  <c r="AK74" i="21"/>
  <c r="S117" i="21"/>
  <c r="N217" i="14"/>
  <c r="T143" i="19"/>
  <c r="H196" i="16"/>
  <c r="N219" i="14"/>
  <c r="Z144" i="16"/>
  <c r="P222" i="16"/>
  <c r="P220" i="16"/>
  <c r="J92" i="14"/>
  <c r="J99" i="14"/>
  <c r="Z97" i="19"/>
  <c r="P194" i="19"/>
  <c r="L29" i="19"/>
  <c r="V214" i="16"/>
  <c r="V52" i="16"/>
  <c r="Z47" i="19"/>
  <c r="J212" i="14"/>
  <c r="F18" i="19"/>
  <c r="P19" i="19"/>
  <c r="P24" i="19"/>
  <c r="V170" i="18"/>
  <c r="F22" i="18"/>
  <c r="X50" i="18"/>
  <c r="AP19" i="18"/>
  <c r="P28" i="18"/>
  <c r="AP44" i="18"/>
  <c r="AP50" i="18"/>
  <c r="L21" i="18"/>
  <c r="P47" i="18"/>
  <c r="P42" i="18"/>
  <c r="F48" i="18"/>
  <c r="L43" i="18"/>
  <c r="L49" i="18"/>
  <c r="AA74" i="21"/>
  <c r="W119" i="21" s="1"/>
  <c r="V72" i="21"/>
  <c r="T117" i="21" s="1"/>
  <c r="N222" i="14"/>
  <c r="F21" i="18"/>
  <c r="P24" i="18"/>
  <c r="F52" i="18"/>
  <c r="N223" i="14"/>
  <c r="N213" i="14"/>
  <c r="Z150" i="16"/>
  <c r="P214" i="16"/>
  <c r="Z67" i="19"/>
  <c r="V169" i="18"/>
  <c r="F27" i="18"/>
  <c r="AP24" i="18"/>
  <c r="P23" i="18"/>
  <c r="P22" i="18"/>
  <c r="AP48" i="18"/>
  <c r="AP43" i="18"/>
  <c r="L28" i="18"/>
  <c r="P52" i="18"/>
  <c r="P44" i="18"/>
  <c r="F43" i="18"/>
  <c r="L42" i="18"/>
  <c r="L45" i="18"/>
  <c r="N165" i="19"/>
  <c r="H188" i="16"/>
  <c r="N213" i="16"/>
  <c r="Z175" i="16"/>
  <c r="V164" i="18"/>
  <c r="F28" i="18"/>
  <c r="F19" i="18"/>
  <c r="R27" i="18"/>
  <c r="AB50" i="18"/>
  <c r="AB46" i="18"/>
  <c r="AN18" i="18"/>
  <c r="N22" i="18"/>
  <c r="AP22" i="18"/>
  <c r="P18" i="18"/>
  <c r="P20" i="18"/>
  <c r="AP49" i="18"/>
  <c r="L27" i="18"/>
  <c r="L20" i="18"/>
  <c r="P48" i="18"/>
  <c r="AB28" i="18"/>
  <c r="AB24" i="18"/>
  <c r="F53" i="18"/>
  <c r="R52" i="18"/>
  <c r="R48" i="18"/>
  <c r="L46" i="18"/>
  <c r="L48" i="18"/>
  <c r="AK76" i="21"/>
  <c r="H91" i="16"/>
  <c r="Z142" i="16"/>
  <c r="P213" i="16"/>
  <c r="Z48" i="19"/>
  <c r="F23" i="18"/>
  <c r="F24" i="18"/>
  <c r="R19" i="18"/>
  <c r="AB45" i="18"/>
  <c r="AB48" i="18"/>
  <c r="AP21" i="18"/>
  <c r="AP18" i="18"/>
  <c r="P27" i="18"/>
  <c r="P25" i="18"/>
  <c r="L23" i="18"/>
  <c r="L19" i="18"/>
  <c r="AB22" i="18"/>
  <c r="R46" i="18"/>
  <c r="L53" i="18"/>
  <c r="AP71" i="21"/>
  <c r="V74" i="21"/>
  <c r="T119" i="21" s="1"/>
  <c r="V143" i="19"/>
  <c r="N166" i="19"/>
  <c r="P217" i="14"/>
  <c r="AD96" i="19"/>
  <c r="AI24" i="19"/>
  <c r="AJ24" i="19" s="1"/>
  <c r="AI23" i="19"/>
  <c r="AJ23" i="19" s="1"/>
  <c r="V115" i="17"/>
  <c r="V114" i="17"/>
  <c r="V165" i="17"/>
  <c r="V28" i="17"/>
  <c r="X47" i="18"/>
  <c r="X28" i="18"/>
  <c r="AJ95" i="17"/>
  <c r="AJ92" i="17"/>
  <c r="AJ90" i="17"/>
  <c r="AJ97" i="17"/>
  <c r="AJ96" i="17"/>
  <c r="AJ93" i="17"/>
  <c r="AJ99" i="17"/>
  <c r="AJ100" i="17"/>
  <c r="AJ98" i="17"/>
  <c r="AJ94" i="17"/>
  <c r="AJ91" i="17"/>
  <c r="AJ101" i="17"/>
  <c r="AL92" i="17"/>
  <c r="AL95" i="17"/>
  <c r="AL98" i="17"/>
  <c r="AL100" i="17"/>
  <c r="AL99" i="17"/>
  <c r="AL94" i="17"/>
  <c r="AL96" i="17"/>
  <c r="AL101" i="17"/>
  <c r="AL90" i="17"/>
  <c r="AL91" i="17"/>
  <c r="AL93" i="17"/>
  <c r="AL97" i="17"/>
  <c r="N99" i="17"/>
  <c r="N97" i="17"/>
  <c r="N95" i="17"/>
  <c r="N94" i="17"/>
  <c r="N90" i="17"/>
  <c r="N101" i="17"/>
  <c r="N92" i="17"/>
  <c r="N91" i="17"/>
  <c r="N96" i="17"/>
  <c r="N100" i="17"/>
  <c r="N98" i="17"/>
  <c r="N93" i="17"/>
  <c r="AD102" i="19"/>
  <c r="AI19" i="19"/>
  <c r="AJ19" i="19" s="1"/>
  <c r="R151" i="16"/>
  <c r="V120" i="17"/>
  <c r="V117" i="17"/>
  <c r="V125" i="17"/>
  <c r="V19" i="17"/>
  <c r="V22" i="17"/>
  <c r="X20" i="18"/>
  <c r="AA70" i="21"/>
  <c r="W115" i="21" s="1"/>
  <c r="AF75" i="21"/>
  <c r="Z120" i="21" s="1"/>
  <c r="AK72" i="21"/>
  <c r="AA75" i="21"/>
  <c r="W120" i="21" s="1"/>
  <c r="AB69" i="17"/>
  <c r="AB68" i="17"/>
  <c r="AB71" i="17"/>
  <c r="AB74" i="17"/>
  <c r="AB76" i="17"/>
  <c r="AB77" i="17"/>
  <c r="AB72" i="17"/>
  <c r="AB67" i="17"/>
  <c r="AB73" i="17"/>
  <c r="AB70" i="17"/>
  <c r="AB75" i="17"/>
  <c r="AB66" i="17"/>
  <c r="P72" i="17"/>
  <c r="P75" i="17"/>
  <c r="P68" i="17"/>
  <c r="P69" i="17"/>
  <c r="P76" i="17"/>
  <c r="P77" i="17"/>
  <c r="P73" i="17"/>
  <c r="P71" i="17"/>
  <c r="P70" i="17"/>
  <c r="P66" i="17"/>
  <c r="P74" i="17"/>
  <c r="P67" i="17"/>
  <c r="L98" i="17"/>
  <c r="L100" i="17"/>
  <c r="L95" i="17"/>
  <c r="L91" i="17"/>
  <c r="L99" i="17"/>
  <c r="L101" i="17"/>
  <c r="L93" i="17"/>
  <c r="L96" i="17"/>
  <c r="L97" i="17"/>
  <c r="L92" i="17"/>
  <c r="L94" i="17"/>
  <c r="L90" i="17"/>
  <c r="X43" i="14"/>
  <c r="F26" i="19"/>
  <c r="AI26" i="19"/>
  <c r="AJ26" i="19" s="1"/>
  <c r="J93" i="19"/>
  <c r="V118" i="17"/>
  <c r="V170" i="17"/>
  <c r="V121" i="17"/>
  <c r="V27" i="17"/>
  <c r="AP70" i="21"/>
  <c r="AF70" i="21"/>
  <c r="Z115" i="21" s="1"/>
  <c r="AB92" i="17"/>
  <c r="AB96" i="17"/>
  <c r="AB99" i="17"/>
  <c r="AB90" i="17"/>
  <c r="AB100" i="17"/>
  <c r="AB95" i="17"/>
  <c r="AB98" i="17"/>
  <c r="AB91" i="17"/>
  <c r="AB93" i="17"/>
  <c r="AB94" i="17"/>
  <c r="AB101" i="17"/>
  <c r="AB97" i="17"/>
  <c r="AL67" i="17"/>
  <c r="AL70" i="17"/>
  <c r="AL72" i="17"/>
  <c r="AL77" i="17"/>
  <c r="AL76" i="17"/>
  <c r="AL68" i="17"/>
  <c r="AL69" i="17"/>
  <c r="AL74" i="17"/>
  <c r="AL66" i="17"/>
  <c r="AL75" i="17"/>
  <c r="AL71" i="17"/>
  <c r="AL73" i="17"/>
  <c r="AI25" i="19"/>
  <c r="AJ25" i="19" s="1"/>
  <c r="V174" i="17"/>
  <c r="V166" i="17"/>
  <c r="V124" i="17"/>
  <c r="V26" i="17"/>
  <c r="V18" i="17"/>
  <c r="AP77" i="21"/>
  <c r="P96" i="17"/>
  <c r="P95" i="17"/>
  <c r="P100" i="17"/>
  <c r="P91" i="17"/>
  <c r="P94" i="17"/>
  <c r="P101" i="17"/>
  <c r="P99" i="17"/>
  <c r="P97" i="17"/>
  <c r="P98" i="17"/>
  <c r="P92" i="17"/>
  <c r="P90" i="17"/>
  <c r="P93" i="17"/>
  <c r="AF69" i="17"/>
  <c r="AF68" i="17"/>
  <c r="AF77" i="17"/>
  <c r="AF76" i="17"/>
  <c r="AF73" i="17"/>
  <c r="AF70" i="17"/>
  <c r="AF75" i="17"/>
  <c r="AF66" i="17"/>
  <c r="AF74" i="17"/>
  <c r="AF71" i="17"/>
  <c r="AF72" i="17"/>
  <c r="AF67" i="17"/>
  <c r="R69" i="17"/>
  <c r="R74" i="17"/>
  <c r="R67" i="17"/>
  <c r="R70" i="17"/>
  <c r="R77" i="17"/>
  <c r="R73" i="17"/>
  <c r="R76" i="17"/>
  <c r="R68" i="17"/>
  <c r="R71" i="17"/>
  <c r="R75" i="17"/>
  <c r="R66" i="17"/>
  <c r="R72" i="17"/>
  <c r="L71" i="17"/>
  <c r="L74" i="17"/>
  <c r="L77" i="17"/>
  <c r="L70" i="17"/>
  <c r="L72" i="17"/>
  <c r="L67" i="17"/>
  <c r="L66" i="17"/>
  <c r="L75" i="17"/>
  <c r="L76" i="17"/>
  <c r="L73" i="17"/>
  <c r="L68" i="17"/>
  <c r="L69" i="17"/>
  <c r="AJ66" i="17"/>
  <c r="AJ73" i="17"/>
  <c r="AJ77" i="17"/>
  <c r="AJ67" i="17"/>
  <c r="AJ71" i="17"/>
  <c r="AJ74" i="17"/>
  <c r="AJ69" i="17"/>
  <c r="AJ72" i="17"/>
  <c r="AJ68" i="17"/>
  <c r="AJ70" i="17"/>
  <c r="AJ76" i="17"/>
  <c r="AJ75" i="17"/>
  <c r="V141" i="19"/>
  <c r="T143" i="14"/>
  <c r="X172" i="19"/>
  <c r="AI22" i="19"/>
  <c r="AJ22" i="19" s="1"/>
  <c r="V171" i="17"/>
  <c r="V168" i="17"/>
  <c r="V122" i="17"/>
  <c r="V21" i="17"/>
  <c r="AH68" i="17"/>
  <c r="AH75" i="17"/>
  <c r="AH66" i="17"/>
  <c r="AH72" i="17"/>
  <c r="AH76" i="17"/>
  <c r="AH70" i="17"/>
  <c r="AH74" i="17"/>
  <c r="AH67" i="17"/>
  <c r="AH71" i="17"/>
  <c r="AH73" i="17"/>
  <c r="AH77" i="17"/>
  <c r="AH69" i="17"/>
  <c r="V146" i="19"/>
  <c r="T140" i="14"/>
  <c r="AI18" i="19"/>
  <c r="AJ18" i="19" s="1"/>
  <c r="AI20" i="19"/>
  <c r="AJ20" i="19" s="1"/>
  <c r="V123" i="17"/>
  <c r="V164" i="17"/>
  <c r="V173" i="17"/>
  <c r="V25" i="17"/>
  <c r="V29" i="17"/>
  <c r="N71" i="17"/>
  <c r="N69" i="17"/>
  <c r="N66" i="17"/>
  <c r="N68" i="17"/>
  <c r="N74" i="17"/>
  <c r="N73" i="17"/>
  <c r="N67" i="17"/>
  <c r="N75" i="17"/>
  <c r="N77" i="17"/>
  <c r="N70" i="17"/>
  <c r="N72" i="17"/>
  <c r="N76" i="17"/>
  <c r="AF96" i="17"/>
  <c r="AF91" i="17"/>
  <c r="AF94" i="17"/>
  <c r="AF101" i="17"/>
  <c r="AF95" i="17"/>
  <c r="AF98" i="17"/>
  <c r="AF92" i="17"/>
  <c r="AF97" i="17"/>
  <c r="AF90" i="17"/>
  <c r="AF99" i="17"/>
  <c r="AF100" i="17"/>
  <c r="AF93" i="17"/>
  <c r="Z101" i="19"/>
  <c r="N175" i="19"/>
  <c r="N169" i="19"/>
  <c r="AD119" i="19"/>
  <c r="AD115" i="19"/>
  <c r="N141" i="19"/>
  <c r="X52" i="14"/>
  <c r="X51" i="14"/>
  <c r="X173" i="19"/>
  <c r="X169" i="19"/>
  <c r="T147" i="14"/>
  <c r="X223" i="16"/>
  <c r="H199" i="16"/>
  <c r="N214" i="16"/>
  <c r="Z165" i="16"/>
  <c r="Z151" i="19"/>
  <c r="AI28" i="19"/>
  <c r="AJ28" i="19" s="1"/>
  <c r="P197" i="16"/>
  <c r="AD194" i="16"/>
  <c r="V164" i="16"/>
  <c r="V164" i="19"/>
  <c r="V149" i="19"/>
  <c r="J96" i="19"/>
  <c r="Z198" i="14"/>
  <c r="F29" i="19"/>
  <c r="F27" i="19"/>
  <c r="P28" i="19"/>
  <c r="V119" i="17"/>
  <c r="V172" i="17"/>
  <c r="V167" i="17"/>
  <c r="X48" i="18"/>
  <c r="S123" i="21"/>
  <c r="S119" i="21"/>
  <c r="S124" i="21"/>
  <c r="AH92" i="17"/>
  <c r="AH91" i="17"/>
  <c r="AH100" i="17"/>
  <c r="AH93" i="17"/>
  <c r="AH97" i="17"/>
  <c r="AH94" i="17"/>
  <c r="AH98" i="17"/>
  <c r="AH90" i="17"/>
  <c r="AH95" i="17"/>
  <c r="AH99" i="17"/>
  <c r="AH96" i="17"/>
  <c r="AH101" i="17"/>
  <c r="R90" i="17"/>
  <c r="R95" i="17"/>
  <c r="R101" i="17"/>
  <c r="R97" i="17"/>
  <c r="R96" i="17"/>
  <c r="R98" i="17"/>
  <c r="R92" i="17"/>
  <c r="R91" i="17"/>
  <c r="R100" i="17"/>
  <c r="R94" i="17"/>
  <c r="R93" i="17"/>
  <c r="R99" i="17"/>
  <c r="F192" i="19"/>
  <c r="F189" i="19"/>
  <c r="F191" i="19"/>
  <c r="V53" i="17"/>
  <c r="V48" i="17"/>
  <c r="V49" i="17"/>
  <c r="X221" i="16"/>
  <c r="F68" i="15"/>
  <c r="F69" i="15"/>
  <c r="F173" i="19"/>
  <c r="Z100" i="16"/>
  <c r="Z93" i="16"/>
  <c r="Z101" i="16"/>
  <c r="Z94" i="16"/>
  <c r="Z91" i="16"/>
  <c r="AD117" i="14"/>
  <c r="L22" i="19"/>
  <c r="L18" i="19"/>
  <c r="L23" i="19"/>
  <c r="L27" i="19"/>
  <c r="V174" i="19"/>
  <c r="V168" i="19"/>
  <c r="Z191" i="14"/>
  <c r="Z188" i="14"/>
  <c r="Z193" i="14"/>
  <c r="F20" i="19"/>
  <c r="F28" i="19"/>
  <c r="F21" i="19"/>
  <c r="F22" i="19"/>
  <c r="F19" i="19"/>
  <c r="V42" i="17"/>
  <c r="N18" i="18"/>
  <c r="N42" i="18"/>
  <c r="R25" i="17"/>
  <c r="R170" i="17"/>
  <c r="R173" i="17"/>
  <c r="R167" i="17"/>
  <c r="R20" i="17"/>
  <c r="R22" i="17"/>
  <c r="R117" i="17"/>
  <c r="R164" i="17"/>
  <c r="R116" i="17"/>
  <c r="R18" i="17"/>
  <c r="R172" i="17"/>
  <c r="R174" i="17"/>
  <c r="R26" i="17"/>
  <c r="R29" i="17"/>
  <c r="R121" i="17"/>
  <c r="R119" i="17"/>
  <c r="R120" i="17"/>
  <c r="R122" i="17"/>
  <c r="R23" i="17"/>
  <c r="R125" i="17"/>
  <c r="R166" i="17"/>
  <c r="R165" i="17"/>
  <c r="R24" i="17"/>
  <c r="R171" i="17"/>
  <c r="R168" i="17"/>
  <c r="R27" i="17"/>
  <c r="R124" i="17"/>
  <c r="R114" i="17"/>
  <c r="R115" i="17"/>
  <c r="R19" i="17"/>
  <c r="R28" i="17"/>
  <c r="R169" i="17"/>
  <c r="R21" i="17"/>
  <c r="R163" i="17"/>
  <c r="R118" i="17"/>
  <c r="R123" i="17"/>
  <c r="AH121" i="18"/>
  <c r="AH76" i="18"/>
  <c r="AH90" i="18"/>
  <c r="AH100" i="18"/>
  <c r="AH115" i="18"/>
  <c r="AH125" i="18"/>
  <c r="AH77" i="18"/>
  <c r="AH95" i="18"/>
  <c r="AH123" i="18"/>
  <c r="AH101" i="18"/>
  <c r="AH94" i="18"/>
  <c r="AH97" i="18"/>
  <c r="AH119" i="18"/>
  <c r="AH116" i="18"/>
  <c r="AH69" i="18"/>
  <c r="AH67" i="18"/>
  <c r="AH99" i="18"/>
  <c r="AH117" i="18"/>
  <c r="AH75" i="18"/>
  <c r="AH91" i="18"/>
  <c r="AH66" i="18"/>
  <c r="AH70" i="18"/>
  <c r="AH120" i="18"/>
  <c r="AH118" i="18"/>
  <c r="AH71" i="18"/>
  <c r="AH92" i="18"/>
  <c r="AH93" i="18"/>
  <c r="AH74" i="18"/>
  <c r="AH122" i="18"/>
  <c r="AH73" i="18"/>
  <c r="AH114" i="18"/>
  <c r="AH124" i="18"/>
  <c r="AH98" i="18"/>
  <c r="AH68" i="18"/>
  <c r="AH96" i="18"/>
  <c r="AH72" i="18"/>
  <c r="AC28" i="14"/>
  <c r="X220" i="16"/>
  <c r="X213" i="16"/>
  <c r="AD197" i="16"/>
  <c r="Z98" i="19"/>
  <c r="N172" i="19"/>
  <c r="T144" i="14"/>
  <c r="V73" i="21"/>
  <c r="T118" i="21" s="1"/>
  <c r="X115" i="18"/>
  <c r="X119" i="18"/>
  <c r="X122" i="18"/>
  <c r="X90" i="18"/>
  <c r="X70" i="18"/>
  <c r="X116" i="18"/>
  <c r="X92" i="18"/>
  <c r="X76" i="18"/>
  <c r="X121" i="18"/>
  <c r="X91" i="18"/>
  <c r="X124" i="18"/>
  <c r="X100" i="18"/>
  <c r="X99" i="18"/>
  <c r="X94" i="18"/>
  <c r="X95" i="18"/>
  <c r="X117" i="18"/>
  <c r="X72" i="18"/>
  <c r="X77" i="18"/>
  <c r="X71" i="18"/>
  <c r="X120" i="18"/>
  <c r="X68" i="18"/>
  <c r="X96" i="18"/>
  <c r="X98" i="18"/>
  <c r="X73" i="18"/>
  <c r="X75" i="18"/>
  <c r="X97" i="18"/>
  <c r="X69" i="18"/>
  <c r="X123" i="18"/>
  <c r="X93" i="18"/>
  <c r="X74" i="18"/>
  <c r="X125" i="18"/>
  <c r="X101" i="18"/>
  <c r="X114" i="18"/>
  <c r="X118" i="18"/>
  <c r="X67" i="18"/>
  <c r="X66" i="18"/>
  <c r="X174" i="18"/>
  <c r="X171" i="18"/>
  <c r="X172" i="18"/>
  <c r="X173" i="18"/>
  <c r="X166" i="18"/>
  <c r="X169" i="18"/>
  <c r="X167" i="18"/>
  <c r="X165" i="18"/>
  <c r="X163" i="18"/>
  <c r="X164" i="18"/>
  <c r="X170" i="18"/>
  <c r="X168" i="18"/>
  <c r="X19" i="18"/>
  <c r="X23" i="18"/>
  <c r="X42" i="18"/>
  <c r="X46" i="18"/>
  <c r="X26" i="18"/>
  <c r="X18" i="18"/>
  <c r="X53" i="18"/>
  <c r="X51" i="18"/>
  <c r="X29" i="18"/>
  <c r="X49" i="18"/>
  <c r="X44" i="18"/>
  <c r="X25" i="18"/>
  <c r="X43" i="18"/>
  <c r="X24" i="18"/>
  <c r="X52" i="18"/>
  <c r="X27" i="18"/>
  <c r="X45" i="18"/>
  <c r="AU78" i="21"/>
  <c r="AP78" i="21"/>
  <c r="AK78" i="21"/>
  <c r="AF78" i="21"/>
  <c r="Z123" i="21" s="1"/>
  <c r="AA78" i="21"/>
  <c r="W123" i="21" s="1"/>
  <c r="V78" i="21"/>
  <c r="T123" i="21" s="1"/>
  <c r="J119" i="18"/>
  <c r="J96" i="18"/>
  <c r="J114" i="18"/>
  <c r="J67" i="18"/>
  <c r="J90" i="18"/>
  <c r="J121" i="18"/>
  <c r="J76" i="18"/>
  <c r="J75" i="18"/>
  <c r="J92" i="18"/>
  <c r="J91" i="18"/>
  <c r="J122" i="18"/>
  <c r="J117" i="18"/>
  <c r="J99" i="18"/>
  <c r="J72" i="18"/>
  <c r="J69" i="18"/>
  <c r="J115" i="18"/>
  <c r="J94" i="18"/>
  <c r="J77" i="18"/>
  <c r="J98" i="18"/>
  <c r="J120" i="18"/>
  <c r="J93" i="18"/>
  <c r="J73" i="18"/>
  <c r="J123" i="18"/>
  <c r="J100" i="18"/>
  <c r="J116" i="18"/>
  <c r="J66" i="18"/>
  <c r="J124" i="18"/>
  <c r="J101" i="18"/>
  <c r="J68" i="18"/>
  <c r="J125" i="18"/>
  <c r="J71" i="18"/>
  <c r="J74" i="18"/>
  <c r="J95" i="18"/>
  <c r="J118" i="18"/>
  <c r="J97" i="18"/>
  <c r="J70" i="18"/>
  <c r="J165" i="18"/>
  <c r="J173" i="18"/>
  <c r="J169" i="18"/>
  <c r="J170" i="18"/>
  <c r="J164" i="18"/>
  <c r="J166" i="18"/>
  <c r="J174" i="18"/>
  <c r="J172" i="18"/>
  <c r="J171" i="18"/>
  <c r="J167" i="18"/>
  <c r="J163" i="18"/>
  <c r="J168" i="18"/>
  <c r="J24" i="18"/>
  <c r="J49" i="18"/>
  <c r="J18" i="18"/>
  <c r="J20" i="18"/>
  <c r="J44" i="18"/>
  <c r="J50" i="18"/>
  <c r="J19" i="18"/>
  <c r="J29" i="18"/>
  <c r="J45" i="18"/>
  <c r="J52" i="18"/>
  <c r="J26" i="18"/>
  <c r="J28" i="18"/>
  <c r="J42" i="18"/>
  <c r="J51" i="18"/>
  <c r="J27" i="18"/>
  <c r="J25" i="18"/>
  <c r="J53" i="18"/>
  <c r="J47" i="18"/>
  <c r="J21" i="18"/>
  <c r="J48" i="18"/>
  <c r="R220" i="21"/>
  <c r="N100" i="18"/>
  <c r="N75" i="18"/>
  <c r="N77" i="18"/>
  <c r="N92" i="18"/>
  <c r="N98" i="18"/>
  <c r="N96" i="18"/>
  <c r="N101" i="18"/>
  <c r="N91" i="18"/>
  <c r="N93" i="18"/>
  <c r="N67" i="18"/>
  <c r="N74" i="18"/>
  <c r="N94" i="18"/>
  <c r="N70" i="18"/>
  <c r="N69" i="18"/>
  <c r="N71" i="18"/>
  <c r="N95" i="18"/>
  <c r="N99" i="18"/>
  <c r="N97" i="18"/>
  <c r="N73" i="18"/>
  <c r="N72" i="18"/>
  <c r="N68" i="18"/>
  <c r="N66" i="18"/>
  <c r="N90" i="18"/>
  <c r="N76" i="18"/>
  <c r="N170" i="18"/>
  <c r="N164" i="18"/>
  <c r="N167" i="18"/>
  <c r="N174" i="18"/>
  <c r="N169" i="18"/>
  <c r="N171" i="18"/>
  <c r="N168" i="18"/>
  <c r="N173" i="18"/>
  <c r="N163" i="18"/>
  <c r="N172" i="18"/>
  <c r="N165" i="18"/>
  <c r="N166" i="18"/>
  <c r="N50" i="18"/>
  <c r="N43" i="18"/>
  <c r="N24" i="18"/>
  <c r="N51" i="18"/>
  <c r="N21" i="18"/>
  <c r="N47" i="18"/>
  <c r="N23" i="18"/>
  <c r="N46" i="18"/>
  <c r="N19" i="18"/>
  <c r="N29" i="18"/>
  <c r="N45" i="18"/>
  <c r="N28" i="18"/>
  <c r="N25" i="18"/>
  <c r="N52" i="18"/>
  <c r="N44" i="18"/>
  <c r="N20" i="18"/>
  <c r="N27" i="18"/>
  <c r="P191" i="16"/>
  <c r="AC20" i="14"/>
  <c r="X219" i="16"/>
  <c r="Z92" i="19"/>
  <c r="X22" i="19"/>
  <c r="F198" i="19"/>
  <c r="F196" i="19"/>
  <c r="J23" i="18"/>
  <c r="AU80" i="21"/>
  <c r="V80" i="21"/>
  <c r="T125" i="21" s="1"/>
  <c r="AK80" i="21"/>
  <c r="AF80" i="21"/>
  <c r="Z125" i="21" s="1"/>
  <c r="AP80" i="21"/>
  <c r="AA80" i="21"/>
  <c r="W125" i="21" s="1"/>
  <c r="V169" i="19"/>
  <c r="V167" i="19"/>
  <c r="V170" i="19"/>
  <c r="AU73" i="21"/>
  <c r="AK73" i="21"/>
  <c r="N144" i="19"/>
  <c r="N145" i="19"/>
  <c r="N143" i="19"/>
  <c r="N140" i="19"/>
  <c r="X53" i="14"/>
  <c r="X42" i="14"/>
  <c r="X45" i="14"/>
  <c r="X167" i="19"/>
  <c r="X166" i="19"/>
  <c r="AC29" i="14"/>
  <c r="AC24" i="14"/>
  <c r="AC27" i="14"/>
  <c r="X218" i="16"/>
  <c r="P189" i="16"/>
  <c r="T143" i="16"/>
  <c r="AD189" i="16"/>
  <c r="N164" i="19"/>
  <c r="V51" i="17"/>
  <c r="J43" i="18"/>
  <c r="J22" i="18"/>
  <c r="F197" i="19"/>
  <c r="AC21" i="14"/>
  <c r="AC19" i="14"/>
  <c r="X212" i="16"/>
  <c r="P188" i="16"/>
  <c r="AD195" i="16"/>
  <c r="Z91" i="19"/>
  <c r="H190" i="19"/>
  <c r="L24" i="19"/>
  <c r="X50" i="14"/>
  <c r="J46" i="18"/>
  <c r="R49" i="17"/>
  <c r="R51" i="17"/>
  <c r="R45" i="17"/>
  <c r="R46" i="17"/>
  <c r="R43" i="17"/>
  <c r="R42" i="17"/>
  <c r="R47" i="17"/>
  <c r="R50" i="17"/>
  <c r="R44" i="17"/>
  <c r="R53" i="17"/>
  <c r="R48" i="17"/>
  <c r="R52" i="17"/>
  <c r="AJ124" i="18"/>
  <c r="AJ91" i="18"/>
  <c r="AJ71" i="18"/>
  <c r="AJ68" i="18"/>
  <c r="AJ117" i="18"/>
  <c r="AJ92" i="18"/>
  <c r="AJ75" i="18"/>
  <c r="AJ94" i="18"/>
  <c r="AJ125" i="18"/>
  <c r="AJ100" i="18"/>
  <c r="AJ98" i="18"/>
  <c r="AJ76" i="18"/>
  <c r="AJ115" i="18"/>
  <c r="AJ97" i="18"/>
  <c r="AJ72" i="18"/>
  <c r="AJ77" i="18"/>
  <c r="AJ69" i="18"/>
  <c r="AJ96" i="18"/>
  <c r="AJ101" i="18"/>
  <c r="AJ118" i="18"/>
  <c r="AJ99" i="18"/>
  <c r="AJ114" i="18"/>
  <c r="AJ67" i="18"/>
  <c r="AJ119" i="18"/>
  <c r="AJ66" i="18"/>
  <c r="AJ120" i="18"/>
  <c r="AJ73" i="18"/>
  <c r="AJ90" i="18"/>
  <c r="AJ123" i="18"/>
  <c r="AJ121" i="18"/>
  <c r="AJ70" i="18"/>
  <c r="AJ93" i="18"/>
  <c r="AJ95" i="18"/>
  <c r="AJ122" i="18"/>
  <c r="AJ74" i="18"/>
  <c r="AJ116" i="18"/>
  <c r="AJ171" i="18"/>
  <c r="AK171" i="18" s="1"/>
  <c r="AJ170" i="18"/>
  <c r="AK170" i="18" s="1"/>
  <c r="AJ169" i="18"/>
  <c r="AK169" i="18" s="1"/>
  <c r="AJ168" i="18"/>
  <c r="AK168" i="18" s="1"/>
  <c r="AJ164" i="18"/>
  <c r="AK164" i="18" s="1"/>
  <c r="AJ173" i="18"/>
  <c r="AK173" i="18" s="1"/>
  <c r="AJ166" i="18"/>
  <c r="AK166" i="18" s="1"/>
  <c r="AJ163" i="18"/>
  <c r="AK163" i="18" s="1"/>
  <c r="AJ172" i="18"/>
  <c r="AK172" i="18" s="1"/>
  <c r="AJ167" i="18"/>
  <c r="AK167" i="18" s="1"/>
  <c r="AJ165" i="18"/>
  <c r="AK165" i="18" s="1"/>
  <c r="AJ174" i="18"/>
  <c r="AK174" i="18" s="1"/>
  <c r="AJ20" i="18"/>
  <c r="AJ46" i="18"/>
  <c r="AJ52" i="18"/>
  <c r="AJ19" i="18"/>
  <c r="AJ28" i="18"/>
  <c r="AJ49" i="18"/>
  <c r="AJ29" i="18"/>
  <c r="AJ27" i="18"/>
  <c r="AJ43" i="18"/>
  <c r="AJ21" i="18"/>
  <c r="AJ24" i="18"/>
  <c r="AJ48" i="18"/>
  <c r="AJ22" i="18"/>
  <c r="AJ23" i="18"/>
  <c r="AJ44" i="18"/>
  <c r="AJ26" i="18"/>
  <c r="AJ45" i="18"/>
  <c r="AJ47" i="18"/>
  <c r="P195" i="16"/>
  <c r="L21" i="19"/>
  <c r="F67" i="15"/>
  <c r="AF73" i="21"/>
  <c r="Z118" i="21" s="1"/>
  <c r="S125" i="21"/>
  <c r="AP73" i="21"/>
  <c r="AD190" i="16"/>
  <c r="O18" i="14"/>
  <c r="F27" i="16"/>
  <c r="V171" i="18"/>
  <c r="AB123" i="18"/>
  <c r="AB120" i="18"/>
  <c r="AB94" i="18"/>
  <c r="AB122" i="18"/>
  <c r="AB70" i="18"/>
  <c r="AB116" i="18"/>
  <c r="AB92" i="18"/>
  <c r="AB91" i="18"/>
  <c r="AB98" i="18"/>
  <c r="AB71" i="18"/>
  <c r="AB124" i="18"/>
  <c r="AB100" i="18"/>
  <c r="AB68" i="18"/>
  <c r="AB67" i="18"/>
  <c r="AB74" i="18"/>
  <c r="AB117" i="18"/>
  <c r="AB72" i="18"/>
  <c r="AB96" i="18"/>
  <c r="AB73" i="18"/>
  <c r="AB125" i="18"/>
  <c r="AB93" i="18"/>
  <c r="AB76" i="18"/>
  <c r="AB95" i="18"/>
  <c r="AB115" i="18"/>
  <c r="AB77" i="18"/>
  <c r="AB118" i="18"/>
  <c r="AB90" i="18"/>
  <c r="AB121" i="18"/>
  <c r="AB75" i="18"/>
  <c r="AB66" i="18"/>
  <c r="AB114" i="18"/>
  <c r="AB69" i="18"/>
  <c r="AB97" i="18"/>
  <c r="AB99" i="18"/>
  <c r="AB119" i="18"/>
  <c r="AB101" i="18"/>
  <c r="AB169" i="18"/>
  <c r="AB167" i="18"/>
  <c r="AB173" i="18"/>
  <c r="AB165" i="18"/>
  <c r="AB171" i="18"/>
  <c r="AB170" i="18"/>
  <c r="AB174" i="18"/>
  <c r="AB163" i="18"/>
  <c r="AB168" i="18"/>
  <c r="AB164" i="18"/>
  <c r="AB172" i="18"/>
  <c r="AB166" i="18"/>
  <c r="AF117" i="18"/>
  <c r="AF72" i="18"/>
  <c r="AF91" i="18"/>
  <c r="AF73" i="18"/>
  <c r="AF118" i="18"/>
  <c r="AF98" i="18"/>
  <c r="AF94" i="18"/>
  <c r="AF74" i="18"/>
  <c r="AF114" i="18"/>
  <c r="AF75" i="18"/>
  <c r="AF67" i="18"/>
  <c r="AF96" i="18"/>
  <c r="AF115" i="18"/>
  <c r="AF119" i="18"/>
  <c r="AF99" i="18"/>
  <c r="AF66" i="18"/>
  <c r="AF97" i="18"/>
  <c r="AF125" i="18"/>
  <c r="AF77" i="18"/>
  <c r="AF120" i="18"/>
  <c r="AF95" i="18"/>
  <c r="AF92" i="18"/>
  <c r="AF68" i="18"/>
  <c r="AF100" i="18"/>
  <c r="AF101" i="18"/>
  <c r="AF121" i="18"/>
  <c r="AF76" i="18"/>
  <c r="AF70" i="18"/>
  <c r="AF123" i="18"/>
  <c r="AF122" i="18"/>
  <c r="AF90" i="18"/>
  <c r="AF124" i="18"/>
  <c r="AF116" i="18"/>
  <c r="AF93" i="18"/>
  <c r="AF69" i="18"/>
  <c r="AF71" i="18"/>
  <c r="AD119" i="18"/>
  <c r="AD96" i="18"/>
  <c r="AD92" i="18"/>
  <c r="AD67" i="18"/>
  <c r="AD71" i="18"/>
  <c r="AD121" i="18"/>
  <c r="AD76" i="18"/>
  <c r="AD114" i="18"/>
  <c r="AD73" i="18"/>
  <c r="AD99" i="18"/>
  <c r="AD122" i="18"/>
  <c r="AD117" i="18"/>
  <c r="AD93" i="18"/>
  <c r="AD118" i="18"/>
  <c r="AD100" i="18"/>
  <c r="AD115" i="18"/>
  <c r="AD125" i="18"/>
  <c r="AD77" i="18"/>
  <c r="AD91" i="18"/>
  <c r="AD124" i="18"/>
  <c r="AD98" i="18"/>
  <c r="AD68" i="18"/>
  <c r="AD101" i="18"/>
  <c r="AD95" i="18"/>
  <c r="AD75" i="18"/>
  <c r="AD72" i="18"/>
  <c r="AD90" i="18"/>
  <c r="AD97" i="18"/>
  <c r="AD69" i="18"/>
  <c r="AD66" i="18"/>
  <c r="AD120" i="18"/>
  <c r="AD70" i="18"/>
  <c r="AD74" i="18"/>
  <c r="AD123" i="18"/>
  <c r="AD94" i="18"/>
  <c r="AD116" i="18"/>
  <c r="AP72" i="21"/>
  <c r="AF72" i="21"/>
  <c r="Z117" i="21" s="1"/>
  <c r="AL119" i="18"/>
  <c r="AL101" i="18"/>
  <c r="AL96" i="18"/>
  <c r="AL76" i="18"/>
  <c r="AL74" i="18"/>
  <c r="AL99" i="18"/>
  <c r="AL94" i="18"/>
  <c r="AL75" i="18"/>
  <c r="AL66" i="18"/>
  <c r="AL70" i="18"/>
  <c r="AL120" i="18"/>
  <c r="AL115" i="18"/>
  <c r="AL117" i="18"/>
  <c r="AL68" i="18"/>
  <c r="AL72" i="18"/>
  <c r="AL92" i="18"/>
  <c r="AL123" i="18"/>
  <c r="AL125" i="18"/>
  <c r="AL118" i="18"/>
  <c r="AL91" i="18"/>
  <c r="AL67" i="18"/>
  <c r="AL69" i="18"/>
  <c r="AL100" i="18"/>
  <c r="AL97" i="18"/>
  <c r="AL121" i="18"/>
  <c r="AL73" i="18"/>
  <c r="AL93" i="18"/>
  <c r="AL98" i="18"/>
  <c r="AL122" i="18"/>
  <c r="AL77" i="18"/>
  <c r="AL71" i="18"/>
  <c r="AL95" i="18"/>
  <c r="AL114" i="18"/>
  <c r="AL116" i="18"/>
  <c r="AL90" i="18"/>
  <c r="AL124" i="18"/>
  <c r="AA76" i="21"/>
  <c r="W121" i="21" s="1"/>
  <c r="AK75" i="21"/>
  <c r="H117" i="18"/>
  <c r="H72" i="18"/>
  <c r="H74" i="18"/>
  <c r="H98" i="18"/>
  <c r="H118" i="18"/>
  <c r="H101" i="18"/>
  <c r="H76" i="18"/>
  <c r="H94" i="18"/>
  <c r="H114" i="18"/>
  <c r="H68" i="18"/>
  <c r="H66" i="18"/>
  <c r="H69" i="18"/>
  <c r="H115" i="18"/>
  <c r="H119" i="18"/>
  <c r="H77" i="18"/>
  <c r="H67" i="18"/>
  <c r="H121" i="18"/>
  <c r="H125" i="18"/>
  <c r="H99" i="18"/>
  <c r="H120" i="18"/>
  <c r="H122" i="18"/>
  <c r="H92" i="18"/>
  <c r="H96" i="18"/>
  <c r="H100" i="18"/>
  <c r="H71" i="18"/>
  <c r="H91" i="18"/>
  <c r="H75" i="18"/>
  <c r="H124" i="18"/>
  <c r="H73" i="18"/>
  <c r="H123" i="18"/>
  <c r="H93" i="18"/>
  <c r="H97" i="18"/>
  <c r="H95" i="18"/>
  <c r="H116" i="18"/>
  <c r="H90" i="18"/>
  <c r="H70" i="18"/>
  <c r="H166" i="18"/>
  <c r="H167" i="18"/>
  <c r="H170" i="18"/>
  <c r="H163" i="18"/>
  <c r="H169" i="18"/>
  <c r="H172" i="18"/>
  <c r="H165" i="18"/>
  <c r="H168" i="18"/>
  <c r="H171" i="18"/>
  <c r="H174" i="18"/>
  <c r="H164" i="18"/>
  <c r="H173" i="18"/>
  <c r="AA72" i="21"/>
  <c r="W117" i="21" s="1"/>
  <c r="AK70" i="21"/>
  <c r="F118" i="18"/>
  <c r="F96" i="18"/>
  <c r="F75" i="18"/>
  <c r="F70" i="18"/>
  <c r="F68" i="18"/>
  <c r="F120" i="18"/>
  <c r="F98" i="18"/>
  <c r="F90" i="18"/>
  <c r="F100" i="18"/>
  <c r="F69" i="18"/>
  <c r="F121" i="18"/>
  <c r="F73" i="18"/>
  <c r="F76" i="18"/>
  <c r="F74" i="18"/>
  <c r="F72" i="18"/>
  <c r="F114" i="18"/>
  <c r="F125" i="18"/>
  <c r="F92" i="18"/>
  <c r="F66" i="18"/>
  <c r="F124" i="18"/>
  <c r="F117" i="18"/>
  <c r="F94" i="18"/>
  <c r="F116" i="18"/>
  <c r="F71" i="18"/>
  <c r="F93" i="18"/>
  <c r="F101" i="18"/>
  <c r="F95" i="18"/>
  <c r="F119" i="18"/>
  <c r="F91" i="18"/>
  <c r="F99" i="18"/>
  <c r="F123" i="18"/>
  <c r="F122" i="18"/>
  <c r="F67" i="18"/>
  <c r="F97" i="18"/>
  <c r="F115" i="18"/>
  <c r="F77" i="18"/>
  <c r="F167" i="18"/>
  <c r="F171" i="18"/>
  <c r="F168" i="18"/>
  <c r="F165" i="18"/>
  <c r="F170" i="18"/>
  <c r="F173" i="18"/>
  <c r="F172" i="18"/>
  <c r="F169" i="18"/>
  <c r="F166" i="18"/>
  <c r="F164" i="18"/>
  <c r="F163" i="18"/>
  <c r="F174" i="18"/>
  <c r="AD115" i="14"/>
  <c r="V142" i="19"/>
  <c r="Z124" i="19"/>
  <c r="Z117" i="19"/>
  <c r="T149" i="14"/>
  <c r="F195" i="19"/>
  <c r="X26" i="19"/>
  <c r="N145" i="16"/>
  <c r="F74" i="15"/>
  <c r="AD116" i="14"/>
  <c r="Z93" i="14"/>
  <c r="V171" i="19"/>
  <c r="V151" i="19"/>
  <c r="Z194" i="14"/>
  <c r="Z199" i="14"/>
  <c r="F23" i="19"/>
  <c r="V77" i="21"/>
  <c r="T122" i="21" s="1"/>
  <c r="V115" i="18"/>
  <c r="V93" i="18"/>
  <c r="V77" i="18"/>
  <c r="V99" i="18"/>
  <c r="V116" i="18"/>
  <c r="V70" i="18"/>
  <c r="V66" i="18"/>
  <c r="V95" i="18"/>
  <c r="V124" i="18"/>
  <c r="V114" i="18"/>
  <c r="V67" i="18"/>
  <c r="V98" i="18"/>
  <c r="V119" i="18"/>
  <c r="V96" i="18"/>
  <c r="V94" i="18"/>
  <c r="V97" i="18"/>
  <c r="V69" i="18"/>
  <c r="V90" i="18"/>
  <c r="V75" i="18"/>
  <c r="V120" i="18"/>
  <c r="V92" i="18"/>
  <c r="V71" i="18"/>
  <c r="V121" i="18"/>
  <c r="V74" i="18"/>
  <c r="V91" i="18"/>
  <c r="V122" i="18"/>
  <c r="V100" i="18"/>
  <c r="V73" i="18"/>
  <c r="V123" i="18"/>
  <c r="V101" i="18"/>
  <c r="V68" i="18"/>
  <c r="V72" i="18"/>
  <c r="V125" i="18"/>
  <c r="V76" i="18"/>
  <c r="V117" i="18"/>
  <c r="V118" i="18"/>
  <c r="AD124" i="19"/>
  <c r="F193" i="19"/>
  <c r="AD126" i="14"/>
  <c r="AD123" i="14"/>
  <c r="V148" i="19"/>
  <c r="F25" i="19"/>
  <c r="V173" i="18"/>
  <c r="AF77" i="21"/>
  <c r="Z122" i="21" s="1"/>
  <c r="AK71" i="21"/>
  <c r="R119" i="18"/>
  <c r="R96" i="18"/>
  <c r="R71" i="18"/>
  <c r="R118" i="18"/>
  <c r="R95" i="18"/>
  <c r="R121" i="18"/>
  <c r="R76" i="18"/>
  <c r="R77" i="18"/>
  <c r="R72" i="18"/>
  <c r="R99" i="18"/>
  <c r="R122" i="18"/>
  <c r="R97" i="18"/>
  <c r="R92" i="18"/>
  <c r="R90" i="18"/>
  <c r="R101" i="18"/>
  <c r="R115" i="18"/>
  <c r="R73" i="18"/>
  <c r="R66" i="18"/>
  <c r="R75" i="18"/>
  <c r="R68" i="18"/>
  <c r="R100" i="18"/>
  <c r="R98" i="18"/>
  <c r="R125" i="18"/>
  <c r="R114" i="18"/>
  <c r="R69" i="18"/>
  <c r="R93" i="18"/>
  <c r="R70" i="18"/>
  <c r="R120" i="18"/>
  <c r="R91" i="18"/>
  <c r="R74" i="18"/>
  <c r="R67" i="18"/>
  <c r="R123" i="18"/>
  <c r="R117" i="18"/>
  <c r="R116" i="18"/>
  <c r="R94" i="18"/>
  <c r="R124" i="18"/>
  <c r="R164" i="18"/>
  <c r="R163" i="18"/>
  <c r="R170" i="18"/>
  <c r="R172" i="18"/>
  <c r="R173" i="18"/>
  <c r="R167" i="18"/>
  <c r="R171" i="18"/>
  <c r="R166" i="18"/>
  <c r="R169" i="18"/>
  <c r="R174" i="18"/>
  <c r="R168" i="18"/>
  <c r="R165" i="18"/>
  <c r="V76" i="21"/>
  <c r="T121" i="21" s="1"/>
  <c r="S122" i="21"/>
  <c r="Z115" i="18"/>
  <c r="Z99" i="18"/>
  <c r="Z97" i="18"/>
  <c r="Z95" i="18"/>
  <c r="Z116" i="18"/>
  <c r="Z118" i="18"/>
  <c r="Z98" i="18"/>
  <c r="Z114" i="18"/>
  <c r="Z124" i="18"/>
  <c r="Z91" i="18"/>
  <c r="Z101" i="18"/>
  <c r="Z71" i="18"/>
  <c r="Z119" i="18"/>
  <c r="Z96" i="18"/>
  <c r="Z100" i="18"/>
  <c r="Z69" i="18"/>
  <c r="Z73" i="18"/>
  <c r="Z123" i="18"/>
  <c r="Z77" i="18"/>
  <c r="Z68" i="18"/>
  <c r="Z125" i="18"/>
  <c r="Z76" i="18"/>
  <c r="Z92" i="18"/>
  <c r="Z117" i="18"/>
  <c r="Z72" i="18"/>
  <c r="Z75" i="18"/>
  <c r="Z74" i="18"/>
  <c r="Z70" i="18"/>
  <c r="Z120" i="18"/>
  <c r="Z93" i="18"/>
  <c r="Z94" i="18"/>
  <c r="Z121" i="18"/>
  <c r="Z67" i="18"/>
  <c r="Z90" i="18"/>
  <c r="Z122" i="18"/>
  <c r="Z66" i="18"/>
  <c r="AA71" i="21"/>
  <c r="W116" i="21" s="1"/>
  <c r="S116" i="21"/>
  <c r="X47" i="14"/>
  <c r="T148" i="14"/>
  <c r="T146" i="14"/>
  <c r="H98" i="19"/>
  <c r="T219" i="19"/>
  <c r="F199" i="19"/>
  <c r="X217" i="16"/>
  <c r="Z169" i="16"/>
  <c r="X25" i="19"/>
  <c r="Z118" i="16"/>
  <c r="F75" i="15"/>
  <c r="F73" i="15"/>
  <c r="F175" i="19"/>
  <c r="Z99" i="16"/>
  <c r="P198" i="16"/>
  <c r="AD118" i="14"/>
  <c r="AD120" i="14"/>
  <c r="V165" i="18"/>
  <c r="V166" i="18"/>
  <c r="P115" i="18"/>
  <c r="P119" i="18"/>
  <c r="P122" i="18"/>
  <c r="P97" i="18"/>
  <c r="P99" i="18"/>
  <c r="P116" i="18"/>
  <c r="P92" i="18"/>
  <c r="P93" i="18"/>
  <c r="P66" i="18"/>
  <c r="P68" i="18"/>
  <c r="P124" i="18"/>
  <c r="P100" i="18"/>
  <c r="P69" i="18"/>
  <c r="P101" i="18"/>
  <c r="P71" i="18"/>
  <c r="P117" i="18"/>
  <c r="P72" i="18"/>
  <c r="P91" i="18"/>
  <c r="P73" i="18"/>
  <c r="P123" i="18"/>
  <c r="P95" i="18"/>
  <c r="P90" i="18"/>
  <c r="P125" i="18"/>
  <c r="P76" i="18"/>
  <c r="P118" i="18"/>
  <c r="P96" i="18"/>
  <c r="P114" i="18"/>
  <c r="P77" i="18"/>
  <c r="P120" i="18"/>
  <c r="P67" i="18"/>
  <c r="P121" i="18"/>
  <c r="P75" i="18"/>
  <c r="P74" i="18"/>
  <c r="P94" i="18"/>
  <c r="P98" i="18"/>
  <c r="P70" i="18"/>
  <c r="P163" i="18"/>
  <c r="P171" i="18"/>
  <c r="P173" i="18"/>
  <c r="P174" i="18"/>
  <c r="P165" i="18"/>
  <c r="P169" i="18"/>
  <c r="P166" i="18"/>
  <c r="P172" i="18"/>
  <c r="P170" i="18"/>
  <c r="P168" i="18"/>
  <c r="P164" i="18"/>
  <c r="P167" i="18"/>
  <c r="AK77" i="21"/>
  <c r="AN124" i="18"/>
  <c r="AN119" i="18"/>
  <c r="AN68" i="18"/>
  <c r="AN122" i="18"/>
  <c r="AN117" i="18"/>
  <c r="AN99" i="18"/>
  <c r="AN94" i="18"/>
  <c r="AN75" i="18"/>
  <c r="AN125" i="18"/>
  <c r="AN120" i="18"/>
  <c r="AN67" i="18"/>
  <c r="AN70" i="18"/>
  <c r="AN115" i="18"/>
  <c r="AN97" i="18"/>
  <c r="AN92" i="18"/>
  <c r="AN66" i="18"/>
  <c r="AN71" i="18"/>
  <c r="AN91" i="18"/>
  <c r="AN73" i="18"/>
  <c r="AN123" i="18"/>
  <c r="AN100" i="18"/>
  <c r="AN74" i="18"/>
  <c r="AN95" i="18"/>
  <c r="AN72" i="18"/>
  <c r="AN101" i="18"/>
  <c r="AN116" i="18"/>
  <c r="AN121" i="18"/>
  <c r="AN90" i="18"/>
  <c r="AN96" i="18"/>
  <c r="AN77" i="18"/>
  <c r="AN98" i="18"/>
  <c r="AN118" i="18"/>
  <c r="AN76" i="18"/>
  <c r="AN114" i="18"/>
  <c r="AN93" i="18"/>
  <c r="AN69" i="18"/>
  <c r="AN165" i="18"/>
  <c r="AO165" i="18" s="1"/>
  <c r="AN167" i="18"/>
  <c r="AO167" i="18" s="1"/>
  <c r="AN171" i="18"/>
  <c r="AO171" i="18" s="1"/>
  <c r="AN170" i="18"/>
  <c r="AO170" i="18" s="1"/>
  <c r="AN166" i="18"/>
  <c r="AO166" i="18" s="1"/>
  <c r="AN168" i="18"/>
  <c r="AO168" i="18" s="1"/>
  <c r="AN163" i="18"/>
  <c r="AO163" i="18" s="1"/>
  <c r="AN172" i="18"/>
  <c r="AO172" i="18" s="1"/>
  <c r="AN174" i="18"/>
  <c r="AO174" i="18" s="1"/>
  <c r="AN173" i="18"/>
  <c r="AO173" i="18" s="1"/>
  <c r="AN169" i="18"/>
  <c r="AO169" i="18" s="1"/>
  <c r="AN164" i="18"/>
  <c r="AO164" i="18" s="1"/>
  <c r="V71" i="21"/>
  <c r="T116" i="21" s="1"/>
  <c r="L124" i="18"/>
  <c r="L97" i="18"/>
  <c r="L120" i="18"/>
  <c r="L95" i="18"/>
  <c r="L117" i="18"/>
  <c r="L74" i="18"/>
  <c r="L99" i="18"/>
  <c r="L75" i="18"/>
  <c r="L125" i="18"/>
  <c r="L98" i="18"/>
  <c r="L66" i="18"/>
  <c r="L69" i="18"/>
  <c r="L114" i="18"/>
  <c r="L118" i="18"/>
  <c r="L94" i="18"/>
  <c r="L121" i="18"/>
  <c r="L93" i="18"/>
  <c r="L122" i="18"/>
  <c r="L119" i="18"/>
  <c r="L67" i="18"/>
  <c r="L101" i="18"/>
  <c r="L70" i="18"/>
  <c r="L72" i="18"/>
  <c r="L115" i="18"/>
  <c r="L92" i="18"/>
  <c r="L77" i="18"/>
  <c r="L68" i="18"/>
  <c r="L90" i="18"/>
  <c r="L116" i="18"/>
  <c r="L123" i="18"/>
  <c r="L100" i="18"/>
  <c r="L96" i="18"/>
  <c r="L91" i="18"/>
  <c r="L73" i="18"/>
  <c r="L76" i="18"/>
  <c r="L71" i="18"/>
  <c r="L165" i="18"/>
  <c r="L166" i="18"/>
  <c r="L167" i="18"/>
  <c r="L172" i="18"/>
  <c r="L174" i="18"/>
  <c r="L169" i="18"/>
  <c r="L164" i="18"/>
  <c r="L173" i="18"/>
  <c r="L168" i="18"/>
  <c r="L170" i="18"/>
  <c r="L171" i="18"/>
  <c r="L163" i="18"/>
  <c r="N168" i="19"/>
  <c r="N173" i="19"/>
  <c r="Z115" i="19"/>
  <c r="AD122" i="19"/>
  <c r="N149" i="19"/>
  <c r="X174" i="19"/>
  <c r="T151" i="14"/>
  <c r="F190" i="19"/>
  <c r="X222" i="16"/>
  <c r="N216" i="16"/>
  <c r="Z171" i="16"/>
  <c r="Z144" i="19"/>
  <c r="X23" i="19"/>
  <c r="X144" i="19"/>
  <c r="Z98" i="16"/>
  <c r="Z192" i="14"/>
  <c r="V163" i="18"/>
  <c r="AF71" i="21"/>
  <c r="Z116" i="21" s="1"/>
  <c r="V70" i="21"/>
  <c r="T115" i="21" s="1"/>
  <c r="AP119" i="18"/>
  <c r="AP101" i="18"/>
  <c r="AP124" i="18"/>
  <c r="AP97" i="18"/>
  <c r="AP75" i="18"/>
  <c r="AP91" i="18"/>
  <c r="AP99" i="18"/>
  <c r="AP94" i="18"/>
  <c r="AP68" i="18"/>
  <c r="AP118" i="18"/>
  <c r="AP74" i="18"/>
  <c r="AP120" i="18"/>
  <c r="AP90" i="18"/>
  <c r="AP76" i="18"/>
  <c r="AP98" i="18"/>
  <c r="AP70" i="18"/>
  <c r="AP92" i="18"/>
  <c r="AP115" i="18"/>
  <c r="AP117" i="18"/>
  <c r="AP66" i="18"/>
  <c r="AP122" i="18"/>
  <c r="AP77" i="18"/>
  <c r="AP123" i="18"/>
  <c r="AP114" i="18"/>
  <c r="AP95" i="18"/>
  <c r="AP67" i="18"/>
  <c r="AP116" i="18"/>
  <c r="AP73" i="18"/>
  <c r="AP96" i="18"/>
  <c r="AP72" i="18"/>
  <c r="AP69" i="18"/>
  <c r="AP100" i="18"/>
  <c r="AP125" i="18"/>
  <c r="AP121" i="18"/>
  <c r="AP71" i="18"/>
  <c r="AP93" i="18"/>
  <c r="AP173" i="18"/>
  <c r="AQ173" i="18" s="1"/>
  <c r="AP166" i="18"/>
  <c r="AQ166" i="18" s="1"/>
  <c r="AP172" i="18"/>
  <c r="AQ172" i="18" s="1"/>
  <c r="AP167" i="18"/>
  <c r="AQ167" i="18" s="1"/>
  <c r="AP168" i="18"/>
  <c r="AQ168" i="18" s="1"/>
  <c r="AP163" i="18"/>
  <c r="AQ163" i="18" s="1"/>
  <c r="AP169" i="18"/>
  <c r="AQ169" i="18" s="1"/>
  <c r="AP174" i="18"/>
  <c r="AQ174" i="18" s="1"/>
  <c r="AP164" i="18"/>
  <c r="AQ164" i="18" s="1"/>
  <c r="AP171" i="18"/>
  <c r="AQ171" i="18" s="1"/>
  <c r="AP170" i="18"/>
  <c r="AQ170" i="18" s="1"/>
  <c r="AP165" i="18"/>
  <c r="AQ165" i="18" s="1"/>
  <c r="AF76" i="21"/>
  <c r="Z121" i="21" s="1"/>
  <c r="T115" i="18"/>
  <c r="T119" i="18"/>
  <c r="T91" i="18"/>
  <c r="T93" i="18"/>
  <c r="T95" i="18"/>
  <c r="T116" i="18"/>
  <c r="T92" i="18"/>
  <c r="T94" i="18"/>
  <c r="T97" i="18"/>
  <c r="T96" i="18"/>
  <c r="T124" i="18"/>
  <c r="T100" i="18"/>
  <c r="T73" i="18"/>
  <c r="T71" i="18"/>
  <c r="T98" i="18"/>
  <c r="T117" i="18"/>
  <c r="T72" i="18"/>
  <c r="T121" i="18"/>
  <c r="T90" i="18"/>
  <c r="T123" i="18"/>
  <c r="T101" i="18"/>
  <c r="T74" i="18"/>
  <c r="T125" i="18"/>
  <c r="T77" i="18"/>
  <c r="T118" i="18"/>
  <c r="T122" i="18"/>
  <c r="T66" i="18"/>
  <c r="T114" i="18"/>
  <c r="T120" i="18"/>
  <c r="T68" i="18"/>
  <c r="T76" i="18"/>
  <c r="T99" i="18"/>
  <c r="T75" i="18"/>
  <c r="T67" i="18"/>
  <c r="T69" i="18"/>
  <c r="T70" i="18"/>
  <c r="V168" i="18"/>
  <c r="V172" i="18"/>
  <c r="V43" i="17"/>
  <c r="V47" i="17"/>
  <c r="V46" i="17"/>
  <c r="AD24" i="18"/>
  <c r="AD26" i="18"/>
  <c r="AD25" i="18"/>
  <c r="AD19" i="18"/>
  <c r="AD28" i="18"/>
  <c r="AD23" i="18"/>
  <c r="AD21" i="18"/>
  <c r="AD27" i="18"/>
  <c r="AD20" i="18"/>
  <c r="AD22" i="18"/>
  <c r="AD18" i="18"/>
  <c r="AD29" i="18"/>
  <c r="AD170" i="18"/>
  <c r="AD174" i="18"/>
  <c r="AD173" i="18"/>
  <c r="AD164" i="18"/>
  <c r="AD169" i="18"/>
  <c r="AD172" i="18"/>
  <c r="AD167" i="18"/>
  <c r="AD166" i="18"/>
  <c r="AD165" i="18"/>
  <c r="AD168" i="18"/>
  <c r="AD171" i="18"/>
  <c r="AD163" i="18"/>
  <c r="AH51" i="18"/>
  <c r="AH45" i="18"/>
  <c r="AH50" i="18"/>
  <c r="AH53" i="18"/>
  <c r="AH46" i="18"/>
  <c r="AH47" i="18"/>
  <c r="AH43" i="18"/>
  <c r="AH42" i="18"/>
  <c r="AH52" i="18"/>
  <c r="AH44" i="18"/>
  <c r="AH49" i="18"/>
  <c r="AH48" i="18"/>
  <c r="V48" i="18"/>
  <c r="V44" i="18"/>
  <c r="V42" i="18"/>
  <c r="V50" i="18"/>
  <c r="V49" i="18"/>
  <c r="V43" i="18"/>
  <c r="V46" i="18"/>
  <c r="V52" i="18"/>
  <c r="V45" i="18"/>
  <c r="V51" i="18"/>
  <c r="V53" i="18"/>
  <c r="V47" i="18"/>
  <c r="AF27" i="18"/>
  <c r="AF24" i="18"/>
  <c r="AF22" i="18"/>
  <c r="AF21" i="18"/>
  <c r="AF26" i="18"/>
  <c r="AF25" i="18"/>
  <c r="AF18" i="18"/>
  <c r="AF20" i="18"/>
  <c r="AF19" i="18"/>
  <c r="AF28" i="18"/>
  <c r="AF23" i="18"/>
  <c r="AF29" i="18"/>
  <c r="AF167" i="18"/>
  <c r="AF168" i="18"/>
  <c r="AF174" i="18"/>
  <c r="AF172" i="18"/>
  <c r="AF166" i="18"/>
  <c r="AF169" i="18"/>
  <c r="AF165" i="18"/>
  <c r="AF173" i="18"/>
  <c r="AF163" i="18"/>
  <c r="AF170" i="18"/>
  <c r="AF171" i="18"/>
  <c r="AF164" i="18"/>
  <c r="AL42" i="18"/>
  <c r="AL49" i="18"/>
  <c r="AL45" i="18"/>
  <c r="AL44" i="18"/>
  <c r="AL50" i="18"/>
  <c r="AL53" i="18"/>
  <c r="AL46" i="18"/>
  <c r="AL43" i="18"/>
  <c r="AL47" i="18"/>
  <c r="AL51" i="18"/>
  <c r="AL48" i="18"/>
  <c r="AL52" i="18"/>
  <c r="L19" i="19"/>
  <c r="T23" i="18"/>
  <c r="T20" i="18"/>
  <c r="T28" i="18"/>
  <c r="T27" i="18"/>
  <c r="T19" i="18"/>
  <c r="T25" i="18"/>
  <c r="T26" i="18"/>
  <c r="T22" i="18"/>
  <c r="T29" i="18"/>
  <c r="T24" i="18"/>
  <c r="T21" i="18"/>
  <c r="T18" i="18"/>
  <c r="T171" i="18"/>
  <c r="T170" i="18"/>
  <c r="T167" i="18"/>
  <c r="T174" i="18"/>
  <c r="T169" i="18"/>
  <c r="T166" i="18"/>
  <c r="T173" i="18"/>
  <c r="T163" i="18"/>
  <c r="T168" i="18"/>
  <c r="T164" i="18"/>
  <c r="T165" i="18"/>
  <c r="T172" i="18"/>
  <c r="AL19" i="17"/>
  <c r="AL22" i="17"/>
  <c r="AL168" i="17"/>
  <c r="AM168" i="17" s="1"/>
  <c r="AL114" i="17"/>
  <c r="AM114" i="17" s="1"/>
  <c r="AL117" i="17"/>
  <c r="AM117" i="17" s="1"/>
  <c r="AL28" i="17"/>
  <c r="AL24" i="17"/>
  <c r="AL124" i="17"/>
  <c r="AM124" i="17" s="1"/>
  <c r="AL163" i="17"/>
  <c r="AM163" i="17" s="1"/>
  <c r="AL120" i="17"/>
  <c r="AM120" i="17" s="1"/>
  <c r="AL23" i="17"/>
  <c r="AL125" i="17"/>
  <c r="AM125" i="17" s="1"/>
  <c r="AL174" i="17"/>
  <c r="AM174" i="17" s="1"/>
  <c r="AL167" i="17"/>
  <c r="AM167" i="17" s="1"/>
  <c r="AL25" i="17"/>
  <c r="AL20" i="17"/>
  <c r="AL172" i="17"/>
  <c r="AM172" i="17" s="1"/>
  <c r="AL165" i="17"/>
  <c r="AM165" i="17" s="1"/>
  <c r="AL171" i="17"/>
  <c r="AM171" i="17" s="1"/>
  <c r="AL26" i="17"/>
  <c r="AL29" i="17"/>
  <c r="AL173" i="17"/>
  <c r="AM173" i="17" s="1"/>
  <c r="AL169" i="17"/>
  <c r="AM169" i="17" s="1"/>
  <c r="AL166" i="17"/>
  <c r="AM166" i="17" s="1"/>
  <c r="AL118" i="17"/>
  <c r="AM118" i="17" s="1"/>
  <c r="AL119" i="17"/>
  <c r="AM119" i="17" s="1"/>
  <c r="AL115" i="17"/>
  <c r="AM115" i="17" s="1"/>
  <c r="AL27" i="17"/>
  <c r="AL21" i="17"/>
  <c r="AL122" i="17"/>
  <c r="AM122" i="17" s="1"/>
  <c r="AL121" i="17"/>
  <c r="AM121" i="17" s="1"/>
  <c r="AL170" i="17"/>
  <c r="AM170" i="17" s="1"/>
  <c r="AL18" i="17"/>
  <c r="AL164" i="17"/>
  <c r="AM164" i="17" s="1"/>
  <c r="AL123" i="17"/>
  <c r="AM123" i="17" s="1"/>
  <c r="AL116" i="17"/>
  <c r="AM116" i="17" s="1"/>
  <c r="AL51" i="17"/>
  <c r="AL47" i="17"/>
  <c r="AL46" i="17"/>
  <c r="AL49" i="17"/>
  <c r="AL43" i="17"/>
  <c r="AL42" i="17"/>
  <c r="AL53" i="17"/>
  <c r="AL44" i="17"/>
  <c r="AL45" i="17"/>
  <c r="AL52" i="17"/>
  <c r="AL48" i="17"/>
  <c r="AL50" i="17"/>
  <c r="AD100" i="14"/>
  <c r="AC18" i="14"/>
  <c r="V52" i="17"/>
  <c r="AH21" i="17"/>
  <c r="AH123" i="17"/>
  <c r="AH124" i="17"/>
  <c r="AH173" i="17"/>
  <c r="AH18" i="17"/>
  <c r="AH27" i="17"/>
  <c r="AH117" i="17"/>
  <c r="AH166" i="17"/>
  <c r="AH172" i="17"/>
  <c r="AH23" i="17"/>
  <c r="AH115" i="17"/>
  <c r="AH170" i="17"/>
  <c r="AH121" i="17"/>
  <c r="AH19" i="17"/>
  <c r="AH22" i="17"/>
  <c r="AH119" i="17"/>
  <c r="AH163" i="17"/>
  <c r="AH164" i="17"/>
  <c r="AH28" i="17"/>
  <c r="AH24" i="17"/>
  <c r="AH165" i="17"/>
  <c r="AH167" i="17"/>
  <c r="AH114" i="17"/>
  <c r="AH20" i="17"/>
  <c r="AH25" i="17"/>
  <c r="AH169" i="17"/>
  <c r="AH171" i="17"/>
  <c r="AH174" i="17"/>
  <c r="AH29" i="17"/>
  <c r="AH125" i="17"/>
  <c r="AH120" i="17"/>
  <c r="AH118" i="17"/>
  <c r="AH26" i="17"/>
  <c r="AH116" i="17"/>
  <c r="AH168" i="17"/>
  <c r="AH122" i="17"/>
  <c r="Z50" i="18"/>
  <c r="Z51" i="18"/>
  <c r="Z47" i="18"/>
  <c r="Z46" i="18"/>
  <c r="Z52" i="18"/>
  <c r="Z48" i="18"/>
  <c r="Z45" i="18"/>
  <c r="Z49" i="18"/>
  <c r="Z43" i="18"/>
  <c r="Z53" i="18"/>
  <c r="Z42" i="18"/>
  <c r="Z44" i="18"/>
  <c r="T50" i="18"/>
  <c r="T44" i="18"/>
  <c r="T48" i="18"/>
  <c r="T47" i="18"/>
  <c r="T42" i="18"/>
  <c r="T49" i="18"/>
  <c r="T51" i="18"/>
  <c r="T43" i="18"/>
  <c r="T45" i="18"/>
  <c r="T52" i="18"/>
  <c r="T53" i="18"/>
  <c r="T46" i="18"/>
  <c r="V50" i="17"/>
  <c r="V45" i="17"/>
  <c r="V44" i="17"/>
  <c r="AD51" i="18"/>
  <c r="AD45" i="18"/>
  <c r="AD47" i="18"/>
  <c r="AD42" i="18"/>
  <c r="AD43" i="18"/>
  <c r="AD53" i="18"/>
  <c r="AD50" i="18"/>
  <c r="AD44" i="18"/>
  <c r="AD52" i="18"/>
  <c r="AD48" i="18"/>
  <c r="AD46" i="18"/>
  <c r="AD49" i="18"/>
  <c r="AH49" i="17"/>
  <c r="AH47" i="17"/>
  <c r="AH43" i="17"/>
  <c r="AH46" i="17"/>
  <c r="AH53" i="17"/>
  <c r="AH42" i="17"/>
  <c r="AH48" i="17"/>
  <c r="AH50" i="17"/>
  <c r="AH44" i="17"/>
  <c r="AH52" i="17"/>
  <c r="AH45" i="17"/>
  <c r="AH51" i="17"/>
  <c r="Z27" i="17"/>
  <c r="Z164" i="17"/>
  <c r="Z118" i="17"/>
  <c r="Z166" i="17"/>
  <c r="Z21" i="17"/>
  <c r="Z25" i="17"/>
  <c r="Z117" i="17"/>
  <c r="Z123" i="17"/>
  <c r="Z114" i="17"/>
  <c r="Z19" i="17"/>
  <c r="Z18" i="17"/>
  <c r="Z121" i="17"/>
  <c r="Z170" i="17"/>
  <c r="Z120" i="17"/>
  <c r="Z23" i="17"/>
  <c r="Z28" i="17"/>
  <c r="Z167" i="17"/>
  <c r="Z125" i="17"/>
  <c r="Z122" i="17"/>
  <c r="Z173" i="17"/>
  <c r="Z165" i="17"/>
  <c r="Z168" i="17"/>
  <c r="Z20" i="17"/>
  <c r="Z22" i="17"/>
  <c r="Z115" i="17"/>
  <c r="Z163" i="17"/>
  <c r="Z124" i="17"/>
  <c r="Z26" i="17"/>
  <c r="Z29" i="17"/>
  <c r="Z174" i="17"/>
  <c r="Z119" i="17"/>
  <c r="Z171" i="17"/>
  <c r="Z24" i="17"/>
  <c r="Z172" i="17"/>
  <c r="Z116" i="17"/>
  <c r="Z169" i="17"/>
  <c r="AF53" i="18"/>
  <c r="AF52" i="18"/>
  <c r="AF47" i="18"/>
  <c r="AF45" i="18"/>
  <c r="AF46" i="18"/>
  <c r="AF48" i="18"/>
  <c r="AF44" i="18"/>
  <c r="AF51" i="18"/>
  <c r="AF42" i="18"/>
  <c r="AF50" i="18"/>
  <c r="AF43" i="18"/>
  <c r="AF49" i="18"/>
  <c r="T22" i="17"/>
  <c r="T168" i="17"/>
  <c r="T173" i="17"/>
  <c r="T122" i="17"/>
  <c r="T19" i="17"/>
  <c r="T20" i="17"/>
  <c r="T25" i="17"/>
  <c r="T166" i="17"/>
  <c r="T174" i="17"/>
  <c r="T120" i="17"/>
  <c r="T27" i="17"/>
  <c r="T29" i="17"/>
  <c r="T164" i="17"/>
  <c r="T118" i="17"/>
  <c r="T116" i="17"/>
  <c r="T23" i="17"/>
  <c r="T171" i="17"/>
  <c r="T119" i="17"/>
  <c r="T123" i="17"/>
  <c r="T26" i="17"/>
  <c r="T21" i="17"/>
  <c r="T169" i="17"/>
  <c r="T117" i="17"/>
  <c r="T124" i="17"/>
  <c r="T18" i="17"/>
  <c r="T167" i="17"/>
  <c r="T121" i="17"/>
  <c r="T115" i="17"/>
  <c r="T24" i="17"/>
  <c r="T125" i="17"/>
  <c r="T165" i="17"/>
  <c r="T172" i="17"/>
  <c r="T28" i="17"/>
  <c r="T170" i="17"/>
  <c r="T163" i="17"/>
  <c r="T114" i="17"/>
  <c r="P192" i="16"/>
  <c r="V165" i="19"/>
  <c r="J217" i="14"/>
  <c r="AD22" i="17"/>
  <c r="AD27" i="17"/>
  <c r="AD21" i="17"/>
  <c r="AD173" i="17"/>
  <c r="AD174" i="17"/>
  <c r="AD163" i="17"/>
  <c r="AD18" i="17"/>
  <c r="AD116" i="17"/>
  <c r="AD165" i="17"/>
  <c r="AD171" i="17"/>
  <c r="AD24" i="17"/>
  <c r="AD19" i="17"/>
  <c r="AD120" i="17"/>
  <c r="AD169" i="17"/>
  <c r="AD123" i="17"/>
  <c r="AD28" i="17"/>
  <c r="AD124" i="17"/>
  <c r="AD119" i="17"/>
  <c r="AD167" i="17"/>
  <c r="AD25" i="17"/>
  <c r="AD125" i="17"/>
  <c r="AD172" i="17"/>
  <c r="AD121" i="17"/>
  <c r="AD23" i="17"/>
  <c r="AD20" i="17"/>
  <c r="AD118" i="17"/>
  <c r="AD166" i="17"/>
  <c r="AD117" i="17"/>
  <c r="AD26" i="17"/>
  <c r="AD29" i="17"/>
  <c r="AD114" i="17"/>
  <c r="AD164" i="17"/>
  <c r="AD170" i="17"/>
  <c r="AD122" i="17"/>
  <c r="AD168" i="17"/>
  <c r="AD115" i="17"/>
  <c r="AH29" i="18"/>
  <c r="AH23" i="18"/>
  <c r="AH18" i="18"/>
  <c r="AH24" i="18"/>
  <c r="AH26" i="18"/>
  <c r="AH20" i="18"/>
  <c r="AH22" i="18"/>
  <c r="AH21" i="18"/>
  <c r="AH27" i="18"/>
  <c r="AH19" i="18"/>
  <c r="AH28" i="18"/>
  <c r="AH25" i="18"/>
  <c r="AH170" i="18"/>
  <c r="AH173" i="18"/>
  <c r="AH165" i="18"/>
  <c r="AH167" i="18"/>
  <c r="AH174" i="18"/>
  <c r="AH168" i="18"/>
  <c r="AH171" i="18"/>
  <c r="AH166" i="18"/>
  <c r="AH164" i="18"/>
  <c r="AH163" i="18"/>
  <c r="AH169" i="18"/>
  <c r="AH172" i="18"/>
  <c r="V27" i="18"/>
  <c r="V22" i="18"/>
  <c r="V29" i="18"/>
  <c r="V23" i="18"/>
  <c r="V21" i="18"/>
  <c r="V25" i="18"/>
  <c r="V26" i="18"/>
  <c r="V18" i="18"/>
  <c r="V24" i="18"/>
  <c r="V19" i="18"/>
  <c r="V28" i="18"/>
  <c r="V20" i="18"/>
  <c r="Z47" i="17"/>
  <c r="Z51" i="17"/>
  <c r="Z43" i="17"/>
  <c r="Z46" i="17"/>
  <c r="Z49" i="17"/>
  <c r="Z42" i="17"/>
  <c r="Z45" i="17"/>
  <c r="Z48" i="17"/>
  <c r="Z44" i="17"/>
  <c r="Z53" i="17"/>
  <c r="Z52" i="17"/>
  <c r="Z50" i="17"/>
  <c r="AF28" i="17"/>
  <c r="AF23" i="17"/>
  <c r="AF169" i="17"/>
  <c r="AF166" i="17"/>
  <c r="AF114" i="17"/>
  <c r="AF20" i="17"/>
  <c r="AF24" i="17"/>
  <c r="AF167" i="17"/>
  <c r="AF172" i="17"/>
  <c r="AF122" i="17"/>
  <c r="AF19" i="17"/>
  <c r="AF29" i="17"/>
  <c r="AF165" i="17"/>
  <c r="AF118" i="17"/>
  <c r="AF115" i="17"/>
  <c r="AF27" i="17"/>
  <c r="AF163" i="17"/>
  <c r="AF174" i="17"/>
  <c r="AF119" i="17"/>
  <c r="AF21" i="17"/>
  <c r="AF170" i="17"/>
  <c r="AF121" i="17"/>
  <c r="AF123" i="17"/>
  <c r="AF25" i="17"/>
  <c r="AF18" i="17"/>
  <c r="AF173" i="17"/>
  <c r="AF116" i="17"/>
  <c r="AF124" i="17"/>
  <c r="AF168" i="17"/>
  <c r="AF164" i="17"/>
  <c r="AF120" i="17"/>
  <c r="AF26" i="17"/>
  <c r="AF22" i="17"/>
  <c r="AF171" i="17"/>
  <c r="AF117" i="17"/>
  <c r="AF125" i="17"/>
  <c r="T45" i="17"/>
  <c r="T44" i="17"/>
  <c r="T52" i="17"/>
  <c r="T50" i="17"/>
  <c r="T49" i="17"/>
  <c r="T53" i="17"/>
  <c r="T46" i="17"/>
  <c r="T48" i="17"/>
  <c r="T43" i="17"/>
  <c r="T51" i="17"/>
  <c r="T42" i="17"/>
  <c r="T47" i="17"/>
  <c r="AD43" i="17"/>
  <c r="AD48" i="17"/>
  <c r="AD46" i="17"/>
  <c r="AD42" i="17"/>
  <c r="AD45" i="17"/>
  <c r="AD51" i="17"/>
  <c r="AD49" i="17"/>
  <c r="AD44" i="17"/>
  <c r="AD52" i="17"/>
  <c r="AD47" i="17"/>
  <c r="AD53" i="17"/>
  <c r="AD50" i="17"/>
  <c r="Z29" i="18"/>
  <c r="Z22" i="18"/>
  <c r="Z24" i="18"/>
  <c r="Z20" i="18"/>
  <c r="Z19" i="18"/>
  <c r="Z25" i="18"/>
  <c r="Z28" i="18"/>
  <c r="Z21" i="18"/>
  <c r="Z27" i="18"/>
  <c r="Z23" i="18"/>
  <c r="Z26" i="18"/>
  <c r="Z18" i="18"/>
  <c r="Z169" i="18"/>
  <c r="Z172" i="18"/>
  <c r="Z165" i="18"/>
  <c r="Z167" i="18"/>
  <c r="Z164" i="18"/>
  <c r="Z170" i="18"/>
  <c r="Z171" i="18"/>
  <c r="Z166" i="18"/>
  <c r="Z163" i="18"/>
  <c r="Z174" i="18"/>
  <c r="Z173" i="18"/>
  <c r="Z168" i="18"/>
  <c r="AF47" i="17"/>
  <c r="AF43" i="17"/>
  <c r="AF50" i="17"/>
  <c r="AF45" i="17"/>
  <c r="AF53" i="17"/>
  <c r="AF49" i="17"/>
  <c r="AF51" i="17"/>
  <c r="AF44" i="17"/>
  <c r="AF48" i="17"/>
  <c r="AF42" i="17"/>
  <c r="AF46" i="17"/>
  <c r="AF52" i="17"/>
  <c r="AL20" i="18"/>
  <c r="AL22" i="18"/>
  <c r="AL29" i="18"/>
  <c r="AL21" i="18"/>
  <c r="AL28" i="18"/>
  <c r="AL23" i="18"/>
  <c r="AL25" i="18"/>
  <c r="AL24" i="18"/>
  <c r="AL26" i="18"/>
  <c r="AL18" i="18"/>
  <c r="AL27" i="18"/>
  <c r="AL19" i="18"/>
  <c r="AL166" i="18"/>
  <c r="AM166" i="18" s="1"/>
  <c r="AL165" i="18"/>
  <c r="AM165" i="18" s="1"/>
  <c r="AL174" i="18"/>
  <c r="AM174" i="18" s="1"/>
  <c r="AL172" i="18"/>
  <c r="AM172" i="18" s="1"/>
  <c r="AL164" i="18"/>
  <c r="AM164" i="18" s="1"/>
  <c r="AL168" i="18"/>
  <c r="AM168" i="18" s="1"/>
  <c r="AL173" i="18"/>
  <c r="AM173" i="18" s="1"/>
  <c r="AL169" i="18"/>
  <c r="AM169" i="18" s="1"/>
  <c r="AL170" i="18"/>
  <c r="AM170" i="18" s="1"/>
  <c r="AL171" i="18"/>
  <c r="AM171" i="18" s="1"/>
  <c r="AL163" i="18"/>
  <c r="AM163" i="18" s="1"/>
  <c r="AL167" i="18"/>
  <c r="AM167" i="18" s="1"/>
  <c r="AB24" i="19"/>
  <c r="V170" i="16"/>
  <c r="AB25" i="19"/>
  <c r="AD99" i="16"/>
  <c r="J140" i="19"/>
  <c r="J149" i="19"/>
  <c r="Z44" i="19"/>
  <c r="H44" i="19"/>
  <c r="H52" i="19"/>
  <c r="J220" i="14"/>
  <c r="X48" i="19"/>
  <c r="J92" i="19"/>
  <c r="J100" i="19"/>
  <c r="AH168" i="14"/>
  <c r="AH164" i="14"/>
  <c r="P29" i="19"/>
  <c r="J150" i="19"/>
  <c r="X216" i="16"/>
  <c r="H148" i="14"/>
  <c r="X140" i="16"/>
  <c r="T213" i="16"/>
  <c r="J147" i="19"/>
  <c r="Z43" i="19"/>
  <c r="V172" i="19"/>
  <c r="V175" i="19"/>
  <c r="Z195" i="19"/>
  <c r="V147" i="19"/>
  <c r="P151" i="19"/>
  <c r="AD76" i="16"/>
  <c r="H51" i="16"/>
  <c r="Z195" i="14"/>
  <c r="Z190" i="14"/>
  <c r="X166" i="14"/>
  <c r="F72" i="15"/>
  <c r="H98" i="16"/>
  <c r="P221" i="16"/>
  <c r="N170" i="19"/>
  <c r="L145" i="19"/>
  <c r="AD98" i="14"/>
  <c r="T216" i="16"/>
  <c r="T215" i="16"/>
  <c r="T217" i="16"/>
  <c r="Z77" i="14"/>
  <c r="Z73" i="14"/>
  <c r="H71" i="14"/>
  <c r="H72" i="14"/>
  <c r="H73" i="14"/>
  <c r="H77" i="14"/>
  <c r="H70" i="14"/>
  <c r="H74" i="14"/>
  <c r="H42" i="14"/>
  <c r="Z193" i="16"/>
  <c r="P143" i="19"/>
  <c r="N145" i="14"/>
  <c r="N140" i="14"/>
  <c r="AK21" i="14"/>
  <c r="J44" i="14"/>
  <c r="J52" i="14"/>
  <c r="J45" i="14"/>
  <c r="J50" i="14"/>
  <c r="AD73" i="15"/>
  <c r="AD69" i="15"/>
  <c r="H52" i="14"/>
  <c r="H140" i="19"/>
  <c r="Z45" i="14"/>
  <c r="H42" i="16"/>
  <c r="H44" i="14"/>
  <c r="F28" i="16"/>
  <c r="H45" i="16"/>
  <c r="H50" i="14"/>
  <c r="H75" i="16"/>
  <c r="F21" i="16"/>
  <c r="H45" i="14"/>
  <c r="H52" i="16"/>
  <c r="H47" i="14"/>
  <c r="J48" i="14"/>
  <c r="J53" i="14"/>
  <c r="Z50" i="19"/>
  <c r="V221" i="14"/>
  <c r="J213" i="14"/>
  <c r="H142" i="19"/>
  <c r="L92" i="19"/>
  <c r="F169" i="16"/>
  <c r="L151" i="19"/>
  <c r="T52" i="16"/>
  <c r="H194" i="16"/>
  <c r="H195" i="16"/>
  <c r="Z74" i="14"/>
  <c r="P216" i="19"/>
  <c r="J49" i="14"/>
  <c r="J46" i="14"/>
  <c r="P146" i="14"/>
  <c r="N169" i="16"/>
  <c r="N170" i="16"/>
  <c r="R150" i="19"/>
  <c r="R142" i="19"/>
  <c r="X146" i="19"/>
  <c r="Q22" i="14"/>
  <c r="J212" i="19"/>
  <c r="J97" i="14"/>
  <c r="Z93" i="19"/>
  <c r="J189" i="16"/>
  <c r="J192" i="16"/>
  <c r="R26" i="19"/>
  <c r="L26" i="19"/>
  <c r="H197" i="14"/>
  <c r="AH172" i="16"/>
  <c r="AH164" i="16"/>
  <c r="N171" i="14"/>
  <c r="N164" i="14"/>
  <c r="H101" i="14"/>
  <c r="H92" i="14"/>
  <c r="AD101" i="19"/>
  <c r="P212" i="14"/>
  <c r="T218" i="16"/>
  <c r="F18" i="16"/>
  <c r="H48" i="14"/>
  <c r="H75" i="14"/>
  <c r="R145" i="14"/>
  <c r="AD48" i="16"/>
  <c r="H49" i="16"/>
  <c r="Z188" i="16"/>
  <c r="P22" i="19"/>
  <c r="H193" i="16"/>
  <c r="Z69" i="14"/>
  <c r="J51" i="14"/>
  <c r="N174" i="16"/>
  <c r="R149" i="19"/>
  <c r="Z100" i="19"/>
  <c r="R25" i="19"/>
  <c r="L25" i="19"/>
  <c r="AD100" i="19"/>
  <c r="P218" i="14"/>
  <c r="AD188" i="16"/>
  <c r="Z165" i="14"/>
  <c r="H53" i="14"/>
  <c r="H46" i="14"/>
  <c r="H68" i="14"/>
  <c r="H44" i="16"/>
  <c r="H69" i="16"/>
  <c r="R145" i="19"/>
  <c r="P168" i="14"/>
  <c r="Z141" i="15"/>
  <c r="F188" i="16"/>
  <c r="AD99" i="19"/>
  <c r="AD92" i="19"/>
  <c r="H49" i="14"/>
  <c r="H51" i="14"/>
  <c r="N28" i="16"/>
  <c r="R144" i="19"/>
  <c r="F166" i="16"/>
  <c r="H189" i="16"/>
  <c r="H192" i="16"/>
  <c r="Z75" i="14"/>
  <c r="J43" i="14"/>
  <c r="J47" i="14"/>
  <c r="K19" i="14"/>
  <c r="V219" i="19"/>
  <c r="T66" i="16"/>
  <c r="N168" i="14"/>
  <c r="AB27" i="16"/>
  <c r="X144" i="14"/>
  <c r="J141" i="19"/>
  <c r="J144" i="19"/>
  <c r="X173" i="14"/>
  <c r="X46" i="19"/>
  <c r="AB22" i="16"/>
  <c r="AB18" i="16"/>
  <c r="AB23" i="16"/>
  <c r="AB26" i="16"/>
  <c r="AB20" i="16"/>
  <c r="AB19" i="16"/>
  <c r="AB24" i="16"/>
  <c r="X223" i="19"/>
  <c r="X216" i="19"/>
  <c r="X212" i="19"/>
  <c r="X218" i="19"/>
  <c r="X214" i="19"/>
  <c r="AD193" i="19"/>
  <c r="V213" i="19"/>
  <c r="V217" i="19"/>
  <c r="V223" i="19"/>
  <c r="H98" i="14"/>
  <c r="J192" i="14"/>
  <c r="H69" i="15"/>
  <c r="H70" i="15"/>
  <c r="H71" i="15"/>
  <c r="H66" i="15"/>
  <c r="H72" i="15"/>
  <c r="Z95" i="14"/>
  <c r="X219" i="19"/>
  <c r="R147" i="14"/>
  <c r="R148" i="14"/>
  <c r="R146" i="14"/>
  <c r="R142" i="14"/>
  <c r="X147" i="14"/>
  <c r="X142" i="14"/>
  <c r="X145" i="14"/>
  <c r="M23" i="14"/>
  <c r="M20" i="14"/>
  <c r="T147" i="19"/>
  <c r="T146" i="19"/>
  <c r="T149" i="19"/>
  <c r="T144" i="19"/>
  <c r="H45" i="15"/>
  <c r="M29" i="14"/>
  <c r="Z98" i="14"/>
  <c r="Q29" i="14"/>
  <c r="X222" i="19"/>
  <c r="R143" i="14"/>
  <c r="J214" i="19"/>
  <c r="L95" i="19"/>
  <c r="Z101" i="14"/>
  <c r="J51" i="16"/>
  <c r="J222" i="16"/>
  <c r="T73" i="16"/>
  <c r="T74" i="16"/>
  <c r="T71" i="16"/>
  <c r="T50" i="16"/>
  <c r="X217" i="14"/>
  <c r="X223" i="14"/>
  <c r="X216" i="14"/>
  <c r="X212" i="14"/>
  <c r="X221" i="14"/>
  <c r="J18" i="16"/>
  <c r="AH169" i="16"/>
  <c r="L148" i="19"/>
  <c r="Z92" i="14"/>
  <c r="Z94" i="14"/>
  <c r="Z100" i="14"/>
  <c r="Z102" i="14"/>
  <c r="Z91" i="14"/>
  <c r="Z96" i="14"/>
  <c r="L98" i="19"/>
  <c r="J188" i="16"/>
  <c r="J193" i="16"/>
  <c r="J198" i="16"/>
  <c r="J194" i="16"/>
  <c r="J196" i="16"/>
  <c r="J197" i="16"/>
  <c r="P196" i="19"/>
  <c r="P189" i="19"/>
  <c r="P197" i="19"/>
  <c r="P198" i="19"/>
  <c r="P195" i="19"/>
  <c r="AH167" i="16"/>
  <c r="Z99" i="14"/>
  <c r="J188" i="14"/>
  <c r="T45" i="16"/>
  <c r="L149" i="19"/>
  <c r="L150" i="19"/>
  <c r="L143" i="19"/>
  <c r="L141" i="19"/>
  <c r="L144" i="19"/>
  <c r="L142" i="19"/>
  <c r="L140" i="19"/>
  <c r="X169" i="16"/>
  <c r="Q24" i="14"/>
  <c r="Q27" i="14"/>
  <c r="Q25" i="14"/>
  <c r="Q28" i="14"/>
  <c r="H91" i="14"/>
  <c r="H99" i="14"/>
  <c r="H102" i="14"/>
  <c r="AH174" i="16"/>
  <c r="J191" i="16"/>
  <c r="AB167" i="19"/>
  <c r="X215" i="19"/>
  <c r="T45" i="19"/>
  <c r="T46" i="19"/>
  <c r="T50" i="19"/>
  <c r="T71" i="19"/>
  <c r="T52" i="19"/>
  <c r="T72" i="19"/>
  <c r="T42" i="19"/>
  <c r="T47" i="19"/>
  <c r="J21" i="16"/>
  <c r="H94" i="14"/>
  <c r="H97" i="14"/>
  <c r="J217" i="16"/>
  <c r="AB21" i="16"/>
  <c r="N169" i="14"/>
  <c r="N166" i="14"/>
  <c r="N174" i="14"/>
  <c r="N167" i="14"/>
  <c r="N175" i="14"/>
  <c r="N165" i="14"/>
  <c r="X221" i="19"/>
  <c r="AD191" i="19"/>
  <c r="X222" i="14"/>
  <c r="X148" i="14"/>
  <c r="T49" i="19"/>
  <c r="H68" i="15"/>
  <c r="H95" i="14"/>
  <c r="Z102" i="19"/>
  <c r="H75" i="15"/>
  <c r="J195" i="16"/>
  <c r="J190" i="16"/>
  <c r="V221" i="19"/>
  <c r="V222" i="19"/>
  <c r="P190" i="19"/>
  <c r="L28" i="19"/>
  <c r="H118" i="14"/>
  <c r="H121" i="14"/>
  <c r="N172" i="14"/>
  <c r="N146" i="14"/>
  <c r="H96" i="14"/>
  <c r="F190" i="16"/>
  <c r="T223" i="16"/>
  <c r="H66" i="14"/>
  <c r="M24" i="14"/>
  <c r="T51" i="19"/>
  <c r="H76" i="15"/>
  <c r="H73" i="15"/>
  <c r="H123" i="14"/>
  <c r="H120" i="14"/>
  <c r="H146" i="19"/>
  <c r="AD190" i="19"/>
  <c r="L147" i="19"/>
  <c r="T43" i="16"/>
  <c r="F24" i="19"/>
  <c r="L101" i="19"/>
  <c r="P215" i="19"/>
  <c r="J219" i="16"/>
  <c r="H101" i="19"/>
  <c r="X24" i="19"/>
  <c r="Z119" i="16"/>
  <c r="Z126" i="16"/>
  <c r="F71" i="15"/>
  <c r="AD119" i="15"/>
  <c r="AD118" i="15"/>
  <c r="H76" i="14"/>
  <c r="L96" i="19"/>
  <c r="P213" i="19"/>
  <c r="J214" i="16"/>
  <c r="J23" i="19"/>
  <c r="AD96" i="15"/>
  <c r="N223" i="16"/>
  <c r="X53" i="16"/>
  <c r="Z164" i="16"/>
  <c r="Z142" i="19"/>
  <c r="X18" i="19"/>
  <c r="X20" i="19"/>
  <c r="Z122" i="16"/>
  <c r="Z124" i="16"/>
  <c r="F77" i="15"/>
  <c r="Z96" i="16"/>
  <c r="H189" i="14"/>
  <c r="H190" i="14"/>
  <c r="J42" i="16"/>
  <c r="Z151" i="14"/>
  <c r="P212" i="19"/>
  <c r="J220" i="16"/>
  <c r="Z115" i="15"/>
  <c r="F164" i="14"/>
  <c r="H188" i="14"/>
  <c r="H195" i="14"/>
  <c r="J216" i="16"/>
  <c r="J50" i="16"/>
  <c r="J46" i="16"/>
  <c r="AB25" i="16"/>
  <c r="X217" i="19"/>
  <c r="AD77" i="15"/>
  <c r="AD70" i="15"/>
  <c r="T77" i="19"/>
  <c r="Z141" i="14"/>
  <c r="L102" i="19"/>
  <c r="H194" i="14"/>
  <c r="P217" i="19"/>
  <c r="J221" i="16"/>
  <c r="L145" i="14"/>
  <c r="N222" i="16"/>
  <c r="X52" i="16"/>
  <c r="Z172" i="16"/>
  <c r="X19" i="19"/>
  <c r="X28" i="19"/>
  <c r="Z123" i="16"/>
  <c r="Z117" i="16"/>
  <c r="F76" i="15"/>
  <c r="H97" i="16"/>
  <c r="Z97" i="16"/>
  <c r="Z95" i="16"/>
  <c r="P217" i="16"/>
  <c r="T218" i="14"/>
  <c r="Z121" i="14"/>
  <c r="Z124" i="14"/>
  <c r="N142" i="14"/>
  <c r="T221" i="16"/>
  <c r="Z147" i="14"/>
  <c r="L94" i="19"/>
  <c r="H191" i="14"/>
  <c r="J223" i="16"/>
  <c r="L97" i="19"/>
  <c r="L91" i="19"/>
  <c r="N174" i="19"/>
  <c r="N146" i="19"/>
  <c r="N148" i="19"/>
  <c r="X48" i="14"/>
  <c r="X175" i="19"/>
  <c r="T145" i="14"/>
  <c r="T142" i="14"/>
  <c r="H99" i="19"/>
  <c r="P220" i="19"/>
  <c r="P214" i="19"/>
  <c r="Z120" i="16"/>
  <c r="L100" i="19"/>
  <c r="J218" i="16"/>
  <c r="L93" i="19"/>
  <c r="L99" i="19"/>
  <c r="H95" i="19"/>
  <c r="Z121" i="16"/>
  <c r="T217" i="14"/>
  <c r="Z120" i="14"/>
  <c r="Z115" i="14"/>
  <c r="J213" i="16"/>
  <c r="V42" i="16"/>
  <c r="F163" i="15"/>
  <c r="X29" i="19"/>
  <c r="Z125" i="16"/>
  <c r="F66" i="15"/>
  <c r="Z122" i="14"/>
  <c r="AD115" i="15"/>
  <c r="N144" i="14"/>
  <c r="Z194" i="19"/>
  <c r="Z145" i="14"/>
  <c r="Z150" i="14"/>
  <c r="H189" i="19"/>
  <c r="H197" i="19"/>
  <c r="H191" i="19"/>
  <c r="H199" i="19"/>
  <c r="H195" i="19"/>
  <c r="H193" i="19"/>
  <c r="H198" i="19"/>
  <c r="H194" i="19"/>
  <c r="H188" i="19"/>
  <c r="H167" i="14"/>
  <c r="H166" i="14"/>
  <c r="H169" i="14"/>
  <c r="H20" i="16"/>
  <c r="H18" i="16"/>
  <c r="V126" i="16"/>
  <c r="V124" i="16"/>
  <c r="P143" i="14"/>
  <c r="P142" i="14"/>
  <c r="P150" i="14"/>
  <c r="P151" i="14"/>
  <c r="P147" i="14"/>
  <c r="P140" i="14"/>
  <c r="P144" i="14"/>
  <c r="L100" i="16"/>
  <c r="L94" i="16"/>
  <c r="L91" i="16"/>
  <c r="L96" i="16"/>
  <c r="L97" i="16"/>
  <c r="L101" i="16"/>
  <c r="L98" i="16"/>
  <c r="L93" i="16"/>
  <c r="L99" i="16"/>
  <c r="N27" i="16"/>
  <c r="N171" i="19"/>
  <c r="N142" i="19"/>
  <c r="N147" i="19"/>
  <c r="X46" i="14"/>
  <c r="X171" i="19"/>
  <c r="T141" i="14"/>
  <c r="F197" i="14"/>
  <c r="F198" i="14"/>
  <c r="Z116" i="19"/>
  <c r="Z125" i="15"/>
  <c r="Z120" i="15"/>
  <c r="X151" i="16"/>
  <c r="P116" i="16"/>
  <c r="V115" i="16"/>
  <c r="V116" i="16"/>
  <c r="T69" i="19"/>
  <c r="N22" i="16"/>
  <c r="N19" i="16"/>
  <c r="F188" i="19"/>
  <c r="F189" i="14"/>
  <c r="F190" i="14"/>
  <c r="V120" i="19"/>
  <c r="H115" i="14"/>
  <c r="H117" i="14"/>
  <c r="P124" i="16"/>
  <c r="J212" i="16"/>
  <c r="F199" i="16"/>
  <c r="F189" i="16"/>
  <c r="AD91" i="19"/>
  <c r="H175" i="14"/>
  <c r="H168" i="14"/>
  <c r="P220" i="14"/>
  <c r="AD99" i="14"/>
  <c r="AD97" i="14"/>
  <c r="AD49" i="19"/>
  <c r="Z148" i="14"/>
  <c r="N24" i="16"/>
  <c r="N26" i="16"/>
  <c r="N151" i="19"/>
  <c r="N150" i="19"/>
  <c r="X170" i="19"/>
  <c r="F194" i="19"/>
  <c r="P149" i="14"/>
  <c r="P148" i="14"/>
  <c r="F70" i="15"/>
  <c r="F196" i="14"/>
  <c r="Z140" i="16"/>
  <c r="P212" i="16"/>
  <c r="Z99" i="19"/>
  <c r="Z96" i="19"/>
  <c r="H125" i="14"/>
  <c r="H119" i="14"/>
  <c r="P123" i="16"/>
  <c r="J26" i="16"/>
  <c r="F196" i="16"/>
  <c r="F193" i="16"/>
  <c r="AD97" i="19"/>
  <c r="AD95" i="19"/>
  <c r="L25" i="16"/>
  <c r="AD96" i="14"/>
  <c r="AD95" i="14"/>
  <c r="T75" i="19"/>
  <c r="P122" i="14"/>
  <c r="P119" i="14"/>
  <c r="X53" i="19"/>
  <c r="AD72" i="16"/>
  <c r="H66" i="16"/>
  <c r="AH173" i="14"/>
  <c r="Z196" i="16"/>
  <c r="AC26" i="14"/>
  <c r="AD53" i="19"/>
  <c r="P26" i="19"/>
  <c r="Z146" i="14"/>
  <c r="Z144" i="14"/>
  <c r="N23" i="16"/>
  <c r="H148" i="19"/>
  <c r="X44" i="14"/>
  <c r="X49" i="14"/>
  <c r="X165" i="19"/>
  <c r="T53" i="19"/>
  <c r="T43" i="19"/>
  <c r="F195" i="14"/>
  <c r="T213" i="14"/>
  <c r="H126" i="14"/>
  <c r="H192" i="19"/>
  <c r="N170" i="14"/>
  <c r="P125" i="16"/>
  <c r="P120" i="16"/>
  <c r="J25" i="16"/>
  <c r="H93" i="14"/>
  <c r="H100" i="14"/>
  <c r="H115" i="19"/>
  <c r="H67" i="14"/>
  <c r="R140" i="14"/>
  <c r="AD68" i="15"/>
  <c r="X141" i="14"/>
  <c r="N18" i="16"/>
  <c r="AH165" i="19"/>
  <c r="H46" i="19"/>
  <c r="V166" i="19"/>
  <c r="AD101" i="14"/>
  <c r="AD93" i="14"/>
  <c r="M28" i="14"/>
  <c r="T66" i="19"/>
  <c r="N29" i="16"/>
  <c r="P141" i="14"/>
  <c r="H151" i="16"/>
  <c r="L95" i="16"/>
  <c r="N140" i="16"/>
  <c r="N141" i="16"/>
  <c r="F165" i="19"/>
  <c r="F169" i="19"/>
  <c r="Q18" i="14"/>
  <c r="J220" i="19"/>
  <c r="F194" i="14"/>
  <c r="Z148" i="16"/>
  <c r="Z151" i="16"/>
  <c r="V218" i="19"/>
  <c r="H115" i="16"/>
  <c r="H120" i="16"/>
  <c r="T75" i="16"/>
  <c r="H124" i="14"/>
  <c r="AD102" i="14"/>
  <c r="N21" i="16"/>
  <c r="P145" i="14"/>
  <c r="L102" i="16"/>
  <c r="F193" i="14"/>
  <c r="Z123" i="15"/>
  <c r="V121" i="16"/>
  <c r="V122" i="16"/>
  <c r="N212" i="16"/>
  <c r="T44" i="19"/>
  <c r="F188" i="14"/>
  <c r="F199" i="14"/>
  <c r="L20" i="19"/>
  <c r="H122" i="14"/>
  <c r="P223" i="14"/>
  <c r="P213" i="14"/>
  <c r="H22" i="16"/>
  <c r="H69" i="14"/>
  <c r="AD66" i="15"/>
  <c r="X146" i="14"/>
  <c r="AD92" i="14"/>
  <c r="AK122" i="17"/>
  <c r="AK124" i="17"/>
  <c r="AK119" i="17"/>
  <c r="AK114" i="17"/>
  <c r="AK125" i="17"/>
  <c r="AO124" i="17"/>
  <c r="AO123" i="17"/>
  <c r="AQ123" i="17"/>
  <c r="AQ119" i="17"/>
  <c r="AQ115" i="17"/>
  <c r="AQ122" i="17"/>
  <c r="AQ118" i="17"/>
  <c r="AQ125" i="17"/>
  <c r="AQ121" i="17"/>
  <c r="AQ117" i="17"/>
  <c r="AQ124" i="17"/>
  <c r="AQ120" i="17"/>
  <c r="V149" i="14"/>
  <c r="V150" i="14"/>
  <c r="V143" i="14"/>
  <c r="V145" i="14"/>
  <c r="V141" i="14"/>
  <c r="V142" i="14"/>
  <c r="V148" i="14"/>
  <c r="V146" i="14"/>
  <c r="V147" i="14"/>
  <c r="H143" i="14"/>
  <c r="H144" i="14"/>
  <c r="H142" i="14"/>
  <c r="H147" i="14"/>
  <c r="H145" i="14"/>
  <c r="H149" i="14"/>
  <c r="H151" i="14"/>
  <c r="J188" i="19"/>
  <c r="J194" i="19"/>
  <c r="J196" i="19"/>
  <c r="J190" i="19"/>
  <c r="J189" i="19"/>
  <c r="J193" i="19"/>
  <c r="J191" i="19"/>
  <c r="J199" i="19"/>
  <c r="AE26" i="16"/>
  <c r="AE28" i="16"/>
  <c r="AE29" i="16"/>
  <c r="AE20" i="16"/>
  <c r="AE27" i="16"/>
  <c r="AE25" i="16"/>
  <c r="AE21" i="16"/>
  <c r="AF21" i="16" s="1"/>
  <c r="AE19" i="16"/>
  <c r="AE23" i="16"/>
  <c r="AE24" i="16"/>
  <c r="AE22" i="16"/>
  <c r="AE18" i="16"/>
  <c r="U19" i="15"/>
  <c r="U28" i="15"/>
  <c r="U20" i="15"/>
  <c r="U25" i="15"/>
  <c r="U26" i="15"/>
  <c r="U24" i="15"/>
  <c r="U18" i="15"/>
  <c r="U23" i="15"/>
  <c r="U22" i="15"/>
  <c r="U29" i="15"/>
  <c r="U27" i="15"/>
  <c r="U21" i="15"/>
  <c r="M194" i="19"/>
  <c r="M196" i="19"/>
  <c r="M191" i="19"/>
  <c r="N191" i="19" s="1"/>
  <c r="M189" i="19"/>
  <c r="M199" i="19"/>
  <c r="M197" i="19"/>
  <c r="M192" i="19"/>
  <c r="M190" i="19"/>
  <c r="M193" i="19"/>
  <c r="M195" i="19"/>
  <c r="M198" i="19"/>
  <c r="N198" i="19" s="1"/>
  <c r="M188" i="19"/>
  <c r="E98" i="15"/>
  <c r="E94" i="15"/>
  <c r="E101" i="15"/>
  <c r="E93" i="15"/>
  <c r="E92" i="15"/>
  <c r="E91" i="15"/>
  <c r="E100" i="15"/>
  <c r="E99" i="15"/>
  <c r="E90" i="15"/>
  <c r="E95" i="15"/>
  <c r="E96" i="15"/>
  <c r="E97" i="15"/>
  <c r="Q187" i="15"/>
  <c r="Q189" i="15"/>
  <c r="Q188" i="15"/>
  <c r="Q190" i="15"/>
  <c r="Q196" i="15"/>
  <c r="Q191" i="15"/>
  <c r="Q193" i="15"/>
  <c r="Q198" i="15"/>
  <c r="Q192" i="15"/>
  <c r="Q194" i="15"/>
  <c r="Q197" i="15"/>
  <c r="Q195" i="15"/>
  <c r="AE50" i="14"/>
  <c r="AE49" i="14"/>
  <c r="AE43" i="14"/>
  <c r="AE51" i="14"/>
  <c r="AE42" i="14"/>
  <c r="AE46" i="14"/>
  <c r="AE48" i="14"/>
  <c r="AE53" i="14"/>
  <c r="AE45" i="14"/>
  <c r="AF45" i="14" s="1"/>
  <c r="AE47" i="14"/>
  <c r="AE52" i="14"/>
  <c r="AE44" i="14"/>
  <c r="X145" i="16"/>
  <c r="X141" i="16"/>
  <c r="X149" i="16"/>
  <c r="X142" i="16"/>
  <c r="X143" i="16"/>
  <c r="X150" i="16"/>
  <c r="X148" i="16"/>
  <c r="X147" i="16"/>
  <c r="X144" i="16"/>
  <c r="F169" i="14"/>
  <c r="F172" i="14"/>
  <c r="F175" i="14"/>
  <c r="F174" i="14"/>
  <c r="F167" i="14"/>
  <c r="F171" i="14"/>
  <c r="H167" i="16"/>
  <c r="H173" i="16"/>
  <c r="H168" i="16"/>
  <c r="H170" i="16"/>
  <c r="H172" i="16"/>
  <c r="H169" i="16"/>
  <c r="H164" i="16"/>
  <c r="O49" i="15"/>
  <c r="O50" i="15"/>
  <c r="O45" i="15"/>
  <c r="O51" i="15"/>
  <c r="O52" i="15"/>
  <c r="O43" i="15"/>
  <c r="O44" i="15"/>
  <c r="O48" i="15"/>
  <c r="O42" i="15"/>
  <c r="O46" i="15"/>
  <c r="O47" i="15"/>
  <c r="O53" i="15"/>
  <c r="K126" i="19"/>
  <c r="L126" i="19" s="1"/>
  <c r="K118" i="19"/>
  <c r="L118" i="19" s="1"/>
  <c r="K119" i="19"/>
  <c r="L119" i="19" s="1"/>
  <c r="K115" i="19"/>
  <c r="L115" i="19" s="1"/>
  <c r="K122" i="19"/>
  <c r="L122" i="19" s="1"/>
  <c r="K120" i="19"/>
  <c r="L120" i="19" s="1"/>
  <c r="K123" i="19"/>
  <c r="L123" i="19" s="1"/>
  <c r="K121" i="19"/>
  <c r="L121" i="19" s="1"/>
  <c r="K116" i="19"/>
  <c r="L116" i="19" s="1"/>
  <c r="K125" i="19"/>
  <c r="L125" i="19" s="1"/>
  <c r="K124" i="19"/>
  <c r="L124" i="19" s="1"/>
  <c r="K117" i="19"/>
  <c r="L117" i="19" s="1"/>
  <c r="Q166" i="15"/>
  <c r="Q168" i="15"/>
  <c r="Q163" i="15"/>
  <c r="Q171" i="15"/>
  <c r="Q164" i="15"/>
  <c r="Q172" i="15"/>
  <c r="Q165" i="15"/>
  <c r="Q167" i="15"/>
  <c r="Q173" i="15"/>
  <c r="R173" i="15" s="1"/>
  <c r="Q169" i="15"/>
  <c r="Q174" i="15"/>
  <c r="Q170" i="15"/>
  <c r="AD71" i="16"/>
  <c r="AA117" i="14"/>
  <c r="AA125" i="14"/>
  <c r="AA115" i="14"/>
  <c r="AA123" i="14"/>
  <c r="AA119" i="14"/>
  <c r="AA124" i="14"/>
  <c r="AA118" i="14"/>
  <c r="AA120" i="14"/>
  <c r="AA126" i="14"/>
  <c r="AA121" i="14"/>
  <c r="AA122" i="14"/>
  <c r="AA116" i="14"/>
  <c r="H68" i="16"/>
  <c r="X172" i="16"/>
  <c r="X175" i="16"/>
  <c r="X167" i="16"/>
  <c r="X170" i="16"/>
  <c r="X148" i="19"/>
  <c r="X140" i="19"/>
  <c r="X143" i="19"/>
  <c r="X142" i="19"/>
  <c r="X141" i="19"/>
  <c r="X150" i="19"/>
  <c r="J218" i="19"/>
  <c r="J216" i="19"/>
  <c r="J221" i="19"/>
  <c r="J215" i="19"/>
  <c r="J223" i="19"/>
  <c r="S22" i="15"/>
  <c r="S21" i="15"/>
  <c r="S23" i="15"/>
  <c r="S25" i="15"/>
  <c r="S26" i="15"/>
  <c r="S27" i="15"/>
  <c r="S29" i="15"/>
  <c r="S19" i="15"/>
  <c r="S20" i="15"/>
  <c r="S28" i="15"/>
  <c r="T28" i="15" s="1"/>
  <c r="S24" i="15"/>
  <c r="S18" i="15"/>
  <c r="I116" i="15"/>
  <c r="I124" i="15"/>
  <c r="I117" i="15"/>
  <c r="I125" i="15"/>
  <c r="I114" i="15"/>
  <c r="I121" i="15"/>
  <c r="I120" i="15"/>
  <c r="I122" i="15"/>
  <c r="I119" i="15"/>
  <c r="I115" i="15"/>
  <c r="I123" i="15"/>
  <c r="I118" i="15"/>
  <c r="AM146" i="14"/>
  <c r="AN146" i="14" s="1"/>
  <c r="AM147" i="14"/>
  <c r="AN147" i="14" s="1"/>
  <c r="AM140" i="14"/>
  <c r="AN140" i="14" s="1"/>
  <c r="AM141" i="14"/>
  <c r="AN141" i="14" s="1"/>
  <c r="AM145" i="14"/>
  <c r="AN145" i="14" s="1"/>
  <c r="AM149" i="14"/>
  <c r="AN149" i="14" s="1"/>
  <c r="AM142" i="14"/>
  <c r="AN142" i="14" s="1"/>
  <c r="AM150" i="14"/>
  <c r="AN150" i="14" s="1"/>
  <c r="AM143" i="14"/>
  <c r="AN143" i="14" s="1"/>
  <c r="AM148" i="14"/>
  <c r="AN148" i="14" s="1"/>
  <c r="AM151" i="14"/>
  <c r="AN151" i="14" s="1"/>
  <c r="AM144" i="14"/>
  <c r="AN144" i="14" s="1"/>
  <c r="X170" i="14"/>
  <c r="X168" i="14"/>
  <c r="X175" i="14"/>
  <c r="X172" i="14"/>
  <c r="X171" i="14"/>
  <c r="X164" i="14"/>
  <c r="X165" i="14"/>
  <c r="X146" i="16"/>
  <c r="AL26" i="14"/>
  <c r="AL27" i="14"/>
  <c r="AL25" i="14"/>
  <c r="AL19" i="14"/>
  <c r="AL18" i="14"/>
  <c r="AL22" i="14"/>
  <c r="AL24" i="14"/>
  <c r="AL29" i="14"/>
  <c r="AL21" i="14"/>
  <c r="AM21" i="14" s="1"/>
  <c r="AL28" i="14"/>
  <c r="AL20" i="14"/>
  <c r="AL23" i="14"/>
  <c r="H165" i="16"/>
  <c r="H174" i="16"/>
  <c r="O44" i="19"/>
  <c r="O52" i="19"/>
  <c r="O51" i="19"/>
  <c r="O49" i="19"/>
  <c r="O45" i="19"/>
  <c r="P45" i="19" s="1"/>
  <c r="O50" i="19"/>
  <c r="O53" i="19"/>
  <c r="O43" i="19"/>
  <c r="O46" i="19"/>
  <c r="O48" i="19"/>
  <c r="O42" i="19"/>
  <c r="O47" i="19"/>
  <c r="K121" i="16"/>
  <c r="L121" i="16" s="1"/>
  <c r="K120" i="16"/>
  <c r="L120" i="16" s="1"/>
  <c r="K124" i="16"/>
  <c r="L124" i="16" s="1"/>
  <c r="K116" i="16"/>
  <c r="L116" i="16" s="1"/>
  <c r="K115" i="16"/>
  <c r="L115" i="16" s="1"/>
  <c r="K123" i="16"/>
  <c r="L123" i="16" s="1"/>
  <c r="K119" i="16"/>
  <c r="L119" i="16" s="1"/>
  <c r="K126" i="16"/>
  <c r="L126" i="16" s="1"/>
  <c r="K118" i="16"/>
  <c r="L118" i="16" s="1"/>
  <c r="K125" i="16"/>
  <c r="L125" i="16" s="1"/>
  <c r="K117" i="16"/>
  <c r="L117" i="16" s="1"/>
  <c r="K122" i="16"/>
  <c r="L122" i="16" s="1"/>
  <c r="P126" i="14"/>
  <c r="AD53" i="16"/>
  <c r="AH169" i="19"/>
  <c r="H76" i="19"/>
  <c r="H149" i="19"/>
  <c r="H147" i="19"/>
  <c r="H143" i="19"/>
  <c r="H151" i="19"/>
  <c r="H145" i="19"/>
  <c r="AE72" i="15"/>
  <c r="AE66" i="15"/>
  <c r="AE73" i="15"/>
  <c r="AE68" i="15"/>
  <c r="AE69" i="15"/>
  <c r="AE70" i="15"/>
  <c r="AE67" i="15"/>
  <c r="AE74" i="15"/>
  <c r="AE76" i="15"/>
  <c r="AE77" i="15"/>
  <c r="AE75" i="15"/>
  <c r="AE71" i="15"/>
  <c r="F167" i="16"/>
  <c r="F171" i="16"/>
  <c r="F173" i="16"/>
  <c r="F172" i="16"/>
  <c r="M94" i="15"/>
  <c r="M93" i="15"/>
  <c r="N118" i="15" s="1"/>
  <c r="M98" i="15"/>
  <c r="M100" i="15"/>
  <c r="M101" i="15"/>
  <c r="M91" i="15"/>
  <c r="M95" i="15"/>
  <c r="M92" i="15"/>
  <c r="M99" i="15"/>
  <c r="M96" i="15"/>
  <c r="N96" i="15" s="1"/>
  <c r="M90" i="15"/>
  <c r="M97" i="15"/>
  <c r="Y26" i="16"/>
  <c r="Y23" i="16"/>
  <c r="Y18" i="16"/>
  <c r="Y29" i="16"/>
  <c r="Y25" i="16"/>
  <c r="Y24" i="16"/>
  <c r="Y22" i="16"/>
  <c r="Y21" i="16"/>
  <c r="Z21" i="16" s="1"/>
  <c r="Y20" i="16"/>
  <c r="Y27" i="16"/>
  <c r="Y28" i="16"/>
  <c r="Y19" i="16"/>
  <c r="AO67" i="19"/>
  <c r="AP67" i="19" s="1"/>
  <c r="AO69" i="19"/>
  <c r="AP69" i="19" s="1"/>
  <c r="AO72" i="19"/>
  <c r="AP72" i="19" s="1"/>
  <c r="AO73" i="19"/>
  <c r="AP73" i="19" s="1"/>
  <c r="AO68" i="19"/>
  <c r="AP68" i="19" s="1"/>
  <c r="AO77" i="19"/>
  <c r="AP77" i="19" s="1"/>
  <c r="AO70" i="19"/>
  <c r="AP70" i="19" s="1"/>
  <c r="AO66" i="19"/>
  <c r="AP66" i="19" s="1"/>
  <c r="AO76" i="19"/>
  <c r="AP76" i="19" s="1"/>
  <c r="AO74" i="19"/>
  <c r="AP74" i="19" s="1"/>
  <c r="AO75" i="19"/>
  <c r="AP75" i="19" s="1"/>
  <c r="AO71" i="19"/>
  <c r="AP71" i="19" s="1"/>
  <c r="AA197" i="16"/>
  <c r="AA196" i="16"/>
  <c r="AA190" i="16"/>
  <c r="AA192" i="16"/>
  <c r="AA191" i="16"/>
  <c r="AB191" i="16" s="1"/>
  <c r="AA188" i="16"/>
  <c r="AA195" i="16"/>
  <c r="AA193" i="16"/>
  <c r="AA194" i="16"/>
  <c r="AA198" i="16"/>
  <c r="AA199" i="16"/>
  <c r="AA189" i="16"/>
  <c r="Q170" i="14"/>
  <c r="Q175" i="14"/>
  <c r="Q168" i="14"/>
  <c r="Q172" i="14"/>
  <c r="Q164" i="14"/>
  <c r="Q165" i="14"/>
  <c r="Q169" i="14"/>
  <c r="Q173" i="14"/>
  <c r="Q166" i="14"/>
  <c r="Q171" i="14"/>
  <c r="Q174" i="14"/>
  <c r="Q167" i="14"/>
  <c r="R167" i="14" s="1"/>
  <c r="X48" i="16"/>
  <c r="X46" i="16"/>
  <c r="X50" i="16"/>
  <c r="X49" i="16"/>
  <c r="X51" i="16"/>
  <c r="Z141" i="19"/>
  <c r="Z140" i="19"/>
  <c r="Z148" i="19"/>
  <c r="Z147" i="19"/>
  <c r="Z143" i="19"/>
  <c r="AA124" i="15"/>
  <c r="AA114" i="15"/>
  <c r="AA116" i="15"/>
  <c r="AA115" i="15"/>
  <c r="AA118" i="15"/>
  <c r="AA123" i="15"/>
  <c r="AA122" i="15"/>
  <c r="AA117" i="15"/>
  <c r="AA125" i="15"/>
  <c r="AA119" i="15"/>
  <c r="AA120" i="15"/>
  <c r="AA121" i="15"/>
  <c r="H142" i="16"/>
  <c r="H148" i="16"/>
  <c r="H150" i="16"/>
  <c r="H147" i="16"/>
  <c r="H144" i="16"/>
  <c r="H141" i="16"/>
  <c r="N150" i="16"/>
  <c r="N144" i="16"/>
  <c r="N142" i="16"/>
  <c r="N146" i="16"/>
  <c r="H67" i="16"/>
  <c r="AO193" i="15"/>
  <c r="AP193" i="15" s="1"/>
  <c r="AO195" i="15"/>
  <c r="AP195" i="15" s="1"/>
  <c r="AO194" i="15"/>
  <c r="AP194" i="15" s="1"/>
  <c r="AO197" i="15"/>
  <c r="AP197" i="15" s="1"/>
  <c r="AO198" i="15"/>
  <c r="AP198" i="15" s="1"/>
  <c r="AO187" i="15"/>
  <c r="AP187" i="15" s="1"/>
  <c r="AO188" i="15"/>
  <c r="AP188" i="15" s="1"/>
  <c r="AO189" i="15"/>
  <c r="AP189" i="15" s="1"/>
  <c r="AO190" i="15"/>
  <c r="AP190" i="15" s="1"/>
  <c r="AO191" i="15"/>
  <c r="AP191" i="15" s="1"/>
  <c r="AO196" i="15"/>
  <c r="AP196" i="15" s="1"/>
  <c r="AO192" i="15"/>
  <c r="AP192" i="15" s="1"/>
  <c r="X174" i="16"/>
  <c r="X145" i="19"/>
  <c r="X149" i="19"/>
  <c r="F168" i="19"/>
  <c r="F170" i="19"/>
  <c r="F174" i="19"/>
  <c r="J222" i="19"/>
  <c r="S18" i="19"/>
  <c r="S24" i="19"/>
  <c r="S22" i="19"/>
  <c r="S28" i="19"/>
  <c r="S29" i="19"/>
  <c r="S23" i="19"/>
  <c r="S21" i="19"/>
  <c r="T21" i="19" s="1"/>
  <c r="S25" i="19"/>
  <c r="S26" i="19"/>
  <c r="S20" i="19"/>
  <c r="S27" i="19"/>
  <c r="S19" i="19"/>
  <c r="I123" i="19"/>
  <c r="J123" i="19" s="1"/>
  <c r="I116" i="19"/>
  <c r="J116" i="19" s="1"/>
  <c r="I117" i="19"/>
  <c r="J117" i="19" s="1"/>
  <c r="I121" i="19"/>
  <c r="J121" i="19" s="1"/>
  <c r="I118" i="19"/>
  <c r="J118" i="19" s="1"/>
  <c r="I124" i="19"/>
  <c r="J124" i="19" s="1"/>
  <c r="I126" i="19"/>
  <c r="J126" i="19" s="1"/>
  <c r="I125" i="19"/>
  <c r="J125" i="19" s="1"/>
  <c r="I119" i="19"/>
  <c r="J119" i="19" s="1"/>
  <c r="I122" i="19"/>
  <c r="J122" i="19" s="1"/>
  <c r="I115" i="19"/>
  <c r="J115" i="19" s="1"/>
  <c r="I120" i="19"/>
  <c r="J120" i="19" s="1"/>
  <c r="AA95" i="14"/>
  <c r="AA97" i="14"/>
  <c r="AA93" i="14"/>
  <c r="AA101" i="14"/>
  <c r="AA94" i="14"/>
  <c r="AB94" i="14" s="1"/>
  <c r="AA102" i="14"/>
  <c r="AA96" i="14"/>
  <c r="AA99" i="14"/>
  <c r="AA100" i="14"/>
  <c r="AA91" i="14"/>
  <c r="AA98" i="14"/>
  <c r="AA92" i="14"/>
  <c r="AE166" i="16"/>
  <c r="AE174" i="16"/>
  <c r="AE167" i="16"/>
  <c r="AE168" i="16"/>
  <c r="AE169" i="16"/>
  <c r="AE164" i="16"/>
  <c r="AE170" i="16"/>
  <c r="AE172" i="16"/>
  <c r="AE171" i="16"/>
  <c r="AE165" i="16"/>
  <c r="AE173" i="16"/>
  <c r="AF173" i="16" s="1"/>
  <c r="AE175" i="16"/>
  <c r="P150" i="19"/>
  <c r="P144" i="19"/>
  <c r="P149" i="19"/>
  <c r="P147" i="19"/>
  <c r="AD70" i="16"/>
  <c r="AD77" i="16"/>
  <c r="AD49" i="16"/>
  <c r="AD51" i="16"/>
  <c r="AD50" i="16"/>
  <c r="AD74" i="16"/>
  <c r="AD47" i="16"/>
  <c r="AD44" i="16"/>
  <c r="H71" i="16"/>
  <c r="H74" i="16"/>
  <c r="H76" i="16"/>
  <c r="H70" i="16"/>
  <c r="H77" i="16"/>
  <c r="AK193" i="14"/>
  <c r="AL193" i="14" s="1"/>
  <c r="AK190" i="14"/>
  <c r="AL190" i="14" s="1"/>
  <c r="AK194" i="14"/>
  <c r="AL194" i="14" s="1"/>
  <c r="AK191" i="14"/>
  <c r="AL191" i="14" s="1"/>
  <c r="AK195" i="14"/>
  <c r="AL195" i="14" s="1"/>
  <c r="AK197" i="14"/>
  <c r="AL197" i="14" s="1"/>
  <c r="AK198" i="14"/>
  <c r="AL198" i="14" s="1"/>
  <c r="AK199" i="14"/>
  <c r="AL199" i="14" s="1"/>
  <c r="AK192" i="14"/>
  <c r="AL192" i="14" s="1"/>
  <c r="AK189" i="14"/>
  <c r="AL189" i="14" s="1"/>
  <c r="AK196" i="14"/>
  <c r="AL196" i="14" s="1"/>
  <c r="AK188" i="14"/>
  <c r="AL188" i="14" s="1"/>
  <c r="AI222" i="15"/>
  <c r="AJ222" i="15" s="1"/>
  <c r="AI215" i="15"/>
  <c r="AJ215" i="15" s="1"/>
  <c r="AI221" i="15"/>
  <c r="AJ221" i="15" s="1"/>
  <c r="AI211" i="15"/>
  <c r="AJ211" i="15" s="1"/>
  <c r="AI216" i="15"/>
  <c r="AJ216" i="15" s="1"/>
  <c r="AI217" i="15"/>
  <c r="AJ217" i="15" s="1"/>
  <c r="AI213" i="15"/>
  <c r="AJ213" i="15" s="1"/>
  <c r="AI219" i="15"/>
  <c r="AJ219" i="15" s="1"/>
  <c r="AI212" i="15"/>
  <c r="AJ212" i="15" s="1"/>
  <c r="AI220" i="15"/>
  <c r="AJ220" i="15" s="1"/>
  <c r="AI218" i="15"/>
  <c r="AJ218" i="15" s="1"/>
  <c r="AI214" i="15"/>
  <c r="AJ214" i="15" s="1"/>
  <c r="Z195" i="16"/>
  <c r="Z190" i="16"/>
  <c r="Z189" i="16"/>
  <c r="Z198" i="16"/>
  <c r="Z197" i="16"/>
  <c r="Z191" i="16"/>
  <c r="Q20" i="14"/>
  <c r="H46" i="16"/>
  <c r="H43" i="16"/>
  <c r="J96" i="14"/>
  <c r="Z198" i="19"/>
  <c r="Z197" i="19"/>
  <c r="H47" i="19"/>
  <c r="N219" i="16"/>
  <c r="Z167" i="16"/>
  <c r="X213" i="14"/>
  <c r="AH171" i="19"/>
  <c r="AH168" i="19"/>
  <c r="P142" i="19"/>
  <c r="F171" i="19"/>
  <c r="F164" i="16"/>
  <c r="H140" i="16"/>
  <c r="J217" i="19"/>
  <c r="AD52" i="16"/>
  <c r="Z150" i="19"/>
  <c r="H70" i="19"/>
  <c r="Z120" i="19"/>
  <c r="AE71" i="19"/>
  <c r="AE72" i="19"/>
  <c r="AE73" i="19"/>
  <c r="AE68" i="19"/>
  <c r="AE76" i="19"/>
  <c r="AE69" i="19"/>
  <c r="AE77" i="19"/>
  <c r="AE70" i="19"/>
  <c r="AE74" i="19"/>
  <c r="AE67" i="19"/>
  <c r="AE75" i="19"/>
  <c r="AE66" i="19"/>
  <c r="H92" i="19"/>
  <c r="H102" i="19"/>
  <c r="H93" i="19"/>
  <c r="H96" i="19"/>
  <c r="H94" i="19"/>
  <c r="H91" i="19"/>
  <c r="AD46" i="14"/>
  <c r="F165" i="16"/>
  <c r="T214" i="19"/>
  <c r="T221" i="19"/>
  <c r="T216" i="19"/>
  <c r="T215" i="19"/>
  <c r="T212" i="19"/>
  <c r="T213" i="19"/>
  <c r="M93" i="16"/>
  <c r="M92" i="16"/>
  <c r="M96" i="16"/>
  <c r="M101" i="16"/>
  <c r="M94" i="16"/>
  <c r="N118" i="16" s="1"/>
  <c r="M97" i="16"/>
  <c r="M95" i="16"/>
  <c r="M98" i="16"/>
  <c r="M99" i="16"/>
  <c r="M100" i="16"/>
  <c r="M91" i="16"/>
  <c r="M102" i="16"/>
  <c r="P223" i="19"/>
  <c r="Y21" i="15"/>
  <c r="Y25" i="15"/>
  <c r="Y27" i="15"/>
  <c r="Y19" i="15"/>
  <c r="Y28" i="15"/>
  <c r="Y26" i="15"/>
  <c r="Y20" i="15"/>
  <c r="Y24" i="15"/>
  <c r="Y18" i="15"/>
  <c r="Y22" i="15"/>
  <c r="Y29" i="15"/>
  <c r="Y23" i="15"/>
  <c r="Q120" i="15"/>
  <c r="Q117" i="15"/>
  <c r="Q114" i="15"/>
  <c r="Q125" i="15"/>
  <c r="Q119" i="15"/>
  <c r="Q122" i="15"/>
  <c r="Q121" i="15"/>
  <c r="Q123" i="15"/>
  <c r="Q115" i="15"/>
  <c r="Q116" i="15"/>
  <c r="Q124" i="15"/>
  <c r="Q118" i="15"/>
  <c r="E142" i="14"/>
  <c r="E150" i="14"/>
  <c r="E144" i="14"/>
  <c r="E143" i="14"/>
  <c r="F143" i="14" s="1"/>
  <c r="E148" i="14"/>
  <c r="E145" i="14"/>
  <c r="E140" i="14"/>
  <c r="E146" i="14"/>
  <c r="E151" i="14"/>
  <c r="E147" i="14"/>
  <c r="E141" i="14"/>
  <c r="E149" i="14"/>
  <c r="F149" i="14" s="1"/>
  <c r="AD69" i="16"/>
  <c r="Q92" i="15"/>
  <c r="Q93" i="15"/>
  <c r="Q94" i="15"/>
  <c r="Q91" i="15"/>
  <c r="Q98" i="15"/>
  <c r="Q99" i="15"/>
  <c r="Q100" i="15"/>
  <c r="Q95" i="15"/>
  <c r="Q101" i="15"/>
  <c r="Q90" i="15"/>
  <c r="R90" i="15" s="1"/>
  <c r="Q96" i="15"/>
  <c r="Q97" i="15"/>
  <c r="AD100" i="16"/>
  <c r="J45" i="16"/>
  <c r="J43" i="16"/>
  <c r="AG92" i="16"/>
  <c r="AG95" i="16"/>
  <c r="AG101" i="16"/>
  <c r="AG94" i="16"/>
  <c r="AH116" i="16" s="1"/>
  <c r="AG102" i="16"/>
  <c r="AG96" i="16"/>
  <c r="AG91" i="16"/>
  <c r="AG97" i="16"/>
  <c r="AG98" i="16"/>
  <c r="AG99" i="16"/>
  <c r="AG93" i="16"/>
  <c r="AG100" i="16"/>
  <c r="AH100" i="16" s="1"/>
  <c r="AD74" i="14"/>
  <c r="K197" i="16"/>
  <c r="K198" i="16"/>
  <c r="K199" i="16"/>
  <c r="K189" i="16"/>
  <c r="K196" i="16"/>
  <c r="K190" i="16"/>
  <c r="K192" i="16"/>
  <c r="K191" i="16"/>
  <c r="L191" i="16" s="1"/>
  <c r="K188" i="16"/>
  <c r="K195" i="16"/>
  <c r="K193" i="16"/>
  <c r="K194" i="16"/>
  <c r="H119" i="15"/>
  <c r="P123" i="14"/>
  <c r="P117" i="14"/>
  <c r="X47" i="19"/>
  <c r="X49" i="19"/>
  <c r="X51" i="19"/>
  <c r="X42" i="19"/>
  <c r="X50" i="19"/>
  <c r="X44" i="19"/>
  <c r="X52" i="19"/>
  <c r="P148" i="19"/>
  <c r="P141" i="19"/>
  <c r="AD42" i="16"/>
  <c r="AK194" i="15"/>
  <c r="AL194" i="15" s="1"/>
  <c r="AK189" i="15"/>
  <c r="AL189" i="15" s="1"/>
  <c r="AK190" i="15"/>
  <c r="AL190" i="15" s="1"/>
  <c r="AK191" i="15"/>
  <c r="AL191" i="15" s="1"/>
  <c r="AK188" i="15"/>
  <c r="AL188" i="15" s="1"/>
  <c r="AK195" i="15"/>
  <c r="AL195" i="15" s="1"/>
  <c r="AK196" i="15"/>
  <c r="AL196" i="15" s="1"/>
  <c r="AK197" i="15"/>
  <c r="AL197" i="15" s="1"/>
  <c r="AK192" i="15"/>
  <c r="AL192" i="15" s="1"/>
  <c r="AK193" i="15"/>
  <c r="AK187" i="15"/>
  <c r="AL187" i="15" s="1"/>
  <c r="AK198" i="15"/>
  <c r="AL198" i="15" s="1"/>
  <c r="AI219" i="14"/>
  <c r="AJ219" i="14" s="1"/>
  <c r="AI212" i="14"/>
  <c r="AJ212" i="14" s="1"/>
  <c r="AI220" i="14"/>
  <c r="AJ220" i="14" s="1"/>
  <c r="AI221" i="14"/>
  <c r="AJ221" i="14" s="1"/>
  <c r="AI214" i="14"/>
  <c r="AJ214" i="14" s="1"/>
  <c r="AI213" i="14"/>
  <c r="AJ213" i="14" s="1"/>
  <c r="AI222" i="14"/>
  <c r="AJ222" i="14" s="1"/>
  <c r="AI217" i="14"/>
  <c r="AJ217" i="14" s="1"/>
  <c r="AI215" i="14"/>
  <c r="AJ215" i="14" s="1"/>
  <c r="AI218" i="14"/>
  <c r="AJ218" i="14" s="1"/>
  <c r="AI223" i="14"/>
  <c r="AJ223" i="14" s="1"/>
  <c r="AI216" i="14"/>
  <c r="AJ216" i="14" s="1"/>
  <c r="H48" i="16"/>
  <c r="H50" i="16"/>
  <c r="Z193" i="19"/>
  <c r="Z189" i="19"/>
  <c r="H42" i="19"/>
  <c r="N215" i="16"/>
  <c r="N218" i="16"/>
  <c r="Z168" i="16"/>
  <c r="X219" i="14"/>
  <c r="AH166" i="19"/>
  <c r="AH175" i="19"/>
  <c r="H144" i="19"/>
  <c r="X44" i="16"/>
  <c r="H149" i="16"/>
  <c r="AD46" i="16"/>
  <c r="Z146" i="19"/>
  <c r="H73" i="16"/>
  <c r="H141" i="19"/>
  <c r="Y212" i="15"/>
  <c r="Y211" i="15"/>
  <c r="Y220" i="15"/>
  <c r="Y213" i="15"/>
  <c r="Y221" i="15"/>
  <c r="Y215" i="15"/>
  <c r="Y216" i="15"/>
  <c r="Y214" i="15"/>
  <c r="Y217" i="15"/>
  <c r="Y218" i="15"/>
  <c r="Y222" i="15"/>
  <c r="Y219" i="15"/>
  <c r="AD26" i="14"/>
  <c r="AD25" i="14"/>
  <c r="AD23" i="14"/>
  <c r="AD18" i="14"/>
  <c r="AD22" i="14"/>
  <c r="AD29" i="14"/>
  <c r="AD24" i="14"/>
  <c r="AD21" i="14"/>
  <c r="AE21" i="14" s="1"/>
  <c r="AD19" i="14"/>
  <c r="AD28" i="14"/>
  <c r="J28" i="14"/>
  <c r="K28" i="14" s="1"/>
  <c r="AD27" i="14"/>
  <c r="AD20" i="14"/>
  <c r="M97" i="19"/>
  <c r="M91" i="19"/>
  <c r="M99" i="19"/>
  <c r="M94" i="19"/>
  <c r="M102" i="19"/>
  <c r="M95" i="19"/>
  <c r="M92" i="19"/>
  <c r="M100" i="19"/>
  <c r="M98" i="19"/>
  <c r="M96" i="19"/>
  <c r="M93" i="19"/>
  <c r="M101" i="19"/>
  <c r="N101" i="19" s="1"/>
  <c r="P218" i="19"/>
  <c r="P222" i="19"/>
  <c r="P219" i="19"/>
  <c r="Y27" i="19"/>
  <c r="Y19" i="19"/>
  <c r="Y28" i="19"/>
  <c r="Y25" i="19"/>
  <c r="Y21" i="19"/>
  <c r="Z21" i="19" s="1"/>
  <c r="Y29" i="19"/>
  <c r="Y24" i="19"/>
  <c r="Y22" i="19"/>
  <c r="Y18" i="19"/>
  <c r="Y20" i="19"/>
  <c r="Y23" i="19"/>
  <c r="Y26" i="19"/>
  <c r="Q121" i="16"/>
  <c r="Q120" i="16"/>
  <c r="Q126" i="16"/>
  <c r="Q119" i="16"/>
  <c r="Q118" i="16"/>
  <c r="Q117" i="16"/>
  <c r="Q124" i="16"/>
  <c r="Q125" i="16"/>
  <c r="Q115" i="16"/>
  <c r="Q116" i="16"/>
  <c r="Q122" i="16"/>
  <c r="Q123" i="16"/>
  <c r="E147" i="15"/>
  <c r="E141" i="15"/>
  <c r="E139" i="15"/>
  <c r="E140" i="15"/>
  <c r="E149" i="15"/>
  <c r="E148" i="15"/>
  <c r="E142" i="15"/>
  <c r="E150" i="15"/>
  <c r="E144" i="15"/>
  <c r="E146" i="15"/>
  <c r="E143" i="15"/>
  <c r="E145" i="15"/>
  <c r="H96" i="16"/>
  <c r="H119" i="16"/>
  <c r="Z77" i="16"/>
  <c r="Q214" i="19"/>
  <c r="Q215" i="19"/>
  <c r="R215" i="19" s="1"/>
  <c r="Q223" i="19"/>
  <c r="Q219" i="19"/>
  <c r="Q216" i="19"/>
  <c r="Q220" i="19"/>
  <c r="Q212" i="19"/>
  <c r="Q213" i="19"/>
  <c r="Q221" i="19"/>
  <c r="Q217" i="19"/>
  <c r="R217" i="19" s="1"/>
  <c r="Q222" i="19"/>
  <c r="Q218" i="19"/>
  <c r="AE199" i="14"/>
  <c r="AE188" i="14"/>
  <c r="AE192" i="14"/>
  <c r="AE189" i="14"/>
  <c r="AE193" i="14"/>
  <c r="AE197" i="14"/>
  <c r="AE194" i="14"/>
  <c r="AE190" i="14"/>
  <c r="AE198" i="14"/>
  <c r="AE191" i="14"/>
  <c r="AF191" i="14" s="1"/>
  <c r="AE196" i="14"/>
  <c r="AE195" i="14"/>
  <c r="V144" i="14"/>
  <c r="AK147" i="15"/>
  <c r="AL147" i="15" s="1"/>
  <c r="AK141" i="15"/>
  <c r="AL141" i="15" s="1"/>
  <c r="AK148" i="15"/>
  <c r="AL148" i="15" s="1"/>
  <c r="AK142" i="15"/>
  <c r="AL142" i="15" s="1"/>
  <c r="AK150" i="15"/>
  <c r="AL150" i="15" s="1"/>
  <c r="AK143" i="15"/>
  <c r="AL143" i="15" s="1"/>
  <c r="AK139" i="15"/>
  <c r="AL139" i="15" s="1"/>
  <c r="AK144" i="15"/>
  <c r="AL144" i="15" s="1"/>
  <c r="AK149" i="15"/>
  <c r="AL149" i="15" s="1"/>
  <c r="AK146" i="15"/>
  <c r="AL146" i="15" s="1"/>
  <c r="AK140" i="15"/>
  <c r="AL140" i="15" s="1"/>
  <c r="AK145" i="15"/>
  <c r="AL145" i="15" s="1"/>
  <c r="O70" i="15"/>
  <c r="O67" i="15"/>
  <c r="O74" i="15"/>
  <c r="O75" i="15"/>
  <c r="O76" i="15"/>
  <c r="O71" i="15"/>
  <c r="O77" i="15"/>
  <c r="O72" i="15"/>
  <c r="O66" i="15"/>
  <c r="O73" i="15"/>
  <c r="O68" i="15"/>
  <c r="O69" i="15"/>
  <c r="H141" i="14"/>
  <c r="H69" i="19"/>
  <c r="H73" i="19"/>
  <c r="U68" i="16"/>
  <c r="V68" i="16" s="1"/>
  <c r="U74" i="16"/>
  <c r="V74" i="16" s="1"/>
  <c r="U76" i="16"/>
  <c r="V76" i="16" s="1"/>
  <c r="U75" i="16"/>
  <c r="V75" i="16" s="1"/>
  <c r="U69" i="16"/>
  <c r="V69" i="16" s="1"/>
  <c r="U77" i="16"/>
  <c r="V77" i="16" s="1"/>
  <c r="U70" i="16"/>
  <c r="V70" i="16" s="1"/>
  <c r="U66" i="16"/>
  <c r="V66" i="16" s="1"/>
  <c r="U67" i="16"/>
  <c r="V67" i="16" s="1"/>
  <c r="U72" i="16"/>
  <c r="V72" i="16" s="1"/>
  <c r="U73" i="16"/>
  <c r="V73" i="16" s="1"/>
  <c r="U71" i="16"/>
  <c r="V71" i="16" s="1"/>
  <c r="AF22" i="14"/>
  <c r="AF23" i="14"/>
  <c r="AF21" i="14"/>
  <c r="AF28" i="14"/>
  <c r="AF20" i="14"/>
  <c r="AF29" i="14"/>
  <c r="AF27" i="14"/>
  <c r="AF19" i="14"/>
  <c r="AF26" i="14"/>
  <c r="J29" i="14"/>
  <c r="K29" i="14" s="1"/>
  <c r="AF25" i="14"/>
  <c r="AG25" i="14" s="1"/>
  <c r="AF18" i="14"/>
  <c r="AF24" i="14"/>
  <c r="V24" i="14"/>
  <c r="V25" i="14"/>
  <c r="V19" i="14"/>
  <c r="V27" i="14"/>
  <c r="J24" i="14"/>
  <c r="K24" i="14" s="1"/>
  <c r="V23" i="14"/>
  <c r="V18" i="14"/>
  <c r="V20" i="14"/>
  <c r="V22" i="14"/>
  <c r="V26" i="14"/>
  <c r="V29" i="14"/>
  <c r="V21" i="14"/>
  <c r="W21" i="14" s="1"/>
  <c r="V28" i="14"/>
  <c r="AG44" i="19"/>
  <c r="AG48" i="19"/>
  <c r="AG47" i="19"/>
  <c r="AG46" i="19"/>
  <c r="AG51" i="19"/>
  <c r="AG42" i="19"/>
  <c r="AG45" i="19"/>
  <c r="AG53" i="19"/>
  <c r="AG49" i="19"/>
  <c r="AG50" i="19"/>
  <c r="AG43" i="19"/>
  <c r="AG52" i="19"/>
  <c r="AG218" i="16"/>
  <c r="AG219" i="16"/>
  <c r="AG213" i="16"/>
  <c r="AG220" i="16"/>
  <c r="AG221" i="16"/>
  <c r="AG212" i="16"/>
  <c r="AG214" i="16"/>
  <c r="AG222" i="16"/>
  <c r="AG215" i="16"/>
  <c r="AH215" i="16" s="1"/>
  <c r="AG217" i="16"/>
  <c r="AG216" i="16"/>
  <c r="AG223" i="16"/>
  <c r="H121" i="19"/>
  <c r="H119" i="19"/>
  <c r="R141" i="14"/>
  <c r="R151" i="14"/>
  <c r="R144" i="14"/>
  <c r="V212" i="14"/>
  <c r="V216" i="14"/>
  <c r="AK102" i="14"/>
  <c r="AL102" i="14" s="1"/>
  <c r="AK96" i="14"/>
  <c r="AL96" i="14" s="1"/>
  <c r="AK97" i="14"/>
  <c r="AL97" i="14" s="1"/>
  <c r="AK91" i="14"/>
  <c r="AL91" i="14" s="1"/>
  <c r="AK95" i="14"/>
  <c r="AL95" i="14" s="1"/>
  <c r="AK98" i="14"/>
  <c r="AL98" i="14" s="1"/>
  <c r="AK92" i="14"/>
  <c r="AL92" i="14" s="1"/>
  <c r="AK100" i="14"/>
  <c r="AL100" i="14" s="1"/>
  <c r="AK94" i="14"/>
  <c r="AL94" i="14" s="1"/>
  <c r="AK99" i="14"/>
  <c r="AL99" i="14" s="1"/>
  <c r="AK93" i="14"/>
  <c r="AL93" i="14" s="1"/>
  <c r="AK101" i="14"/>
  <c r="AL101" i="14" s="1"/>
  <c r="X150" i="14"/>
  <c r="X143" i="14"/>
  <c r="X151" i="14"/>
  <c r="X149" i="14"/>
  <c r="X140" i="14"/>
  <c r="J222" i="14"/>
  <c r="M25" i="14"/>
  <c r="M27" i="14"/>
  <c r="M19" i="14"/>
  <c r="AO120" i="14"/>
  <c r="AP120" i="14" s="1"/>
  <c r="AO123" i="14"/>
  <c r="AP123" i="14" s="1"/>
  <c r="AO116" i="14"/>
  <c r="AP116" i="14" s="1"/>
  <c r="AO122" i="14"/>
  <c r="AP122" i="14" s="1"/>
  <c r="AO124" i="14"/>
  <c r="AP124" i="14" s="1"/>
  <c r="AO117" i="14"/>
  <c r="AP117" i="14" s="1"/>
  <c r="AO115" i="14"/>
  <c r="AP115" i="14" s="1"/>
  <c r="AO125" i="14"/>
  <c r="AP125" i="14" s="1"/>
  <c r="AO121" i="14"/>
  <c r="AP121" i="14" s="1"/>
  <c r="AO118" i="14"/>
  <c r="AP118" i="14" s="1"/>
  <c r="AO119" i="14"/>
  <c r="AP119" i="14" s="1"/>
  <c r="AO126" i="14"/>
  <c r="AP126" i="14" s="1"/>
  <c r="Q46" i="14"/>
  <c r="Q47" i="14"/>
  <c r="Q52" i="14"/>
  <c r="Q44" i="14"/>
  <c r="Q51" i="14"/>
  <c r="Q43" i="14"/>
  <c r="Q53" i="14"/>
  <c r="Q50" i="14"/>
  <c r="Q45" i="14"/>
  <c r="Q48" i="14"/>
  <c r="Q42" i="14"/>
  <c r="Q49" i="14"/>
  <c r="AA220" i="14"/>
  <c r="AA221" i="14"/>
  <c r="AA217" i="14"/>
  <c r="AA214" i="14"/>
  <c r="AA218" i="14"/>
  <c r="AA222" i="14"/>
  <c r="AA219" i="14"/>
  <c r="AA215" i="14"/>
  <c r="AB215" i="14" s="1"/>
  <c r="AA223" i="14"/>
  <c r="AA216" i="14"/>
  <c r="AA212" i="14"/>
  <c r="AA213" i="14"/>
  <c r="AG142" i="15"/>
  <c r="AG147" i="15"/>
  <c r="AG150" i="15"/>
  <c r="AG143" i="15"/>
  <c r="AG139" i="15"/>
  <c r="AG145" i="15"/>
  <c r="AG140" i="15"/>
  <c r="AG148" i="15"/>
  <c r="AG144" i="15"/>
  <c r="AG149" i="15"/>
  <c r="AG146" i="15"/>
  <c r="AG141" i="15"/>
  <c r="Q19" i="14"/>
  <c r="J95" i="14"/>
  <c r="Z196" i="19"/>
  <c r="N217" i="16"/>
  <c r="Z166" i="16"/>
  <c r="X220" i="14"/>
  <c r="X218" i="14"/>
  <c r="AH173" i="19"/>
  <c r="AH167" i="19"/>
  <c r="P140" i="19"/>
  <c r="X47" i="16"/>
  <c r="N148" i="16"/>
  <c r="H143" i="16"/>
  <c r="X167" i="14"/>
  <c r="X164" i="16"/>
  <c r="AD43" i="16"/>
  <c r="AD68" i="16"/>
  <c r="H72" i="16"/>
  <c r="S119" i="14"/>
  <c r="T119" i="14" s="1"/>
  <c r="S115" i="14"/>
  <c r="T115" i="14" s="1"/>
  <c r="S125" i="14"/>
  <c r="T125" i="14" s="1"/>
  <c r="S120" i="14"/>
  <c r="T120" i="14" s="1"/>
  <c r="S121" i="14"/>
  <c r="T121" i="14" s="1"/>
  <c r="S118" i="14"/>
  <c r="T118" i="14" s="1"/>
  <c r="S122" i="14"/>
  <c r="T122" i="14" s="1"/>
  <c r="S116" i="14"/>
  <c r="T116" i="14" s="1"/>
  <c r="S126" i="14"/>
  <c r="T126" i="14" s="1"/>
  <c r="S123" i="14"/>
  <c r="T123" i="14" s="1"/>
  <c r="S124" i="14"/>
  <c r="T124" i="14" s="1"/>
  <c r="S117" i="14"/>
  <c r="T117" i="14" s="1"/>
  <c r="AG22" i="16"/>
  <c r="AG21" i="16"/>
  <c r="AH21" i="16" s="1"/>
  <c r="AG29" i="16"/>
  <c r="AG27" i="16"/>
  <c r="AG19" i="16"/>
  <c r="AG28" i="16"/>
  <c r="AG20" i="16"/>
  <c r="AG26" i="16"/>
  <c r="AG25" i="16"/>
  <c r="AG23" i="16"/>
  <c r="AH23" i="16" s="1"/>
  <c r="AG24" i="16"/>
  <c r="AG18" i="16"/>
  <c r="V215" i="19"/>
  <c r="V220" i="19"/>
  <c r="V214" i="19"/>
  <c r="V216" i="19"/>
  <c r="X169" i="14"/>
  <c r="F165" i="14"/>
  <c r="P199" i="19"/>
  <c r="P192" i="19"/>
  <c r="P188" i="19"/>
  <c r="P193" i="19"/>
  <c r="H198" i="14"/>
  <c r="H196" i="14"/>
  <c r="H199" i="14"/>
  <c r="H192" i="14"/>
  <c r="H166" i="16"/>
  <c r="O50" i="14"/>
  <c r="O49" i="14"/>
  <c r="O51" i="14"/>
  <c r="O48" i="14"/>
  <c r="O47" i="14"/>
  <c r="O43" i="14"/>
  <c r="O42" i="14"/>
  <c r="O44" i="14"/>
  <c r="O53" i="14"/>
  <c r="O46" i="14"/>
  <c r="O52" i="14"/>
  <c r="O45" i="14"/>
  <c r="P45" i="14" s="1"/>
  <c r="K117" i="14"/>
  <c r="L117" i="14" s="1"/>
  <c r="K115" i="14"/>
  <c r="L115" i="14" s="1"/>
  <c r="K119" i="14"/>
  <c r="L119" i="14" s="1"/>
  <c r="K118" i="14"/>
  <c r="L118" i="14" s="1"/>
  <c r="K125" i="14"/>
  <c r="L125" i="14" s="1"/>
  <c r="K123" i="14"/>
  <c r="L123" i="14" s="1"/>
  <c r="K120" i="14"/>
  <c r="L120" i="14" s="1"/>
  <c r="K121" i="14"/>
  <c r="L121" i="14" s="1"/>
  <c r="K122" i="14"/>
  <c r="L122" i="14" s="1"/>
  <c r="K116" i="14"/>
  <c r="L116" i="14" s="1"/>
  <c r="K124" i="14"/>
  <c r="L124" i="14" s="1"/>
  <c r="K126" i="14"/>
  <c r="L126" i="14" s="1"/>
  <c r="Q95" i="14"/>
  <c r="Q92" i="14"/>
  <c r="Q100" i="14"/>
  <c r="Q91" i="14"/>
  <c r="Q102" i="14"/>
  <c r="Q93" i="14"/>
  <c r="Q96" i="14"/>
  <c r="Q94" i="14"/>
  <c r="Q97" i="14"/>
  <c r="Q98" i="14"/>
  <c r="Q99" i="14"/>
  <c r="Q101" i="14"/>
  <c r="W117" i="14"/>
  <c r="X117" i="14" s="1"/>
  <c r="W119" i="14"/>
  <c r="X119" i="14" s="1"/>
  <c r="W120" i="14"/>
  <c r="X120" i="14" s="1"/>
  <c r="W115" i="14"/>
  <c r="X115" i="14" s="1"/>
  <c r="W121" i="14"/>
  <c r="X121" i="14" s="1"/>
  <c r="W126" i="14"/>
  <c r="X126" i="14" s="1"/>
  <c r="W122" i="14"/>
  <c r="X122" i="14" s="1"/>
  <c r="W124" i="14"/>
  <c r="X124" i="14" s="1"/>
  <c r="W123" i="14"/>
  <c r="X123" i="14" s="1"/>
  <c r="W118" i="14"/>
  <c r="X118" i="14" s="1"/>
  <c r="W125" i="14"/>
  <c r="X125" i="14" s="1"/>
  <c r="W116" i="14"/>
  <c r="X116" i="14" s="1"/>
  <c r="AM198" i="15"/>
  <c r="AN198" i="15" s="1"/>
  <c r="AM191" i="15"/>
  <c r="AN191" i="15" s="1"/>
  <c r="AM192" i="15"/>
  <c r="AN192" i="15" s="1"/>
  <c r="AM193" i="15"/>
  <c r="AN193" i="15" s="1"/>
  <c r="AM188" i="15"/>
  <c r="AN188" i="15" s="1"/>
  <c r="AM194" i="15"/>
  <c r="AN194" i="15" s="1"/>
  <c r="AM196" i="15"/>
  <c r="AN196" i="15" s="1"/>
  <c r="AM195" i="15"/>
  <c r="AN195" i="15" s="1"/>
  <c r="AM189" i="15"/>
  <c r="AN189" i="15" s="1"/>
  <c r="AM187" i="15"/>
  <c r="AN187" i="15" s="1"/>
  <c r="AM197" i="15"/>
  <c r="AN197" i="15" s="1"/>
  <c r="AM190" i="15"/>
  <c r="AN190" i="15" s="1"/>
  <c r="AD94" i="16"/>
  <c r="AD95" i="16"/>
  <c r="AD96" i="16"/>
  <c r="AD91" i="16"/>
  <c r="AD101" i="16"/>
  <c r="AD93" i="16"/>
  <c r="AD98" i="16"/>
  <c r="H116" i="19"/>
  <c r="H118" i="19"/>
  <c r="Z75" i="19"/>
  <c r="Z70" i="19"/>
  <c r="Z77" i="19"/>
  <c r="Z66" i="19"/>
  <c r="Z71" i="19"/>
  <c r="R150" i="14"/>
  <c r="R149" i="14"/>
  <c r="AK92" i="15"/>
  <c r="AL92" i="15" s="1"/>
  <c r="AK90" i="15"/>
  <c r="AL90" i="15" s="1"/>
  <c r="AK94" i="15"/>
  <c r="AL94" i="15" s="1"/>
  <c r="AK95" i="15"/>
  <c r="AL95" i="15" s="1"/>
  <c r="AK96" i="15"/>
  <c r="AL96" i="15" s="1"/>
  <c r="AK97" i="15"/>
  <c r="AL97" i="15" s="1"/>
  <c r="AK98" i="15"/>
  <c r="AL98" i="15" s="1"/>
  <c r="AK91" i="15"/>
  <c r="AL91" i="15" s="1"/>
  <c r="AK99" i="15"/>
  <c r="AL99" i="15" s="1"/>
  <c r="AK100" i="15"/>
  <c r="AL100" i="15" s="1"/>
  <c r="AK93" i="15"/>
  <c r="AL93" i="15" s="1"/>
  <c r="AK101" i="15"/>
  <c r="AL101" i="15" s="1"/>
  <c r="J223" i="14"/>
  <c r="J214" i="14"/>
  <c r="J215" i="14"/>
  <c r="J218" i="14"/>
  <c r="J221" i="14"/>
  <c r="AO115" i="19"/>
  <c r="AP115" i="19" s="1"/>
  <c r="AO120" i="19"/>
  <c r="AP120" i="19" s="1"/>
  <c r="AO116" i="19"/>
  <c r="AP116" i="19" s="1"/>
  <c r="AO117" i="19"/>
  <c r="AP117" i="19" s="1"/>
  <c r="AO121" i="19"/>
  <c r="AP121" i="19" s="1"/>
  <c r="AO118" i="19"/>
  <c r="AP118" i="19" s="1"/>
  <c r="AO124" i="19"/>
  <c r="AP124" i="19" s="1"/>
  <c r="AO122" i="19"/>
  <c r="AP122" i="19" s="1"/>
  <c r="AO126" i="19"/>
  <c r="AP126" i="19" s="1"/>
  <c r="AO123" i="19"/>
  <c r="AP123" i="19" s="1"/>
  <c r="AO119" i="19"/>
  <c r="AP119" i="19" s="1"/>
  <c r="AO125" i="19"/>
  <c r="AP125" i="19" s="1"/>
  <c r="Q53" i="15"/>
  <c r="Q42" i="15"/>
  <c r="Q51" i="15"/>
  <c r="Q44" i="15"/>
  <c r="Q46" i="15"/>
  <c r="Q45" i="15"/>
  <c r="R75" i="15" s="1"/>
  <c r="Q52" i="15"/>
  <c r="Q47" i="15"/>
  <c r="Q49" i="15"/>
  <c r="Q50" i="15"/>
  <c r="Q43" i="15"/>
  <c r="Q48" i="15"/>
  <c r="AA219" i="16"/>
  <c r="AA220" i="16"/>
  <c r="AA223" i="16"/>
  <c r="AA213" i="16"/>
  <c r="AA212" i="16"/>
  <c r="AA214" i="16"/>
  <c r="AA216" i="16"/>
  <c r="AA222" i="16"/>
  <c r="AA221" i="16"/>
  <c r="AA217" i="16"/>
  <c r="AA218" i="16"/>
  <c r="AA215" i="16"/>
  <c r="AB215" i="16" s="1"/>
  <c r="AG146" i="14"/>
  <c r="AG147" i="14"/>
  <c r="AG150" i="14"/>
  <c r="AG148" i="14"/>
  <c r="AG144" i="14"/>
  <c r="AG141" i="14"/>
  <c r="AG151" i="14"/>
  <c r="AG149" i="14"/>
  <c r="AG140" i="14"/>
  <c r="AG143" i="14"/>
  <c r="AH143" i="14" s="1"/>
  <c r="AG142" i="14"/>
  <c r="AG145" i="14"/>
  <c r="Q165" i="19"/>
  <c r="Q169" i="19"/>
  <c r="Q166" i="19"/>
  <c r="Q171" i="19"/>
  <c r="Q174" i="19"/>
  <c r="Q172" i="19"/>
  <c r="Q167" i="19"/>
  <c r="R167" i="19" s="1"/>
  <c r="Q175" i="19"/>
  <c r="Q168" i="19"/>
  <c r="Q173" i="19"/>
  <c r="Q164" i="19"/>
  <c r="Q170" i="19"/>
  <c r="H77" i="19"/>
  <c r="H68" i="19"/>
  <c r="H66" i="19"/>
  <c r="H74" i="19"/>
  <c r="H71" i="19"/>
  <c r="AK220" i="19"/>
  <c r="AL220" i="19" s="1"/>
  <c r="AK212" i="19"/>
  <c r="AL212" i="19" s="1"/>
  <c r="AK221" i="19"/>
  <c r="AL221" i="19" s="1"/>
  <c r="AK218" i="19"/>
  <c r="AL218" i="19" s="1"/>
  <c r="AK214" i="19"/>
  <c r="AL214" i="19" s="1"/>
  <c r="AK222" i="19"/>
  <c r="AL222" i="19" s="1"/>
  <c r="AK215" i="19"/>
  <c r="AL215" i="19" s="1"/>
  <c r="AK217" i="19"/>
  <c r="AL217" i="19" s="1"/>
  <c r="AK219" i="19"/>
  <c r="AL219" i="19" s="1"/>
  <c r="AK213" i="19"/>
  <c r="AL213" i="19" s="1"/>
  <c r="AK223" i="19"/>
  <c r="AL223" i="19" s="1"/>
  <c r="AK216" i="19"/>
  <c r="AL216" i="19" s="1"/>
  <c r="Q26" i="14"/>
  <c r="H53" i="16"/>
  <c r="J93" i="14"/>
  <c r="H43" i="19"/>
  <c r="H53" i="19"/>
  <c r="N220" i="16"/>
  <c r="X215" i="14"/>
  <c r="P146" i="19"/>
  <c r="X45" i="16"/>
  <c r="N147" i="16"/>
  <c r="X174" i="14"/>
  <c r="AD45" i="16"/>
  <c r="Z145" i="19"/>
  <c r="AD67" i="16"/>
  <c r="X42" i="16"/>
  <c r="X43" i="16"/>
  <c r="H145" i="16"/>
  <c r="N149" i="16"/>
  <c r="X151" i="19"/>
  <c r="H121" i="16"/>
  <c r="H94" i="16"/>
  <c r="H95" i="16"/>
  <c r="H92" i="16"/>
  <c r="H99" i="16"/>
  <c r="F164" i="19"/>
  <c r="J213" i="19"/>
  <c r="T22" i="14"/>
  <c r="T21" i="14"/>
  <c r="U21" i="14" s="1"/>
  <c r="T29" i="14"/>
  <c r="T23" i="14"/>
  <c r="T28" i="14"/>
  <c r="T20" i="14"/>
  <c r="T27" i="14"/>
  <c r="J23" i="14"/>
  <c r="K23" i="14" s="1"/>
  <c r="T19" i="14"/>
  <c r="T26" i="14"/>
  <c r="U26" i="14" s="1"/>
  <c r="T18" i="14"/>
  <c r="T25" i="14"/>
  <c r="T24" i="14"/>
  <c r="I72" i="19"/>
  <c r="I76" i="19"/>
  <c r="I77" i="19"/>
  <c r="I75" i="19"/>
  <c r="I70" i="19"/>
  <c r="I66" i="19"/>
  <c r="J66" i="19" s="1"/>
  <c r="I71" i="19"/>
  <c r="I68" i="19"/>
  <c r="I74" i="19"/>
  <c r="I67" i="19"/>
  <c r="I69" i="19"/>
  <c r="I73" i="19"/>
  <c r="AG192" i="15"/>
  <c r="AG191" i="15"/>
  <c r="AG193" i="15"/>
  <c r="AG195" i="15"/>
  <c r="AG194" i="15"/>
  <c r="AG197" i="15"/>
  <c r="AG187" i="15"/>
  <c r="AG189" i="15"/>
  <c r="AG190" i="15"/>
  <c r="AG188" i="15"/>
  <c r="AG196" i="15"/>
  <c r="AG198" i="15"/>
  <c r="H123" i="16"/>
  <c r="Q215" i="16"/>
  <c r="R215" i="16" s="1"/>
  <c r="Q223" i="16"/>
  <c r="Q218" i="16"/>
  <c r="Q219" i="16"/>
  <c r="Q217" i="16"/>
  <c r="Q220" i="16"/>
  <c r="Q213" i="16"/>
  <c r="Q212" i="16"/>
  <c r="Q221" i="16"/>
  <c r="Q216" i="16"/>
  <c r="Q214" i="16"/>
  <c r="Q222" i="16"/>
  <c r="AE197" i="15"/>
  <c r="AE190" i="15"/>
  <c r="AE198" i="15"/>
  <c r="AE191" i="15"/>
  <c r="AE188" i="15"/>
  <c r="AE194" i="15"/>
  <c r="AE195" i="15"/>
  <c r="AE187" i="15"/>
  <c r="AE192" i="15"/>
  <c r="AE196" i="15"/>
  <c r="AF196" i="15" s="1"/>
  <c r="AE189" i="15"/>
  <c r="AE193" i="15"/>
  <c r="V140" i="14"/>
  <c r="AE44" i="19"/>
  <c r="AE52" i="19"/>
  <c r="AE48" i="19"/>
  <c r="AE49" i="19"/>
  <c r="AE45" i="19"/>
  <c r="AF45" i="19" s="1"/>
  <c r="AE43" i="19"/>
  <c r="AE53" i="19"/>
  <c r="AE46" i="19"/>
  <c r="AE42" i="19"/>
  <c r="AE47" i="19"/>
  <c r="AE51" i="19"/>
  <c r="AE50" i="19"/>
  <c r="O70" i="19"/>
  <c r="O68" i="19"/>
  <c r="O72" i="19"/>
  <c r="O71" i="19"/>
  <c r="O77" i="19"/>
  <c r="O73" i="19"/>
  <c r="O74" i="19"/>
  <c r="O67" i="19"/>
  <c r="O75" i="19"/>
  <c r="O69" i="19"/>
  <c r="O66" i="19"/>
  <c r="O76" i="19"/>
  <c r="H140" i="14"/>
  <c r="N141" i="14"/>
  <c r="N150" i="14"/>
  <c r="N147" i="14"/>
  <c r="N143" i="14"/>
  <c r="N149" i="14"/>
  <c r="N151" i="14"/>
  <c r="N148" i="14"/>
  <c r="H75" i="19"/>
  <c r="U70" i="19"/>
  <c r="V70" i="19" s="1"/>
  <c r="U77" i="19"/>
  <c r="V77" i="19" s="1"/>
  <c r="U76" i="19"/>
  <c r="V76" i="19" s="1"/>
  <c r="U73" i="19"/>
  <c r="V73" i="19" s="1"/>
  <c r="U74" i="19"/>
  <c r="V74" i="19" s="1"/>
  <c r="U67" i="19"/>
  <c r="V67" i="19" s="1"/>
  <c r="U66" i="19"/>
  <c r="V66" i="19" s="1"/>
  <c r="U68" i="19"/>
  <c r="V68" i="19" s="1"/>
  <c r="U69" i="19"/>
  <c r="V69" i="19" s="1"/>
  <c r="U75" i="19"/>
  <c r="V75" i="19" s="1"/>
  <c r="U72" i="19"/>
  <c r="V72" i="19" s="1"/>
  <c r="U71" i="19"/>
  <c r="V71" i="19" s="1"/>
  <c r="U26" i="19"/>
  <c r="U20" i="19"/>
  <c r="U19" i="19"/>
  <c r="U21" i="19"/>
  <c r="V21" i="19" s="1"/>
  <c r="U25" i="19"/>
  <c r="U29" i="19"/>
  <c r="U28" i="19"/>
  <c r="U22" i="19"/>
  <c r="U24" i="19"/>
  <c r="U18" i="19"/>
  <c r="U23" i="19"/>
  <c r="U27" i="19"/>
  <c r="M193" i="15"/>
  <c r="M194" i="15"/>
  <c r="M189" i="15"/>
  <c r="M191" i="15"/>
  <c r="M188" i="15"/>
  <c r="M197" i="15"/>
  <c r="M195" i="15"/>
  <c r="M190" i="15"/>
  <c r="M198" i="15"/>
  <c r="M187" i="15"/>
  <c r="M196" i="15"/>
  <c r="M192" i="15"/>
  <c r="P216" i="14"/>
  <c r="P219" i="14"/>
  <c r="P221" i="14"/>
  <c r="P222" i="14"/>
  <c r="P214" i="14"/>
  <c r="E92" i="16"/>
  <c r="E96" i="16"/>
  <c r="E95" i="16"/>
  <c r="E93" i="16"/>
  <c r="E101" i="16"/>
  <c r="E94" i="16"/>
  <c r="E98" i="16"/>
  <c r="E99" i="16"/>
  <c r="E102" i="16"/>
  <c r="E91" i="16"/>
  <c r="E97" i="16"/>
  <c r="E100" i="16"/>
  <c r="Q197" i="14"/>
  <c r="Q192" i="14"/>
  <c r="Q188" i="14"/>
  <c r="Q198" i="14"/>
  <c r="Q193" i="14"/>
  <c r="Q194" i="14"/>
  <c r="Q199" i="14"/>
  <c r="Q195" i="14"/>
  <c r="Q189" i="14"/>
  <c r="Q191" i="14"/>
  <c r="R191" i="14" s="1"/>
  <c r="Q190" i="14"/>
  <c r="Q196" i="14"/>
  <c r="AD75" i="16"/>
  <c r="Z69" i="19"/>
  <c r="Q95" i="16"/>
  <c r="Q91" i="16"/>
  <c r="Q101" i="16"/>
  <c r="Q97" i="16"/>
  <c r="Q94" i="16"/>
  <c r="Q98" i="16"/>
  <c r="Q92" i="16"/>
  <c r="Q99" i="16"/>
  <c r="Q102" i="16"/>
  <c r="Q93" i="16"/>
  <c r="Q96" i="16"/>
  <c r="Q100" i="16"/>
  <c r="W118" i="19"/>
  <c r="X118" i="19" s="1"/>
  <c r="W120" i="19"/>
  <c r="X120" i="19" s="1"/>
  <c r="W125" i="19"/>
  <c r="X125" i="19" s="1"/>
  <c r="W126" i="19"/>
  <c r="X126" i="19" s="1"/>
  <c r="W115" i="19"/>
  <c r="X115" i="19" s="1"/>
  <c r="W119" i="19"/>
  <c r="X119" i="19" s="1"/>
  <c r="W122" i="19"/>
  <c r="X122" i="19" s="1"/>
  <c r="W117" i="19"/>
  <c r="X117" i="19" s="1"/>
  <c r="W123" i="19"/>
  <c r="X123" i="19" s="1"/>
  <c r="W121" i="19"/>
  <c r="X121" i="19" s="1"/>
  <c r="W116" i="19"/>
  <c r="X116" i="19" s="1"/>
  <c r="W124" i="19"/>
  <c r="X124" i="19" s="1"/>
  <c r="AM190" i="16"/>
  <c r="AN190" i="16" s="1"/>
  <c r="AM191" i="16"/>
  <c r="AN191" i="16" s="1"/>
  <c r="AM195" i="16"/>
  <c r="AN195" i="16" s="1"/>
  <c r="AM196" i="16"/>
  <c r="AN196" i="16" s="1"/>
  <c r="AM197" i="16"/>
  <c r="AN197" i="16" s="1"/>
  <c r="AM192" i="16"/>
  <c r="AN192" i="16" s="1"/>
  <c r="AM198" i="16"/>
  <c r="AN198" i="16" s="1"/>
  <c r="AM188" i="16"/>
  <c r="AN188" i="16" s="1"/>
  <c r="AM199" i="16"/>
  <c r="AN199" i="16" s="1"/>
  <c r="AM194" i="16"/>
  <c r="AN194" i="16" s="1"/>
  <c r="AM189" i="16"/>
  <c r="AN189" i="16" s="1"/>
  <c r="AM193" i="16"/>
  <c r="AN193" i="16" s="1"/>
  <c r="J140" i="14"/>
  <c r="Z122" i="19"/>
  <c r="Y214" i="14"/>
  <c r="Y215" i="14"/>
  <c r="Z215" i="14" s="1"/>
  <c r="Y216" i="14"/>
  <c r="Y218" i="14"/>
  <c r="Y217" i="14"/>
  <c r="Y219" i="14"/>
  <c r="Y221" i="14"/>
  <c r="Y220" i="14"/>
  <c r="Y222" i="14"/>
  <c r="Y223" i="14"/>
  <c r="Y213" i="14"/>
  <c r="Y212" i="14"/>
  <c r="AC21" i="16"/>
  <c r="AD21" i="16" s="1"/>
  <c r="AC18" i="16"/>
  <c r="AC28" i="16"/>
  <c r="AC23" i="16"/>
  <c r="AC24" i="16"/>
  <c r="AC25" i="16"/>
  <c r="AC26" i="16"/>
  <c r="AC19" i="16"/>
  <c r="AC29" i="16"/>
  <c r="AD29" i="16" s="1"/>
  <c r="AC22" i="16"/>
  <c r="AC20" i="16"/>
  <c r="AC27" i="16"/>
  <c r="AK70" i="15"/>
  <c r="AL70" i="15" s="1"/>
  <c r="AK72" i="15"/>
  <c r="AL72" i="15" s="1"/>
  <c r="AK73" i="15"/>
  <c r="AL73" i="15" s="1"/>
  <c r="AK67" i="15"/>
  <c r="AL67" i="15" s="1"/>
  <c r="AK75" i="15"/>
  <c r="AL75" i="15" s="1"/>
  <c r="AK68" i="15"/>
  <c r="AL68" i="15" s="1"/>
  <c r="AK66" i="15"/>
  <c r="AL66" i="15" s="1"/>
  <c r="AK76" i="15"/>
  <c r="AL76" i="15" s="1"/>
  <c r="AK77" i="15"/>
  <c r="AL77" i="15" s="1"/>
  <c r="AK71" i="15"/>
  <c r="AL71" i="15" s="1"/>
  <c r="AK74" i="15"/>
  <c r="AL74" i="15" s="1"/>
  <c r="AK69" i="15"/>
  <c r="AL69" i="15" s="1"/>
  <c r="AI70" i="14"/>
  <c r="AJ70" i="14" s="1"/>
  <c r="AI69" i="14"/>
  <c r="AJ69" i="14" s="1"/>
  <c r="AI77" i="14"/>
  <c r="AJ77" i="14" s="1"/>
  <c r="AI71" i="14"/>
  <c r="AJ71" i="14" s="1"/>
  <c r="AI74" i="14"/>
  <c r="AJ74" i="14" s="1"/>
  <c r="AI76" i="14"/>
  <c r="AJ76" i="14" s="1"/>
  <c r="AI68" i="14"/>
  <c r="AJ68" i="14" s="1"/>
  <c r="AI75" i="14"/>
  <c r="AJ75" i="14" s="1"/>
  <c r="AI73" i="14"/>
  <c r="AJ73" i="14" s="1"/>
  <c r="AI67" i="14"/>
  <c r="AJ67" i="14" s="1"/>
  <c r="AI72" i="14"/>
  <c r="AJ72" i="14" s="1"/>
  <c r="AI66" i="14"/>
  <c r="AJ66" i="14" s="1"/>
  <c r="Q117" i="19"/>
  <c r="Q122" i="19"/>
  <c r="Q124" i="19"/>
  <c r="Q121" i="19"/>
  <c r="Q126" i="19"/>
  <c r="Q115" i="19"/>
  <c r="Q120" i="19"/>
  <c r="Q125" i="19"/>
  <c r="Q116" i="19"/>
  <c r="Q123" i="19"/>
  <c r="Q118" i="19"/>
  <c r="Q119" i="19"/>
  <c r="E145" i="16"/>
  <c r="E148" i="16"/>
  <c r="E140" i="16"/>
  <c r="E141" i="16"/>
  <c r="E149" i="16"/>
  <c r="E142" i="16"/>
  <c r="E150" i="16"/>
  <c r="E143" i="16"/>
  <c r="F143" i="16" s="1"/>
  <c r="E146" i="16"/>
  <c r="E147" i="16"/>
  <c r="E144" i="16"/>
  <c r="E151" i="16"/>
  <c r="AA121" i="16"/>
  <c r="AA120" i="16"/>
  <c r="AA122" i="16"/>
  <c r="AA125" i="16"/>
  <c r="AA124" i="16"/>
  <c r="AA115" i="16"/>
  <c r="AA117" i="16"/>
  <c r="AA116" i="16"/>
  <c r="AA126" i="16"/>
  <c r="AA118" i="16"/>
  <c r="AA119" i="16"/>
  <c r="AA123" i="16"/>
  <c r="AD126" i="16"/>
  <c r="H93" i="16"/>
  <c r="AA50" i="14"/>
  <c r="AA43" i="14"/>
  <c r="AA51" i="14"/>
  <c r="AA49" i="14"/>
  <c r="AA48" i="14"/>
  <c r="AA47" i="14"/>
  <c r="AA52" i="14"/>
  <c r="AA42" i="14"/>
  <c r="AA44" i="14"/>
  <c r="AA46" i="14"/>
  <c r="AA53" i="14"/>
  <c r="AA45" i="14"/>
  <c r="AB45" i="14" s="1"/>
  <c r="I117" i="16"/>
  <c r="I116" i="16"/>
  <c r="I124" i="16"/>
  <c r="I115" i="16"/>
  <c r="I123" i="16"/>
  <c r="I119" i="16"/>
  <c r="I122" i="16"/>
  <c r="I121" i="16"/>
  <c r="I126" i="16"/>
  <c r="I118" i="16"/>
  <c r="I120" i="16"/>
  <c r="I125" i="16"/>
  <c r="T220" i="14"/>
  <c r="T212" i="14"/>
  <c r="AE147" i="14"/>
  <c r="AE150" i="14"/>
  <c r="AE143" i="14"/>
  <c r="AF143" i="14" s="1"/>
  <c r="AE151" i="14"/>
  <c r="AE144" i="14"/>
  <c r="AE140" i="14"/>
  <c r="AE141" i="14"/>
  <c r="AE145" i="14"/>
  <c r="AE148" i="14"/>
  <c r="AE149" i="14"/>
  <c r="AE142" i="14"/>
  <c r="AF142" i="14" s="1"/>
  <c r="AE146" i="14"/>
  <c r="K214" i="16"/>
  <c r="K218" i="16"/>
  <c r="K219" i="16"/>
  <c r="K215" i="16"/>
  <c r="L215" i="16" s="1"/>
  <c r="K220" i="16"/>
  <c r="K213" i="16"/>
  <c r="K222" i="16"/>
  <c r="K221" i="16"/>
  <c r="K217" i="16"/>
  <c r="K216" i="16"/>
  <c r="K223" i="16"/>
  <c r="K212" i="16"/>
  <c r="L212" i="16" s="1"/>
  <c r="AM145" i="15"/>
  <c r="AN145" i="15" s="1"/>
  <c r="AM142" i="15"/>
  <c r="AN142" i="15" s="1"/>
  <c r="AM146" i="15"/>
  <c r="AN146" i="15" s="1"/>
  <c r="AM144" i="15"/>
  <c r="AN144" i="15" s="1"/>
  <c r="AM150" i="15"/>
  <c r="AN150" i="15" s="1"/>
  <c r="AM139" i="15"/>
  <c r="AN139" i="15" s="1"/>
  <c r="AM147" i="15"/>
  <c r="AN147" i="15" s="1"/>
  <c r="AM140" i="15"/>
  <c r="AN140" i="15" s="1"/>
  <c r="AM148" i="15"/>
  <c r="AN148" i="15" s="1"/>
  <c r="AM143" i="15"/>
  <c r="AN143" i="15" s="1"/>
  <c r="AM141" i="15"/>
  <c r="AN141" i="15" s="1"/>
  <c r="AM149" i="15"/>
  <c r="AN149" i="15" s="1"/>
  <c r="Z121" i="15"/>
  <c r="AK27" i="19"/>
  <c r="AL27" i="19" s="1"/>
  <c r="AK19" i="19"/>
  <c r="AL19" i="19" s="1"/>
  <c r="AK21" i="19"/>
  <c r="AL21" i="19" s="1"/>
  <c r="AK25" i="19"/>
  <c r="AL25" i="19" s="1"/>
  <c r="AK29" i="19"/>
  <c r="AL29" i="19" s="1"/>
  <c r="AK26" i="19"/>
  <c r="AL26" i="19" s="1"/>
  <c r="AK22" i="19"/>
  <c r="AL22" i="19" s="1"/>
  <c r="AK28" i="19"/>
  <c r="AL28" i="19" s="1"/>
  <c r="AK23" i="19"/>
  <c r="AL23" i="19" s="1"/>
  <c r="AK24" i="19"/>
  <c r="AL24" i="19" s="1"/>
  <c r="AK20" i="19"/>
  <c r="AL20" i="19" s="1"/>
  <c r="AK18" i="19"/>
  <c r="AL18" i="19" s="1"/>
  <c r="W70" i="14"/>
  <c r="X70" i="14" s="1"/>
  <c r="W77" i="14"/>
  <c r="X77" i="14" s="1"/>
  <c r="W71" i="14"/>
  <c r="X71" i="14" s="1"/>
  <c r="W69" i="14"/>
  <c r="X69" i="14" s="1"/>
  <c r="W74" i="14"/>
  <c r="X74" i="14" s="1"/>
  <c r="W76" i="14"/>
  <c r="X76" i="14" s="1"/>
  <c r="W68" i="14"/>
  <c r="X68" i="14" s="1"/>
  <c r="W75" i="14"/>
  <c r="X75" i="14" s="1"/>
  <c r="W67" i="14"/>
  <c r="X67" i="14" s="1"/>
  <c r="W73" i="14"/>
  <c r="X73" i="14" s="1"/>
  <c r="W66" i="14"/>
  <c r="X66" i="14" s="1"/>
  <c r="W72" i="14"/>
  <c r="X72" i="14" s="1"/>
  <c r="S195" i="14"/>
  <c r="S189" i="14"/>
  <c r="S193" i="14"/>
  <c r="S197" i="14"/>
  <c r="S194" i="14"/>
  <c r="S190" i="14"/>
  <c r="S198" i="14"/>
  <c r="S191" i="14"/>
  <c r="S199" i="14"/>
  <c r="S196" i="14"/>
  <c r="S192" i="14"/>
  <c r="S188" i="14"/>
  <c r="H117" i="16"/>
  <c r="H122" i="16"/>
  <c r="AE49" i="16"/>
  <c r="AE43" i="16"/>
  <c r="AE51" i="16"/>
  <c r="AE50" i="16"/>
  <c r="AE52" i="16"/>
  <c r="AE45" i="16"/>
  <c r="AF45" i="16" s="1"/>
  <c r="AE53" i="16"/>
  <c r="AE42" i="16"/>
  <c r="AE47" i="16"/>
  <c r="AE48" i="16"/>
  <c r="AE44" i="16"/>
  <c r="AE46" i="16"/>
  <c r="Z118" i="14"/>
  <c r="P119" i="16"/>
  <c r="P122" i="16"/>
  <c r="AE96" i="14"/>
  <c r="AE99" i="14"/>
  <c r="AE92" i="14"/>
  <c r="AE100" i="14"/>
  <c r="AE93" i="14"/>
  <c r="AE98" i="14"/>
  <c r="AE101" i="14"/>
  <c r="AE94" i="14"/>
  <c r="AE102" i="14"/>
  <c r="AE97" i="14"/>
  <c r="AE95" i="14"/>
  <c r="AE91" i="14"/>
  <c r="F195" i="16"/>
  <c r="AK46" i="15"/>
  <c r="AL46" i="15" s="1"/>
  <c r="AK45" i="15"/>
  <c r="AL45" i="15" s="1"/>
  <c r="AK42" i="15"/>
  <c r="AL42" i="15" s="1"/>
  <c r="AK53" i="15"/>
  <c r="AL53" i="15" s="1"/>
  <c r="AK50" i="15"/>
  <c r="AL50" i="15" s="1"/>
  <c r="AK52" i="15"/>
  <c r="AL52" i="15" s="1"/>
  <c r="AK43" i="15"/>
  <c r="AK51" i="15"/>
  <c r="AL51" i="15" s="1"/>
  <c r="AK47" i="15"/>
  <c r="AL47" i="15" s="1"/>
  <c r="AK48" i="15"/>
  <c r="AL48" i="15" s="1"/>
  <c r="AK49" i="15"/>
  <c r="AL49" i="15" s="1"/>
  <c r="AK44" i="15"/>
  <c r="AL44" i="15" s="1"/>
  <c r="AE220" i="14"/>
  <c r="AE222" i="14"/>
  <c r="AE218" i="14"/>
  <c r="AE215" i="14"/>
  <c r="AF215" i="14" s="1"/>
  <c r="AE223" i="14"/>
  <c r="AE216" i="14"/>
  <c r="AE212" i="14"/>
  <c r="AE221" i="14"/>
  <c r="AE214" i="14"/>
  <c r="AE213" i="14"/>
  <c r="AE217" i="14"/>
  <c r="AE219" i="14"/>
  <c r="M193" i="16"/>
  <c r="M188" i="16"/>
  <c r="M199" i="16"/>
  <c r="M196" i="16"/>
  <c r="M191" i="16"/>
  <c r="N191" i="16" s="1"/>
  <c r="M189" i="16"/>
  <c r="M197" i="16"/>
  <c r="M190" i="16"/>
  <c r="M198" i="16"/>
  <c r="M192" i="16"/>
  <c r="M194" i="16"/>
  <c r="M195" i="16"/>
  <c r="E95" i="19"/>
  <c r="E102" i="19"/>
  <c r="E96" i="19"/>
  <c r="E92" i="19"/>
  <c r="E97" i="19"/>
  <c r="E100" i="19"/>
  <c r="E98" i="19"/>
  <c r="E93" i="19"/>
  <c r="E99" i="19"/>
  <c r="E101" i="19"/>
  <c r="E94" i="19"/>
  <c r="E91" i="19"/>
  <c r="Q193" i="19"/>
  <c r="Q194" i="19"/>
  <c r="Q195" i="19"/>
  <c r="Q190" i="19"/>
  <c r="Q199" i="19"/>
  <c r="Q198" i="19"/>
  <c r="Q196" i="19"/>
  <c r="Q191" i="19"/>
  <c r="R191" i="19" s="1"/>
  <c r="Q189" i="19"/>
  <c r="Q197" i="19"/>
  <c r="Q192" i="19"/>
  <c r="Q188" i="19"/>
  <c r="E123" i="19"/>
  <c r="E116" i="19"/>
  <c r="E122" i="19"/>
  <c r="F122" i="19" s="1"/>
  <c r="E118" i="19"/>
  <c r="E126" i="19"/>
  <c r="E119" i="19"/>
  <c r="E115" i="19"/>
  <c r="E120" i="19"/>
  <c r="E124" i="19"/>
  <c r="E117" i="19"/>
  <c r="E121" i="19"/>
  <c r="F121" i="19" s="1"/>
  <c r="E125" i="19"/>
  <c r="V119" i="16"/>
  <c r="I173" i="16"/>
  <c r="I172" i="16"/>
  <c r="I168" i="16"/>
  <c r="I167" i="16"/>
  <c r="J167" i="16" s="1"/>
  <c r="I164" i="16"/>
  <c r="I171" i="16"/>
  <c r="I169" i="16"/>
  <c r="I170" i="16"/>
  <c r="I174" i="16"/>
  <c r="I175" i="16"/>
  <c r="I165" i="16"/>
  <c r="I166" i="16"/>
  <c r="J166" i="16" s="1"/>
  <c r="W124" i="15"/>
  <c r="W122" i="15"/>
  <c r="W123" i="15"/>
  <c r="W117" i="15"/>
  <c r="W125" i="15"/>
  <c r="W118" i="15"/>
  <c r="W119" i="15"/>
  <c r="W121" i="15"/>
  <c r="W116" i="15"/>
  <c r="W114" i="15"/>
  <c r="W120" i="15"/>
  <c r="W115" i="15"/>
  <c r="AM195" i="19"/>
  <c r="AN195" i="19" s="1"/>
  <c r="AM192" i="19"/>
  <c r="AN192" i="19" s="1"/>
  <c r="AM189" i="19"/>
  <c r="AN189" i="19" s="1"/>
  <c r="AM193" i="19"/>
  <c r="AN193" i="19" s="1"/>
  <c r="AM197" i="19"/>
  <c r="AN197" i="19" s="1"/>
  <c r="AM194" i="19"/>
  <c r="AN194" i="19" s="1"/>
  <c r="AM190" i="19"/>
  <c r="AN190" i="19" s="1"/>
  <c r="AM198" i="19"/>
  <c r="AN198" i="19" s="1"/>
  <c r="AM196" i="19"/>
  <c r="AN196" i="19" s="1"/>
  <c r="AM191" i="19"/>
  <c r="AN191" i="19" s="1"/>
  <c r="AM199" i="19"/>
  <c r="AN199" i="19" s="1"/>
  <c r="AM188" i="19"/>
  <c r="AN188" i="19" s="1"/>
  <c r="H123" i="19"/>
  <c r="H124" i="19"/>
  <c r="V219" i="14"/>
  <c r="V214" i="14"/>
  <c r="AK96" i="16"/>
  <c r="AL96" i="16" s="1"/>
  <c r="AK97" i="16"/>
  <c r="AL97" i="16" s="1"/>
  <c r="AK98" i="16"/>
  <c r="AL98" i="16" s="1"/>
  <c r="AK93" i="16"/>
  <c r="AL93" i="16" s="1"/>
  <c r="AK101" i="16"/>
  <c r="AL101" i="16" s="1"/>
  <c r="AK91" i="16"/>
  <c r="AL91" i="16" s="1"/>
  <c r="AK94" i="16"/>
  <c r="AL94" i="16" s="1"/>
  <c r="AK102" i="16"/>
  <c r="AL102" i="16" s="1"/>
  <c r="AK99" i="16"/>
  <c r="AL99" i="16" s="1"/>
  <c r="AK100" i="16"/>
  <c r="AL100" i="16" s="1"/>
  <c r="AK95" i="16"/>
  <c r="AL95" i="16" s="1"/>
  <c r="AK92" i="16"/>
  <c r="AL92" i="16" s="1"/>
  <c r="AO114" i="15"/>
  <c r="AP114" i="15" s="1"/>
  <c r="AO115" i="15"/>
  <c r="AP115" i="15" s="1"/>
  <c r="AO123" i="15"/>
  <c r="AP123" i="15" s="1"/>
  <c r="AO116" i="15"/>
  <c r="AP116" i="15" s="1"/>
  <c r="AO124" i="15"/>
  <c r="AP124" i="15" s="1"/>
  <c r="AO117" i="15"/>
  <c r="AP117" i="15" s="1"/>
  <c r="AO125" i="15"/>
  <c r="AP125" i="15" s="1"/>
  <c r="AO118" i="15"/>
  <c r="AP118" i="15" s="1"/>
  <c r="AO120" i="15"/>
  <c r="AP120" i="15" s="1"/>
  <c r="AO122" i="15"/>
  <c r="AP122" i="15" s="1"/>
  <c r="AO119" i="15"/>
  <c r="AP119" i="15" s="1"/>
  <c r="AO121" i="15"/>
  <c r="AP121" i="15" s="1"/>
  <c r="Q47" i="16"/>
  <c r="Q49" i="16"/>
  <c r="Q50" i="16"/>
  <c r="Q48" i="16"/>
  <c r="Q46" i="16"/>
  <c r="Q42" i="16"/>
  <c r="Q45" i="16"/>
  <c r="Q44" i="16"/>
  <c r="Q51" i="16"/>
  <c r="Q43" i="16"/>
  <c r="Q53" i="16"/>
  <c r="Q52" i="16"/>
  <c r="AA217" i="15"/>
  <c r="AA218" i="15"/>
  <c r="AA221" i="15"/>
  <c r="AA222" i="15"/>
  <c r="AA212" i="15"/>
  <c r="AA211" i="15"/>
  <c r="AA220" i="15"/>
  <c r="AA213" i="15"/>
  <c r="AA215" i="15"/>
  <c r="AA216" i="15"/>
  <c r="AA214" i="15"/>
  <c r="AA219" i="15"/>
  <c r="AG148" i="16"/>
  <c r="AG143" i="16"/>
  <c r="AH143" i="16" s="1"/>
  <c r="AG141" i="16"/>
  <c r="AG149" i="16"/>
  <c r="AG150" i="16"/>
  <c r="AG146" i="16"/>
  <c r="AG140" i="16"/>
  <c r="AG142" i="16"/>
  <c r="AG145" i="16"/>
  <c r="AG147" i="16"/>
  <c r="AG151" i="16"/>
  <c r="AG144" i="16"/>
  <c r="H124" i="15"/>
  <c r="P121" i="14"/>
  <c r="P125" i="14"/>
  <c r="AK188" i="19"/>
  <c r="AL188" i="19" s="1"/>
  <c r="AK198" i="19"/>
  <c r="AL198" i="19" s="1"/>
  <c r="AK193" i="19"/>
  <c r="AL193" i="19" s="1"/>
  <c r="AK194" i="19"/>
  <c r="AL194" i="19" s="1"/>
  <c r="AK195" i="19"/>
  <c r="AL195" i="19" s="1"/>
  <c r="AK196" i="19"/>
  <c r="AL196" i="19" s="1"/>
  <c r="AK191" i="19"/>
  <c r="AL191" i="19" s="1"/>
  <c r="AK189" i="19"/>
  <c r="AL189" i="19" s="1"/>
  <c r="AK199" i="19"/>
  <c r="AL199" i="19" s="1"/>
  <c r="AK192" i="19"/>
  <c r="AL192" i="19" s="1"/>
  <c r="AK197" i="19"/>
  <c r="AL197" i="19" s="1"/>
  <c r="AK190" i="19"/>
  <c r="AL190" i="19" s="1"/>
  <c r="AI212" i="16"/>
  <c r="AJ212" i="16" s="1"/>
  <c r="AI214" i="16"/>
  <c r="AJ214" i="16" s="1"/>
  <c r="AI223" i="16"/>
  <c r="AJ223" i="16" s="1"/>
  <c r="AI222" i="16"/>
  <c r="AJ222" i="16" s="1"/>
  <c r="AI217" i="16"/>
  <c r="AJ217" i="16" s="1"/>
  <c r="AI218" i="16"/>
  <c r="AJ218" i="16" s="1"/>
  <c r="AI219" i="16"/>
  <c r="AJ219" i="16" s="1"/>
  <c r="AI215" i="16"/>
  <c r="AJ215" i="16" s="1"/>
  <c r="AI213" i="16"/>
  <c r="AJ213" i="16" s="1"/>
  <c r="AI221" i="16"/>
  <c r="AJ221" i="16" s="1"/>
  <c r="AI216" i="16"/>
  <c r="AJ216" i="16" s="1"/>
  <c r="AI220" i="16"/>
  <c r="AJ220" i="16" s="1"/>
  <c r="H142" i="15"/>
  <c r="AJ168" i="14"/>
  <c r="Z73" i="15"/>
  <c r="Z119" i="19"/>
  <c r="Y213" i="16"/>
  <c r="Y220" i="16"/>
  <c r="Y221" i="16"/>
  <c r="Y212" i="16"/>
  <c r="Y214" i="16"/>
  <c r="Y222" i="16"/>
  <c r="Y215" i="16"/>
  <c r="Z215" i="16" s="1"/>
  <c r="Y223" i="16"/>
  <c r="Y217" i="16"/>
  <c r="Y218" i="16"/>
  <c r="Y216" i="16"/>
  <c r="Y219" i="16"/>
  <c r="AD52" i="14"/>
  <c r="AC24" i="19"/>
  <c r="AC28" i="19"/>
  <c r="AC20" i="19"/>
  <c r="AC25" i="19"/>
  <c r="AC19" i="19"/>
  <c r="AC21" i="19"/>
  <c r="AD21" i="19" s="1"/>
  <c r="AC29" i="19"/>
  <c r="AC22" i="19"/>
  <c r="AC27" i="19"/>
  <c r="AC18" i="19"/>
  <c r="AC26" i="19"/>
  <c r="AC23" i="19"/>
  <c r="AK74" i="14"/>
  <c r="AL74" i="14" s="1"/>
  <c r="AK73" i="14"/>
  <c r="AL73" i="14" s="1"/>
  <c r="AK67" i="14"/>
  <c r="AL67" i="14" s="1"/>
  <c r="AK75" i="14"/>
  <c r="AL75" i="14" s="1"/>
  <c r="AK66" i="14"/>
  <c r="AL66" i="14" s="1"/>
  <c r="AK70" i="14"/>
  <c r="AL70" i="14" s="1"/>
  <c r="AK77" i="14"/>
  <c r="AL77" i="14" s="1"/>
  <c r="AK72" i="14"/>
  <c r="AL72" i="14" s="1"/>
  <c r="AK69" i="14"/>
  <c r="AL69" i="14" s="1"/>
  <c r="AK71" i="14"/>
  <c r="AL71" i="14" s="1"/>
  <c r="AK76" i="14"/>
  <c r="AL76" i="14" s="1"/>
  <c r="AK68" i="14"/>
  <c r="AL68" i="14" s="1"/>
  <c r="AI71" i="19"/>
  <c r="AJ71" i="19" s="1"/>
  <c r="AI70" i="19"/>
  <c r="AJ70" i="19" s="1"/>
  <c r="AI72" i="19"/>
  <c r="AJ72" i="19" s="1"/>
  <c r="AI69" i="19"/>
  <c r="AJ69" i="19" s="1"/>
  <c r="AI77" i="19"/>
  <c r="AJ77" i="19" s="1"/>
  <c r="AI73" i="19"/>
  <c r="AJ73" i="19" s="1"/>
  <c r="AI74" i="19"/>
  <c r="AJ74" i="19" s="1"/>
  <c r="AI67" i="19"/>
  <c r="AJ67" i="19" s="1"/>
  <c r="AI66" i="19"/>
  <c r="AJ66" i="19" s="1"/>
  <c r="AI75" i="19"/>
  <c r="AJ75" i="19" s="1"/>
  <c r="AI68" i="19"/>
  <c r="AJ68" i="19" s="1"/>
  <c r="AI76" i="19"/>
  <c r="AJ76" i="19" s="1"/>
  <c r="AO74" i="14"/>
  <c r="AP74" i="14" s="1"/>
  <c r="AO67" i="14"/>
  <c r="AP67" i="14" s="1"/>
  <c r="AO75" i="14"/>
  <c r="AP75" i="14" s="1"/>
  <c r="AO73" i="14"/>
  <c r="AP73" i="14" s="1"/>
  <c r="AO72" i="14"/>
  <c r="AP72" i="14" s="1"/>
  <c r="AO71" i="14"/>
  <c r="AP71" i="14" s="1"/>
  <c r="AO66" i="14"/>
  <c r="AP66" i="14" s="1"/>
  <c r="AO68" i="14"/>
  <c r="AP68" i="14" s="1"/>
  <c r="AO70" i="14"/>
  <c r="AP70" i="14" s="1"/>
  <c r="AO77" i="14"/>
  <c r="AP77" i="14" s="1"/>
  <c r="AO69" i="14"/>
  <c r="AP69" i="14" s="1"/>
  <c r="AO76" i="14"/>
  <c r="AP76" i="14" s="1"/>
  <c r="AA191" i="15"/>
  <c r="AA193" i="15"/>
  <c r="AA192" i="15"/>
  <c r="AA194" i="15"/>
  <c r="AA188" i="15"/>
  <c r="AA195" i="15"/>
  <c r="AA196" i="15"/>
  <c r="AA187" i="15"/>
  <c r="AA197" i="15"/>
  <c r="AA189" i="15"/>
  <c r="AA190" i="15"/>
  <c r="AA198" i="15"/>
  <c r="AA119" i="19"/>
  <c r="AA120" i="19"/>
  <c r="AA122" i="19"/>
  <c r="AA117" i="19"/>
  <c r="AA123" i="19"/>
  <c r="AA118" i="19"/>
  <c r="AA116" i="19"/>
  <c r="AA115" i="19"/>
  <c r="AA124" i="19"/>
  <c r="AA121" i="19"/>
  <c r="AA125" i="19"/>
  <c r="AA126" i="19"/>
  <c r="AD119" i="16"/>
  <c r="AO193" i="19"/>
  <c r="AP193" i="19" s="1"/>
  <c r="AO195" i="19"/>
  <c r="AP195" i="19" s="1"/>
  <c r="AO196" i="19"/>
  <c r="AP196" i="19" s="1"/>
  <c r="AO191" i="19"/>
  <c r="AP191" i="19" s="1"/>
  <c r="AO189" i="19"/>
  <c r="AP189" i="19" s="1"/>
  <c r="AO199" i="19"/>
  <c r="AP199" i="19" s="1"/>
  <c r="AO197" i="19"/>
  <c r="AP197" i="19" s="1"/>
  <c r="AO188" i="19"/>
  <c r="AP188" i="19" s="1"/>
  <c r="AO194" i="19"/>
  <c r="AP194" i="19" s="1"/>
  <c r="AO192" i="19"/>
  <c r="AP192" i="19" s="1"/>
  <c r="AO190" i="19"/>
  <c r="AP190" i="19" s="1"/>
  <c r="AO198" i="19"/>
  <c r="AP198" i="19" s="1"/>
  <c r="AA43" i="19"/>
  <c r="AA50" i="19"/>
  <c r="AA51" i="19"/>
  <c r="AA44" i="19"/>
  <c r="AA52" i="19"/>
  <c r="AA49" i="19"/>
  <c r="AA45" i="19"/>
  <c r="AB45" i="19" s="1"/>
  <c r="AA53" i="19"/>
  <c r="AA46" i="19"/>
  <c r="AA42" i="19"/>
  <c r="AA48" i="19"/>
  <c r="AA47" i="19"/>
  <c r="I74" i="14"/>
  <c r="J74" i="14" s="1"/>
  <c r="I67" i="14"/>
  <c r="J67" i="14" s="1"/>
  <c r="I72" i="14"/>
  <c r="J72" i="14" s="1"/>
  <c r="I75" i="14"/>
  <c r="J75" i="14" s="1"/>
  <c r="I71" i="14"/>
  <c r="J71" i="14" s="1"/>
  <c r="I73" i="14"/>
  <c r="J73" i="14" s="1"/>
  <c r="I66" i="14"/>
  <c r="J66" i="14" s="1"/>
  <c r="I68" i="14"/>
  <c r="J68" i="14" s="1"/>
  <c r="I70" i="14"/>
  <c r="J70" i="14" s="1"/>
  <c r="I77" i="14"/>
  <c r="J77" i="14" s="1"/>
  <c r="I76" i="14"/>
  <c r="J76" i="14" s="1"/>
  <c r="I69" i="14"/>
  <c r="J69" i="14" s="1"/>
  <c r="AG199" i="19"/>
  <c r="AG197" i="19"/>
  <c r="AG192" i="19"/>
  <c r="AG190" i="19"/>
  <c r="AG188" i="19"/>
  <c r="AG198" i="19"/>
  <c r="AG193" i="19"/>
  <c r="AG194" i="19"/>
  <c r="AG195" i="19"/>
  <c r="AG191" i="19"/>
  <c r="AH191" i="19" s="1"/>
  <c r="AG196" i="19"/>
  <c r="AG189" i="19"/>
  <c r="T219" i="14"/>
  <c r="T216" i="14"/>
  <c r="AE149" i="16"/>
  <c r="AE146" i="16"/>
  <c r="AE150" i="16"/>
  <c r="AE151" i="16"/>
  <c r="AE141" i="16"/>
  <c r="AE148" i="16"/>
  <c r="AE142" i="16"/>
  <c r="AE144" i="16"/>
  <c r="AE143" i="16"/>
  <c r="AF143" i="16" s="1"/>
  <c r="AE140" i="16"/>
  <c r="AE145" i="16"/>
  <c r="AE147" i="16"/>
  <c r="K213" i="14"/>
  <c r="K212" i="14"/>
  <c r="K218" i="14"/>
  <c r="K219" i="14"/>
  <c r="K214" i="14"/>
  <c r="K220" i="14"/>
  <c r="K222" i="14"/>
  <c r="K221" i="14"/>
  <c r="K215" i="14"/>
  <c r="L215" i="14" s="1"/>
  <c r="K223" i="14"/>
  <c r="K216" i="14"/>
  <c r="K217" i="14"/>
  <c r="AM149" i="16"/>
  <c r="AN149" i="16" s="1"/>
  <c r="AM150" i="16"/>
  <c r="AN150" i="16" s="1"/>
  <c r="AM151" i="16"/>
  <c r="AN151" i="16" s="1"/>
  <c r="AM141" i="16"/>
  <c r="AN141" i="16" s="1"/>
  <c r="AM148" i="16"/>
  <c r="AN148" i="16" s="1"/>
  <c r="AM142" i="16"/>
  <c r="AN142" i="16" s="1"/>
  <c r="AM144" i="16"/>
  <c r="AN144" i="16" s="1"/>
  <c r="AM143" i="16"/>
  <c r="AN143" i="16" s="1"/>
  <c r="AM140" i="16"/>
  <c r="AN140" i="16" s="1"/>
  <c r="AM147" i="16"/>
  <c r="AN147" i="16" s="1"/>
  <c r="AM145" i="16"/>
  <c r="AN145" i="16" s="1"/>
  <c r="AM146" i="16"/>
  <c r="AN146" i="16" s="1"/>
  <c r="Z124" i="15"/>
  <c r="Z118" i="15"/>
  <c r="V212" i="19"/>
  <c r="P118" i="19"/>
  <c r="AK22" i="16"/>
  <c r="AL22" i="16" s="1"/>
  <c r="AK29" i="16"/>
  <c r="AL29" i="16" s="1"/>
  <c r="AK21" i="16"/>
  <c r="AL21" i="16" s="1"/>
  <c r="AK28" i="16"/>
  <c r="AL28" i="16" s="1"/>
  <c r="AK20" i="16"/>
  <c r="AL20" i="16" s="1"/>
  <c r="AK27" i="16"/>
  <c r="AL27" i="16" s="1"/>
  <c r="AK19" i="16"/>
  <c r="AL19" i="16" s="1"/>
  <c r="AK18" i="16"/>
  <c r="AL18" i="16" s="1"/>
  <c r="AK26" i="16"/>
  <c r="AL26" i="16" s="1"/>
  <c r="AK25" i="16"/>
  <c r="AL25" i="16" s="1"/>
  <c r="AK23" i="16"/>
  <c r="AL23" i="16" s="1"/>
  <c r="AK24" i="16"/>
  <c r="AL24" i="16" s="1"/>
  <c r="W66" i="19"/>
  <c r="X66" i="19" s="1"/>
  <c r="W75" i="19"/>
  <c r="X75" i="19" s="1"/>
  <c r="W68" i="19"/>
  <c r="X68" i="19" s="1"/>
  <c r="W71" i="19"/>
  <c r="X71" i="19" s="1"/>
  <c r="W76" i="19"/>
  <c r="X76" i="19" s="1"/>
  <c r="W73" i="19"/>
  <c r="X73" i="19" s="1"/>
  <c r="W69" i="19"/>
  <c r="X69" i="19" s="1"/>
  <c r="W77" i="19"/>
  <c r="X77" i="19" s="1"/>
  <c r="W72" i="19"/>
  <c r="X72" i="19" s="1"/>
  <c r="W74" i="19"/>
  <c r="X74" i="19" s="1"/>
  <c r="W67" i="19"/>
  <c r="X67" i="19" s="1"/>
  <c r="W70" i="19"/>
  <c r="X70" i="19" s="1"/>
  <c r="S192" i="15"/>
  <c r="S195" i="15"/>
  <c r="S188" i="15"/>
  <c r="S187" i="15"/>
  <c r="S196" i="15"/>
  <c r="S191" i="15"/>
  <c r="S189" i="15"/>
  <c r="S194" i="15"/>
  <c r="S197" i="15"/>
  <c r="S190" i="15"/>
  <c r="S198" i="15"/>
  <c r="S193" i="15"/>
  <c r="H125" i="16"/>
  <c r="H116" i="16"/>
  <c r="AE52" i="15"/>
  <c r="AE49" i="15"/>
  <c r="AE50" i="15"/>
  <c r="AE51" i="15"/>
  <c r="AE44" i="15"/>
  <c r="AE45" i="15"/>
  <c r="AE43" i="15"/>
  <c r="AE48" i="15"/>
  <c r="AE42" i="15"/>
  <c r="AE46" i="15"/>
  <c r="AE53" i="15"/>
  <c r="AE47" i="15"/>
  <c r="Z123" i="14"/>
  <c r="P118" i="16"/>
  <c r="P121" i="16"/>
  <c r="AE97" i="19"/>
  <c r="AE91" i="19"/>
  <c r="AE96" i="19"/>
  <c r="AE99" i="19"/>
  <c r="AE100" i="19"/>
  <c r="AE101" i="19"/>
  <c r="AE94" i="19"/>
  <c r="AE98" i="19"/>
  <c r="AE102" i="19"/>
  <c r="AE95" i="19"/>
  <c r="AE92" i="19"/>
  <c r="AE93" i="19"/>
  <c r="F192" i="16"/>
  <c r="AK46" i="14"/>
  <c r="AL46" i="14" s="1"/>
  <c r="AK52" i="14"/>
  <c r="AL52" i="14" s="1"/>
  <c r="AK44" i="14"/>
  <c r="AL44" i="14" s="1"/>
  <c r="AK51" i="14"/>
  <c r="AL51" i="14" s="1"/>
  <c r="AK53" i="14"/>
  <c r="AL53" i="14" s="1"/>
  <c r="AK43" i="14"/>
  <c r="AL43" i="14" s="1"/>
  <c r="AK45" i="14"/>
  <c r="AL45" i="14" s="1"/>
  <c r="AK48" i="14"/>
  <c r="AL48" i="14" s="1"/>
  <c r="AK42" i="14"/>
  <c r="AL42" i="14" s="1"/>
  <c r="AK50" i="14"/>
  <c r="AL50" i="14" s="1"/>
  <c r="AK47" i="14"/>
  <c r="AL47" i="14" s="1"/>
  <c r="AK49" i="14"/>
  <c r="AL49" i="14" s="1"/>
  <c r="AE215" i="15"/>
  <c r="AE219" i="15"/>
  <c r="AE211" i="15"/>
  <c r="AE221" i="15"/>
  <c r="AE216" i="15"/>
  <c r="AE217" i="15"/>
  <c r="AE218" i="15"/>
  <c r="AE222" i="15"/>
  <c r="AE212" i="15"/>
  <c r="AE220" i="15"/>
  <c r="AE213" i="15"/>
  <c r="AE214" i="15"/>
  <c r="AF214" i="15" s="1"/>
  <c r="AG46" i="14"/>
  <c r="AG47" i="14"/>
  <c r="AG43" i="14"/>
  <c r="AG53" i="14"/>
  <c r="AG45" i="14"/>
  <c r="AH70" i="14" s="1"/>
  <c r="AG50" i="14"/>
  <c r="AG42" i="14"/>
  <c r="AG52" i="14"/>
  <c r="AG49" i="14"/>
  <c r="AG44" i="14"/>
  <c r="AG51" i="14"/>
  <c r="AG48" i="14"/>
  <c r="AG219" i="19"/>
  <c r="AG216" i="19"/>
  <c r="AG213" i="19"/>
  <c r="AG217" i="19"/>
  <c r="AG221" i="19"/>
  <c r="AG218" i="19"/>
  <c r="AG214" i="19"/>
  <c r="AG222" i="19"/>
  <c r="AG212" i="19"/>
  <c r="AG223" i="19"/>
  <c r="AG220" i="19"/>
  <c r="AG215" i="19"/>
  <c r="AH215" i="19" s="1"/>
  <c r="E120" i="15"/>
  <c r="E118" i="15"/>
  <c r="E122" i="15"/>
  <c r="E119" i="15"/>
  <c r="E121" i="15"/>
  <c r="E115" i="15"/>
  <c r="E123" i="15"/>
  <c r="E124" i="15"/>
  <c r="E116" i="15"/>
  <c r="E117" i="15"/>
  <c r="E125" i="15"/>
  <c r="E114" i="15"/>
  <c r="V118" i="16"/>
  <c r="I166" i="14"/>
  <c r="I174" i="14"/>
  <c r="I167" i="14"/>
  <c r="J167" i="14" s="1"/>
  <c r="I175" i="14"/>
  <c r="I168" i="14"/>
  <c r="I171" i="14"/>
  <c r="I164" i="14"/>
  <c r="I172" i="14"/>
  <c r="I170" i="14"/>
  <c r="I165" i="14"/>
  <c r="I173" i="14"/>
  <c r="J173" i="14" s="1"/>
  <c r="I169" i="14"/>
  <c r="AG97" i="19"/>
  <c r="AG101" i="19"/>
  <c r="AG95" i="19"/>
  <c r="AG102" i="19"/>
  <c r="AG93" i="19"/>
  <c r="AG98" i="19"/>
  <c r="AG91" i="19"/>
  <c r="AG96" i="19"/>
  <c r="AG99" i="19"/>
  <c r="AG94" i="19"/>
  <c r="AH120" i="19" s="1"/>
  <c r="AG92" i="19"/>
  <c r="AG100" i="19"/>
  <c r="K195" i="14"/>
  <c r="K192" i="14"/>
  <c r="K196" i="14"/>
  <c r="K188" i="14"/>
  <c r="K194" i="14"/>
  <c r="K189" i="14"/>
  <c r="K193" i="14"/>
  <c r="K197" i="14"/>
  <c r="K190" i="14"/>
  <c r="K198" i="14"/>
  <c r="K199" i="14"/>
  <c r="K191" i="14"/>
  <c r="L191" i="14" s="1"/>
  <c r="H117" i="19"/>
  <c r="H125" i="19"/>
  <c r="V223" i="14"/>
  <c r="V213" i="14"/>
  <c r="AK102" i="19"/>
  <c r="AL102" i="19" s="1"/>
  <c r="AK91" i="19"/>
  <c r="AL91" i="19" s="1"/>
  <c r="AK97" i="19"/>
  <c r="AL97" i="19" s="1"/>
  <c r="AK94" i="19"/>
  <c r="AL94" i="19" s="1"/>
  <c r="AK98" i="19"/>
  <c r="AL98" i="19" s="1"/>
  <c r="AK99" i="19"/>
  <c r="AL99" i="19" s="1"/>
  <c r="AK92" i="19"/>
  <c r="AL92" i="19" s="1"/>
  <c r="AK93" i="19"/>
  <c r="AL93" i="19" s="1"/>
  <c r="AK95" i="19"/>
  <c r="AL95" i="19" s="1"/>
  <c r="AK100" i="19"/>
  <c r="AL100" i="19" s="1"/>
  <c r="AK96" i="19"/>
  <c r="AL96" i="19" s="1"/>
  <c r="AK101" i="19"/>
  <c r="AL101" i="19" s="1"/>
  <c r="AD91" i="14"/>
  <c r="AO117" i="16"/>
  <c r="AP117" i="16" s="1"/>
  <c r="AO116" i="16"/>
  <c r="AP116" i="16" s="1"/>
  <c r="AO124" i="16"/>
  <c r="AP124" i="16" s="1"/>
  <c r="AO122" i="16"/>
  <c r="AP122" i="16" s="1"/>
  <c r="AO115" i="16"/>
  <c r="AP115" i="16" s="1"/>
  <c r="AO119" i="16"/>
  <c r="AP119" i="16" s="1"/>
  <c r="AO121" i="16"/>
  <c r="AP121" i="16" s="1"/>
  <c r="AO125" i="16"/>
  <c r="AP125" i="16" s="1"/>
  <c r="AO126" i="16"/>
  <c r="AP126" i="16" s="1"/>
  <c r="AO118" i="16"/>
  <c r="AP118" i="16" s="1"/>
  <c r="AO120" i="16"/>
  <c r="AP120" i="16" s="1"/>
  <c r="AO123" i="16"/>
  <c r="AP123" i="16" s="1"/>
  <c r="Q44" i="19"/>
  <c r="Q48" i="19"/>
  <c r="Q47" i="19"/>
  <c r="Q45" i="19"/>
  <c r="R74" i="19" s="1"/>
  <c r="Q53" i="19"/>
  <c r="Q46" i="19"/>
  <c r="Q49" i="19"/>
  <c r="Q52" i="19"/>
  <c r="Q50" i="19"/>
  <c r="Q43" i="19"/>
  <c r="Q51" i="19"/>
  <c r="Q42" i="19"/>
  <c r="R42" i="19" s="1"/>
  <c r="AA212" i="19"/>
  <c r="AA222" i="19"/>
  <c r="AA217" i="19"/>
  <c r="AA218" i="19"/>
  <c r="AA219" i="19"/>
  <c r="AA220" i="19"/>
  <c r="AA215" i="19"/>
  <c r="AB215" i="19" s="1"/>
  <c r="AA213" i="19"/>
  <c r="AA221" i="19"/>
  <c r="AA216" i="19"/>
  <c r="AA214" i="19"/>
  <c r="AA223" i="19"/>
  <c r="AG149" i="19"/>
  <c r="AG140" i="19"/>
  <c r="AG150" i="19"/>
  <c r="AG143" i="19"/>
  <c r="AH143" i="19" s="1"/>
  <c r="AG144" i="19"/>
  <c r="AG145" i="19"/>
  <c r="AG147" i="19"/>
  <c r="AG142" i="19"/>
  <c r="AG148" i="19"/>
  <c r="AG141" i="19"/>
  <c r="AG146" i="19"/>
  <c r="AG151" i="19"/>
  <c r="AH151" i="19" s="1"/>
  <c r="P120" i="14"/>
  <c r="K50" i="14"/>
  <c r="K43" i="14"/>
  <c r="K49" i="14"/>
  <c r="K42" i="14"/>
  <c r="K46" i="14"/>
  <c r="K51" i="14"/>
  <c r="K47" i="14"/>
  <c r="K53" i="14"/>
  <c r="K45" i="14"/>
  <c r="K52" i="14"/>
  <c r="K44" i="14"/>
  <c r="K48" i="14"/>
  <c r="AA143" i="15"/>
  <c r="AA139" i="15"/>
  <c r="AA145" i="15"/>
  <c r="AA141" i="15"/>
  <c r="AA149" i="15"/>
  <c r="AA142" i="15"/>
  <c r="AB142" i="15" s="1"/>
  <c r="AA144" i="15"/>
  <c r="AA150" i="15"/>
  <c r="AA147" i="15"/>
  <c r="AA148" i="15"/>
  <c r="AA140" i="15"/>
  <c r="AA146" i="15"/>
  <c r="AA70" i="14"/>
  <c r="AA77" i="14"/>
  <c r="AA69" i="14"/>
  <c r="AA67" i="14"/>
  <c r="AA71" i="14"/>
  <c r="AA74" i="14"/>
  <c r="AA76" i="14"/>
  <c r="AA66" i="14"/>
  <c r="AA68" i="14"/>
  <c r="AA75" i="14"/>
  <c r="AA73" i="14"/>
  <c r="AA72" i="14"/>
  <c r="Z140" i="14"/>
  <c r="L142" i="16"/>
  <c r="Z121" i="19"/>
  <c r="Y222" i="19"/>
  <c r="Y215" i="19"/>
  <c r="Z215" i="19" s="1"/>
  <c r="Y223" i="19"/>
  <c r="Y219" i="19"/>
  <c r="Y216" i="19"/>
  <c r="Y220" i="19"/>
  <c r="Y212" i="19"/>
  <c r="Y213" i="19"/>
  <c r="Y217" i="19"/>
  <c r="Y221" i="19"/>
  <c r="Y214" i="19"/>
  <c r="Y218" i="19"/>
  <c r="AC20" i="15"/>
  <c r="AC25" i="15"/>
  <c r="AC26" i="15"/>
  <c r="AC28" i="15"/>
  <c r="AC21" i="15"/>
  <c r="AD21" i="15" s="1"/>
  <c r="AC29" i="15"/>
  <c r="AC22" i="15"/>
  <c r="AC18" i="15"/>
  <c r="AC23" i="15"/>
  <c r="AC24" i="15"/>
  <c r="AC19" i="15"/>
  <c r="AC27" i="15"/>
  <c r="AK67" i="16"/>
  <c r="AL67" i="16" s="1"/>
  <c r="AK77" i="16"/>
  <c r="AL77" i="16" s="1"/>
  <c r="AK70" i="16"/>
  <c r="AL70" i="16" s="1"/>
  <c r="AK66" i="16"/>
  <c r="AL66" i="16" s="1"/>
  <c r="AK71" i="16"/>
  <c r="AL71" i="16" s="1"/>
  <c r="AK72" i="16"/>
  <c r="AL72" i="16" s="1"/>
  <c r="AK73" i="16"/>
  <c r="AL73" i="16" s="1"/>
  <c r="AK68" i="16"/>
  <c r="AL68" i="16" s="1"/>
  <c r="AK74" i="16"/>
  <c r="AL74" i="16" s="1"/>
  <c r="AK69" i="16"/>
  <c r="AL69" i="16" s="1"/>
  <c r="AK75" i="16"/>
  <c r="AL75" i="16" s="1"/>
  <c r="AK76" i="16"/>
  <c r="AL76" i="16" s="1"/>
  <c r="AI77" i="15"/>
  <c r="AJ77" i="15" s="1"/>
  <c r="AI74" i="15"/>
  <c r="AJ74" i="15" s="1"/>
  <c r="AI76" i="15"/>
  <c r="AJ76" i="15" s="1"/>
  <c r="AI68" i="15"/>
  <c r="AJ68" i="15" s="1"/>
  <c r="AI70" i="15"/>
  <c r="AJ70" i="15" s="1"/>
  <c r="AI73" i="15"/>
  <c r="AJ73" i="15" s="1"/>
  <c r="AI69" i="15"/>
  <c r="AJ69" i="15" s="1"/>
  <c r="AI75" i="15"/>
  <c r="AJ75" i="15" s="1"/>
  <c r="AI71" i="15"/>
  <c r="AJ71" i="15" s="1"/>
  <c r="AI72" i="15"/>
  <c r="AJ72" i="15" s="1"/>
  <c r="AI66" i="15"/>
  <c r="AJ66" i="15" s="1"/>
  <c r="AI67" i="15"/>
  <c r="AJ67" i="15" s="1"/>
  <c r="AO69" i="15"/>
  <c r="AP69" i="15" s="1"/>
  <c r="AO77" i="15"/>
  <c r="AP77" i="15" s="1"/>
  <c r="AO70" i="15"/>
  <c r="AP70" i="15" s="1"/>
  <c r="AO71" i="15"/>
  <c r="AP71" i="15" s="1"/>
  <c r="AO72" i="15"/>
  <c r="AP72" i="15" s="1"/>
  <c r="AO67" i="15"/>
  <c r="AP67" i="15" s="1"/>
  <c r="AO73" i="15"/>
  <c r="AP73" i="15" s="1"/>
  <c r="AO75" i="15"/>
  <c r="AP75" i="15" s="1"/>
  <c r="AO68" i="15"/>
  <c r="AP68" i="15" s="1"/>
  <c r="AO76" i="15"/>
  <c r="AP76" i="15" s="1"/>
  <c r="AO66" i="15"/>
  <c r="AP66" i="15" s="1"/>
  <c r="AO74" i="15"/>
  <c r="AP74" i="15" s="1"/>
  <c r="AA196" i="14"/>
  <c r="AA188" i="14"/>
  <c r="AA197" i="14"/>
  <c r="AA195" i="14"/>
  <c r="AA190" i="14"/>
  <c r="AA198" i="14"/>
  <c r="AA191" i="14"/>
  <c r="AB191" i="14" s="1"/>
  <c r="AA199" i="14"/>
  <c r="AA192" i="14"/>
  <c r="AA189" i="14"/>
  <c r="AA193" i="14"/>
  <c r="AA194" i="14"/>
  <c r="AD115" i="16"/>
  <c r="AD122" i="16"/>
  <c r="AA49" i="15"/>
  <c r="AA44" i="15"/>
  <c r="AA52" i="15"/>
  <c r="AA45" i="15"/>
  <c r="AA50" i="15"/>
  <c r="AA51" i="15"/>
  <c r="AA43" i="15"/>
  <c r="AA47" i="15"/>
  <c r="AA48" i="15"/>
  <c r="AA42" i="15"/>
  <c r="AA46" i="15"/>
  <c r="AA53" i="15"/>
  <c r="AB53" i="15" s="1"/>
  <c r="I67" i="16"/>
  <c r="J67" i="16" s="1"/>
  <c r="I75" i="16"/>
  <c r="J75" i="16" s="1"/>
  <c r="I74" i="16"/>
  <c r="J74" i="16" s="1"/>
  <c r="I73" i="16"/>
  <c r="J73" i="16" s="1"/>
  <c r="I71" i="16"/>
  <c r="J71" i="16" s="1"/>
  <c r="I72" i="16"/>
  <c r="J72" i="16" s="1"/>
  <c r="I68" i="16"/>
  <c r="J68" i="16" s="1"/>
  <c r="I76" i="16"/>
  <c r="J76" i="16" s="1"/>
  <c r="I69" i="16"/>
  <c r="J69" i="16" s="1"/>
  <c r="I77" i="16"/>
  <c r="J77" i="16" s="1"/>
  <c r="I70" i="16"/>
  <c r="J70" i="16" s="1"/>
  <c r="I66" i="16"/>
  <c r="J66" i="16" s="1"/>
  <c r="AG197" i="14"/>
  <c r="AG194" i="14"/>
  <c r="AG192" i="14"/>
  <c r="AG195" i="14"/>
  <c r="AG198" i="14"/>
  <c r="AG199" i="14"/>
  <c r="AG189" i="14"/>
  <c r="AG188" i="14"/>
  <c r="AG196" i="14"/>
  <c r="AG193" i="14"/>
  <c r="AG190" i="14"/>
  <c r="AG191" i="14"/>
  <c r="AH191" i="14" s="1"/>
  <c r="T221" i="14"/>
  <c r="AE151" i="19"/>
  <c r="AE148" i="19"/>
  <c r="AE144" i="19"/>
  <c r="AE150" i="19"/>
  <c r="AE140" i="19"/>
  <c r="AE141" i="19"/>
  <c r="AE145" i="19"/>
  <c r="AE149" i="19"/>
  <c r="AE142" i="19"/>
  <c r="AE147" i="19"/>
  <c r="AE143" i="19"/>
  <c r="AF143" i="19" s="1"/>
  <c r="AE146" i="19"/>
  <c r="K219" i="15"/>
  <c r="K212" i="15"/>
  <c r="K213" i="15"/>
  <c r="K220" i="15"/>
  <c r="K214" i="15"/>
  <c r="L214" i="15" s="1"/>
  <c r="K216" i="15"/>
  <c r="K215" i="15"/>
  <c r="K217" i="15"/>
  <c r="K218" i="15"/>
  <c r="K221" i="15"/>
  <c r="K222" i="15"/>
  <c r="K211" i="15"/>
  <c r="S120" i="19"/>
  <c r="S119" i="19"/>
  <c r="T119" i="19" s="1"/>
  <c r="S117" i="19"/>
  <c r="T117" i="19" s="1"/>
  <c r="S122" i="19"/>
  <c r="S125" i="19"/>
  <c r="S118" i="19"/>
  <c r="S123" i="19"/>
  <c r="S116" i="19"/>
  <c r="S124" i="19"/>
  <c r="S126" i="19"/>
  <c r="T126" i="19" s="1"/>
  <c r="S115" i="19"/>
  <c r="T115" i="19" s="1"/>
  <c r="S121" i="19"/>
  <c r="AH26" i="14"/>
  <c r="AH27" i="14"/>
  <c r="AH19" i="14"/>
  <c r="AH24" i="14"/>
  <c r="AH25" i="14"/>
  <c r="AH23" i="14"/>
  <c r="AH28" i="14"/>
  <c r="AH20" i="14"/>
  <c r="AH18" i="14"/>
  <c r="AH22" i="14"/>
  <c r="AH29" i="14"/>
  <c r="AH21" i="14"/>
  <c r="AI21" i="14" s="1"/>
  <c r="AM144" i="19"/>
  <c r="AN144" i="19" s="1"/>
  <c r="AM149" i="19"/>
  <c r="AN149" i="19" s="1"/>
  <c r="AM140" i="19"/>
  <c r="AN140" i="19" s="1"/>
  <c r="AM150" i="19"/>
  <c r="AN150" i="19" s="1"/>
  <c r="AM145" i="19"/>
  <c r="AN145" i="19" s="1"/>
  <c r="AM147" i="19"/>
  <c r="AN147" i="19" s="1"/>
  <c r="AM141" i="19"/>
  <c r="AN141" i="19" s="1"/>
  <c r="AM142" i="19"/>
  <c r="AN142" i="19" s="1"/>
  <c r="AM143" i="19"/>
  <c r="AN143" i="19" s="1"/>
  <c r="AM151" i="19"/>
  <c r="AN151" i="19" s="1"/>
  <c r="AM146" i="19"/>
  <c r="AN146" i="19" s="1"/>
  <c r="AM148" i="19"/>
  <c r="AN148" i="19" s="1"/>
  <c r="Z116" i="15"/>
  <c r="Z119" i="15"/>
  <c r="AK19" i="15"/>
  <c r="AL19" i="15" s="1"/>
  <c r="AK20" i="15"/>
  <c r="AL20" i="15" s="1"/>
  <c r="AK26" i="15"/>
  <c r="AL26" i="15" s="1"/>
  <c r="AK28" i="15"/>
  <c r="AL28" i="15" s="1"/>
  <c r="AK25" i="15"/>
  <c r="AL25" i="15" s="1"/>
  <c r="AK18" i="15"/>
  <c r="AL18" i="15" s="1"/>
  <c r="AK23" i="15"/>
  <c r="AL23" i="15" s="1"/>
  <c r="AK22" i="15"/>
  <c r="AL22" i="15" s="1"/>
  <c r="AK29" i="15"/>
  <c r="AL29" i="15" s="1"/>
  <c r="AK21" i="15"/>
  <c r="AL21" i="15" s="1"/>
  <c r="AK24" i="15"/>
  <c r="AL24" i="15" s="1"/>
  <c r="AK27" i="15"/>
  <c r="AL27" i="15" s="1"/>
  <c r="W68" i="15"/>
  <c r="X68" i="15" s="1"/>
  <c r="W69" i="15"/>
  <c r="X69" i="15" s="1"/>
  <c r="W66" i="15"/>
  <c r="X66" i="15" s="1"/>
  <c r="W75" i="15"/>
  <c r="X75" i="15" s="1"/>
  <c r="W76" i="15"/>
  <c r="X76" i="15" s="1"/>
  <c r="W74" i="15"/>
  <c r="X74" i="15" s="1"/>
  <c r="W71" i="15"/>
  <c r="X71" i="15" s="1"/>
  <c r="W72" i="15"/>
  <c r="X72" i="15" s="1"/>
  <c r="W73" i="15"/>
  <c r="X73" i="15" s="1"/>
  <c r="W67" i="15"/>
  <c r="X67" i="15" s="1"/>
  <c r="W77" i="15"/>
  <c r="X77" i="15" s="1"/>
  <c r="W70" i="15"/>
  <c r="X70" i="15" s="1"/>
  <c r="S192" i="16"/>
  <c r="S191" i="16"/>
  <c r="T191" i="16" s="1"/>
  <c r="S188" i="16"/>
  <c r="S195" i="16"/>
  <c r="S193" i="16"/>
  <c r="S198" i="16"/>
  <c r="S199" i="16"/>
  <c r="S196" i="16"/>
  <c r="S197" i="16"/>
  <c r="S194" i="16"/>
  <c r="T194" i="16" s="1"/>
  <c r="S189" i="16"/>
  <c r="S190" i="16"/>
  <c r="H118" i="16"/>
  <c r="AK151" i="14"/>
  <c r="AL151" i="14" s="1"/>
  <c r="AK145" i="14"/>
  <c r="AL145" i="14" s="1"/>
  <c r="AK146" i="14"/>
  <c r="AL146" i="14" s="1"/>
  <c r="AK150" i="14"/>
  <c r="AL150" i="14" s="1"/>
  <c r="AK140" i="14"/>
  <c r="AL140" i="14" s="1"/>
  <c r="AK147" i="14"/>
  <c r="AL147" i="14" s="1"/>
  <c r="AK142" i="14"/>
  <c r="AL142" i="14" s="1"/>
  <c r="AK148" i="14"/>
  <c r="AL148" i="14" s="1"/>
  <c r="AK144" i="14"/>
  <c r="AL144" i="14" s="1"/>
  <c r="AK143" i="14"/>
  <c r="AL143" i="14" s="1"/>
  <c r="AK141" i="14"/>
  <c r="AL141" i="14" s="1"/>
  <c r="AK149" i="14"/>
  <c r="AL149" i="14" s="1"/>
  <c r="Z125" i="14"/>
  <c r="P126" i="16"/>
  <c r="P117" i="16"/>
  <c r="AE96" i="15"/>
  <c r="AE101" i="15"/>
  <c r="AE95" i="15"/>
  <c r="AE97" i="15"/>
  <c r="AE91" i="15"/>
  <c r="AE92" i="15"/>
  <c r="AE93" i="15"/>
  <c r="AE98" i="15"/>
  <c r="AE90" i="15"/>
  <c r="AE99" i="15"/>
  <c r="AE94" i="15"/>
  <c r="AE100" i="15"/>
  <c r="F194" i="16"/>
  <c r="AK43" i="16"/>
  <c r="AL43" i="16" s="1"/>
  <c r="AK45" i="16"/>
  <c r="AL45" i="16" s="1"/>
  <c r="AK46" i="16"/>
  <c r="AL46" i="16" s="1"/>
  <c r="AK44" i="16"/>
  <c r="AL44" i="16" s="1"/>
  <c r="AK47" i="16"/>
  <c r="AL47" i="16" s="1"/>
  <c r="AK52" i="16"/>
  <c r="AL52" i="16" s="1"/>
  <c r="AK51" i="16"/>
  <c r="AL51" i="16" s="1"/>
  <c r="AK48" i="16"/>
  <c r="AL48" i="16" s="1"/>
  <c r="AK53" i="16"/>
  <c r="AL53" i="16" s="1"/>
  <c r="AK50" i="16"/>
  <c r="AL50" i="16" s="1"/>
  <c r="AK42" i="16"/>
  <c r="AL42" i="16" s="1"/>
  <c r="AK49" i="16"/>
  <c r="AL49" i="16" s="1"/>
  <c r="AE223" i="16"/>
  <c r="AE217" i="16"/>
  <c r="AE218" i="16"/>
  <c r="AE219" i="16"/>
  <c r="AE212" i="16"/>
  <c r="AE213" i="16"/>
  <c r="AE215" i="16"/>
  <c r="AF215" i="16" s="1"/>
  <c r="AE221" i="16"/>
  <c r="AE216" i="16"/>
  <c r="AE222" i="16"/>
  <c r="AE220" i="16"/>
  <c r="AE214" i="16"/>
  <c r="AG46" i="15"/>
  <c r="AG45" i="15"/>
  <c r="AH66" i="15" s="1"/>
  <c r="AG43" i="15"/>
  <c r="AG51" i="15"/>
  <c r="AG44" i="15"/>
  <c r="AG53" i="15"/>
  <c r="AG48" i="15"/>
  <c r="AG52" i="15"/>
  <c r="AG47" i="15"/>
  <c r="AG42" i="15"/>
  <c r="AG50" i="15"/>
  <c r="AG49" i="15"/>
  <c r="AG213" i="15"/>
  <c r="AG221" i="15"/>
  <c r="AG214" i="15"/>
  <c r="AH214" i="15" s="1"/>
  <c r="AG222" i="15"/>
  <c r="AG216" i="15"/>
  <c r="AG215" i="15"/>
  <c r="AG219" i="15"/>
  <c r="AG217" i="15"/>
  <c r="AG218" i="15"/>
  <c r="AG211" i="15"/>
  <c r="AG212" i="15"/>
  <c r="AH212" i="15" s="1"/>
  <c r="AG220" i="15"/>
  <c r="E119" i="14"/>
  <c r="E123" i="14"/>
  <c r="E121" i="14"/>
  <c r="E120" i="14"/>
  <c r="E116" i="14"/>
  <c r="E124" i="14"/>
  <c r="E117" i="14"/>
  <c r="E125" i="14"/>
  <c r="E118" i="14"/>
  <c r="E115" i="14"/>
  <c r="E126" i="14"/>
  <c r="E122" i="14"/>
  <c r="V123" i="16"/>
  <c r="I167" i="15"/>
  <c r="I165" i="15"/>
  <c r="I173" i="15"/>
  <c r="I166" i="15"/>
  <c r="I168" i="15"/>
  <c r="I174" i="15"/>
  <c r="I171" i="15"/>
  <c r="I163" i="15"/>
  <c r="I170" i="15"/>
  <c r="I164" i="15"/>
  <c r="I172" i="15"/>
  <c r="I169" i="15"/>
  <c r="AG91" i="14"/>
  <c r="AG96" i="14"/>
  <c r="AG97" i="14"/>
  <c r="AG95" i="14"/>
  <c r="AG98" i="14"/>
  <c r="AG92" i="14"/>
  <c r="AG100" i="14"/>
  <c r="AG94" i="14"/>
  <c r="AH124" i="14" s="1"/>
  <c r="AG99" i="14"/>
  <c r="AG102" i="14"/>
  <c r="AG101" i="14"/>
  <c r="AG93" i="14"/>
  <c r="AD76" i="14"/>
  <c r="K197" i="15"/>
  <c r="K190" i="15"/>
  <c r="K198" i="15"/>
  <c r="K193" i="15"/>
  <c r="K188" i="15"/>
  <c r="K187" i="15"/>
  <c r="K192" i="15"/>
  <c r="K196" i="15"/>
  <c r="K189" i="15"/>
  <c r="K195" i="15"/>
  <c r="K194" i="15"/>
  <c r="K191" i="15"/>
  <c r="H122" i="19"/>
  <c r="V222" i="14"/>
  <c r="P175" i="14"/>
  <c r="AK215" i="15"/>
  <c r="AL215" i="15" s="1"/>
  <c r="AK216" i="15"/>
  <c r="AL216" i="15" s="1"/>
  <c r="AK217" i="15"/>
  <c r="AL217" i="15" s="1"/>
  <c r="AK219" i="15"/>
  <c r="AL219" i="15" s="1"/>
  <c r="AK218" i="15"/>
  <c r="AL218" i="15" s="1"/>
  <c r="AK212" i="15"/>
  <c r="AL212" i="15" s="1"/>
  <c r="AK211" i="15"/>
  <c r="AL211" i="15" s="1"/>
  <c r="AK220" i="15"/>
  <c r="AL220" i="15" s="1"/>
  <c r="AK221" i="15"/>
  <c r="AL221" i="15" s="1"/>
  <c r="AK213" i="15"/>
  <c r="AL213" i="15" s="1"/>
  <c r="AK214" i="15"/>
  <c r="AL214" i="15" s="1"/>
  <c r="AK222" i="15"/>
  <c r="AL222" i="15" s="1"/>
  <c r="AA100" i="16"/>
  <c r="AA92" i="16"/>
  <c r="AA94" i="16"/>
  <c r="AB94" i="16" s="1"/>
  <c r="AA102" i="16"/>
  <c r="AA99" i="16"/>
  <c r="AA95" i="16"/>
  <c r="AA91" i="16"/>
  <c r="AA97" i="16"/>
  <c r="AA96" i="16"/>
  <c r="AA93" i="16"/>
  <c r="AA98" i="16"/>
  <c r="AB98" i="16" s="1"/>
  <c r="AA101" i="16"/>
  <c r="AE166" i="14"/>
  <c r="AE175" i="14"/>
  <c r="AE167" i="14"/>
  <c r="AE165" i="14"/>
  <c r="AE173" i="14"/>
  <c r="AE168" i="14"/>
  <c r="AE164" i="14"/>
  <c r="AE169" i="14"/>
  <c r="AE174" i="14"/>
  <c r="AE170" i="14"/>
  <c r="AE171" i="14"/>
  <c r="AE172" i="14"/>
  <c r="P118" i="14"/>
  <c r="K49" i="15"/>
  <c r="K45" i="15"/>
  <c r="L68" i="15" s="1"/>
  <c r="K43" i="15"/>
  <c r="K44" i="15"/>
  <c r="K50" i="15"/>
  <c r="K51" i="15"/>
  <c r="K52" i="15"/>
  <c r="K46" i="15"/>
  <c r="K47" i="15"/>
  <c r="K42" i="15"/>
  <c r="K53" i="15"/>
  <c r="K48" i="15"/>
  <c r="AA141" i="16"/>
  <c r="AA142" i="16"/>
  <c r="AA143" i="16"/>
  <c r="AB143" i="16" s="1"/>
  <c r="AA147" i="16"/>
  <c r="AA148" i="16"/>
  <c r="AA144" i="16"/>
  <c r="AA149" i="16"/>
  <c r="AA140" i="16"/>
  <c r="AA150" i="16"/>
  <c r="AA145" i="16"/>
  <c r="AA146" i="16"/>
  <c r="AB146" i="16" s="1"/>
  <c r="AA151" i="16"/>
  <c r="AA67" i="16"/>
  <c r="AA71" i="16"/>
  <c r="AA70" i="16"/>
  <c r="AA68" i="16"/>
  <c r="AA75" i="16"/>
  <c r="AA69" i="16"/>
  <c r="AA76" i="16"/>
  <c r="AA72" i="16"/>
  <c r="AA73" i="16"/>
  <c r="AA74" i="16"/>
  <c r="AA77" i="16"/>
  <c r="AA66" i="16"/>
  <c r="Z149" i="14"/>
  <c r="Z142" i="14"/>
  <c r="Z125" i="19"/>
  <c r="Z126" i="19"/>
  <c r="AE70" i="14"/>
  <c r="AE69" i="14"/>
  <c r="AE77" i="14"/>
  <c r="AE71" i="14"/>
  <c r="AE76" i="14"/>
  <c r="AE68" i="14"/>
  <c r="AE75" i="14"/>
  <c r="AE67" i="14"/>
  <c r="AE72" i="14"/>
  <c r="AE74" i="14"/>
  <c r="AE66" i="14"/>
  <c r="AE73" i="14"/>
  <c r="AK68" i="19"/>
  <c r="AL68" i="19" s="1"/>
  <c r="AK70" i="19"/>
  <c r="AL70" i="19" s="1"/>
  <c r="AK69" i="19"/>
  <c r="AL69" i="19" s="1"/>
  <c r="AK73" i="19"/>
  <c r="AL73" i="19" s="1"/>
  <c r="AK67" i="19"/>
  <c r="AL67" i="19" s="1"/>
  <c r="AK66" i="19"/>
  <c r="AL66" i="19" s="1"/>
  <c r="AK77" i="19"/>
  <c r="AL77" i="19" s="1"/>
  <c r="AK74" i="19"/>
  <c r="AL74" i="19" s="1"/>
  <c r="AK75" i="19"/>
  <c r="AL75" i="19" s="1"/>
  <c r="AK76" i="19"/>
  <c r="AL76" i="19" s="1"/>
  <c r="AK71" i="19"/>
  <c r="AL71" i="19" s="1"/>
  <c r="AK72" i="19"/>
  <c r="AL72" i="19" s="1"/>
  <c r="AI66" i="16"/>
  <c r="AJ66" i="16" s="1"/>
  <c r="AI71" i="16"/>
  <c r="AJ71" i="16" s="1"/>
  <c r="AI77" i="16"/>
  <c r="AJ77" i="16" s="1"/>
  <c r="AI70" i="16"/>
  <c r="AJ70" i="16" s="1"/>
  <c r="AI68" i="16"/>
  <c r="AJ68" i="16" s="1"/>
  <c r="AI76" i="16"/>
  <c r="AJ76" i="16" s="1"/>
  <c r="AI72" i="16"/>
  <c r="AJ72" i="16" s="1"/>
  <c r="AI69" i="16"/>
  <c r="AJ69" i="16" s="1"/>
  <c r="AI67" i="16"/>
  <c r="AJ67" i="16" s="1"/>
  <c r="AI74" i="16"/>
  <c r="AJ74" i="16" s="1"/>
  <c r="AI75" i="16"/>
  <c r="AJ75" i="16" s="1"/>
  <c r="AI73" i="16"/>
  <c r="AJ73" i="16" s="1"/>
  <c r="AO67" i="16"/>
  <c r="AP67" i="16" s="1"/>
  <c r="AO75" i="16"/>
  <c r="AP75" i="16" s="1"/>
  <c r="AO74" i="16"/>
  <c r="AP74" i="16" s="1"/>
  <c r="AO71" i="16"/>
  <c r="AP71" i="16" s="1"/>
  <c r="AO66" i="16"/>
  <c r="AP66" i="16" s="1"/>
  <c r="AO72" i="16"/>
  <c r="AP72" i="16" s="1"/>
  <c r="AO73" i="16"/>
  <c r="AP73" i="16" s="1"/>
  <c r="AO68" i="16"/>
  <c r="AP68" i="16" s="1"/>
  <c r="AO76" i="16"/>
  <c r="AP76" i="16" s="1"/>
  <c r="AO69" i="16"/>
  <c r="AP69" i="16" s="1"/>
  <c r="AO77" i="16"/>
  <c r="AP77" i="16" s="1"/>
  <c r="AO70" i="16"/>
  <c r="AP70" i="16" s="1"/>
  <c r="AA196" i="19"/>
  <c r="AA188" i="19"/>
  <c r="AA197" i="19"/>
  <c r="AA194" i="19"/>
  <c r="AA190" i="19"/>
  <c r="AA198" i="19"/>
  <c r="AA191" i="19"/>
  <c r="AB191" i="19" s="1"/>
  <c r="AA195" i="19"/>
  <c r="AA199" i="19"/>
  <c r="AA189" i="19"/>
  <c r="AA192" i="19"/>
  <c r="AA193" i="19"/>
  <c r="AD123" i="16"/>
  <c r="AA51" i="16"/>
  <c r="AA43" i="16"/>
  <c r="AA42" i="16"/>
  <c r="AA50" i="16"/>
  <c r="AA49" i="16"/>
  <c r="AA48" i="16"/>
  <c r="AA44" i="16"/>
  <c r="AA52" i="16"/>
  <c r="AA45" i="16"/>
  <c r="AB45" i="16" s="1"/>
  <c r="AA47" i="16"/>
  <c r="AA53" i="16"/>
  <c r="AA46" i="16"/>
  <c r="I66" i="15"/>
  <c r="J66" i="15" s="1"/>
  <c r="I74" i="15"/>
  <c r="J74" i="15" s="1"/>
  <c r="I67" i="15"/>
  <c r="J67" i="15" s="1"/>
  <c r="I73" i="15"/>
  <c r="J73" i="15" s="1"/>
  <c r="I75" i="15"/>
  <c r="J75" i="15" s="1"/>
  <c r="I68" i="15"/>
  <c r="J68" i="15" s="1"/>
  <c r="I76" i="15"/>
  <c r="J76" i="15" s="1"/>
  <c r="I69" i="15"/>
  <c r="J69" i="15" s="1"/>
  <c r="I77" i="15"/>
  <c r="J77" i="15" s="1"/>
  <c r="I70" i="15"/>
  <c r="J70" i="15" s="1"/>
  <c r="I72" i="15"/>
  <c r="J72" i="15" s="1"/>
  <c r="I71" i="15"/>
  <c r="J71" i="15" s="1"/>
  <c r="AG198" i="16"/>
  <c r="AG191" i="16"/>
  <c r="AH191" i="16" s="1"/>
  <c r="AG192" i="16"/>
  <c r="AG193" i="16"/>
  <c r="AG188" i="16"/>
  <c r="AG194" i="16"/>
  <c r="AG196" i="16"/>
  <c r="AG195" i="16"/>
  <c r="AG189" i="16"/>
  <c r="AG199" i="16"/>
  <c r="AG197" i="16"/>
  <c r="AG190" i="16"/>
  <c r="T222" i="14"/>
  <c r="T223" i="14"/>
  <c r="AE143" i="15"/>
  <c r="AE139" i="15"/>
  <c r="AE140" i="15"/>
  <c r="AE148" i="15"/>
  <c r="AE141" i="15"/>
  <c r="AE149" i="15"/>
  <c r="AE144" i="15"/>
  <c r="AE150" i="15"/>
  <c r="AE146" i="15"/>
  <c r="AE147" i="15"/>
  <c r="AE145" i="15"/>
  <c r="AE142" i="15"/>
  <c r="AF142" i="15" s="1"/>
  <c r="K220" i="19"/>
  <c r="K215" i="19"/>
  <c r="L215" i="19" s="1"/>
  <c r="K213" i="19"/>
  <c r="K223" i="19"/>
  <c r="K221" i="19"/>
  <c r="K216" i="19"/>
  <c r="K214" i="19"/>
  <c r="K212" i="19"/>
  <c r="K222" i="19"/>
  <c r="K217" i="19"/>
  <c r="L217" i="19" s="1"/>
  <c r="K218" i="19"/>
  <c r="K219" i="19"/>
  <c r="S117" i="16"/>
  <c r="S120" i="16"/>
  <c r="S121" i="16"/>
  <c r="S124" i="16"/>
  <c r="S116" i="16"/>
  <c r="S122" i="16"/>
  <c r="S123" i="16"/>
  <c r="S115" i="16"/>
  <c r="S125" i="16"/>
  <c r="S119" i="16"/>
  <c r="S126" i="16"/>
  <c r="S118" i="16"/>
  <c r="AG25" i="15"/>
  <c r="AG26" i="15"/>
  <c r="AG24" i="15"/>
  <c r="AG19" i="15"/>
  <c r="AG28" i="15"/>
  <c r="AG27" i="15"/>
  <c r="AG20" i="15"/>
  <c r="AG21" i="15"/>
  <c r="AH21" i="15" s="1"/>
  <c r="AG29" i="15"/>
  <c r="AG22" i="15"/>
  <c r="AG18" i="15"/>
  <c r="AG23" i="15"/>
  <c r="Z114" i="15"/>
  <c r="W69" i="16"/>
  <c r="X69" i="16" s="1"/>
  <c r="W66" i="16"/>
  <c r="X66" i="16" s="1"/>
  <c r="W77" i="16"/>
  <c r="X77" i="16" s="1"/>
  <c r="W67" i="16"/>
  <c r="X67" i="16" s="1"/>
  <c r="W75" i="16"/>
  <c r="X75" i="16" s="1"/>
  <c r="W71" i="16"/>
  <c r="X71" i="16" s="1"/>
  <c r="W68" i="16"/>
  <c r="X68" i="16" s="1"/>
  <c r="W76" i="16"/>
  <c r="X76" i="16" s="1"/>
  <c r="W72" i="16"/>
  <c r="X72" i="16" s="1"/>
  <c r="W70" i="16"/>
  <c r="X70" i="16" s="1"/>
  <c r="W73" i="16"/>
  <c r="X73" i="16" s="1"/>
  <c r="W74" i="16"/>
  <c r="X74" i="16" s="1"/>
  <c r="S199" i="19"/>
  <c r="S195" i="19"/>
  <c r="S192" i="19"/>
  <c r="S196" i="19"/>
  <c r="S188" i="19"/>
  <c r="S189" i="19"/>
  <c r="S193" i="19"/>
  <c r="S197" i="19"/>
  <c r="S194" i="19"/>
  <c r="S190" i="19"/>
  <c r="S198" i="19"/>
  <c r="S191" i="19"/>
  <c r="H126" i="16"/>
  <c r="Q211" i="15"/>
  <c r="Q216" i="15"/>
  <c r="Q217" i="15"/>
  <c r="Q212" i="15"/>
  <c r="Q218" i="15"/>
  <c r="Q220" i="15"/>
  <c r="Q219" i="15"/>
  <c r="Q213" i="15"/>
  <c r="Q221" i="15"/>
  <c r="Q214" i="15"/>
  <c r="R214" i="15" s="1"/>
  <c r="Q222" i="15"/>
  <c r="Q215" i="15"/>
  <c r="AE191" i="19"/>
  <c r="AF191" i="19" s="1"/>
  <c r="AE199" i="19"/>
  <c r="AE195" i="19"/>
  <c r="AE192" i="19"/>
  <c r="AE196" i="19"/>
  <c r="AE188" i="19"/>
  <c r="AE189" i="19"/>
  <c r="AE193" i="19"/>
  <c r="AE197" i="19"/>
  <c r="AE194" i="19"/>
  <c r="AE190" i="19"/>
  <c r="AE198" i="19"/>
  <c r="AK140" i="16"/>
  <c r="AL140" i="16" s="1"/>
  <c r="AK146" i="16"/>
  <c r="AL146" i="16" s="1"/>
  <c r="AK148" i="16"/>
  <c r="AL148" i="16" s="1"/>
  <c r="AK147" i="16"/>
  <c r="AL147" i="16" s="1"/>
  <c r="AK141" i="16"/>
  <c r="AL141" i="16" s="1"/>
  <c r="AK151" i="16"/>
  <c r="AL151" i="16" s="1"/>
  <c r="AK149" i="16"/>
  <c r="AL149" i="16" s="1"/>
  <c r="AK142" i="16"/>
  <c r="AL142" i="16" s="1"/>
  <c r="AK150" i="16"/>
  <c r="AL150" i="16" s="1"/>
  <c r="AK144" i="16"/>
  <c r="AL144" i="16" s="1"/>
  <c r="AK143" i="16"/>
  <c r="AL143" i="16" s="1"/>
  <c r="AK145" i="16"/>
  <c r="AL145" i="16" s="1"/>
  <c r="O70" i="14"/>
  <c r="O71" i="14"/>
  <c r="O77" i="14"/>
  <c r="O69" i="14"/>
  <c r="O74" i="14"/>
  <c r="O76" i="14"/>
  <c r="O67" i="14"/>
  <c r="O73" i="14"/>
  <c r="O72" i="14"/>
  <c r="O68" i="14"/>
  <c r="O75" i="14"/>
  <c r="O66" i="14"/>
  <c r="Z126" i="14"/>
  <c r="Z117" i="14"/>
  <c r="U74" i="14"/>
  <c r="U75" i="14"/>
  <c r="U67" i="14"/>
  <c r="U73" i="14"/>
  <c r="U72" i="14"/>
  <c r="U71" i="14"/>
  <c r="V71" i="14" s="1"/>
  <c r="U70" i="14"/>
  <c r="U76" i="14"/>
  <c r="U68" i="14"/>
  <c r="U66" i="14"/>
  <c r="U77" i="14"/>
  <c r="U69" i="14"/>
  <c r="AE21" i="15"/>
  <c r="AE23" i="15"/>
  <c r="AE22" i="15"/>
  <c r="AE25" i="15"/>
  <c r="AE24" i="15"/>
  <c r="AE26" i="15"/>
  <c r="AE29" i="15"/>
  <c r="AE19" i="15"/>
  <c r="AE18" i="15"/>
  <c r="AE27" i="15"/>
  <c r="AE20" i="15"/>
  <c r="AE28" i="15"/>
  <c r="AE96" i="16"/>
  <c r="AE101" i="16"/>
  <c r="AE94" i="16"/>
  <c r="AE102" i="16"/>
  <c r="AE95" i="16"/>
  <c r="AE97" i="16"/>
  <c r="AE91" i="16"/>
  <c r="AE92" i="16"/>
  <c r="AE98" i="16"/>
  <c r="AE100" i="16"/>
  <c r="AE99" i="16"/>
  <c r="AF99" i="16" s="1"/>
  <c r="AE93" i="16"/>
  <c r="F198" i="16"/>
  <c r="AK46" i="19"/>
  <c r="AL46" i="19" s="1"/>
  <c r="AK44" i="19"/>
  <c r="AL44" i="19" s="1"/>
  <c r="AK47" i="19"/>
  <c r="AL47" i="19" s="1"/>
  <c r="AK48" i="19"/>
  <c r="AL48" i="19" s="1"/>
  <c r="AK50" i="19"/>
  <c r="AL50" i="19" s="1"/>
  <c r="AK51" i="19"/>
  <c r="AL51" i="19" s="1"/>
  <c r="AK45" i="19"/>
  <c r="AL45" i="19" s="1"/>
  <c r="AK53" i="19"/>
  <c r="AL53" i="19" s="1"/>
  <c r="AK49" i="19"/>
  <c r="AL49" i="19" s="1"/>
  <c r="AK42" i="19"/>
  <c r="AL42" i="19" s="1"/>
  <c r="AK52" i="19"/>
  <c r="AL52" i="19" s="1"/>
  <c r="AK43" i="19"/>
  <c r="AL43" i="19" s="1"/>
  <c r="AE217" i="19"/>
  <c r="AE219" i="19"/>
  <c r="AE220" i="19"/>
  <c r="AE215" i="19"/>
  <c r="AF215" i="19" s="1"/>
  <c r="AE213" i="19"/>
  <c r="AE223" i="19"/>
  <c r="AE221" i="19"/>
  <c r="AE216" i="19"/>
  <c r="AE212" i="19"/>
  <c r="AE218" i="19"/>
  <c r="AE214" i="19"/>
  <c r="AE222" i="19"/>
  <c r="AF222" i="19" s="1"/>
  <c r="AG46" i="16"/>
  <c r="AG42" i="16"/>
  <c r="AG53" i="16"/>
  <c r="AG47" i="16"/>
  <c r="AG44" i="16"/>
  <c r="AG52" i="16"/>
  <c r="AG48" i="16"/>
  <c r="AG49" i="16"/>
  <c r="AG45" i="16"/>
  <c r="AG50" i="16"/>
  <c r="AG51" i="16"/>
  <c r="AG43" i="16"/>
  <c r="AG217" i="14"/>
  <c r="AG221" i="14"/>
  <c r="AG220" i="14"/>
  <c r="AG222" i="14"/>
  <c r="AG223" i="14"/>
  <c r="AG213" i="14"/>
  <c r="AG212" i="14"/>
  <c r="AG214" i="14"/>
  <c r="AG218" i="14"/>
  <c r="AG219" i="14"/>
  <c r="AG215" i="14"/>
  <c r="AH215" i="14" s="1"/>
  <c r="AG216" i="14"/>
  <c r="E120" i="16"/>
  <c r="E125" i="16"/>
  <c r="E118" i="16"/>
  <c r="E121" i="16"/>
  <c r="E126" i="16"/>
  <c r="E123" i="16"/>
  <c r="E115" i="16"/>
  <c r="E116" i="16"/>
  <c r="E124" i="16"/>
  <c r="E117" i="16"/>
  <c r="E119" i="16"/>
  <c r="E122" i="16"/>
  <c r="V125" i="16"/>
  <c r="I171" i="19"/>
  <c r="I167" i="19"/>
  <c r="J167" i="19" s="1"/>
  <c r="I175" i="19"/>
  <c r="I168" i="19"/>
  <c r="I164" i="19"/>
  <c r="I165" i="19"/>
  <c r="I169" i="19"/>
  <c r="I173" i="19"/>
  <c r="I170" i="19"/>
  <c r="I166" i="19"/>
  <c r="I174" i="19"/>
  <c r="I172" i="19"/>
  <c r="AG100" i="15"/>
  <c r="AG90" i="15"/>
  <c r="AG92" i="15"/>
  <c r="AG91" i="15"/>
  <c r="AG94" i="15"/>
  <c r="AG99" i="15"/>
  <c r="AG98" i="15"/>
  <c r="AG93" i="15"/>
  <c r="AG101" i="15"/>
  <c r="AG95" i="15"/>
  <c r="AG96" i="15"/>
  <c r="AG97" i="15"/>
  <c r="AD73" i="14"/>
  <c r="K198" i="19"/>
  <c r="K199" i="19"/>
  <c r="K195" i="19"/>
  <c r="K192" i="19"/>
  <c r="K196" i="19"/>
  <c r="K188" i="19"/>
  <c r="K189" i="19"/>
  <c r="K193" i="19"/>
  <c r="K190" i="19"/>
  <c r="K191" i="19"/>
  <c r="L191" i="19" s="1"/>
  <c r="K194" i="19"/>
  <c r="K197" i="19"/>
  <c r="H126" i="19"/>
  <c r="V218" i="14"/>
  <c r="AK223" i="14"/>
  <c r="AL223" i="14" s="1"/>
  <c r="AK213" i="14"/>
  <c r="AL213" i="14" s="1"/>
  <c r="AK212" i="14"/>
  <c r="AL212" i="14" s="1"/>
  <c r="AK218" i="14"/>
  <c r="AL218" i="14" s="1"/>
  <c r="AK214" i="14"/>
  <c r="AL214" i="14" s="1"/>
  <c r="AK219" i="14"/>
  <c r="AL219" i="14" s="1"/>
  <c r="AK215" i="14"/>
  <c r="AL215" i="14" s="1"/>
  <c r="AK220" i="14"/>
  <c r="AL220" i="14" s="1"/>
  <c r="AK221" i="14"/>
  <c r="AL221" i="14" s="1"/>
  <c r="AK217" i="14"/>
  <c r="AL217" i="14" s="1"/>
  <c r="AK222" i="14"/>
  <c r="AL222" i="14" s="1"/>
  <c r="AK216" i="14"/>
  <c r="AL216" i="14" s="1"/>
  <c r="AA90" i="15"/>
  <c r="AA94" i="15"/>
  <c r="AA91" i="15"/>
  <c r="AA99" i="15"/>
  <c r="AA92" i="15"/>
  <c r="AA100" i="15"/>
  <c r="AA101" i="15"/>
  <c r="AA96" i="15"/>
  <c r="AA95" i="15"/>
  <c r="AA97" i="15"/>
  <c r="AA98" i="15"/>
  <c r="AA93" i="15"/>
  <c r="AE170" i="15"/>
  <c r="AE172" i="15"/>
  <c r="AE174" i="15"/>
  <c r="AE164" i="15"/>
  <c r="AE171" i="15"/>
  <c r="AE165" i="15"/>
  <c r="AE167" i="15"/>
  <c r="AE166" i="15"/>
  <c r="AE163" i="15"/>
  <c r="AE173" i="15"/>
  <c r="AE168" i="15"/>
  <c r="AE169" i="15"/>
  <c r="P124" i="14"/>
  <c r="K43" i="16"/>
  <c r="K50" i="16"/>
  <c r="K49" i="16"/>
  <c r="K47" i="16"/>
  <c r="K48" i="16"/>
  <c r="K51" i="16"/>
  <c r="K42" i="16"/>
  <c r="K52" i="16"/>
  <c r="K46" i="16"/>
  <c r="K44" i="16"/>
  <c r="K53" i="16"/>
  <c r="K45" i="16"/>
  <c r="AA146" i="14"/>
  <c r="AA149" i="14"/>
  <c r="AA142" i="14"/>
  <c r="AA150" i="14"/>
  <c r="AA143" i="14"/>
  <c r="AB143" i="14" s="1"/>
  <c r="AA151" i="14"/>
  <c r="AA144" i="14"/>
  <c r="AA141" i="14"/>
  <c r="AA140" i="14"/>
  <c r="AA147" i="14"/>
  <c r="AA148" i="14"/>
  <c r="AA145" i="14"/>
  <c r="AA67" i="15"/>
  <c r="AA68" i="15"/>
  <c r="AA75" i="15"/>
  <c r="AA69" i="15"/>
  <c r="AA71" i="15"/>
  <c r="AA72" i="15"/>
  <c r="AA73" i="15"/>
  <c r="AA76" i="15"/>
  <c r="AA74" i="15"/>
  <c r="AA70" i="15"/>
  <c r="AA77" i="15"/>
  <c r="AA66" i="15"/>
  <c r="K43" i="19"/>
  <c r="K52" i="19"/>
  <c r="K50" i="19"/>
  <c r="K51" i="19"/>
  <c r="K44" i="19"/>
  <c r="K53" i="19"/>
  <c r="K46" i="19"/>
  <c r="K48" i="19"/>
  <c r="K42" i="19"/>
  <c r="K47" i="19"/>
  <c r="K49" i="19"/>
  <c r="K45" i="19"/>
  <c r="L70" i="19" s="1"/>
  <c r="AA141" i="19"/>
  <c r="AA142" i="19"/>
  <c r="AA147" i="19"/>
  <c r="AA151" i="19"/>
  <c r="AA144" i="19"/>
  <c r="AA140" i="19"/>
  <c r="AA145" i="19"/>
  <c r="AA149" i="19"/>
  <c r="AA143" i="19"/>
  <c r="AB143" i="19" s="1"/>
  <c r="AA148" i="19"/>
  <c r="AA150" i="19"/>
  <c r="AA146" i="19"/>
  <c r="AA72" i="19"/>
  <c r="AA70" i="19"/>
  <c r="AA74" i="19"/>
  <c r="AA73" i="19"/>
  <c r="AA67" i="19"/>
  <c r="AA75" i="19"/>
  <c r="AA68" i="19"/>
  <c r="AA76" i="19"/>
  <c r="AA69" i="19"/>
  <c r="AA77" i="19"/>
  <c r="AA71" i="19"/>
  <c r="AA66" i="19"/>
  <c r="AJ171" i="19"/>
  <c r="T95" i="19"/>
  <c r="Z123" i="19"/>
  <c r="Z118" i="19"/>
  <c r="AE77" i="16"/>
  <c r="AE71" i="16"/>
  <c r="AE69" i="16"/>
  <c r="AE70" i="16"/>
  <c r="AE66" i="16"/>
  <c r="AE73" i="16"/>
  <c r="AE75" i="16"/>
  <c r="AE74" i="16"/>
  <c r="AE68" i="16"/>
  <c r="AE67" i="16"/>
  <c r="AE76" i="16"/>
  <c r="AE72" i="16"/>
  <c r="AD47" i="14"/>
  <c r="M92" i="14"/>
  <c r="M102" i="14"/>
  <c r="M96" i="14"/>
  <c r="M101" i="14"/>
  <c r="M93" i="14"/>
  <c r="M100" i="14"/>
  <c r="M99" i="14"/>
  <c r="M95" i="14"/>
  <c r="M98" i="14"/>
  <c r="M94" i="14"/>
  <c r="N125" i="14" s="1"/>
  <c r="M97" i="14"/>
  <c r="M91" i="14"/>
  <c r="Z26" i="14"/>
  <c r="Z19" i="14"/>
  <c r="Z27" i="14"/>
  <c r="Z25" i="14"/>
  <c r="Z18" i="14"/>
  <c r="Z22" i="14"/>
  <c r="Z24" i="14"/>
  <c r="Z29" i="14"/>
  <c r="Z21" i="14"/>
  <c r="AA21" i="14" s="1"/>
  <c r="Z28" i="14"/>
  <c r="Z20" i="14"/>
  <c r="Z23" i="14"/>
  <c r="J26" i="14"/>
  <c r="K26" i="14" s="1"/>
  <c r="Q122" i="14"/>
  <c r="Q120" i="14"/>
  <c r="Q123" i="14"/>
  <c r="Q116" i="14"/>
  <c r="Q124" i="14"/>
  <c r="Q117" i="14"/>
  <c r="Q125" i="14"/>
  <c r="Q115" i="14"/>
  <c r="Q121" i="14"/>
  <c r="Q118" i="14"/>
  <c r="Q126" i="14"/>
  <c r="Q119" i="14"/>
  <c r="E145" i="19"/>
  <c r="E147" i="19"/>
  <c r="E146" i="19"/>
  <c r="E148" i="19"/>
  <c r="E150" i="19"/>
  <c r="E141" i="19"/>
  <c r="E151" i="19"/>
  <c r="E149" i="19"/>
  <c r="E140" i="19"/>
  <c r="E142" i="19"/>
  <c r="E143" i="19"/>
  <c r="F143" i="19" s="1"/>
  <c r="E144" i="19"/>
  <c r="Q174" i="16"/>
  <c r="Q175" i="16"/>
  <c r="Q165" i="16"/>
  <c r="Q172" i="16"/>
  <c r="Q166" i="16"/>
  <c r="Q168" i="16"/>
  <c r="Q167" i="16"/>
  <c r="R167" i="16" s="1"/>
  <c r="Q164" i="16"/>
  <c r="Q171" i="16"/>
  <c r="Q169" i="16"/>
  <c r="Q170" i="16"/>
  <c r="Q173" i="16"/>
  <c r="AD121" i="16"/>
  <c r="S26" i="16"/>
  <c r="S25" i="16"/>
  <c r="S23" i="16"/>
  <c r="S24" i="16"/>
  <c r="S21" i="16"/>
  <c r="T21" i="16" s="1"/>
  <c r="S28" i="16"/>
  <c r="S19" i="16"/>
  <c r="S20" i="16"/>
  <c r="S18" i="16"/>
  <c r="S22" i="16"/>
  <c r="S27" i="16"/>
  <c r="S29" i="16"/>
  <c r="I116" i="14"/>
  <c r="J116" i="14" s="1"/>
  <c r="I122" i="14"/>
  <c r="J122" i="14" s="1"/>
  <c r="I124" i="14"/>
  <c r="J124" i="14" s="1"/>
  <c r="I117" i="14"/>
  <c r="J117" i="14" s="1"/>
  <c r="I125" i="14"/>
  <c r="J125" i="14" s="1"/>
  <c r="I115" i="14"/>
  <c r="J115" i="14" s="1"/>
  <c r="I118" i="14"/>
  <c r="J118" i="14" s="1"/>
  <c r="I126" i="14"/>
  <c r="J126" i="14" s="1"/>
  <c r="I120" i="14"/>
  <c r="J120" i="14" s="1"/>
  <c r="I121" i="14"/>
  <c r="J121" i="14" s="1"/>
  <c r="I123" i="14"/>
  <c r="J123" i="14" s="1"/>
  <c r="I119" i="14"/>
  <c r="J119" i="14" s="1"/>
  <c r="T214" i="14"/>
  <c r="S118" i="15"/>
  <c r="T118" i="15" s="1"/>
  <c r="S116" i="15"/>
  <c r="T116" i="15" s="1"/>
  <c r="S122" i="15"/>
  <c r="T122" i="15" s="1"/>
  <c r="S114" i="15"/>
  <c r="T114" i="15" s="1"/>
  <c r="S119" i="15"/>
  <c r="T119" i="15" s="1"/>
  <c r="S120" i="15"/>
  <c r="T120" i="15" s="1"/>
  <c r="S121" i="15"/>
  <c r="T121" i="15" s="1"/>
  <c r="S123" i="15"/>
  <c r="T123" i="15" s="1"/>
  <c r="S124" i="15"/>
  <c r="T124" i="15" s="1"/>
  <c r="S115" i="15"/>
  <c r="T115" i="15" s="1"/>
  <c r="S117" i="15"/>
  <c r="T117" i="15" s="1"/>
  <c r="S125" i="15"/>
  <c r="T125" i="15" s="1"/>
  <c r="AG28" i="19"/>
  <c r="AG23" i="19"/>
  <c r="AG19" i="19"/>
  <c r="AG20" i="19"/>
  <c r="AG24" i="19"/>
  <c r="AG21" i="19"/>
  <c r="AH21" i="19" s="1"/>
  <c r="AG25" i="19"/>
  <c r="AG29" i="19"/>
  <c r="AG26" i="19"/>
  <c r="AG22" i="19"/>
  <c r="AG18" i="19"/>
  <c r="AG27" i="19"/>
  <c r="Z122" i="15"/>
  <c r="P121" i="19"/>
  <c r="O43" i="16"/>
  <c r="O45" i="16"/>
  <c r="P45" i="16" s="1"/>
  <c r="O53" i="16"/>
  <c r="O42" i="16"/>
  <c r="O52" i="16"/>
  <c r="O46" i="16"/>
  <c r="O44" i="16"/>
  <c r="O50" i="16"/>
  <c r="O48" i="16"/>
  <c r="O51" i="16"/>
  <c r="P51" i="16" s="1"/>
  <c r="O49" i="16"/>
  <c r="O47" i="16"/>
  <c r="K120" i="15"/>
  <c r="L120" i="15" s="1"/>
  <c r="K121" i="15"/>
  <c r="L121" i="15" s="1"/>
  <c r="K118" i="15"/>
  <c r="L118" i="15" s="1"/>
  <c r="K115" i="15"/>
  <c r="L115" i="15" s="1"/>
  <c r="K122" i="15"/>
  <c r="L122" i="15" s="1"/>
  <c r="K123" i="15"/>
  <c r="L123" i="15" s="1"/>
  <c r="K124" i="15"/>
  <c r="L124" i="15" s="1"/>
  <c r="K117" i="15"/>
  <c r="L117" i="15" s="1"/>
  <c r="K125" i="15"/>
  <c r="L125" i="15" s="1"/>
  <c r="K119" i="15"/>
  <c r="L119" i="15" s="1"/>
  <c r="K114" i="15"/>
  <c r="L114" i="15" s="1"/>
  <c r="K116" i="15"/>
  <c r="L116" i="15" s="1"/>
  <c r="H124" i="16"/>
  <c r="Q213" i="14"/>
  <c r="Q214" i="14"/>
  <c r="Q212" i="14"/>
  <c r="Q218" i="14"/>
  <c r="Q223" i="14"/>
  <c r="Q219" i="14"/>
  <c r="Q220" i="14"/>
  <c r="Q215" i="14"/>
  <c r="R215" i="14" s="1"/>
  <c r="Q216" i="14"/>
  <c r="Q217" i="14"/>
  <c r="Q221" i="14"/>
  <c r="Q222" i="14"/>
  <c r="AE189" i="16"/>
  <c r="AE188" i="16"/>
  <c r="AE199" i="16"/>
  <c r="AE193" i="16"/>
  <c r="AE194" i="16"/>
  <c r="AE190" i="16"/>
  <c r="AE191" i="16"/>
  <c r="AF191" i="16" s="1"/>
  <c r="AE195" i="16"/>
  <c r="AE196" i="16"/>
  <c r="AE192" i="16"/>
  <c r="AE197" i="16"/>
  <c r="AE198" i="16"/>
  <c r="AK140" i="19"/>
  <c r="AL140" i="19" s="1"/>
  <c r="AK147" i="19"/>
  <c r="AL147" i="19" s="1"/>
  <c r="AK141" i="19"/>
  <c r="AL141" i="19" s="1"/>
  <c r="AK149" i="19"/>
  <c r="AL149" i="19" s="1"/>
  <c r="AK143" i="19"/>
  <c r="AL143" i="19" s="1"/>
  <c r="AK144" i="19"/>
  <c r="AL144" i="19" s="1"/>
  <c r="AK145" i="19"/>
  <c r="AL145" i="19" s="1"/>
  <c r="AK150" i="19"/>
  <c r="AL150" i="19" s="1"/>
  <c r="AK151" i="19"/>
  <c r="AL151" i="19" s="1"/>
  <c r="AK148" i="19"/>
  <c r="AL148" i="19" s="1"/>
  <c r="AK146" i="19"/>
  <c r="AL146" i="19" s="1"/>
  <c r="AK142" i="19"/>
  <c r="AL142" i="19" s="1"/>
  <c r="O77" i="16"/>
  <c r="O70" i="16"/>
  <c r="O69" i="16"/>
  <c r="O71" i="16"/>
  <c r="O66" i="16"/>
  <c r="P66" i="16" s="1"/>
  <c r="O68" i="16"/>
  <c r="O72" i="16"/>
  <c r="O73" i="16"/>
  <c r="O76" i="16"/>
  <c r="O74" i="16"/>
  <c r="O75" i="16"/>
  <c r="O67" i="16"/>
  <c r="Z119" i="14"/>
  <c r="Z116" i="14"/>
  <c r="U70" i="15"/>
  <c r="V70" i="15" s="1"/>
  <c r="U72" i="15"/>
  <c r="V72" i="15" s="1"/>
  <c r="U73" i="15"/>
  <c r="V73" i="15" s="1"/>
  <c r="U75" i="15"/>
  <c r="V75" i="15" s="1"/>
  <c r="U68" i="15"/>
  <c r="V68" i="15" s="1"/>
  <c r="U76" i="15"/>
  <c r="V76" i="15" s="1"/>
  <c r="U69" i="15"/>
  <c r="V69" i="15" s="1"/>
  <c r="U66" i="15"/>
  <c r="V66" i="15" s="1"/>
  <c r="U71" i="15"/>
  <c r="V71" i="15" s="1"/>
  <c r="U67" i="15"/>
  <c r="V67" i="15" s="1"/>
  <c r="U74" i="15"/>
  <c r="V74" i="15" s="1"/>
  <c r="U77" i="15"/>
  <c r="V77" i="15" s="1"/>
  <c r="AE20" i="19"/>
  <c r="AE22" i="19"/>
  <c r="AE18" i="19"/>
  <c r="AE21" i="19"/>
  <c r="AF21" i="19" s="1"/>
  <c r="AE23" i="19"/>
  <c r="AE27" i="19"/>
  <c r="AE25" i="19"/>
  <c r="AE29" i="19"/>
  <c r="AE28" i="19"/>
  <c r="AE26" i="19"/>
  <c r="AE19" i="19"/>
  <c r="AE24" i="19"/>
  <c r="F197" i="16"/>
  <c r="U22" i="16"/>
  <c r="U21" i="16"/>
  <c r="V21" i="16" s="1"/>
  <c r="U29" i="16"/>
  <c r="U27" i="16"/>
  <c r="U19" i="16"/>
  <c r="U28" i="16"/>
  <c r="U20" i="16"/>
  <c r="U26" i="16"/>
  <c r="U25" i="16"/>
  <c r="U23" i="16"/>
  <c r="V23" i="16" s="1"/>
  <c r="U24" i="16"/>
  <c r="U18" i="16"/>
  <c r="M191" i="14"/>
  <c r="N191" i="14" s="1"/>
  <c r="M196" i="14"/>
  <c r="M189" i="14"/>
  <c r="M197" i="14"/>
  <c r="M192" i="14"/>
  <c r="M188" i="14"/>
  <c r="M193" i="14"/>
  <c r="M195" i="14"/>
  <c r="M190" i="14"/>
  <c r="N190" i="14" s="1"/>
  <c r="M199" i="14"/>
  <c r="M198" i="14"/>
  <c r="M194" i="14"/>
  <c r="E95" i="14"/>
  <c r="E102" i="14"/>
  <c r="E101" i="14"/>
  <c r="E94" i="14"/>
  <c r="E93" i="14"/>
  <c r="E100" i="14"/>
  <c r="E92" i="14"/>
  <c r="E96" i="14"/>
  <c r="E97" i="14"/>
  <c r="E99" i="14"/>
  <c r="E91" i="14"/>
  <c r="E98" i="14"/>
  <c r="F98" i="14" s="1"/>
  <c r="Q196" i="16"/>
  <c r="Q195" i="16"/>
  <c r="Q189" i="16"/>
  <c r="Q199" i="16"/>
  <c r="Q197" i="16"/>
  <c r="Q190" i="16"/>
  <c r="Q198" i="16"/>
  <c r="Q191" i="16"/>
  <c r="R191" i="16" s="1"/>
  <c r="Q192" i="16"/>
  <c r="Q188" i="16"/>
  <c r="Q193" i="16"/>
  <c r="Q194" i="16"/>
  <c r="V120" i="16"/>
  <c r="V117" i="16"/>
  <c r="Q96" i="19"/>
  <c r="Q91" i="19"/>
  <c r="Q99" i="19"/>
  <c r="Q101" i="19"/>
  <c r="Q98" i="19"/>
  <c r="Q94" i="19"/>
  <c r="Q102" i="19"/>
  <c r="Q97" i="19"/>
  <c r="Q95" i="19"/>
  <c r="Q92" i="19"/>
  <c r="Q100" i="19"/>
  <c r="Q93" i="19"/>
  <c r="W120" i="16"/>
  <c r="W124" i="16"/>
  <c r="W123" i="16"/>
  <c r="W121" i="16"/>
  <c r="W122" i="16"/>
  <c r="X122" i="16" s="1"/>
  <c r="W116" i="16"/>
  <c r="W125" i="16"/>
  <c r="W115" i="16"/>
  <c r="W117" i="16"/>
  <c r="W119" i="16"/>
  <c r="W126" i="16"/>
  <c r="W118" i="16"/>
  <c r="AM194" i="14"/>
  <c r="AN194" i="14" s="1"/>
  <c r="AM196" i="14"/>
  <c r="AN196" i="14" s="1"/>
  <c r="AM193" i="14"/>
  <c r="AN193" i="14" s="1"/>
  <c r="AM189" i="14"/>
  <c r="AN189" i="14" s="1"/>
  <c r="AM188" i="14"/>
  <c r="AN188" i="14" s="1"/>
  <c r="AM197" i="14"/>
  <c r="AN197" i="14" s="1"/>
  <c r="AM192" i="14"/>
  <c r="AN192" i="14" s="1"/>
  <c r="AM190" i="14"/>
  <c r="AN190" i="14" s="1"/>
  <c r="AM198" i="14"/>
  <c r="AN198" i="14" s="1"/>
  <c r="AM191" i="14"/>
  <c r="AN191" i="14" s="1"/>
  <c r="AM199" i="14"/>
  <c r="AN199" i="14" s="1"/>
  <c r="AM195" i="14"/>
  <c r="AN195" i="14" s="1"/>
  <c r="H120" i="19"/>
  <c r="V217" i="14"/>
  <c r="AK215" i="16"/>
  <c r="AL215" i="16" s="1"/>
  <c r="AK223" i="16"/>
  <c r="AL223" i="16" s="1"/>
  <c r="AK217" i="16"/>
  <c r="AL217" i="16" s="1"/>
  <c r="AK219" i="16"/>
  <c r="AL219" i="16" s="1"/>
  <c r="AK218" i="16"/>
  <c r="AL218" i="16" s="1"/>
  <c r="AK220" i="16"/>
  <c r="AL220" i="16" s="1"/>
  <c r="AK213" i="16"/>
  <c r="AL213" i="16" s="1"/>
  <c r="AK212" i="16"/>
  <c r="AL212" i="16" s="1"/>
  <c r="AK221" i="16"/>
  <c r="AL221" i="16" s="1"/>
  <c r="AK216" i="16"/>
  <c r="AL216" i="16" s="1"/>
  <c r="AK214" i="16"/>
  <c r="AL214" i="16" s="1"/>
  <c r="AK222" i="16"/>
  <c r="AL222" i="16" s="1"/>
  <c r="AA102" i="19"/>
  <c r="AA99" i="19"/>
  <c r="AA92" i="19"/>
  <c r="AA94" i="19"/>
  <c r="AB94" i="19" s="1"/>
  <c r="AA95" i="19"/>
  <c r="AA91" i="19"/>
  <c r="AA101" i="19"/>
  <c r="AA96" i="19"/>
  <c r="AA100" i="19"/>
  <c r="AA93" i="19"/>
  <c r="AA97" i="19"/>
  <c r="AA98" i="19"/>
  <c r="AE169" i="19"/>
  <c r="AE174" i="19"/>
  <c r="AE170" i="19"/>
  <c r="AE175" i="19"/>
  <c r="AE171" i="19"/>
  <c r="AE166" i="19"/>
  <c r="AE172" i="19"/>
  <c r="AE164" i="19"/>
  <c r="AE165" i="19"/>
  <c r="AE173" i="19"/>
  <c r="AE167" i="19"/>
  <c r="AF167" i="19" s="1"/>
  <c r="AE168" i="19"/>
  <c r="P116" i="14"/>
  <c r="P115" i="14"/>
  <c r="AK188" i="16"/>
  <c r="AL188" i="16" s="1"/>
  <c r="AK199" i="16"/>
  <c r="AL199" i="16" s="1"/>
  <c r="AK196" i="16"/>
  <c r="AL196" i="16" s="1"/>
  <c r="AK191" i="16"/>
  <c r="AL191" i="16" s="1"/>
  <c r="AK189" i="16"/>
  <c r="AL189" i="16" s="1"/>
  <c r="AK197" i="16"/>
  <c r="AL197" i="16" s="1"/>
  <c r="AK190" i="16"/>
  <c r="AL190" i="16" s="1"/>
  <c r="AK198" i="16"/>
  <c r="AL198" i="16" s="1"/>
  <c r="AK192" i="16"/>
  <c r="AL192" i="16" s="1"/>
  <c r="AK195" i="16"/>
  <c r="AL195" i="16" s="1"/>
  <c r="AK193" i="16"/>
  <c r="AL193" i="16" s="1"/>
  <c r="AK194" i="16"/>
  <c r="AL194" i="16" s="1"/>
  <c r="AI222" i="19"/>
  <c r="AJ222" i="19" s="1"/>
  <c r="AI223" i="19"/>
  <c r="AJ223" i="19" s="1"/>
  <c r="AI221" i="19"/>
  <c r="AJ221" i="19" s="1"/>
  <c r="AI212" i="19"/>
  <c r="AJ212" i="19" s="1"/>
  <c r="AI217" i="19"/>
  <c r="AJ217" i="19" s="1"/>
  <c r="AI218" i="19"/>
  <c r="AJ218" i="19" s="1"/>
  <c r="AI219" i="19"/>
  <c r="AJ219" i="19" s="1"/>
  <c r="AI215" i="19"/>
  <c r="AJ215" i="19" s="1"/>
  <c r="AI216" i="19"/>
  <c r="AJ216" i="19" s="1"/>
  <c r="AI220" i="19"/>
  <c r="AJ220" i="19" s="1"/>
  <c r="AI213" i="19"/>
  <c r="AJ213" i="19" s="1"/>
  <c r="AI214" i="19"/>
  <c r="AJ214" i="19" s="1"/>
  <c r="F72" i="19"/>
  <c r="F69" i="19"/>
  <c r="F70" i="19"/>
  <c r="F68" i="19"/>
  <c r="N72" i="19"/>
  <c r="N77" i="19"/>
  <c r="N73" i="19"/>
  <c r="N69" i="19"/>
  <c r="N75" i="19"/>
  <c r="N70" i="19"/>
  <c r="N68" i="19"/>
  <c r="N76" i="19"/>
  <c r="AJ172" i="19"/>
  <c r="T102" i="19"/>
  <c r="T100" i="19"/>
  <c r="AJ165" i="19"/>
  <c r="AJ170" i="19"/>
  <c r="T91" i="19"/>
  <c r="F66" i="16"/>
  <c r="F70" i="16"/>
  <c r="N72" i="16"/>
  <c r="N75" i="16"/>
  <c r="N71" i="16"/>
  <c r="N77" i="16"/>
  <c r="N73" i="16"/>
  <c r="N67" i="16"/>
  <c r="N74" i="16"/>
  <c r="V216" i="15"/>
  <c r="AD90" i="15"/>
  <c r="N72" i="14"/>
  <c r="N77" i="14"/>
  <c r="N66" i="14"/>
  <c r="N74" i="14"/>
  <c r="N73" i="14"/>
  <c r="N69" i="14"/>
  <c r="N71" i="14"/>
  <c r="N70" i="14"/>
  <c r="N76" i="14"/>
  <c r="N67" i="14"/>
  <c r="N68" i="14"/>
  <c r="N75" i="14"/>
  <c r="AJ169" i="14"/>
  <c r="AJ174" i="14"/>
  <c r="AD217" i="14"/>
  <c r="AJ170" i="14"/>
  <c r="AJ165" i="14"/>
  <c r="AD222" i="14"/>
  <c r="AJ164" i="14"/>
  <c r="AJ166" i="14"/>
  <c r="AD219" i="14"/>
  <c r="AJ175" i="14"/>
  <c r="AD215" i="14"/>
  <c r="AJ171" i="14"/>
  <c r="AD213" i="14"/>
  <c r="AJ167" i="14"/>
  <c r="AJ172" i="14"/>
  <c r="AJ173" i="14"/>
  <c r="AB282" i="13"/>
  <c r="AB277" i="13"/>
  <c r="AB281" i="13"/>
  <c r="AB291" i="13"/>
  <c r="P188" i="21"/>
  <c r="H302" i="13"/>
  <c r="AB280" i="13"/>
  <c r="AB290" i="13"/>
  <c r="AB289" i="13"/>
  <c r="AB292" i="13"/>
  <c r="AB285" i="13"/>
  <c r="AB283" i="13"/>
  <c r="J302" i="13"/>
  <c r="AB295" i="13"/>
  <c r="AB279" i="13"/>
  <c r="J303" i="13"/>
  <c r="AB284" i="13"/>
  <c r="AB286" i="13"/>
  <c r="AB296" i="13"/>
  <c r="AB294" i="13"/>
  <c r="AB288" i="13"/>
  <c r="AB293" i="13"/>
  <c r="W279" i="13"/>
  <c r="P187" i="21"/>
  <c r="W294" i="13"/>
  <c r="P202" i="21"/>
  <c r="W285" i="13"/>
  <c r="P193" i="21"/>
  <c r="W283" i="13"/>
  <c r="P191" i="21"/>
  <c r="W290" i="13"/>
  <c r="P198" i="21"/>
  <c r="W284" i="13"/>
  <c r="P192" i="21"/>
  <c r="W286" i="13"/>
  <c r="P194" i="21"/>
  <c r="W289" i="13"/>
  <c r="P197" i="21"/>
  <c r="W282" i="13"/>
  <c r="P190" i="21"/>
  <c r="W292" i="13"/>
  <c r="P200" i="21"/>
  <c r="W278" i="13"/>
  <c r="P186" i="21"/>
  <c r="W281" i="13"/>
  <c r="P189" i="21"/>
  <c r="W293" i="13"/>
  <c r="P201" i="21"/>
  <c r="W291" i="13"/>
  <c r="P199" i="21"/>
  <c r="W287" i="13"/>
  <c r="P195" i="21"/>
  <c r="AZ135" i="7"/>
  <c r="B168" i="18" s="1"/>
  <c r="AY134" i="7"/>
  <c r="B167" i="17" s="1"/>
  <c r="AZ134" i="7"/>
  <c r="B167" i="18" s="1"/>
  <c r="AZ136" i="7"/>
  <c r="B169" i="18" s="1"/>
  <c r="AY136" i="7"/>
  <c r="B169" i="17" s="1"/>
  <c r="AZ149" i="7"/>
  <c r="B182" i="18" s="1"/>
  <c r="AY149" i="7"/>
  <c r="B182" i="17" s="1"/>
  <c r="AZ133" i="7"/>
  <c r="B166" i="18" s="1"/>
  <c r="AY133" i="7"/>
  <c r="B166" i="17" s="1"/>
  <c r="AY142" i="7"/>
  <c r="B175" i="17" s="1"/>
  <c r="AZ142" i="7"/>
  <c r="B175" i="18" s="1"/>
  <c r="AZ144" i="7"/>
  <c r="B177" i="18" s="1"/>
  <c r="AY144" i="7"/>
  <c r="B177" i="17" s="1"/>
  <c r="AZ141" i="7"/>
  <c r="B174" i="18" s="1"/>
  <c r="AY141" i="7"/>
  <c r="B174" i="17" s="1"/>
  <c r="AZ130" i="7"/>
  <c r="B163" i="18" s="1"/>
  <c r="AY130" i="7"/>
  <c r="B163" i="17" s="1"/>
  <c r="B152" i="21"/>
  <c r="B156" i="21" s="1"/>
  <c r="B155" i="21" s="1"/>
  <c r="AD279" i="13"/>
  <c r="AD289" i="13"/>
  <c r="AD287" i="13"/>
  <c r="AD282" i="13"/>
  <c r="AD295" i="13"/>
  <c r="AD283" i="13"/>
  <c r="AD281" i="13"/>
  <c r="AD291" i="13"/>
  <c r="AD278" i="13"/>
  <c r="AD290" i="13"/>
  <c r="AD285" i="13"/>
  <c r="AD286" i="13"/>
  <c r="AD280" i="13"/>
  <c r="AD284" i="13"/>
  <c r="AD296" i="13"/>
  <c r="AD294" i="13"/>
  <c r="AD288" i="13"/>
  <c r="AD292" i="13"/>
  <c r="AD277" i="13"/>
  <c r="AD293" i="13"/>
  <c r="AB287" i="13"/>
  <c r="AB278" i="13"/>
  <c r="W280" i="13"/>
  <c r="I301" i="13" s="1"/>
  <c r="V217" i="15"/>
  <c r="V212" i="15"/>
  <c r="V220" i="15"/>
  <c r="V221" i="15"/>
  <c r="V213" i="15"/>
  <c r="V215" i="15"/>
  <c r="V218" i="15"/>
  <c r="V219" i="15"/>
  <c r="V222" i="15"/>
  <c r="V211" i="15"/>
  <c r="AJ175" i="19"/>
  <c r="AJ169" i="19"/>
  <c r="AJ167" i="19"/>
  <c r="AJ174" i="19"/>
  <c r="B179" i="15"/>
  <c r="AJ167" i="15" s="1"/>
  <c r="AZ206" i="7"/>
  <c r="B228" i="18" s="1"/>
  <c r="AJ173" i="19"/>
  <c r="AJ164" i="19"/>
  <c r="AJ168" i="19"/>
  <c r="J147" i="14"/>
  <c r="J141" i="14"/>
  <c r="T100" i="14"/>
  <c r="T96" i="14"/>
  <c r="AZ108" i="7"/>
  <c r="B147" i="18" s="1"/>
  <c r="AY108" i="7"/>
  <c r="B147" i="17" s="1"/>
  <c r="AZ115" i="7"/>
  <c r="B154" i="18" s="1"/>
  <c r="B105" i="15"/>
  <c r="Z66" i="15"/>
  <c r="Z70" i="15"/>
  <c r="AR77" i="7"/>
  <c r="AT70" i="7"/>
  <c r="AR70" i="7"/>
  <c r="AS77" i="7"/>
  <c r="Z77" i="15"/>
  <c r="BA76" i="7"/>
  <c r="B72" i="19" s="1"/>
  <c r="AW76" i="7"/>
  <c r="B72" i="15" s="1"/>
  <c r="Z72" i="15"/>
  <c r="Z71" i="15"/>
  <c r="Z75" i="15"/>
  <c r="Z69" i="15"/>
  <c r="AY81" i="7"/>
  <c r="B125" i="17" s="1"/>
  <c r="Z67" i="15"/>
  <c r="Z76" i="15"/>
  <c r="AZ81" i="7"/>
  <c r="B125" i="18" s="1"/>
  <c r="Z74" i="15"/>
  <c r="Z68" i="15"/>
  <c r="H95" i="15"/>
  <c r="B141" i="18"/>
  <c r="AT100" i="7"/>
  <c r="AR100" i="7"/>
  <c r="H93" i="15"/>
  <c r="H101" i="15"/>
  <c r="AR163" i="7"/>
  <c r="AR101" i="7"/>
  <c r="J146" i="16"/>
  <c r="J141" i="16"/>
  <c r="J144" i="14"/>
  <c r="J151" i="14"/>
  <c r="J146" i="14"/>
  <c r="J143" i="14"/>
  <c r="J149" i="14"/>
  <c r="J150" i="14"/>
  <c r="J148" i="14"/>
  <c r="J142" i="14"/>
  <c r="J145" i="14"/>
  <c r="AT163" i="7"/>
  <c r="B140" i="15"/>
  <c r="AY163" i="7"/>
  <c r="B191" i="17" s="1"/>
  <c r="Z142" i="15"/>
  <c r="B142" i="15"/>
  <c r="L143" i="16"/>
  <c r="L148" i="14"/>
  <c r="Z146" i="15"/>
  <c r="L144" i="14"/>
  <c r="Z149" i="15"/>
  <c r="Z145" i="15"/>
  <c r="AS161" i="7"/>
  <c r="AT161" i="7"/>
  <c r="L151" i="14"/>
  <c r="Z150" i="15"/>
  <c r="Z148" i="15"/>
  <c r="Z144" i="15"/>
  <c r="AY160" i="7"/>
  <c r="B188" i="17" s="1"/>
  <c r="Z139" i="15"/>
  <c r="Z147" i="15"/>
  <c r="Z143" i="15"/>
  <c r="Z140" i="15"/>
  <c r="T92" i="14"/>
  <c r="AS101" i="7"/>
  <c r="T98" i="14"/>
  <c r="T102" i="14"/>
  <c r="AD100" i="15"/>
  <c r="T91" i="14"/>
  <c r="T101" i="14"/>
  <c r="T95" i="14"/>
  <c r="T94" i="14"/>
  <c r="AY73" i="7"/>
  <c r="B117" i="17" s="1"/>
  <c r="AZ73" i="7"/>
  <c r="B117" i="18" s="1"/>
  <c r="H170" i="15"/>
  <c r="L147" i="16"/>
  <c r="L149" i="16"/>
  <c r="L144" i="16"/>
  <c r="L146" i="16"/>
  <c r="L148" i="16"/>
  <c r="L141" i="16"/>
  <c r="L151" i="16"/>
  <c r="L150" i="16"/>
  <c r="L140" i="16"/>
  <c r="AN77" i="15"/>
  <c r="AN72" i="15"/>
  <c r="AN69" i="15"/>
  <c r="AN74" i="15"/>
  <c r="AN66" i="15"/>
  <c r="AN76" i="15"/>
  <c r="AN71" i="15"/>
  <c r="AN73" i="15"/>
  <c r="AN67" i="15"/>
  <c r="AN75" i="15"/>
  <c r="AN70" i="15"/>
  <c r="AN68" i="15"/>
  <c r="AY75" i="7"/>
  <c r="B119" i="17" s="1"/>
  <c r="AZ75" i="7"/>
  <c r="B119" i="18" s="1"/>
  <c r="AS41" i="7"/>
  <c r="AT41" i="7"/>
  <c r="N70" i="15"/>
  <c r="N71" i="15"/>
  <c r="N72" i="15"/>
  <c r="N73" i="15"/>
  <c r="N74" i="15"/>
  <c r="N67" i="15"/>
  <c r="N75" i="15"/>
  <c r="N66" i="15"/>
  <c r="N68" i="15"/>
  <c r="N76" i="15"/>
  <c r="N69" i="15"/>
  <c r="N77" i="15"/>
  <c r="AD98" i="15"/>
  <c r="AD97" i="15"/>
  <c r="AD95" i="15"/>
  <c r="AD91" i="15"/>
  <c r="AD101" i="15"/>
  <c r="AD93" i="15"/>
  <c r="AD99" i="15"/>
  <c r="AD92" i="15"/>
  <c r="AD94" i="15"/>
  <c r="AZ82" i="7"/>
  <c r="B126" i="18" s="1"/>
  <c r="AY82" i="7"/>
  <c r="B126" i="17" s="1"/>
  <c r="AY74" i="7"/>
  <c r="B118" i="17" s="1"/>
  <c r="AZ74" i="7"/>
  <c r="B118" i="18" s="1"/>
  <c r="AZ70" i="7"/>
  <c r="B114" i="18" s="1"/>
  <c r="AY70" i="7"/>
  <c r="B114" i="17" s="1"/>
  <c r="AZ77" i="7"/>
  <c r="B121" i="18" s="1"/>
  <c r="AY77" i="7"/>
  <c r="B121" i="17" s="1"/>
  <c r="AZ85" i="7"/>
  <c r="B129" i="18" s="1"/>
  <c r="AY85" i="7"/>
  <c r="B129" i="17" s="1"/>
  <c r="AZ84" i="7"/>
  <c r="B128" i="18" s="1"/>
  <c r="AY84" i="7"/>
  <c r="B128" i="17" s="1"/>
  <c r="AY164" i="7"/>
  <c r="B192" i="17" s="1"/>
  <c r="AZ164" i="7"/>
  <c r="B192" i="18" s="1"/>
  <c r="B108" i="17"/>
  <c r="B106" i="17"/>
  <c r="T216" i="15"/>
  <c r="T217" i="15"/>
  <c r="T214" i="15"/>
  <c r="T219" i="15"/>
  <c r="T222" i="15"/>
  <c r="T215" i="15"/>
  <c r="T220" i="15"/>
  <c r="AL43" i="15"/>
  <c r="B103" i="17"/>
  <c r="AL193" i="15"/>
  <c r="B107" i="17"/>
  <c r="AD52" i="15"/>
  <c r="AD49" i="15"/>
  <c r="AD53" i="15"/>
  <c r="AD42" i="15"/>
  <c r="AD50" i="15"/>
  <c r="AD45" i="15"/>
  <c r="AD47" i="15"/>
  <c r="AD48" i="15"/>
  <c r="AD46" i="15"/>
  <c r="AD43" i="15"/>
  <c r="B43" i="17"/>
  <c r="F191" i="15"/>
  <c r="F188" i="15"/>
  <c r="F192" i="15"/>
  <c r="F196" i="15"/>
  <c r="F193" i="15"/>
  <c r="F189" i="15"/>
  <c r="F194" i="15"/>
  <c r="F190" i="15"/>
  <c r="F197" i="15"/>
  <c r="F187" i="15"/>
  <c r="F195" i="15"/>
  <c r="F198" i="15"/>
  <c r="B109" i="17"/>
  <c r="B144" i="18"/>
  <c r="B77" i="17"/>
  <c r="B101" i="17" s="1"/>
  <c r="B68" i="17"/>
  <c r="B92" i="17" s="1"/>
  <c r="B73" i="17"/>
  <c r="B97" i="17" s="1"/>
  <c r="B76" i="17"/>
  <c r="B78" i="17"/>
  <c r="B70" i="17"/>
  <c r="B69" i="17"/>
  <c r="B66" i="17"/>
  <c r="B90" i="17" s="1"/>
  <c r="B72" i="17"/>
  <c r="B96" i="17" s="1"/>
  <c r="B75" i="17"/>
  <c r="B74" i="17"/>
  <c r="AP215" i="15"/>
  <c r="AP219" i="15"/>
  <c r="AP217" i="15"/>
  <c r="AP211" i="15"/>
  <c r="AP218" i="15"/>
  <c r="AP216" i="15"/>
  <c r="AP214" i="15"/>
  <c r="AP220" i="15"/>
  <c r="AP222" i="15"/>
  <c r="AP221" i="15"/>
  <c r="AP213" i="15"/>
  <c r="AP212" i="15"/>
  <c r="B45" i="18"/>
  <c r="AP52" i="15"/>
  <c r="AP43" i="15"/>
  <c r="AP49" i="15"/>
  <c r="AP48" i="15"/>
  <c r="AP47" i="15"/>
  <c r="AP44" i="15"/>
  <c r="AP46" i="15"/>
  <c r="AP51" i="15"/>
  <c r="AP50" i="15"/>
  <c r="AP45" i="15"/>
  <c r="AP42" i="15"/>
  <c r="AP53" i="15"/>
  <c r="X165" i="15"/>
  <c r="X167" i="15"/>
  <c r="X173" i="15"/>
  <c r="X174" i="15"/>
  <c r="X164" i="15"/>
  <c r="X163" i="15"/>
  <c r="X166" i="15"/>
  <c r="X168" i="15"/>
  <c r="X171" i="15"/>
  <c r="X169" i="15"/>
  <c r="X170" i="15"/>
  <c r="X172" i="15"/>
  <c r="J222" i="15"/>
  <c r="J217" i="15"/>
  <c r="J218" i="15"/>
  <c r="J216" i="15"/>
  <c r="J219" i="15"/>
  <c r="J214" i="15"/>
  <c r="J213" i="15"/>
  <c r="J215" i="15"/>
  <c r="J220" i="15"/>
  <c r="J211" i="15"/>
  <c r="J212" i="15"/>
  <c r="J221" i="15"/>
  <c r="X146" i="15"/>
  <c r="X147" i="15"/>
  <c r="X148" i="15"/>
  <c r="X149" i="15"/>
  <c r="X140" i="15"/>
  <c r="X150" i="15"/>
  <c r="X141" i="15"/>
  <c r="X139" i="15"/>
  <c r="X142" i="15"/>
  <c r="X143" i="15"/>
  <c r="X144" i="15"/>
  <c r="X145" i="15"/>
  <c r="V92" i="19"/>
  <c r="V102" i="19"/>
  <c r="N51" i="16"/>
  <c r="N43" i="16"/>
  <c r="N48" i="16"/>
  <c r="N45" i="16"/>
  <c r="N53" i="16"/>
  <c r="N46" i="16"/>
  <c r="N42" i="16"/>
  <c r="N47" i="16"/>
  <c r="N49" i="16"/>
  <c r="N44" i="16"/>
  <c r="N52" i="16"/>
  <c r="N50" i="16"/>
  <c r="AZ198" i="7"/>
  <c r="B220" i="18" s="1"/>
  <c r="AY198" i="7"/>
  <c r="B220" i="17" s="1"/>
  <c r="B171" i="15"/>
  <c r="L172" i="19"/>
  <c r="L170" i="19"/>
  <c r="L165" i="19"/>
  <c r="L168" i="19"/>
  <c r="L169" i="19"/>
  <c r="L173" i="19"/>
  <c r="L171" i="19"/>
  <c r="L166" i="19"/>
  <c r="L164" i="19"/>
  <c r="L174" i="19"/>
  <c r="L175" i="19"/>
  <c r="L167" i="19"/>
  <c r="B139" i="18"/>
  <c r="AY173" i="7"/>
  <c r="B201" i="17" s="1"/>
  <c r="AZ173" i="7"/>
  <c r="B201" i="18" s="1"/>
  <c r="B152" i="15"/>
  <c r="AB168" i="19"/>
  <c r="AB166" i="19"/>
  <c r="AB169" i="19"/>
  <c r="AB164" i="19"/>
  <c r="AB172" i="19"/>
  <c r="AB165" i="19"/>
  <c r="AB173" i="19"/>
  <c r="AB170" i="19"/>
  <c r="AB174" i="19"/>
  <c r="AB171" i="19"/>
  <c r="AB175" i="19"/>
  <c r="X193" i="14"/>
  <c r="X196" i="14"/>
  <c r="X191" i="14"/>
  <c r="X199" i="14"/>
  <c r="X192" i="14"/>
  <c r="X188" i="14"/>
  <c r="X189" i="14"/>
  <c r="X194" i="14"/>
  <c r="X197" i="14"/>
  <c r="X195" i="14"/>
  <c r="X190" i="14"/>
  <c r="X198" i="14"/>
  <c r="P217" i="15"/>
  <c r="P213" i="15"/>
  <c r="P221" i="15"/>
  <c r="P214" i="15"/>
  <c r="P222" i="15"/>
  <c r="P212" i="15"/>
  <c r="P215" i="15"/>
  <c r="P216" i="15"/>
  <c r="P218" i="15"/>
  <c r="P219" i="15"/>
  <c r="P220" i="15"/>
  <c r="P211" i="15"/>
  <c r="F213" i="14"/>
  <c r="F216" i="14"/>
  <c r="F212" i="14"/>
  <c r="F217" i="14"/>
  <c r="F215" i="14"/>
  <c r="F218" i="14"/>
  <c r="F219" i="14"/>
  <c r="F220" i="14"/>
  <c r="F221" i="14"/>
  <c r="F222" i="14"/>
  <c r="F223" i="14"/>
  <c r="F214" i="14"/>
  <c r="AZ45" i="7"/>
  <c r="AY45" i="7"/>
  <c r="B47" i="15"/>
  <c r="AJ197" i="15"/>
  <c r="AJ189" i="15"/>
  <c r="AJ195" i="15"/>
  <c r="AJ198" i="15"/>
  <c r="AJ191" i="15"/>
  <c r="AJ192" i="15"/>
  <c r="AJ190" i="15"/>
  <c r="AJ193" i="15"/>
  <c r="AJ196" i="15"/>
  <c r="AJ194" i="15"/>
  <c r="T166" i="19"/>
  <c r="T167" i="19"/>
  <c r="T169" i="19"/>
  <c r="T175" i="19"/>
  <c r="T168" i="19"/>
  <c r="T172" i="19"/>
  <c r="T174" i="19"/>
  <c r="T164" i="19"/>
  <c r="T170" i="19"/>
  <c r="T171" i="19"/>
  <c r="T165" i="19"/>
  <c r="T173" i="19"/>
  <c r="V187" i="15"/>
  <c r="V192" i="15"/>
  <c r="AD144" i="19"/>
  <c r="AD141" i="19"/>
  <c r="AD149" i="19"/>
  <c r="AD143" i="19"/>
  <c r="AD151" i="19"/>
  <c r="AD147" i="19"/>
  <c r="AD145" i="19"/>
  <c r="AD142" i="19"/>
  <c r="AD146" i="19"/>
  <c r="AD150" i="19"/>
  <c r="AD140" i="19"/>
  <c r="AD148" i="19"/>
  <c r="AP99" i="15"/>
  <c r="AP93" i="15"/>
  <c r="AP91" i="15"/>
  <c r="AP101" i="15"/>
  <c r="AP100" i="15"/>
  <c r="AP90" i="15"/>
  <c r="AP92" i="15"/>
  <c r="AP94" i="15"/>
  <c r="AP96" i="15"/>
  <c r="AP97" i="15"/>
  <c r="AP95" i="15"/>
  <c r="AP98" i="15"/>
  <c r="X188" i="16"/>
  <c r="X192" i="16"/>
  <c r="X195" i="16"/>
  <c r="X196" i="16"/>
  <c r="X194" i="16"/>
  <c r="X189" i="16"/>
  <c r="X197" i="16"/>
  <c r="X199" i="16"/>
  <c r="X193" i="16"/>
  <c r="X190" i="16"/>
  <c r="X191" i="16"/>
  <c r="X198" i="16"/>
  <c r="N53" i="14"/>
  <c r="N44" i="14"/>
  <c r="N46" i="14"/>
  <c r="N42" i="14"/>
  <c r="N45" i="14"/>
  <c r="N50" i="14"/>
  <c r="N48" i="14"/>
  <c r="N43" i="14"/>
  <c r="N51" i="14"/>
  <c r="AY101" i="7"/>
  <c r="B140" i="17" s="1"/>
  <c r="B91" i="15"/>
  <c r="AZ101" i="7"/>
  <c r="F215" i="16"/>
  <c r="F216" i="16"/>
  <c r="F222" i="16"/>
  <c r="F212" i="16"/>
  <c r="F217" i="16"/>
  <c r="F223" i="16"/>
  <c r="F218" i="16"/>
  <c r="F219" i="16"/>
  <c r="F213" i="16"/>
  <c r="F221" i="16"/>
  <c r="F214" i="16"/>
  <c r="B58" i="18"/>
  <c r="N53" i="19"/>
  <c r="N42" i="19"/>
  <c r="N45" i="19"/>
  <c r="N47" i="19"/>
  <c r="N48" i="19"/>
  <c r="N50" i="19"/>
  <c r="N51" i="19"/>
  <c r="N52" i="19"/>
  <c r="N44" i="19"/>
  <c r="H26" i="15"/>
  <c r="H21" i="15"/>
  <c r="H23" i="15"/>
  <c r="H148" i="15"/>
  <c r="H149" i="15"/>
  <c r="H144" i="15"/>
  <c r="H220" i="16"/>
  <c r="H221" i="16"/>
  <c r="H212" i="16"/>
  <c r="B52" i="18"/>
  <c r="AP27" i="15"/>
  <c r="AP21" i="15"/>
  <c r="AP18" i="15"/>
  <c r="AP22" i="15"/>
  <c r="AP26" i="15"/>
  <c r="AP29" i="15"/>
  <c r="AP19" i="15"/>
  <c r="AP23" i="15"/>
  <c r="AP20" i="15"/>
  <c r="AP25" i="15"/>
  <c r="AP24" i="15"/>
  <c r="AP28" i="15"/>
  <c r="AZ230" i="7"/>
  <c r="B246" i="18" s="1"/>
  <c r="B197" i="15"/>
  <c r="AY230" i="7"/>
  <c r="B246" i="17" s="1"/>
  <c r="AZ194" i="7"/>
  <c r="B216" i="18" s="1"/>
  <c r="AY194" i="7"/>
  <c r="B216" i="17" s="1"/>
  <c r="B167" i="15"/>
  <c r="AZ202" i="7"/>
  <c r="B224" i="18" s="1"/>
  <c r="AY202" i="7"/>
  <c r="B224" i="17" s="1"/>
  <c r="B175" i="15"/>
  <c r="F94" i="19"/>
  <c r="F96" i="19"/>
  <c r="AP170" i="15"/>
  <c r="AP168" i="15"/>
  <c r="AP171" i="15"/>
  <c r="AP169" i="15"/>
  <c r="AP174" i="15"/>
  <c r="AP172" i="15"/>
  <c r="AP166" i="15"/>
  <c r="AP167" i="15"/>
  <c r="AP164" i="15"/>
  <c r="AP173" i="15"/>
  <c r="AP165" i="15"/>
  <c r="AZ251" i="7"/>
  <c r="B261" i="18" s="1"/>
  <c r="B212" i="15"/>
  <c r="AY251" i="7"/>
  <c r="B261" i="17" s="1"/>
  <c r="AZ41" i="7"/>
  <c r="AY41" i="7"/>
  <c r="B43" i="15"/>
  <c r="AN218" i="15"/>
  <c r="AN212" i="15"/>
  <c r="AN219" i="15"/>
  <c r="AN214" i="15"/>
  <c r="AN215" i="15"/>
  <c r="AN221" i="15"/>
  <c r="AN213" i="15"/>
  <c r="AN216" i="15"/>
  <c r="AN211" i="15"/>
  <c r="AN217" i="15"/>
  <c r="AN222" i="15"/>
  <c r="AN220" i="15"/>
  <c r="AL167" i="15"/>
  <c r="AL168" i="15"/>
  <c r="AL165" i="15"/>
  <c r="AL169" i="15"/>
  <c r="AL171" i="15"/>
  <c r="AL163" i="15"/>
  <c r="AL164" i="15"/>
  <c r="AL166" i="15"/>
  <c r="AL172" i="15"/>
  <c r="AL174" i="15"/>
  <c r="H217" i="14"/>
  <c r="B61" i="18"/>
  <c r="X198" i="19"/>
  <c r="X196" i="19"/>
  <c r="X188" i="19"/>
  <c r="X189" i="19"/>
  <c r="X192" i="19"/>
  <c r="X197" i="19"/>
  <c r="X195" i="19"/>
  <c r="X191" i="19"/>
  <c r="X199" i="19"/>
  <c r="X193" i="19"/>
  <c r="X190" i="19"/>
  <c r="X194" i="19"/>
  <c r="X97" i="14"/>
  <c r="X99" i="14"/>
  <c r="X100" i="14"/>
  <c r="X101" i="14"/>
  <c r="X102" i="14"/>
  <c r="X93" i="14"/>
  <c r="X95" i="14"/>
  <c r="X96" i="14"/>
  <c r="X91" i="14"/>
  <c r="X92" i="14"/>
  <c r="X94" i="14"/>
  <c r="X98" i="14"/>
  <c r="B50" i="18"/>
  <c r="AD141" i="16"/>
  <c r="AD144" i="16"/>
  <c r="AD151" i="16"/>
  <c r="AD148" i="16"/>
  <c r="AD142" i="16"/>
  <c r="AD149" i="16"/>
  <c r="AD140" i="16"/>
  <c r="AD145" i="16"/>
  <c r="AD146" i="16"/>
  <c r="AD147" i="16"/>
  <c r="AD150" i="16"/>
  <c r="AD143" i="16"/>
  <c r="F218" i="19"/>
  <c r="F216" i="19"/>
  <c r="F221" i="19"/>
  <c r="F212" i="19"/>
  <c r="F213" i="19"/>
  <c r="F223" i="19"/>
  <c r="F217" i="19"/>
  <c r="F215" i="19"/>
  <c r="F219" i="19"/>
  <c r="F222" i="19"/>
  <c r="F220" i="19"/>
  <c r="F214" i="19"/>
  <c r="AZ228" i="7"/>
  <c r="B244" i="18" s="1"/>
  <c r="AY228" i="7"/>
  <c r="B244" i="17" s="1"/>
  <c r="B195" i="15"/>
  <c r="B44" i="18"/>
  <c r="F42" i="16"/>
  <c r="AY252" i="7"/>
  <c r="B262" i="17" s="1"/>
  <c r="AZ252" i="7"/>
  <c r="B262" i="18" s="1"/>
  <c r="B213" i="15"/>
  <c r="B59" i="18"/>
  <c r="V93" i="14"/>
  <c r="AJ52" i="15"/>
  <c r="AJ44" i="15"/>
  <c r="AJ50" i="15"/>
  <c r="AJ53" i="15"/>
  <c r="B53" i="18"/>
  <c r="AZ106" i="7"/>
  <c r="AY106" i="7"/>
  <c r="B145" i="17" s="1"/>
  <c r="B96" i="15"/>
  <c r="P118" i="15" s="1"/>
  <c r="B60" i="18"/>
  <c r="J49" i="15"/>
  <c r="J46" i="15"/>
  <c r="J45" i="15"/>
  <c r="J48" i="15"/>
  <c r="J50" i="15"/>
  <c r="J53" i="15"/>
  <c r="J42" i="15"/>
  <c r="J52" i="15"/>
  <c r="J44" i="15"/>
  <c r="J51" i="15"/>
  <c r="J43" i="15"/>
  <c r="J47" i="15"/>
  <c r="AN95" i="15"/>
  <c r="AN99" i="15"/>
  <c r="AN96" i="15"/>
  <c r="AN91" i="15"/>
  <c r="AN97" i="15"/>
  <c r="AN94" i="15"/>
  <c r="AN98" i="15"/>
  <c r="AN90" i="15"/>
  <c r="AN93" i="15"/>
  <c r="AN100" i="15"/>
  <c r="AN92" i="15"/>
  <c r="AN101" i="15"/>
  <c r="P92" i="16"/>
  <c r="P100" i="16"/>
  <c r="P97" i="16"/>
  <c r="P93" i="16"/>
  <c r="P99" i="16"/>
  <c r="P101" i="16"/>
  <c r="P94" i="16"/>
  <c r="P102" i="16"/>
  <c r="P95" i="16"/>
  <c r="P91" i="16"/>
  <c r="P96" i="16"/>
  <c r="P98" i="16"/>
  <c r="P140" i="15"/>
  <c r="P144" i="15"/>
  <c r="P145" i="15"/>
  <c r="P148" i="15"/>
  <c r="P149" i="15"/>
  <c r="P150" i="15"/>
  <c r="P139" i="15"/>
  <c r="P141" i="15"/>
  <c r="P147" i="15"/>
  <c r="P146" i="15"/>
  <c r="P143" i="15"/>
  <c r="P142" i="15"/>
  <c r="AN25" i="15"/>
  <c r="AN24" i="15"/>
  <c r="AN26" i="15"/>
  <c r="AN18" i="15"/>
  <c r="F173" i="15"/>
  <c r="F166" i="15"/>
  <c r="F174" i="15"/>
  <c r="F168" i="15"/>
  <c r="F172" i="15"/>
  <c r="F165" i="15"/>
  <c r="AJ141" i="15"/>
  <c r="AJ148" i="15"/>
  <c r="AJ146" i="15"/>
  <c r="AJ147" i="15"/>
  <c r="AJ149" i="15"/>
  <c r="F50" i="19"/>
  <c r="L165" i="14"/>
  <c r="L174" i="14"/>
  <c r="L175" i="14"/>
  <c r="L168" i="14"/>
  <c r="L164" i="14"/>
  <c r="L169" i="14"/>
  <c r="L171" i="14"/>
  <c r="L170" i="14"/>
  <c r="L172" i="14"/>
  <c r="L173" i="14"/>
  <c r="L167" i="14"/>
  <c r="L166" i="14"/>
  <c r="B55" i="18"/>
  <c r="V94" i="16"/>
  <c r="V99" i="16"/>
  <c r="V102" i="16"/>
  <c r="V91" i="16"/>
  <c r="V96" i="16"/>
  <c r="V97" i="16"/>
  <c r="V95" i="16"/>
  <c r="V98" i="16"/>
  <c r="V92" i="16"/>
  <c r="V100" i="16"/>
  <c r="V93" i="16"/>
  <c r="V101" i="16"/>
  <c r="AB165" i="14"/>
  <c r="AB168" i="14"/>
  <c r="AB164" i="14"/>
  <c r="AB169" i="14"/>
  <c r="AB171" i="14"/>
  <c r="AB172" i="14"/>
  <c r="AB173" i="14"/>
  <c r="AB174" i="14"/>
  <c r="AB166" i="14"/>
  <c r="AB167" i="14"/>
  <c r="AB170" i="14"/>
  <c r="AB175" i="14"/>
  <c r="AZ110" i="7"/>
  <c r="AY110" i="7"/>
  <c r="B149" i="17" s="1"/>
  <c r="B100" i="15"/>
  <c r="T167" i="14"/>
  <c r="T172" i="14"/>
  <c r="T164" i="14"/>
  <c r="T169" i="14"/>
  <c r="T170" i="14"/>
  <c r="T171" i="14"/>
  <c r="T165" i="14"/>
  <c r="T173" i="14"/>
  <c r="T175" i="14"/>
  <c r="T168" i="14"/>
  <c r="T166" i="14"/>
  <c r="T174" i="14"/>
  <c r="P93" i="14"/>
  <c r="P92" i="14"/>
  <c r="P97" i="14"/>
  <c r="P99" i="14"/>
  <c r="P100" i="14"/>
  <c r="P96" i="14"/>
  <c r="P95" i="14"/>
  <c r="P98" i="14"/>
  <c r="P102" i="14"/>
  <c r="P101" i="14"/>
  <c r="P91" i="14"/>
  <c r="P94" i="14"/>
  <c r="N144" i="15"/>
  <c r="N147" i="15"/>
  <c r="N139" i="15"/>
  <c r="N140" i="15"/>
  <c r="N145" i="15"/>
  <c r="N148" i="15"/>
  <c r="N146" i="15"/>
  <c r="N141" i="15"/>
  <c r="N142" i="15"/>
  <c r="N150" i="15"/>
  <c r="N143" i="15"/>
  <c r="N149" i="15"/>
  <c r="T167" i="16"/>
  <c r="T165" i="16"/>
  <c r="T173" i="16"/>
  <c r="T170" i="16"/>
  <c r="T171" i="16"/>
  <c r="T174" i="16"/>
  <c r="T175" i="16"/>
  <c r="T168" i="16"/>
  <c r="T169" i="16"/>
  <c r="L165" i="16"/>
  <c r="L170" i="16"/>
  <c r="L173" i="16"/>
  <c r="L168" i="16"/>
  <c r="L164" i="16"/>
  <c r="L169" i="16"/>
  <c r="L172" i="16"/>
  <c r="L166" i="16"/>
  <c r="L174" i="16"/>
  <c r="L167" i="16"/>
  <c r="L171" i="16"/>
  <c r="L175" i="16"/>
  <c r="AD144" i="14"/>
  <c r="AZ109" i="7"/>
  <c r="AY109" i="7"/>
  <c r="B148" i="17" s="1"/>
  <c r="B99" i="15"/>
  <c r="V118" i="15" s="1"/>
  <c r="AB166" i="16"/>
  <c r="AB173" i="16"/>
  <c r="AB165" i="16"/>
  <c r="AB170" i="16"/>
  <c r="AB172" i="16"/>
  <c r="AB174" i="16"/>
  <c r="AB164" i="16"/>
  <c r="AB171" i="16"/>
  <c r="AB175" i="16"/>
  <c r="AB169" i="16"/>
  <c r="AB168" i="16"/>
  <c r="AB167" i="16"/>
  <c r="X95" i="19"/>
  <c r="X91" i="19"/>
  <c r="X99" i="19"/>
  <c r="X97" i="19"/>
  <c r="X102" i="19"/>
  <c r="X96" i="19"/>
  <c r="X92" i="19"/>
  <c r="X100" i="19"/>
  <c r="X101" i="19"/>
  <c r="X94" i="19"/>
  <c r="X44" i="15"/>
  <c r="X45" i="15"/>
  <c r="X48" i="15"/>
  <c r="X49" i="15"/>
  <c r="X51" i="15"/>
  <c r="X42" i="15"/>
  <c r="X43" i="15"/>
  <c r="X50" i="15"/>
  <c r="X53" i="15"/>
  <c r="X52" i="15"/>
  <c r="X47" i="15"/>
  <c r="X46" i="15"/>
  <c r="AZ204" i="7"/>
  <c r="B226" i="18" s="1"/>
  <c r="AY204" i="7"/>
  <c r="B226" i="17" s="1"/>
  <c r="B177" i="15"/>
  <c r="L143" i="15"/>
  <c r="L139" i="15"/>
  <c r="L144" i="15"/>
  <c r="L145" i="15"/>
  <c r="L146" i="15"/>
  <c r="L140" i="15"/>
  <c r="L148" i="15"/>
  <c r="L141" i="15"/>
  <c r="L149" i="15"/>
  <c r="L142" i="15"/>
  <c r="L147" i="15"/>
  <c r="L150" i="15"/>
  <c r="R20" i="15"/>
  <c r="R21" i="15"/>
  <c r="R22" i="15"/>
  <c r="R18" i="15"/>
  <c r="R23" i="15"/>
  <c r="R25" i="15"/>
  <c r="R26" i="15"/>
  <c r="V47" i="15"/>
  <c r="V48" i="15"/>
  <c r="V49" i="15"/>
  <c r="V50" i="15"/>
  <c r="V44" i="15"/>
  <c r="V52" i="15"/>
  <c r="V45" i="15"/>
  <c r="V53" i="15"/>
  <c r="V43" i="15"/>
  <c r="V51" i="15"/>
  <c r="V42" i="15"/>
  <c r="V46" i="15"/>
  <c r="B54" i="18"/>
  <c r="B151" i="18"/>
  <c r="H194" i="15"/>
  <c r="H195" i="15"/>
  <c r="H188" i="15"/>
  <c r="H196" i="15"/>
  <c r="H189" i="15"/>
  <c r="H197" i="15"/>
  <c r="H191" i="15"/>
  <c r="H187" i="15"/>
  <c r="H192" i="15"/>
  <c r="H193" i="15"/>
  <c r="H198" i="15"/>
  <c r="H190" i="15"/>
  <c r="B43" i="18"/>
  <c r="AN53" i="15"/>
  <c r="AN51" i="15"/>
  <c r="AN43" i="15"/>
  <c r="AN47" i="15"/>
  <c r="AN52" i="15"/>
  <c r="AN44" i="15"/>
  <c r="AN45" i="15"/>
  <c r="AN46" i="15"/>
  <c r="AN48" i="15"/>
  <c r="AN42" i="15"/>
  <c r="AN49" i="15"/>
  <c r="AN50" i="15"/>
  <c r="Z94" i="15"/>
  <c r="Z90" i="15"/>
  <c r="Z95" i="15"/>
  <c r="Z96" i="15"/>
  <c r="Z97" i="15"/>
  <c r="Z91" i="15"/>
  <c r="Z99" i="15"/>
  <c r="Z92" i="15"/>
  <c r="Z100" i="15"/>
  <c r="Z93" i="15"/>
  <c r="Z98" i="15"/>
  <c r="Z101" i="15"/>
  <c r="AH168" i="15"/>
  <c r="AH169" i="15"/>
  <c r="AH170" i="15"/>
  <c r="AH171" i="15"/>
  <c r="AH165" i="15"/>
  <c r="AH173" i="15"/>
  <c r="AH166" i="15"/>
  <c r="AH174" i="15"/>
  <c r="AH167" i="15"/>
  <c r="AH172" i="15"/>
  <c r="AH163" i="15"/>
  <c r="AH164" i="15"/>
  <c r="B51" i="18"/>
  <c r="AJ99" i="15"/>
  <c r="AJ101" i="15"/>
  <c r="AJ96" i="15"/>
  <c r="AJ90" i="15"/>
  <c r="AJ95" i="15"/>
  <c r="N23" i="15"/>
  <c r="N18" i="15"/>
  <c r="N24" i="15"/>
  <c r="N25" i="15"/>
  <c r="N26" i="15"/>
  <c r="N20" i="15"/>
  <c r="N28" i="15"/>
  <c r="N21" i="15"/>
  <c r="N29" i="15"/>
  <c r="N19" i="15"/>
  <c r="N22" i="15"/>
  <c r="B57" i="18"/>
  <c r="N212" i="15"/>
  <c r="N220" i="15"/>
  <c r="N213" i="15"/>
  <c r="N221" i="15"/>
  <c r="N214" i="15"/>
  <c r="N222" i="15"/>
  <c r="N215" i="15"/>
  <c r="N211" i="15"/>
  <c r="N217" i="15"/>
  <c r="N218" i="15"/>
  <c r="N216" i="15"/>
  <c r="N219" i="15"/>
  <c r="AD213" i="15"/>
  <c r="AD214" i="15"/>
  <c r="B150" i="18"/>
  <c r="Z49" i="15"/>
  <c r="Z50" i="15"/>
  <c r="Z43" i="15"/>
  <c r="Z51" i="15"/>
  <c r="Z44" i="15"/>
  <c r="Z52" i="15"/>
  <c r="Z46" i="15"/>
  <c r="Z42" i="15"/>
  <c r="Z47" i="15"/>
  <c r="Z53" i="15"/>
  <c r="Z45" i="15"/>
  <c r="Z48" i="15"/>
  <c r="B47" i="18"/>
  <c r="J190" i="15"/>
  <c r="J187" i="15"/>
  <c r="J191" i="15"/>
  <c r="J192" i="15"/>
  <c r="J193" i="15"/>
  <c r="J198" i="15"/>
  <c r="J195" i="15"/>
  <c r="J188" i="15"/>
  <c r="J196" i="15"/>
  <c r="J194" i="15"/>
  <c r="J197" i="15"/>
  <c r="J189" i="15"/>
  <c r="L19" i="15"/>
  <c r="L27" i="15"/>
  <c r="L20" i="15"/>
  <c r="L28" i="15"/>
  <c r="L21" i="15"/>
  <c r="L29" i="15"/>
  <c r="L22" i="15"/>
  <c r="L18" i="15"/>
  <c r="L24" i="15"/>
  <c r="L25" i="15"/>
  <c r="L26" i="15"/>
  <c r="L23" i="15"/>
  <c r="R142" i="15"/>
  <c r="R150" i="15"/>
  <c r="R143" i="15"/>
  <c r="R139" i="15"/>
  <c r="R144" i="15"/>
  <c r="R145" i="15"/>
  <c r="R147" i="15"/>
  <c r="R140" i="15"/>
  <c r="R148" i="15"/>
  <c r="R146" i="15"/>
  <c r="R149" i="15"/>
  <c r="R141" i="15"/>
  <c r="B46" i="18"/>
  <c r="L91" i="15"/>
  <c r="L99" i="15"/>
  <c r="L92" i="15"/>
  <c r="L100" i="15"/>
  <c r="L93" i="15"/>
  <c r="L101" i="15"/>
  <c r="L94" i="15"/>
  <c r="L90" i="15"/>
  <c r="L96" i="15"/>
  <c r="L97" i="15"/>
  <c r="L95" i="15"/>
  <c r="L98" i="15"/>
  <c r="AD194" i="15"/>
  <c r="AD195" i="15"/>
  <c r="AD188" i="15"/>
  <c r="AD190" i="15"/>
  <c r="AD198" i="15"/>
  <c r="AD187" i="15"/>
  <c r="AD189" i="15"/>
  <c r="AD192" i="15"/>
  <c r="AD197" i="15"/>
  <c r="B146" i="18"/>
  <c r="P23" i="15"/>
  <c r="P24" i="15"/>
  <c r="P25" i="15"/>
  <c r="P26" i="15"/>
  <c r="P20" i="15"/>
  <c r="P28" i="15"/>
  <c r="P21" i="15"/>
  <c r="P29" i="15"/>
  <c r="P19" i="15"/>
  <c r="P22" i="15"/>
  <c r="P18" i="15"/>
  <c r="P27" i="15"/>
  <c r="V172" i="15"/>
  <c r="V163" i="15"/>
  <c r="V166" i="15"/>
  <c r="V174" i="15"/>
  <c r="B49" i="18"/>
  <c r="H44" i="15"/>
  <c r="H52" i="15"/>
  <c r="H46" i="15"/>
  <c r="H47" i="15"/>
  <c r="H50" i="15"/>
  <c r="H48" i="15"/>
  <c r="H49" i="15"/>
  <c r="H51" i="15"/>
  <c r="H53" i="15"/>
  <c r="H43" i="15"/>
  <c r="H42" i="15"/>
  <c r="B142" i="18"/>
  <c r="N166" i="15"/>
  <c r="N174" i="15"/>
  <c r="N167" i="15"/>
  <c r="N168" i="15"/>
  <c r="N172" i="15"/>
  <c r="N170" i="15"/>
  <c r="N173" i="15"/>
  <c r="X213" i="15"/>
  <c r="X221" i="15"/>
  <c r="X214" i="15"/>
  <c r="X222" i="15"/>
  <c r="X215" i="15"/>
  <c r="X211" i="15"/>
  <c r="X216" i="15"/>
  <c r="X218" i="15"/>
  <c r="X219" i="15"/>
  <c r="X212" i="15"/>
  <c r="X217" i="15"/>
  <c r="X220" i="15"/>
  <c r="F29" i="15"/>
  <c r="F18" i="15"/>
  <c r="AP150" i="15"/>
  <c r="AP142" i="15"/>
  <c r="AP143" i="15"/>
  <c r="AP144" i="15"/>
  <c r="AP145" i="15"/>
  <c r="AP147" i="15"/>
  <c r="AP139" i="15"/>
  <c r="AP148" i="15"/>
  <c r="AP140" i="15"/>
  <c r="AP149" i="15"/>
  <c r="AP141" i="15"/>
  <c r="AP146" i="15"/>
  <c r="B143" i="18"/>
  <c r="T147" i="15"/>
  <c r="T140" i="15"/>
  <c r="T148" i="15"/>
  <c r="T141" i="15"/>
  <c r="T149" i="15"/>
  <c r="T142" i="15"/>
  <c r="T150" i="15"/>
  <c r="T144" i="15"/>
  <c r="T145" i="15"/>
  <c r="T143" i="15"/>
  <c r="T146" i="15"/>
  <c r="T139" i="15"/>
  <c r="Z164" i="15"/>
  <c r="Z172" i="15"/>
  <c r="Z165" i="15"/>
  <c r="Z173" i="15"/>
  <c r="Z166" i="15"/>
  <c r="Z174" i="15"/>
  <c r="Z167" i="15"/>
  <c r="Z163" i="15"/>
  <c r="Z169" i="15"/>
  <c r="Z170" i="15"/>
  <c r="Z168" i="15"/>
  <c r="Z171" i="15"/>
  <c r="T95" i="15"/>
  <c r="T97" i="15"/>
  <c r="T93" i="15"/>
  <c r="T101" i="15"/>
  <c r="T91" i="15"/>
  <c r="T94" i="15"/>
  <c r="T90" i="15"/>
  <c r="V143" i="15"/>
  <c r="V144" i="15"/>
  <c r="V145" i="15"/>
  <c r="V146" i="15"/>
  <c r="V140" i="15"/>
  <c r="V148" i="15"/>
  <c r="V141" i="15"/>
  <c r="V149" i="15"/>
  <c r="V150" i="15"/>
  <c r="V139" i="15"/>
  <c r="V142" i="15"/>
  <c r="V147" i="15"/>
  <c r="Z191" i="15"/>
  <c r="Z187" i="15"/>
  <c r="Z192" i="15"/>
  <c r="Z193" i="15"/>
  <c r="Z194" i="15"/>
  <c r="Z188" i="15"/>
  <c r="Z196" i="15"/>
  <c r="Z189" i="15"/>
  <c r="Z197" i="15"/>
  <c r="Z190" i="15"/>
  <c r="Z195" i="15"/>
  <c r="Z198" i="15"/>
  <c r="AJ166" i="15"/>
  <c r="B56" i="18"/>
  <c r="AB21" i="15"/>
  <c r="AB29" i="15"/>
  <c r="AB22" i="15"/>
  <c r="AB18" i="15"/>
  <c r="AB23" i="15"/>
  <c r="AB24" i="15"/>
  <c r="AB26" i="15"/>
  <c r="AB19" i="15"/>
  <c r="AB27" i="15"/>
  <c r="AB25" i="15"/>
  <c r="AB28" i="15"/>
  <c r="AB20" i="15"/>
  <c r="P190" i="15"/>
  <c r="P198" i="15"/>
  <c r="P191" i="15"/>
  <c r="P187" i="15"/>
  <c r="P192" i="15"/>
  <c r="P193" i="15"/>
  <c r="P195" i="15"/>
  <c r="P188" i="15"/>
  <c r="P196" i="15"/>
  <c r="P189" i="15"/>
  <c r="P194" i="15"/>
  <c r="P197" i="15"/>
  <c r="B48" i="18"/>
  <c r="J27" i="19" l="1"/>
  <c r="V49" i="14"/>
  <c r="V101" i="19"/>
  <c r="V126" i="14"/>
  <c r="V72" i="14"/>
  <c r="AF124" i="19"/>
  <c r="J70" i="19"/>
  <c r="V121" i="19"/>
  <c r="AD195" i="14"/>
  <c r="J53" i="16"/>
  <c r="AD47" i="19"/>
  <c r="AD48" i="19"/>
  <c r="T100" i="15"/>
  <c r="N66" i="19"/>
  <c r="T141" i="19"/>
  <c r="AH168" i="16"/>
  <c r="R19" i="15"/>
  <c r="F25" i="16"/>
  <c r="Z42" i="19"/>
  <c r="H99" i="15"/>
  <c r="R195" i="15"/>
  <c r="V93" i="19"/>
  <c r="H173" i="15"/>
  <c r="J150" i="15"/>
  <c r="F68" i="14"/>
  <c r="J73" i="19"/>
  <c r="J75" i="19"/>
  <c r="N116" i="19"/>
  <c r="V118" i="19"/>
  <c r="J49" i="19"/>
  <c r="J50" i="19"/>
  <c r="T142" i="19"/>
  <c r="J28" i="19"/>
  <c r="J29" i="19"/>
  <c r="Z51" i="19"/>
  <c r="AJ21" i="15"/>
  <c r="V96" i="19"/>
  <c r="H163" i="15"/>
  <c r="F75" i="14"/>
  <c r="AF121" i="16"/>
  <c r="J69" i="19"/>
  <c r="J77" i="19"/>
  <c r="V124" i="19"/>
  <c r="Z165" i="19"/>
  <c r="J46" i="19"/>
  <c r="J53" i="19"/>
  <c r="F43" i="19"/>
  <c r="P97" i="19"/>
  <c r="F19" i="15"/>
  <c r="T150" i="19"/>
  <c r="X27" i="19"/>
  <c r="F50" i="14"/>
  <c r="V99" i="19"/>
  <c r="H166" i="15"/>
  <c r="F73" i="14"/>
  <c r="J67" i="19"/>
  <c r="J76" i="19"/>
  <c r="N28" i="19"/>
  <c r="N29" i="19"/>
  <c r="J47" i="19"/>
  <c r="T140" i="19"/>
  <c r="V98" i="19"/>
  <c r="H172" i="15"/>
  <c r="F77" i="14"/>
  <c r="V123" i="19"/>
  <c r="V116" i="19"/>
  <c r="J74" i="19"/>
  <c r="J72" i="19"/>
  <c r="N18" i="19"/>
  <c r="J48" i="19"/>
  <c r="N22" i="19"/>
  <c r="F166" i="14"/>
  <c r="V194" i="16"/>
  <c r="V97" i="19"/>
  <c r="L142" i="14"/>
  <c r="AD199" i="16"/>
  <c r="H141" i="15"/>
  <c r="N23" i="19"/>
  <c r="H97" i="19"/>
  <c r="Z223" i="14"/>
  <c r="V95" i="19"/>
  <c r="V91" i="19"/>
  <c r="H164" i="15"/>
  <c r="V122" i="19"/>
  <c r="J68" i="19"/>
  <c r="V117" i="19"/>
  <c r="V119" i="19"/>
  <c r="J44" i="19"/>
  <c r="J45" i="19"/>
  <c r="N25" i="19"/>
  <c r="N21" i="19"/>
  <c r="H90" i="15"/>
  <c r="H165" i="15"/>
  <c r="H168" i="15"/>
  <c r="N47" i="14"/>
  <c r="H100" i="19"/>
  <c r="V97" i="14"/>
  <c r="V94" i="19"/>
  <c r="V100" i="19"/>
  <c r="V126" i="19"/>
  <c r="J71" i="19"/>
  <c r="V46" i="14"/>
  <c r="J43" i="19"/>
  <c r="N24" i="19"/>
  <c r="R24" i="19"/>
  <c r="F49" i="19"/>
  <c r="R28" i="19"/>
  <c r="R18" i="19"/>
  <c r="N20" i="19"/>
  <c r="T212" i="16"/>
  <c r="H167" i="15"/>
  <c r="J198" i="14"/>
  <c r="H150" i="14"/>
  <c r="F175" i="16"/>
  <c r="X102" i="16"/>
  <c r="H174" i="15"/>
  <c r="X98" i="19"/>
  <c r="P194" i="14"/>
  <c r="X93" i="19"/>
  <c r="AB98" i="19"/>
  <c r="Z175" i="19"/>
  <c r="AD191" i="14"/>
  <c r="AD173" i="19"/>
  <c r="F42" i="14"/>
  <c r="G29" i="14"/>
  <c r="AJ29" i="15"/>
  <c r="V48" i="14"/>
  <c r="V47" i="14"/>
  <c r="V199" i="16"/>
  <c r="P150" i="16"/>
  <c r="P142" i="16"/>
  <c r="F49" i="14"/>
  <c r="V197" i="16"/>
  <c r="L149" i="14"/>
  <c r="AD166" i="19"/>
  <c r="F66" i="14"/>
  <c r="V69" i="14"/>
  <c r="V73" i="14"/>
  <c r="R68" i="16"/>
  <c r="V42" i="14"/>
  <c r="AH75" i="19"/>
  <c r="V52" i="14"/>
  <c r="V45" i="14"/>
  <c r="Z167" i="19"/>
  <c r="AD193" i="14"/>
  <c r="AD197" i="14"/>
  <c r="Z175" i="14"/>
  <c r="Z168" i="14"/>
  <c r="AD198" i="14"/>
  <c r="G27" i="14"/>
  <c r="AJ26" i="15"/>
  <c r="J151" i="16"/>
  <c r="F52" i="16"/>
  <c r="Z46" i="16"/>
  <c r="F48" i="16"/>
  <c r="H222" i="16"/>
  <c r="L146" i="14"/>
  <c r="AD174" i="19"/>
  <c r="L150" i="14"/>
  <c r="V50" i="14"/>
  <c r="F71" i="14"/>
  <c r="H143" i="15"/>
  <c r="H146" i="15"/>
  <c r="F53" i="14"/>
  <c r="AJ22" i="15"/>
  <c r="L147" i="14"/>
  <c r="L140" i="14"/>
  <c r="F67" i="14"/>
  <c r="V77" i="14"/>
  <c r="V67" i="14"/>
  <c r="H174" i="19"/>
  <c r="Z173" i="19"/>
  <c r="Z174" i="14"/>
  <c r="AD175" i="19"/>
  <c r="Z166" i="19"/>
  <c r="T67" i="16"/>
  <c r="T72" i="16"/>
  <c r="H172" i="14"/>
  <c r="F171" i="15"/>
  <c r="P174" i="14"/>
  <c r="F167" i="15"/>
  <c r="V66" i="14"/>
  <c r="V75" i="14"/>
  <c r="Z174" i="19"/>
  <c r="AD170" i="19"/>
  <c r="J145" i="16"/>
  <c r="V198" i="16"/>
  <c r="V172" i="14"/>
  <c r="AD169" i="19"/>
  <c r="P146" i="16"/>
  <c r="P123" i="19"/>
  <c r="T140" i="16"/>
  <c r="H174" i="14"/>
  <c r="H170" i="14"/>
  <c r="T145" i="19"/>
  <c r="AH144" i="15"/>
  <c r="F47" i="14"/>
  <c r="H139" i="15"/>
  <c r="F43" i="14"/>
  <c r="F45" i="14"/>
  <c r="F72" i="14"/>
  <c r="V68" i="14"/>
  <c r="V74" i="14"/>
  <c r="Z164" i="19"/>
  <c r="F44" i="14"/>
  <c r="AD168" i="19"/>
  <c r="AD172" i="19"/>
  <c r="V189" i="16"/>
  <c r="H145" i="15"/>
  <c r="L141" i="14"/>
  <c r="F70" i="14"/>
  <c r="H150" i="15"/>
  <c r="F51" i="14"/>
  <c r="AJ27" i="15"/>
  <c r="L143" i="14"/>
  <c r="F74" i="14"/>
  <c r="V76" i="14"/>
  <c r="Z169" i="19"/>
  <c r="AD194" i="14"/>
  <c r="Z68" i="16"/>
  <c r="V173" i="15"/>
  <c r="V190" i="16"/>
  <c r="F48" i="14"/>
  <c r="F52" i="14"/>
  <c r="F76" i="14"/>
  <c r="V70" i="14"/>
  <c r="P140" i="16"/>
  <c r="H166" i="19"/>
  <c r="V195" i="16"/>
  <c r="AD199" i="14"/>
  <c r="F45" i="16"/>
  <c r="P141" i="16"/>
  <c r="F48" i="19"/>
  <c r="H223" i="16"/>
  <c r="H218" i="16"/>
  <c r="P101" i="19"/>
  <c r="J140" i="16"/>
  <c r="H96" i="15"/>
  <c r="F68" i="16"/>
  <c r="T92" i="19"/>
  <c r="F76" i="19"/>
  <c r="F77" i="19"/>
  <c r="T124" i="19"/>
  <c r="T120" i="19"/>
  <c r="H114" i="15"/>
  <c r="P126" i="19"/>
  <c r="P147" i="16"/>
  <c r="H120" i="15"/>
  <c r="J199" i="14"/>
  <c r="Z171" i="14"/>
  <c r="T147" i="16"/>
  <c r="T144" i="16"/>
  <c r="V170" i="14"/>
  <c r="V164" i="14"/>
  <c r="Z72" i="16"/>
  <c r="J194" i="14"/>
  <c r="J189" i="14"/>
  <c r="F22" i="16"/>
  <c r="G22" i="14"/>
  <c r="AJ24" i="15"/>
  <c r="AJ23" i="15"/>
  <c r="L195" i="15"/>
  <c r="F45" i="19"/>
  <c r="F50" i="16"/>
  <c r="H219" i="16"/>
  <c r="H213" i="16"/>
  <c r="P95" i="19"/>
  <c r="F74" i="16"/>
  <c r="T96" i="19"/>
  <c r="F71" i="19"/>
  <c r="F73" i="19"/>
  <c r="H117" i="15"/>
  <c r="P117" i="19"/>
  <c r="T116" i="19"/>
  <c r="H122" i="15"/>
  <c r="AF118" i="14"/>
  <c r="P149" i="16"/>
  <c r="P148" i="16"/>
  <c r="T99" i="19"/>
  <c r="J191" i="14"/>
  <c r="Z169" i="14"/>
  <c r="J147" i="16"/>
  <c r="P196" i="14"/>
  <c r="V171" i="14"/>
  <c r="Z66" i="16"/>
  <c r="Z42" i="16"/>
  <c r="Z74" i="16"/>
  <c r="T98" i="19"/>
  <c r="Z221" i="19"/>
  <c r="F47" i="19"/>
  <c r="F44" i="16"/>
  <c r="H215" i="16"/>
  <c r="H214" i="16"/>
  <c r="P94" i="19"/>
  <c r="J148" i="16"/>
  <c r="F75" i="16"/>
  <c r="F75" i="19"/>
  <c r="H123" i="15"/>
  <c r="AH77" i="16"/>
  <c r="P116" i="19"/>
  <c r="T123" i="19"/>
  <c r="Z71" i="16"/>
  <c r="P143" i="16"/>
  <c r="Z164" i="14"/>
  <c r="J197" i="14"/>
  <c r="G25" i="14"/>
  <c r="G24" i="14"/>
  <c r="V173" i="14"/>
  <c r="P195" i="14"/>
  <c r="Z43" i="16"/>
  <c r="Z49" i="16"/>
  <c r="AF171" i="14"/>
  <c r="F73" i="16"/>
  <c r="T145" i="16"/>
  <c r="T150" i="16"/>
  <c r="F51" i="16"/>
  <c r="H216" i="16"/>
  <c r="P93" i="19"/>
  <c r="J24" i="15"/>
  <c r="J143" i="16"/>
  <c r="F77" i="16"/>
  <c r="F71" i="16"/>
  <c r="T101" i="19"/>
  <c r="F66" i="19"/>
  <c r="T118" i="16"/>
  <c r="T124" i="16"/>
  <c r="H125" i="15"/>
  <c r="T118" i="19"/>
  <c r="P144" i="16"/>
  <c r="P145" i="16"/>
  <c r="J114" i="15"/>
  <c r="P124" i="19"/>
  <c r="J190" i="14"/>
  <c r="G20" i="14"/>
  <c r="V169" i="14"/>
  <c r="V168" i="14"/>
  <c r="T142" i="16"/>
  <c r="V174" i="14"/>
  <c r="G19" i="14"/>
  <c r="F51" i="19"/>
  <c r="F46" i="16"/>
  <c r="F49" i="16"/>
  <c r="J21" i="15"/>
  <c r="J149" i="16"/>
  <c r="H92" i="15"/>
  <c r="F69" i="16"/>
  <c r="F76" i="16"/>
  <c r="T97" i="19"/>
  <c r="F67" i="19"/>
  <c r="H115" i="15"/>
  <c r="H121" i="15"/>
  <c r="AF116" i="15"/>
  <c r="T125" i="19"/>
  <c r="Z69" i="16"/>
  <c r="P151" i="16"/>
  <c r="H118" i="15"/>
  <c r="P119" i="19"/>
  <c r="J195" i="14"/>
  <c r="G23" i="14"/>
  <c r="P193" i="14"/>
  <c r="V166" i="14"/>
  <c r="P198" i="14"/>
  <c r="P190" i="14"/>
  <c r="Z48" i="16"/>
  <c r="Z52" i="16"/>
  <c r="Z76" i="16"/>
  <c r="Z45" i="16"/>
  <c r="Z189" i="14"/>
  <c r="Z172" i="14"/>
  <c r="F53" i="19"/>
  <c r="F53" i="16"/>
  <c r="F43" i="16"/>
  <c r="P92" i="19"/>
  <c r="H91" i="15"/>
  <c r="F72" i="16"/>
  <c r="P125" i="19"/>
  <c r="T121" i="19"/>
  <c r="T122" i="19"/>
  <c r="Z67" i="16"/>
  <c r="Z75" i="16"/>
  <c r="P115" i="19"/>
  <c r="P122" i="19"/>
  <c r="J193" i="14"/>
  <c r="P192" i="14"/>
  <c r="P197" i="14"/>
  <c r="Z53" i="16"/>
  <c r="Z44" i="16"/>
  <c r="P199" i="14"/>
  <c r="Z73" i="16"/>
  <c r="N74" i="19"/>
  <c r="AD171" i="15"/>
  <c r="P99" i="19"/>
  <c r="AD192" i="19"/>
  <c r="F46" i="19"/>
  <c r="AD140" i="14"/>
  <c r="R29" i="15"/>
  <c r="Z49" i="19"/>
  <c r="Z46" i="19"/>
  <c r="H94" i="15"/>
  <c r="H98" i="15"/>
  <c r="Z168" i="19"/>
  <c r="J144" i="16"/>
  <c r="H171" i="14"/>
  <c r="V91" i="14"/>
  <c r="Z51" i="16"/>
  <c r="P165" i="14"/>
  <c r="P172" i="14"/>
  <c r="AH171" i="16"/>
  <c r="Z53" i="19"/>
  <c r="T141" i="16"/>
  <c r="AD191" i="15"/>
  <c r="AD188" i="19"/>
  <c r="AD198" i="19"/>
  <c r="R24" i="15"/>
  <c r="AD151" i="14"/>
  <c r="V100" i="14"/>
  <c r="V96" i="14"/>
  <c r="V115" i="14"/>
  <c r="AD49" i="14"/>
  <c r="V116" i="14"/>
  <c r="AD69" i="14"/>
  <c r="AD71" i="14"/>
  <c r="AD77" i="14"/>
  <c r="V120" i="14"/>
  <c r="H218" i="14"/>
  <c r="T98" i="15"/>
  <c r="F20" i="16"/>
  <c r="F23" i="16"/>
  <c r="F24" i="16"/>
  <c r="AJ28" i="15"/>
  <c r="V121" i="14"/>
  <c r="P175" i="16"/>
  <c r="R28" i="15"/>
  <c r="AJ20" i="15"/>
  <c r="V99" i="14"/>
  <c r="AF197" i="19"/>
  <c r="AD48" i="14"/>
  <c r="AD147" i="14"/>
  <c r="AD142" i="14"/>
  <c r="AD67" i="14"/>
  <c r="AD50" i="14"/>
  <c r="V117" i="14"/>
  <c r="V119" i="14"/>
  <c r="AD51" i="14"/>
  <c r="V48" i="19"/>
  <c r="AD143" i="14"/>
  <c r="V92" i="14"/>
  <c r="AD53" i="14"/>
  <c r="R69" i="15"/>
  <c r="V118" i="14"/>
  <c r="AD70" i="14"/>
  <c r="V123" i="14"/>
  <c r="V52" i="19"/>
  <c r="V47" i="19"/>
  <c r="P169" i="14"/>
  <c r="AD150" i="14"/>
  <c r="AD145" i="14"/>
  <c r="AD149" i="14"/>
  <c r="V102" i="14"/>
  <c r="AD146" i="14"/>
  <c r="AD141" i="14"/>
  <c r="V94" i="14"/>
  <c r="AD66" i="14"/>
  <c r="V122" i="14"/>
  <c r="V125" i="14"/>
  <c r="AD188" i="14"/>
  <c r="V53" i="14"/>
  <c r="AD68" i="14"/>
  <c r="AD148" i="14"/>
  <c r="V98" i="14"/>
  <c r="V101" i="14"/>
  <c r="AD72" i="14"/>
  <c r="AD75" i="14"/>
  <c r="Z171" i="19"/>
  <c r="Z172" i="19"/>
  <c r="J29" i="15"/>
  <c r="J26" i="15"/>
  <c r="J20" i="19"/>
  <c r="J25" i="19"/>
  <c r="J18" i="19"/>
  <c r="J23" i="15"/>
  <c r="J20" i="15"/>
  <c r="V198" i="15"/>
  <c r="V188" i="15"/>
  <c r="V197" i="15"/>
  <c r="V190" i="15"/>
  <c r="V194" i="15"/>
  <c r="V193" i="15"/>
  <c r="V189" i="15"/>
  <c r="V196" i="15"/>
  <c r="V191" i="15"/>
  <c r="AJ174" i="15"/>
  <c r="AJ163" i="15"/>
  <c r="AJ165" i="15"/>
  <c r="AJ171" i="15"/>
  <c r="AJ173" i="15"/>
  <c r="P119" i="15"/>
  <c r="AJ168" i="15"/>
  <c r="AJ164" i="15"/>
  <c r="AJ170" i="15"/>
  <c r="AJ172" i="15"/>
  <c r="V122" i="15"/>
  <c r="AJ169" i="15"/>
  <c r="X123" i="15"/>
  <c r="B67" i="18"/>
  <c r="B91" i="18"/>
  <c r="P114" i="15"/>
  <c r="P122" i="15"/>
  <c r="X114" i="15"/>
  <c r="X122" i="15"/>
  <c r="P124" i="15"/>
  <c r="P117" i="15"/>
  <c r="AH115" i="15"/>
  <c r="V123" i="15"/>
  <c r="X116" i="15"/>
  <c r="X124" i="15"/>
  <c r="V115" i="15"/>
  <c r="X120" i="15"/>
  <c r="X121" i="15"/>
  <c r="V120" i="15"/>
  <c r="V121" i="15"/>
  <c r="P120" i="15"/>
  <c r="X119" i="15"/>
  <c r="P123" i="15"/>
  <c r="B71" i="18"/>
  <c r="B95" i="18"/>
  <c r="V114" i="15"/>
  <c r="P125" i="15"/>
  <c r="P115" i="15"/>
  <c r="X118" i="15"/>
  <c r="V116" i="15"/>
  <c r="V117" i="15"/>
  <c r="V119" i="15"/>
  <c r="P116" i="15"/>
  <c r="P121" i="15"/>
  <c r="V124" i="15"/>
  <c r="X125" i="15"/>
  <c r="V125" i="15"/>
  <c r="X115" i="15"/>
  <c r="X117" i="15"/>
  <c r="H212" i="14"/>
  <c r="H222" i="14"/>
  <c r="H216" i="14"/>
  <c r="H220" i="14"/>
  <c r="H221" i="14"/>
  <c r="H215" i="14"/>
  <c r="H219" i="14"/>
  <c r="AD216" i="19"/>
  <c r="P173" i="15"/>
  <c r="X94" i="16"/>
  <c r="X118" i="16"/>
  <c r="X121" i="16"/>
  <c r="X101" i="16"/>
  <c r="X126" i="16"/>
  <c r="X123" i="16"/>
  <c r="X99" i="16"/>
  <c r="X119" i="16"/>
  <c r="X124" i="16"/>
  <c r="X93" i="16"/>
  <c r="X117" i="16"/>
  <c r="X120" i="16"/>
  <c r="X98" i="16"/>
  <c r="X115" i="16"/>
  <c r="X96" i="16"/>
  <c r="X100" i="16"/>
  <c r="X125" i="16"/>
  <c r="X91" i="16"/>
  <c r="X116" i="16"/>
  <c r="J49" i="16"/>
  <c r="Y238" i="21"/>
  <c r="AB238" i="21"/>
  <c r="AD238" i="21"/>
  <c r="Y239" i="21"/>
  <c r="AB239" i="21"/>
  <c r="AD239" i="21"/>
  <c r="AJ239" i="21"/>
  <c r="AG239" i="21"/>
  <c r="AL239" i="21"/>
  <c r="AJ238" i="21"/>
  <c r="AG238" i="21"/>
  <c r="AL238" i="21"/>
  <c r="H29" i="16"/>
  <c r="H25" i="16"/>
  <c r="H23" i="16"/>
  <c r="S23" i="14"/>
  <c r="J26" i="19"/>
  <c r="J22" i="19"/>
  <c r="F26" i="16"/>
  <c r="F29" i="16"/>
  <c r="H28" i="16"/>
  <c r="H19" i="16"/>
  <c r="H24" i="16"/>
  <c r="H27" i="16"/>
  <c r="H21" i="16"/>
  <c r="AK22" i="14"/>
  <c r="AK26" i="14"/>
  <c r="G26" i="14"/>
  <c r="Z207" i="21"/>
  <c r="Z18" i="15"/>
  <c r="AC207" i="21"/>
  <c r="I29" i="14"/>
  <c r="J27" i="15"/>
  <c r="J24" i="19"/>
  <c r="J22" i="15"/>
  <c r="H25" i="19"/>
  <c r="G28" i="14"/>
  <c r="H28" i="19"/>
  <c r="J28" i="15"/>
  <c r="H27" i="19"/>
  <c r="G18" i="14"/>
  <c r="H29" i="19"/>
  <c r="H22" i="19"/>
  <c r="H18" i="19"/>
  <c r="H24" i="19"/>
  <c r="H20" i="19"/>
  <c r="H26" i="19"/>
  <c r="H21" i="19"/>
  <c r="H23" i="19"/>
  <c r="H19" i="19"/>
  <c r="J44" i="16"/>
  <c r="J96" i="15"/>
  <c r="P91" i="19"/>
  <c r="H173" i="14"/>
  <c r="H213" i="14"/>
  <c r="T151" i="19"/>
  <c r="Z173" i="14"/>
  <c r="X95" i="16"/>
  <c r="V141" i="16"/>
  <c r="AD196" i="14"/>
  <c r="AH175" i="16"/>
  <c r="V144" i="16"/>
  <c r="T101" i="16"/>
  <c r="V147" i="16"/>
  <c r="T49" i="16"/>
  <c r="AD220" i="14"/>
  <c r="AD216" i="14"/>
  <c r="AD44" i="14"/>
  <c r="T151" i="16"/>
  <c r="J47" i="16"/>
  <c r="AD43" i="14"/>
  <c r="T148" i="16"/>
  <c r="T69" i="16"/>
  <c r="T76" i="16"/>
  <c r="AD197" i="19"/>
  <c r="T95" i="16"/>
  <c r="T92" i="16"/>
  <c r="T126" i="16"/>
  <c r="T121" i="16"/>
  <c r="V140" i="16"/>
  <c r="T91" i="16"/>
  <c r="T98" i="16"/>
  <c r="AH166" i="16"/>
  <c r="T119" i="16"/>
  <c r="T120" i="16"/>
  <c r="AF18" i="15"/>
  <c r="R77" i="15"/>
  <c r="T125" i="16"/>
  <c r="T117" i="16"/>
  <c r="J118" i="16"/>
  <c r="J116" i="16"/>
  <c r="V148" i="16"/>
  <c r="T115" i="16"/>
  <c r="V142" i="16"/>
  <c r="V150" i="16"/>
  <c r="T102" i="16"/>
  <c r="T100" i="16"/>
  <c r="T93" i="16"/>
  <c r="R72" i="15"/>
  <c r="T123" i="16"/>
  <c r="V143" i="16"/>
  <c r="V145" i="16"/>
  <c r="V146" i="16"/>
  <c r="T122" i="16"/>
  <c r="V151" i="16"/>
  <c r="V149" i="16"/>
  <c r="T99" i="16"/>
  <c r="AD164" i="16"/>
  <c r="AB67" i="19"/>
  <c r="T116" i="16"/>
  <c r="T96" i="16"/>
  <c r="P173" i="14"/>
  <c r="AD196" i="15"/>
  <c r="F170" i="15"/>
  <c r="F169" i="15"/>
  <c r="Z166" i="14"/>
  <c r="J25" i="15"/>
  <c r="P170" i="14"/>
  <c r="T53" i="16"/>
  <c r="T42" i="15"/>
  <c r="AD71" i="19"/>
  <c r="AD75" i="19"/>
  <c r="AD46" i="19"/>
  <c r="T51" i="16"/>
  <c r="AD42" i="19"/>
  <c r="P102" i="19"/>
  <c r="P98" i="19"/>
  <c r="H164" i="14"/>
  <c r="T96" i="15"/>
  <c r="H223" i="14"/>
  <c r="J19" i="19"/>
  <c r="H214" i="14"/>
  <c r="T46" i="16"/>
  <c r="AD73" i="19"/>
  <c r="AD223" i="19"/>
  <c r="P96" i="19"/>
  <c r="AD189" i="14"/>
  <c r="T44" i="16"/>
  <c r="T48" i="16"/>
  <c r="J48" i="16"/>
  <c r="R222" i="15"/>
  <c r="AD212" i="14"/>
  <c r="P166" i="16"/>
  <c r="P174" i="16"/>
  <c r="H165" i="14"/>
  <c r="AB144" i="15"/>
  <c r="X22" i="16"/>
  <c r="T70" i="16"/>
  <c r="T68" i="16"/>
  <c r="AD172" i="15"/>
  <c r="J18" i="15"/>
  <c r="Z170" i="14"/>
  <c r="F164" i="15"/>
  <c r="H213" i="19"/>
  <c r="AD169" i="15"/>
  <c r="H222" i="19"/>
  <c r="P165" i="15"/>
  <c r="AD70" i="19"/>
  <c r="I64" i="21"/>
  <c r="I62" i="21"/>
  <c r="T18" i="15"/>
  <c r="P171" i="15"/>
  <c r="AD167" i="15"/>
  <c r="P169" i="15"/>
  <c r="AD166" i="15"/>
  <c r="P172" i="15"/>
  <c r="R18" i="16"/>
  <c r="AD164" i="15"/>
  <c r="AD165" i="15"/>
  <c r="P170" i="15"/>
  <c r="AD50" i="19"/>
  <c r="P167" i="15"/>
  <c r="AD44" i="19"/>
  <c r="P163" i="15"/>
  <c r="AD193" i="15"/>
  <c r="AD189" i="19"/>
  <c r="Z173" i="16"/>
  <c r="AD163" i="15"/>
  <c r="AD173" i="15"/>
  <c r="AD168" i="15"/>
  <c r="AD174" i="15"/>
  <c r="AD67" i="19"/>
  <c r="T148" i="19"/>
  <c r="AD170" i="15"/>
  <c r="P168" i="15"/>
  <c r="R216" i="21"/>
  <c r="R410" i="21"/>
  <c r="R399" i="21"/>
  <c r="R344" i="21"/>
  <c r="R262" i="21"/>
  <c r="R259" i="21"/>
  <c r="R238" i="21"/>
  <c r="R333" i="21"/>
  <c r="R313" i="21"/>
  <c r="R307" i="21"/>
  <c r="R305" i="21"/>
  <c r="R309" i="21"/>
  <c r="R272" i="21"/>
  <c r="R268" i="21"/>
  <c r="R338" i="21"/>
  <c r="R316" i="21"/>
  <c r="R293" i="21"/>
  <c r="R275" i="21"/>
  <c r="R251" i="21"/>
  <c r="R330" i="21"/>
  <c r="R340" i="21"/>
  <c r="R396" i="21"/>
  <c r="R384" i="21"/>
  <c r="R378" i="21"/>
  <c r="R360" i="21"/>
  <c r="R354" i="21"/>
  <c r="R350" i="21"/>
  <c r="R413" i="21"/>
  <c r="R406" i="21"/>
  <c r="R385" i="21"/>
  <c r="R376" i="21"/>
  <c r="R409" i="21"/>
  <c r="R363" i="21"/>
  <c r="R336" i="21"/>
  <c r="R314" i="21"/>
  <c r="R306" i="21"/>
  <c r="R294" i="21"/>
  <c r="R377" i="21"/>
  <c r="R328" i="21"/>
  <c r="R236" i="21"/>
  <c r="R386" i="21"/>
  <c r="R351" i="21"/>
  <c r="R321" i="21"/>
  <c r="R295" i="21"/>
  <c r="R260" i="21"/>
  <c r="R367" i="21"/>
  <c r="R286" i="21"/>
  <c r="R247" i="21"/>
  <c r="R383" i="21"/>
  <c r="R341" i="21"/>
  <c r="R339" i="21"/>
  <c r="R242" i="21"/>
  <c r="R401" i="21"/>
  <c r="R357" i="21"/>
  <c r="R267" i="21"/>
  <c r="R250" i="21"/>
  <c r="R246" i="21"/>
  <c r="R359" i="21"/>
  <c r="R271" i="21"/>
  <c r="R310" i="21"/>
  <c r="R405" i="21"/>
  <c r="R407" i="21"/>
  <c r="R317" i="21"/>
  <c r="R252" i="21"/>
  <c r="R239" i="21"/>
  <c r="R264" i="21"/>
  <c r="R292" i="21"/>
  <c r="R400" i="21"/>
  <c r="R270" i="21"/>
  <c r="R411" i="21"/>
  <c r="R261" i="21"/>
  <c r="R281" i="21"/>
  <c r="R374" i="21"/>
  <c r="R380" i="21"/>
  <c r="R312" i="21"/>
  <c r="R298" i="21"/>
  <c r="R265" i="21"/>
  <c r="R248" i="21"/>
  <c r="R343" i="21"/>
  <c r="R284" i="21"/>
  <c r="R398" i="21"/>
  <c r="R355" i="21"/>
  <c r="R327" i="21"/>
  <c r="R403" i="21"/>
  <c r="R356" i="21"/>
  <c r="R263" i="21"/>
  <c r="R388" i="21"/>
  <c r="R320" i="21"/>
  <c r="R288" i="21"/>
  <c r="R287" i="21"/>
  <c r="R243" i="21"/>
  <c r="R241" i="21"/>
  <c r="R304" i="21"/>
  <c r="R337" i="21"/>
  <c r="R335" i="21"/>
  <c r="R397" i="21"/>
  <c r="R366" i="21"/>
  <c r="R382" i="21"/>
  <c r="R353" i="21"/>
  <c r="R334" i="21"/>
  <c r="R319" i="21"/>
  <c r="R296" i="21"/>
  <c r="R375" i="21"/>
  <c r="R282" i="21"/>
  <c r="R402" i="21"/>
  <c r="R404" i="21"/>
  <c r="R289" i="21"/>
  <c r="R273" i="21"/>
  <c r="R352" i="21"/>
  <c r="R332" i="21"/>
  <c r="R331" i="21"/>
  <c r="R362" i="21"/>
  <c r="R318" i="21"/>
  <c r="R358" i="21"/>
  <c r="R361" i="21"/>
  <c r="R342" i="21"/>
  <c r="R311" i="21"/>
  <c r="R258" i="21"/>
  <c r="R249" i="21"/>
  <c r="R381" i="21"/>
  <c r="R290" i="21"/>
  <c r="R285" i="21"/>
  <c r="R240" i="21"/>
  <c r="R364" i="21"/>
  <c r="R387" i="21"/>
  <c r="R245" i="21"/>
  <c r="R308" i="21"/>
  <c r="R412" i="21"/>
  <c r="R390" i="21"/>
  <c r="R283" i="21"/>
  <c r="R266" i="21"/>
  <c r="R244" i="21"/>
  <c r="R269" i="21"/>
  <c r="R329" i="21"/>
  <c r="R315" i="21"/>
  <c r="R379" i="21"/>
  <c r="R237" i="21"/>
  <c r="R297" i="21"/>
  <c r="R373" i="21"/>
  <c r="R291" i="21"/>
  <c r="R274" i="21"/>
  <c r="R365" i="21"/>
  <c r="R408" i="21"/>
  <c r="R389" i="21"/>
  <c r="R235" i="21"/>
  <c r="P174" i="15"/>
  <c r="P164" i="15"/>
  <c r="F23" i="15"/>
  <c r="F22" i="15"/>
  <c r="H217" i="19"/>
  <c r="H220" i="19"/>
  <c r="H212" i="19"/>
  <c r="H214" i="19"/>
  <c r="H221" i="19"/>
  <c r="H218" i="19"/>
  <c r="AD218" i="16"/>
  <c r="H223" i="19"/>
  <c r="H219" i="19"/>
  <c r="H172" i="19"/>
  <c r="H170" i="19"/>
  <c r="H169" i="19"/>
  <c r="H164" i="19"/>
  <c r="H173" i="19"/>
  <c r="H165" i="19"/>
  <c r="H168" i="19"/>
  <c r="AF170" i="19"/>
  <c r="H175" i="19"/>
  <c r="H167" i="19"/>
  <c r="Z170" i="16"/>
  <c r="T146" i="16"/>
  <c r="L70" i="15"/>
  <c r="P171" i="16"/>
  <c r="F28" i="15"/>
  <c r="F24" i="15"/>
  <c r="F20" i="15"/>
  <c r="AK23" i="14"/>
  <c r="T77" i="15"/>
  <c r="P164" i="16"/>
  <c r="F25" i="15"/>
  <c r="F21" i="15"/>
  <c r="AK29" i="14"/>
  <c r="P167" i="16"/>
  <c r="AK19" i="14"/>
  <c r="AK27" i="14"/>
  <c r="AK28" i="14"/>
  <c r="X25" i="15"/>
  <c r="P170" i="16"/>
  <c r="AK25" i="14"/>
  <c r="AK24" i="14"/>
  <c r="T77" i="16"/>
  <c r="AD213" i="19"/>
  <c r="F92" i="19"/>
  <c r="V168" i="15"/>
  <c r="AD223" i="14"/>
  <c r="P169" i="16"/>
  <c r="P165" i="16"/>
  <c r="J97" i="15"/>
  <c r="X23" i="15"/>
  <c r="AK20" i="14"/>
  <c r="AK18" i="14"/>
  <c r="J98" i="15"/>
  <c r="J95" i="15"/>
  <c r="J118" i="15"/>
  <c r="J125" i="15"/>
  <c r="AD77" i="19"/>
  <c r="X20" i="15"/>
  <c r="X29" i="15"/>
  <c r="AD52" i="19"/>
  <c r="J93" i="15"/>
  <c r="J90" i="15"/>
  <c r="X21" i="15"/>
  <c r="J123" i="15"/>
  <c r="J117" i="15"/>
  <c r="J100" i="15"/>
  <c r="J94" i="15"/>
  <c r="X28" i="15"/>
  <c r="J115" i="15"/>
  <c r="J124" i="15"/>
  <c r="X27" i="15"/>
  <c r="J119" i="15"/>
  <c r="J116" i="15"/>
  <c r="J99" i="15"/>
  <c r="X18" i="15"/>
  <c r="AF168" i="19"/>
  <c r="J122" i="15"/>
  <c r="V26" i="15"/>
  <c r="AD72" i="19"/>
  <c r="X24" i="15"/>
  <c r="P172" i="16"/>
  <c r="J91" i="15"/>
  <c r="X22" i="15"/>
  <c r="J120" i="15"/>
  <c r="J52" i="16"/>
  <c r="AD43" i="19"/>
  <c r="AD51" i="19"/>
  <c r="T47" i="16"/>
  <c r="P171" i="14"/>
  <c r="P164" i="14"/>
  <c r="H216" i="19"/>
  <c r="J121" i="15"/>
  <c r="X19" i="15"/>
  <c r="X26" i="15"/>
  <c r="I27" i="14"/>
  <c r="I23" i="14"/>
  <c r="I19" i="14"/>
  <c r="I25" i="14"/>
  <c r="I18" i="14"/>
  <c r="X29" i="16"/>
  <c r="I24" i="14"/>
  <c r="I28" i="14"/>
  <c r="I22" i="14"/>
  <c r="I26" i="14"/>
  <c r="I20" i="14"/>
  <c r="X26" i="16"/>
  <c r="T197" i="16"/>
  <c r="AD28" i="15"/>
  <c r="P170" i="19"/>
  <c r="AD66" i="19"/>
  <c r="AD76" i="19"/>
  <c r="AF216" i="15"/>
  <c r="P174" i="19"/>
  <c r="AD74" i="19"/>
  <c r="AD68" i="19"/>
  <c r="AD42" i="14"/>
  <c r="AF218" i="15"/>
  <c r="P169" i="19"/>
  <c r="P175" i="19"/>
  <c r="P172" i="19"/>
  <c r="P165" i="19"/>
  <c r="J91" i="16"/>
  <c r="X24" i="16"/>
  <c r="AD171" i="14"/>
  <c r="P173" i="19"/>
  <c r="P166" i="19"/>
  <c r="P164" i="19"/>
  <c r="P171" i="19"/>
  <c r="AD69" i="19"/>
  <c r="AB147" i="15"/>
  <c r="AB143" i="15"/>
  <c r="AF69" i="15"/>
  <c r="AD222" i="19"/>
  <c r="AD218" i="19"/>
  <c r="AD219" i="19"/>
  <c r="AD221" i="14"/>
  <c r="AD214" i="14"/>
  <c r="AH220" i="15"/>
  <c r="AH222" i="15"/>
  <c r="F148" i="14"/>
  <c r="AD214" i="19"/>
  <c r="AD220" i="19"/>
  <c r="R215" i="15"/>
  <c r="AF172" i="14"/>
  <c r="L216" i="15"/>
  <c r="AD221" i="19"/>
  <c r="F144" i="14"/>
  <c r="AD217" i="19"/>
  <c r="AH218" i="15"/>
  <c r="J96" i="16"/>
  <c r="AB148" i="15"/>
  <c r="AB139" i="15"/>
  <c r="AH122" i="16"/>
  <c r="T43" i="14"/>
  <c r="AD212" i="19"/>
  <c r="AF175" i="19"/>
  <c r="AD164" i="14"/>
  <c r="AB94" i="15"/>
  <c r="AD165" i="14"/>
  <c r="AD166" i="14"/>
  <c r="AD175" i="14"/>
  <c r="AF19" i="15"/>
  <c r="AF148" i="15"/>
  <c r="AD167" i="14"/>
  <c r="AD168" i="14"/>
  <c r="R52" i="15"/>
  <c r="T24" i="15"/>
  <c r="AD173" i="14"/>
  <c r="AF24" i="19"/>
  <c r="AD170" i="14"/>
  <c r="V164" i="15"/>
  <c r="P168" i="16"/>
  <c r="P168" i="19"/>
  <c r="AH42" i="15"/>
  <c r="T189" i="16"/>
  <c r="AB212" i="15"/>
  <c r="AF166" i="16"/>
  <c r="AD174" i="14"/>
  <c r="AD172" i="14"/>
  <c r="L50" i="15"/>
  <c r="T71" i="14"/>
  <c r="T76" i="14"/>
  <c r="L72" i="15"/>
  <c r="R42" i="15"/>
  <c r="L75" i="15"/>
  <c r="L45" i="15"/>
  <c r="L73" i="15"/>
  <c r="L42" i="15"/>
  <c r="AB66" i="19"/>
  <c r="AB73" i="19"/>
  <c r="AB71" i="19"/>
  <c r="AB74" i="19"/>
  <c r="AB77" i="19"/>
  <c r="AB70" i="19"/>
  <c r="AB69" i="19"/>
  <c r="AB72" i="19"/>
  <c r="AB76" i="19"/>
  <c r="AB68" i="19"/>
  <c r="AB75" i="19"/>
  <c r="R50" i="15"/>
  <c r="P76" i="14"/>
  <c r="P74" i="14"/>
  <c r="T50" i="15"/>
  <c r="T192" i="16"/>
  <c r="L67" i="15"/>
  <c r="AF174" i="14"/>
  <c r="Y21" i="14"/>
  <c r="Y18" i="14"/>
  <c r="AD27" i="15"/>
  <c r="L66" i="15"/>
  <c r="L71" i="15"/>
  <c r="L74" i="15"/>
  <c r="L53" i="15"/>
  <c r="AF170" i="14"/>
  <c r="AH119" i="16"/>
  <c r="AH93" i="16"/>
  <c r="AH101" i="16"/>
  <c r="T22" i="15"/>
  <c r="Y28" i="14"/>
  <c r="Y20" i="14"/>
  <c r="Y26" i="14"/>
  <c r="J97" i="16"/>
  <c r="V169" i="15"/>
  <c r="T48" i="14"/>
  <c r="AF144" i="15"/>
  <c r="Y22" i="14"/>
  <c r="Y23" i="14"/>
  <c r="J166" i="19"/>
  <c r="L77" i="15"/>
  <c r="L49" i="15"/>
  <c r="AB189" i="15"/>
  <c r="F101" i="16"/>
  <c r="Y25" i="14"/>
  <c r="Y24" i="14"/>
  <c r="V167" i="15"/>
  <c r="AD165" i="16"/>
  <c r="AD171" i="16"/>
  <c r="AD166" i="16"/>
  <c r="Y29" i="14"/>
  <c r="L69" i="15"/>
  <c r="AF67" i="16"/>
  <c r="AF71" i="16"/>
  <c r="L46" i="15"/>
  <c r="L191" i="15"/>
  <c r="L219" i="15"/>
  <c r="AD18" i="15"/>
  <c r="R22" i="16"/>
  <c r="V165" i="15"/>
  <c r="T52" i="15"/>
  <c r="L76" i="15"/>
  <c r="L52" i="15"/>
  <c r="L217" i="15"/>
  <c r="R167" i="15"/>
  <c r="Y19" i="14"/>
  <c r="AF21" i="15"/>
  <c r="AF141" i="15"/>
  <c r="J126" i="16"/>
  <c r="J117" i="16"/>
  <c r="T44" i="14"/>
  <c r="T42" i="14"/>
  <c r="T67" i="14"/>
  <c r="AD175" i="16"/>
  <c r="J102" i="16"/>
  <c r="J93" i="16"/>
  <c r="X27" i="16"/>
  <c r="X21" i="16"/>
  <c r="J99" i="16"/>
  <c r="AD170" i="16"/>
  <c r="N117" i="19"/>
  <c r="F117" i="15"/>
  <c r="F118" i="15"/>
  <c r="J121" i="16"/>
  <c r="T75" i="14"/>
  <c r="T50" i="14"/>
  <c r="J94" i="16"/>
  <c r="X19" i="16"/>
  <c r="AD172" i="16"/>
  <c r="AH20" i="15"/>
  <c r="AF126" i="14"/>
  <c r="AF26" i="15"/>
  <c r="N119" i="19"/>
  <c r="J122" i="16"/>
  <c r="T51" i="14"/>
  <c r="T68" i="14"/>
  <c r="T46" i="14"/>
  <c r="J101" i="16"/>
  <c r="T53" i="14"/>
  <c r="AH199" i="16"/>
  <c r="AH19" i="15"/>
  <c r="T190" i="16"/>
  <c r="T195" i="16"/>
  <c r="AD22" i="15"/>
  <c r="AB150" i="15"/>
  <c r="AF221" i="15"/>
  <c r="F98" i="19"/>
  <c r="J119" i="16"/>
  <c r="X25" i="16"/>
  <c r="T49" i="14"/>
  <c r="J98" i="16"/>
  <c r="T45" i="14"/>
  <c r="AD168" i="16"/>
  <c r="T52" i="14"/>
  <c r="J95" i="16"/>
  <c r="J92" i="16"/>
  <c r="V170" i="15"/>
  <c r="T46" i="15"/>
  <c r="AF140" i="15"/>
  <c r="N120" i="19"/>
  <c r="AF28" i="15"/>
  <c r="AF25" i="15"/>
  <c r="J123" i="16"/>
  <c r="X23" i="16"/>
  <c r="T69" i="14"/>
  <c r="T66" i="14"/>
  <c r="X28" i="16"/>
  <c r="T73" i="14"/>
  <c r="AD167" i="16"/>
  <c r="J100" i="16"/>
  <c r="AF121" i="14"/>
  <c r="AF20" i="15"/>
  <c r="AF22" i="15"/>
  <c r="AH22" i="15"/>
  <c r="AF116" i="14"/>
  <c r="J125" i="16"/>
  <c r="J115" i="16"/>
  <c r="X18" i="16"/>
  <c r="T72" i="14"/>
  <c r="T47" i="14"/>
  <c r="T70" i="14"/>
  <c r="T74" i="14"/>
  <c r="AD174" i="16"/>
  <c r="V21" i="15"/>
  <c r="AF27" i="15"/>
  <c r="AF23" i="15"/>
  <c r="R211" i="15"/>
  <c r="AH29" i="15"/>
  <c r="AH25" i="15"/>
  <c r="J120" i="16"/>
  <c r="J124" i="16"/>
  <c r="X20" i="16"/>
  <c r="AD169" i="16"/>
  <c r="AD173" i="16"/>
  <c r="R45" i="15"/>
  <c r="T45" i="15"/>
  <c r="T53" i="15"/>
  <c r="R76" i="15"/>
  <c r="T188" i="16"/>
  <c r="L215" i="15"/>
  <c r="AD29" i="15"/>
  <c r="AF193" i="15"/>
  <c r="AH150" i="15"/>
  <c r="Z29" i="15"/>
  <c r="T66" i="15"/>
  <c r="R223" i="21"/>
  <c r="T69" i="15"/>
  <c r="T72" i="15"/>
  <c r="R212" i="21"/>
  <c r="T70" i="15"/>
  <c r="AD223" i="16"/>
  <c r="T51" i="15"/>
  <c r="R68" i="15"/>
  <c r="R217" i="15"/>
  <c r="AF165" i="14"/>
  <c r="F99" i="19"/>
  <c r="F95" i="19"/>
  <c r="T193" i="14"/>
  <c r="R44" i="15"/>
  <c r="Z218" i="15"/>
  <c r="T67" i="15"/>
  <c r="T71" i="15"/>
  <c r="R225" i="21"/>
  <c r="T43" i="15"/>
  <c r="R28" i="16"/>
  <c r="T74" i="15"/>
  <c r="T48" i="15"/>
  <c r="AF43" i="15"/>
  <c r="AF67" i="15"/>
  <c r="R66" i="15"/>
  <c r="R216" i="15"/>
  <c r="AF212" i="15"/>
  <c r="AF215" i="15"/>
  <c r="F93" i="19"/>
  <c r="R51" i="15"/>
  <c r="T73" i="15"/>
  <c r="J169" i="15"/>
  <c r="T49" i="15"/>
  <c r="T44" i="15"/>
  <c r="AF74" i="15"/>
  <c r="R67" i="15"/>
  <c r="AF74" i="14"/>
  <c r="AF69" i="14"/>
  <c r="T196" i="16"/>
  <c r="AD19" i="15"/>
  <c r="AF222" i="15"/>
  <c r="AD212" i="16"/>
  <c r="T75" i="15"/>
  <c r="AD222" i="16"/>
  <c r="T47" i="15"/>
  <c r="R71" i="15"/>
  <c r="R74" i="15"/>
  <c r="T199" i="16"/>
  <c r="L222" i="15"/>
  <c r="L213" i="15"/>
  <c r="AB140" i="15"/>
  <c r="AB145" i="15"/>
  <c r="F100" i="19"/>
  <c r="R49" i="15"/>
  <c r="R53" i="15"/>
  <c r="AF171" i="16"/>
  <c r="T23" i="15"/>
  <c r="V25" i="15"/>
  <c r="AD213" i="16"/>
  <c r="T76" i="15"/>
  <c r="T68" i="15"/>
  <c r="R70" i="15"/>
  <c r="R73" i="15"/>
  <c r="J168" i="15"/>
  <c r="AD23" i="15"/>
  <c r="AD20" i="15"/>
  <c r="AF217" i="15"/>
  <c r="AB192" i="15"/>
  <c r="R47" i="15"/>
  <c r="F141" i="14"/>
  <c r="T20" i="15"/>
  <c r="R222" i="21"/>
  <c r="S28" i="14"/>
  <c r="R29" i="16"/>
  <c r="AB90" i="15"/>
  <c r="AF167" i="14"/>
  <c r="R221" i="15"/>
  <c r="AH213" i="15"/>
  <c r="AH99" i="16"/>
  <c r="AH98" i="16"/>
  <c r="AF121" i="19"/>
  <c r="P66" i="14"/>
  <c r="P69" i="14"/>
  <c r="F124" i="15"/>
  <c r="AD221" i="16"/>
  <c r="R214" i="21"/>
  <c r="R224" i="21"/>
  <c r="R217" i="21"/>
  <c r="V28" i="15"/>
  <c r="AF168" i="16"/>
  <c r="T21" i="15"/>
  <c r="AF166" i="14"/>
  <c r="R213" i="15"/>
  <c r="AH221" i="15"/>
  <c r="AH102" i="16"/>
  <c r="AH118" i="16"/>
  <c r="P75" i="14"/>
  <c r="P77" i="14"/>
  <c r="F123" i="15"/>
  <c r="S26" i="14"/>
  <c r="S21" i="14"/>
  <c r="S25" i="14"/>
  <c r="R229" i="21"/>
  <c r="R227" i="21"/>
  <c r="F116" i="15"/>
  <c r="AF175" i="16"/>
  <c r="T25" i="15"/>
  <c r="AF175" i="14"/>
  <c r="AH94" i="16"/>
  <c r="P68" i="14"/>
  <c r="P71" i="14"/>
  <c r="AF169" i="14"/>
  <c r="AB68" i="14"/>
  <c r="AB70" i="14"/>
  <c r="F115" i="15"/>
  <c r="AF50" i="15"/>
  <c r="AH115" i="16"/>
  <c r="F97" i="16"/>
  <c r="N191" i="15"/>
  <c r="R20" i="16"/>
  <c r="R25" i="16"/>
  <c r="S24" i="14"/>
  <c r="S27" i="14"/>
  <c r="AD220" i="16"/>
  <c r="R221" i="21"/>
  <c r="R219" i="21"/>
  <c r="AD219" i="16"/>
  <c r="AF167" i="16"/>
  <c r="AF48" i="15"/>
  <c r="AH211" i="15"/>
  <c r="AH92" i="16"/>
  <c r="P72" i="14"/>
  <c r="P70" i="14"/>
  <c r="AF164" i="14"/>
  <c r="AH120" i="16"/>
  <c r="AH219" i="15"/>
  <c r="F121" i="15"/>
  <c r="AF46" i="15"/>
  <c r="AF49" i="15"/>
  <c r="AH91" i="16"/>
  <c r="AF164" i="16"/>
  <c r="T27" i="15"/>
  <c r="V18" i="15"/>
  <c r="S18" i="14"/>
  <c r="S20" i="14"/>
  <c r="AD217" i="16"/>
  <c r="R213" i="21"/>
  <c r="R226" i="21"/>
  <c r="AD215" i="16"/>
  <c r="S29" i="14"/>
  <c r="R23" i="16"/>
  <c r="AF122" i="19"/>
  <c r="V29" i="15"/>
  <c r="AF44" i="15"/>
  <c r="AH95" i="16"/>
  <c r="P73" i="14"/>
  <c r="R218" i="15"/>
  <c r="AF168" i="14"/>
  <c r="AH123" i="16"/>
  <c r="AH215" i="15"/>
  <c r="F114" i="15"/>
  <c r="F119" i="15"/>
  <c r="AF42" i="15"/>
  <c r="N187" i="15"/>
  <c r="F140" i="14"/>
  <c r="AF169" i="16"/>
  <c r="AD216" i="16"/>
  <c r="R218" i="21"/>
  <c r="R27" i="16"/>
  <c r="R26" i="16"/>
  <c r="R221" i="16"/>
  <c r="AF45" i="15"/>
  <c r="AH125" i="16"/>
  <c r="P67" i="14"/>
  <c r="R212" i="15"/>
  <c r="AH124" i="16"/>
  <c r="F125" i="15"/>
  <c r="F122" i="15"/>
  <c r="R19" i="16"/>
  <c r="S22" i="14"/>
  <c r="S19" i="14"/>
  <c r="AD214" i="16"/>
  <c r="R228" i="21"/>
  <c r="F146" i="19"/>
  <c r="AF99" i="15"/>
  <c r="AB42" i="15"/>
  <c r="AF77" i="15"/>
  <c r="AF66" i="15"/>
  <c r="R169" i="15"/>
  <c r="R168" i="15"/>
  <c r="R24" i="16"/>
  <c r="F147" i="19"/>
  <c r="F102" i="14"/>
  <c r="AF52" i="15"/>
  <c r="AF76" i="15"/>
  <c r="T26" i="15"/>
  <c r="AF188" i="15"/>
  <c r="AF166" i="19"/>
  <c r="AH18" i="15"/>
  <c r="P47" i="15"/>
  <c r="AH26" i="15"/>
  <c r="R197" i="15"/>
  <c r="T192" i="19"/>
  <c r="AF197" i="15"/>
  <c r="L188" i="15"/>
  <c r="AB92" i="15"/>
  <c r="AH24" i="15"/>
  <c r="L51" i="15"/>
  <c r="AF173" i="14"/>
  <c r="AH216" i="15"/>
  <c r="P73" i="19"/>
  <c r="AB124" i="15"/>
  <c r="AH116" i="14"/>
  <c r="L190" i="15"/>
  <c r="AH95" i="14"/>
  <c r="L47" i="15"/>
  <c r="L194" i="15"/>
  <c r="L198" i="15"/>
  <c r="AH99" i="14"/>
  <c r="AH91" i="14"/>
  <c r="AH49" i="15"/>
  <c r="L211" i="15"/>
  <c r="L220" i="15"/>
  <c r="R46" i="15"/>
  <c r="AH141" i="15"/>
  <c r="Z212" i="15"/>
  <c r="V23" i="15"/>
  <c r="AF198" i="15"/>
  <c r="R188" i="15"/>
  <c r="L192" i="15"/>
  <c r="F94" i="14"/>
  <c r="AH98" i="14"/>
  <c r="L189" i="15"/>
  <c r="L197" i="15"/>
  <c r="AB46" i="15"/>
  <c r="AB52" i="15"/>
  <c r="AB218" i="15"/>
  <c r="AF187" i="15"/>
  <c r="R101" i="15"/>
  <c r="AF72" i="15"/>
  <c r="R170" i="15"/>
  <c r="V24" i="15"/>
  <c r="R96" i="15"/>
  <c r="AF191" i="15"/>
  <c r="AH96" i="14"/>
  <c r="AB99" i="15"/>
  <c r="AF149" i="15"/>
  <c r="AH188" i="15"/>
  <c r="P46" i="15"/>
  <c r="L193" i="15"/>
  <c r="AB217" i="15"/>
  <c r="AF190" i="15"/>
  <c r="AH97" i="14"/>
  <c r="Z24" i="15"/>
  <c r="L187" i="15"/>
  <c r="AF189" i="15"/>
  <c r="T190" i="14"/>
  <c r="AH94" i="14"/>
  <c r="AF174" i="19"/>
  <c r="AB221" i="15"/>
  <c r="AF192" i="15"/>
  <c r="AH93" i="14"/>
  <c r="AF169" i="19"/>
  <c r="AH101" i="14"/>
  <c r="AH121" i="19"/>
  <c r="AB101" i="15"/>
  <c r="AB45" i="15"/>
  <c r="AH50" i="15"/>
  <c r="AF96" i="15"/>
  <c r="AB214" i="15"/>
  <c r="AB211" i="15"/>
  <c r="T196" i="14"/>
  <c r="R166" i="15"/>
  <c r="AB68" i="15"/>
  <c r="AF122" i="15"/>
  <c r="AH122" i="19"/>
  <c r="AF98" i="15"/>
  <c r="AB93" i="15"/>
  <c r="AH48" i="15"/>
  <c r="AF95" i="15"/>
  <c r="AB222" i="15"/>
  <c r="AB215" i="15"/>
  <c r="T194" i="14"/>
  <c r="R165" i="15"/>
  <c r="AH51" i="15"/>
  <c r="AB216" i="15"/>
  <c r="AB100" i="15"/>
  <c r="AF90" i="15"/>
  <c r="T191" i="14"/>
  <c r="R164" i="15"/>
  <c r="L209" i="21"/>
  <c r="K64" i="21"/>
  <c r="K62" i="21"/>
  <c r="K63" i="21"/>
  <c r="AB219" i="15"/>
  <c r="T198" i="14"/>
  <c r="AB95" i="15"/>
  <c r="AH53" i="15"/>
  <c r="AF94" i="15"/>
  <c r="AB213" i="15"/>
  <c r="T189" i="14"/>
  <c r="AH70" i="15"/>
  <c r="AB98" i="15"/>
  <c r="AH44" i="15"/>
  <c r="AF100" i="15"/>
  <c r="AF101" i="15"/>
  <c r="R172" i="15"/>
  <c r="AH117" i="19"/>
  <c r="AB97" i="15"/>
  <c r="AB91" i="15"/>
  <c r="AH43" i="15"/>
  <c r="AH45" i="15"/>
  <c r="AF97" i="15"/>
  <c r="AF93" i="15"/>
  <c r="N126" i="16"/>
  <c r="Z217" i="15"/>
  <c r="AH97" i="16"/>
  <c r="R94" i="15"/>
  <c r="N97" i="16"/>
  <c r="AF170" i="16"/>
  <c r="N188" i="19"/>
  <c r="AF173" i="19"/>
  <c r="AH143" i="15"/>
  <c r="F151" i="14"/>
  <c r="N189" i="19"/>
  <c r="V28" i="16"/>
  <c r="P76" i="16"/>
  <c r="P77" i="16"/>
  <c r="J167" i="15"/>
  <c r="R216" i="16"/>
  <c r="R166" i="16"/>
  <c r="F140" i="19"/>
  <c r="F145" i="19"/>
  <c r="L43" i="15"/>
  <c r="AB52" i="19"/>
  <c r="AB47" i="19"/>
  <c r="AB44" i="19"/>
  <c r="V25" i="16"/>
  <c r="V22" i="16"/>
  <c r="P67" i="16"/>
  <c r="P71" i="16"/>
  <c r="P48" i="16"/>
  <c r="AB75" i="14"/>
  <c r="AB77" i="14"/>
  <c r="F142" i="14"/>
  <c r="Z23" i="15"/>
  <c r="T29" i="15"/>
  <c r="R174" i="15"/>
  <c r="R163" i="15"/>
  <c r="P42" i="15"/>
  <c r="AF50" i="19"/>
  <c r="AF49" i="19"/>
  <c r="AH24" i="16"/>
  <c r="AH29" i="16"/>
  <c r="AG18" i="14"/>
  <c r="AG28" i="14"/>
  <c r="AF118" i="19"/>
  <c r="R171" i="15"/>
  <c r="AF164" i="19"/>
  <c r="V19" i="16"/>
  <c r="T20" i="16"/>
  <c r="L218" i="15"/>
  <c r="AF125" i="16"/>
  <c r="V18" i="16"/>
  <c r="V27" i="16"/>
  <c r="P72" i="16"/>
  <c r="R221" i="14"/>
  <c r="P47" i="16"/>
  <c r="P42" i="16"/>
  <c r="L48" i="15"/>
  <c r="L44" i="15"/>
  <c r="AH52" i="16"/>
  <c r="F145" i="14"/>
  <c r="AF145" i="15"/>
  <c r="J172" i="15"/>
  <c r="J173" i="15"/>
  <c r="AH52" i="15"/>
  <c r="AF91" i="15"/>
  <c r="AB77" i="15"/>
  <c r="AB75" i="15"/>
  <c r="AD26" i="19"/>
  <c r="N189" i="15"/>
  <c r="AF194" i="15"/>
  <c r="F141" i="19"/>
  <c r="AB70" i="15"/>
  <c r="AH51" i="16"/>
  <c r="AH53" i="16"/>
  <c r="AF221" i="19"/>
  <c r="AH126" i="19"/>
  <c r="F97" i="19"/>
  <c r="AF223" i="19"/>
  <c r="AH119" i="19"/>
  <c r="F125" i="19"/>
  <c r="F118" i="19"/>
  <c r="F91" i="19"/>
  <c r="AF53" i="19"/>
  <c r="AF23" i="19"/>
  <c r="R164" i="16"/>
  <c r="F144" i="19"/>
  <c r="F148" i="19"/>
  <c r="AF43" i="19"/>
  <c r="AH198" i="14"/>
  <c r="AB50" i="15"/>
  <c r="P43" i="16"/>
  <c r="F151" i="19"/>
  <c r="AH43" i="16"/>
  <c r="AH47" i="16"/>
  <c r="R220" i="15"/>
  <c r="L221" i="19"/>
  <c r="Z218" i="19"/>
  <c r="Z219" i="19"/>
  <c r="N198" i="15"/>
  <c r="N193" i="15"/>
  <c r="AF195" i="15"/>
  <c r="AH189" i="15"/>
  <c r="R43" i="15"/>
  <c r="AB95" i="19"/>
  <c r="AB220" i="15"/>
  <c r="T188" i="14"/>
  <c r="T197" i="14"/>
  <c r="T192" i="14"/>
  <c r="AF165" i="16"/>
  <c r="AF174" i="16"/>
  <c r="V27" i="15"/>
  <c r="V20" i="15"/>
  <c r="AB93" i="16"/>
  <c r="AB92" i="16"/>
  <c r="AH100" i="14"/>
  <c r="AF213" i="16"/>
  <c r="AI29" i="14"/>
  <c r="AI19" i="14"/>
  <c r="AD26" i="15"/>
  <c r="AF213" i="15"/>
  <c r="AF211" i="15"/>
  <c r="AF47" i="15"/>
  <c r="AF51" i="15"/>
  <c r="P52" i="14"/>
  <c r="P51" i="14"/>
  <c r="AB96" i="16"/>
  <c r="AB100" i="16"/>
  <c r="L196" i="15"/>
  <c r="AH92" i="14"/>
  <c r="AH47" i="15"/>
  <c r="AH46" i="15"/>
  <c r="AF212" i="16"/>
  <c r="AF92" i="15"/>
  <c r="T198" i="16"/>
  <c r="AI22" i="14"/>
  <c r="AI27" i="14"/>
  <c r="L221" i="15"/>
  <c r="L212" i="15"/>
  <c r="AB76" i="15"/>
  <c r="AD24" i="15"/>
  <c r="AD25" i="15"/>
  <c r="AH115" i="19"/>
  <c r="AF220" i="15"/>
  <c r="AF219" i="15"/>
  <c r="AF53" i="15"/>
  <c r="P46" i="14"/>
  <c r="P49" i="14"/>
  <c r="AH52" i="19"/>
  <c r="AH46" i="19"/>
  <c r="F147" i="14"/>
  <c r="F150" i="14"/>
  <c r="AF172" i="16"/>
  <c r="AF71" i="15"/>
  <c r="AF68" i="15"/>
  <c r="T19" i="15"/>
  <c r="P53" i="15"/>
  <c r="P51" i="15"/>
  <c r="R196" i="15"/>
  <c r="V22" i="15"/>
  <c r="V19" i="15"/>
  <c r="T193" i="16"/>
  <c r="AF75" i="15"/>
  <c r="AF73" i="15"/>
  <c r="R187" i="15"/>
  <c r="R173" i="16"/>
  <c r="R172" i="16"/>
  <c r="F149" i="19"/>
  <c r="AB96" i="15"/>
  <c r="AH44" i="16"/>
  <c r="AF29" i="15"/>
  <c r="R219" i="15"/>
  <c r="T199" i="19"/>
  <c r="T196" i="19"/>
  <c r="AH27" i="15"/>
  <c r="AF147" i="15"/>
  <c r="AF139" i="15"/>
  <c r="AF51" i="19"/>
  <c r="AF48" i="19"/>
  <c r="AH187" i="15"/>
  <c r="AH192" i="15"/>
  <c r="R48" i="15"/>
  <c r="Z211" i="15"/>
  <c r="R98" i="15"/>
  <c r="F146" i="14"/>
  <c r="Z19" i="15"/>
  <c r="F150" i="16"/>
  <c r="AH198" i="15"/>
  <c r="AF77" i="16"/>
  <c r="AB44" i="15"/>
  <c r="AH140" i="15"/>
  <c r="P45" i="15"/>
  <c r="R192" i="15"/>
  <c r="AH196" i="15"/>
  <c r="AH190" i="15"/>
  <c r="T197" i="19"/>
  <c r="T193" i="19"/>
  <c r="Z27" i="15"/>
  <c r="J174" i="15"/>
  <c r="J171" i="15"/>
  <c r="Z219" i="15"/>
  <c r="AB66" i="15"/>
  <c r="AB73" i="15"/>
  <c r="N119" i="16"/>
  <c r="AF74" i="16"/>
  <c r="AB74" i="15"/>
  <c r="AB67" i="15"/>
  <c r="AF46" i="16"/>
  <c r="AF50" i="16"/>
  <c r="F142" i="16"/>
  <c r="P76" i="19"/>
  <c r="P71" i="19"/>
  <c r="N102" i="16"/>
  <c r="N101" i="16"/>
  <c r="J164" i="15"/>
  <c r="P77" i="19"/>
  <c r="AB51" i="15"/>
  <c r="R100" i="15"/>
  <c r="N190" i="15"/>
  <c r="AH147" i="15"/>
  <c r="R189" i="15"/>
  <c r="AH195" i="15"/>
  <c r="AH197" i="15"/>
  <c r="T191" i="19"/>
  <c r="Z21" i="15"/>
  <c r="J163" i="15"/>
  <c r="Z215" i="15"/>
  <c r="AB71" i="15"/>
  <c r="F92" i="14"/>
  <c r="AF75" i="16"/>
  <c r="L42" i="19"/>
  <c r="L43" i="19"/>
  <c r="J164" i="19"/>
  <c r="AH213" i="14"/>
  <c r="AH50" i="16"/>
  <c r="AH42" i="16"/>
  <c r="L218" i="19"/>
  <c r="L213" i="19"/>
  <c r="AH193" i="14"/>
  <c r="AH194" i="14"/>
  <c r="R44" i="16"/>
  <c r="J164" i="16"/>
  <c r="F117" i="19"/>
  <c r="R198" i="19"/>
  <c r="F101" i="19"/>
  <c r="F102" i="19"/>
  <c r="N189" i="16"/>
  <c r="AF213" i="14"/>
  <c r="AF222" i="14"/>
  <c r="AF44" i="16"/>
  <c r="AF51" i="16"/>
  <c r="T199" i="14"/>
  <c r="L223" i="16"/>
  <c r="L219" i="16"/>
  <c r="AB53" i="14"/>
  <c r="AB51" i="14"/>
  <c r="F149" i="16"/>
  <c r="R96" i="16"/>
  <c r="R101" i="16"/>
  <c r="P66" i="19"/>
  <c r="P72" i="19"/>
  <c r="R212" i="16"/>
  <c r="U27" i="14"/>
  <c r="R174" i="19"/>
  <c r="AB212" i="16"/>
  <c r="AH25" i="16"/>
  <c r="AH22" i="16"/>
  <c r="AH53" i="19"/>
  <c r="AG23" i="14"/>
  <c r="AE19" i="14"/>
  <c r="AE26" i="14"/>
  <c r="R95" i="15"/>
  <c r="AH148" i="15"/>
  <c r="J165" i="15"/>
  <c r="F150" i="15"/>
  <c r="AF68" i="16"/>
  <c r="AH147" i="16"/>
  <c r="AF219" i="14"/>
  <c r="R93" i="15"/>
  <c r="AB43" i="15"/>
  <c r="R92" i="15"/>
  <c r="N196" i="15"/>
  <c r="AH145" i="15"/>
  <c r="P52" i="15"/>
  <c r="P50" i="15"/>
  <c r="R190" i="15"/>
  <c r="AH194" i="15"/>
  <c r="T188" i="19"/>
  <c r="Z20" i="15"/>
  <c r="J170" i="15"/>
  <c r="Z214" i="15"/>
  <c r="N98" i="15"/>
  <c r="AF171" i="19"/>
  <c r="AF73" i="16"/>
  <c r="N117" i="16"/>
  <c r="AF68" i="14"/>
  <c r="F124" i="19"/>
  <c r="F123" i="19"/>
  <c r="R199" i="19"/>
  <c r="AF214" i="14"/>
  <c r="AF220" i="14"/>
  <c r="N116" i="16"/>
  <c r="F151" i="16"/>
  <c r="F141" i="16"/>
  <c r="AD27" i="16"/>
  <c r="R93" i="16"/>
  <c r="R91" i="16"/>
  <c r="P69" i="19"/>
  <c r="P68" i="19"/>
  <c r="R213" i="16"/>
  <c r="N123" i="16"/>
  <c r="U20" i="14"/>
  <c r="R170" i="19"/>
  <c r="AH26" i="16"/>
  <c r="AG26" i="14"/>
  <c r="AG22" i="14"/>
  <c r="AB49" i="15"/>
  <c r="R99" i="15"/>
  <c r="N197" i="15"/>
  <c r="N188" i="15"/>
  <c r="P49" i="15"/>
  <c r="R191" i="15"/>
  <c r="AH193" i="15"/>
  <c r="T194" i="19"/>
  <c r="J166" i="15"/>
  <c r="Z216" i="15"/>
  <c r="Z213" i="15"/>
  <c r="P75" i="15"/>
  <c r="R168" i="16"/>
  <c r="F142" i="19"/>
  <c r="AF66" i="16"/>
  <c r="AB72" i="15"/>
  <c r="AH49" i="16"/>
  <c r="N122" i="16"/>
  <c r="AF76" i="14"/>
  <c r="AH217" i="15"/>
  <c r="AH188" i="14"/>
  <c r="AB213" i="19"/>
  <c r="F120" i="19"/>
  <c r="AF47" i="16"/>
  <c r="AF49" i="16"/>
  <c r="N121" i="16"/>
  <c r="F144" i="16"/>
  <c r="F140" i="16"/>
  <c r="P75" i="19"/>
  <c r="P70" i="19"/>
  <c r="R220" i="16"/>
  <c r="U24" i="14"/>
  <c r="U28" i="14"/>
  <c r="AH117" i="16"/>
  <c r="AH20" i="16"/>
  <c r="N190" i="19"/>
  <c r="AH142" i="15"/>
  <c r="T189" i="19"/>
  <c r="U19" i="14"/>
  <c r="AB48" i="15"/>
  <c r="R91" i="15"/>
  <c r="N192" i="15"/>
  <c r="N194" i="15"/>
  <c r="AH149" i="15"/>
  <c r="AH139" i="15"/>
  <c r="P44" i="15"/>
  <c r="P48" i="15"/>
  <c r="R194" i="15"/>
  <c r="AH191" i="15"/>
  <c r="Z28" i="15"/>
  <c r="Z221" i="15"/>
  <c r="AB69" i="15"/>
  <c r="AF72" i="16"/>
  <c r="AF70" i="16"/>
  <c r="L53" i="19"/>
  <c r="AH48" i="16"/>
  <c r="AH189" i="14"/>
  <c r="AH150" i="16"/>
  <c r="R46" i="16"/>
  <c r="F115" i="19"/>
  <c r="R192" i="19"/>
  <c r="R195" i="19"/>
  <c r="AF212" i="14"/>
  <c r="F147" i="16"/>
  <c r="F148" i="16"/>
  <c r="R99" i="16"/>
  <c r="P67" i="19"/>
  <c r="R217" i="16"/>
  <c r="U25" i="14"/>
  <c r="U23" i="14"/>
  <c r="R173" i="19"/>
  <c r="AB217" i="16"/>
  <c r="AH28" i="16"/>
  <c r="AH51" i="19"/>
  <c r="AE29" i="14"/>
  <c r="Z222" i="15"/>
  <c r="Z220" i="15"/>
  <c r="AB102" i="14"/>
  <c r="T27" i="19"/>
  <c r="T22" i="19"/>
  <c r="P43" i="15"/>
  <c r="R193" i="15"/>
  <c r="N192" i="19"/>
  <c r="U22" i="14"/>
  <c r="AB47" i="15"/>
  <c r="AH146" i="15"/>
  <c r="R198" i="15"/>
  <c r="AF25" i="19"/>
  <c r="R119" i="14"/>
  <c r="R116" i="14"/>
  <c r="AF76" i="16"/>
  <c r="AF69" i="16"/>
  <c r="AF66" i="14"/>
  <c r="AF77" i="14"/>
  <c r="N124" i="16"/>
  <c r="L193" i="14"/>
  <c r="AH93" i="19"/>
  <c r="AH52" i="14"/>
  <c r="L223" i="14"/>
  <c r="L212" i="14"/>
  <c r="AH188" i="19"/>
  <c r="AB191" i="15"/>
  <c r="F119" i="19"/>
  <c r="R197" i="19"/>
  <c r="R194" i="19"/>
  <c r="AF53" i="16"/>
  <c r="F146" i="16"/>
  <c r="F145" i="16"/>
  <c r="P74" i="19"/>
  <c r="R222" i="16"/>
  <c r="R219" i="16"/>
  <c r="U18" i="14"/>
  <c r="U29" i="14"/>
  <c r="R168" i="19"/>
  <c r="R165" i="19"/>
  <c r="AH19" i="16"/>
  <c r="R97" i="15"/>
  <c r="Z22" i="15"/>
  <c r="Z25" i="15"/>
  <c r="N95" i="16"/>
  <c r="N197" i="19"/>
  <c r="AF141" i="19"/>
  <c r="AF70" i="15"/>
  <c r="AF172" i="19"/>
  <c r="P46" i="16"/>
  <c r="N97" i="14"/>
  <c r="N96" i="14"/>
  <c r="AH28" i="15"/>
  <c r="AF146" i="15"/>
  <c r="AF143" i="15"/>
  <c r="AB149" i="15"/>
  <c r="AD18" i="19"/>
  <c r="AD28" i="19"/>
  <c r="AF116" i="16"/>
  <c r="R192" i="16"/>
  <c r="R196" i="16"/>
  <c r="F93" i="14"/>
  <c r="L47" i="19"/>
  <c r="L52" i="19"/>
  <c r="J165" i="19"/>
  <c r="AH212" i="14"/>
  <c r="AF92" i="16"/>
  <c r="AF24" i="15"/>
  <c r="T190" i="19"/>
  <c r="T195" i="19"/>
  <c r="AH23" i="15"/>
  <c r="AF150" i="15"/>
  <c r="AH190" i="14"/>
  <c r="AH192" i="14"/>
  <c r="AB146" i="15"/>
  <c r="AB141" i="15"/>
  <c r="AB48" i="19"/>
  <c r="AB51" i="19"/>
  <c r="AD27" i="19"/>
  <c r="AD24" i="19"/>
  <c r="R119" i="15"/>
  <c r="R72" i="16"/>
  <c r="R212" i="14"/>
  <c r="AB42" i="19"/>
  <c r="AB50" i="19"/>
  <c r="AD22" i="19"/>
  <c r="AB98" i="14"/>
  <c r="AB93" i="14"/>
  <c r="L48" i="19"/>
  <c r="AB99" i="16"/>
  <c r="AH102" i="14"/>
  <c r="AF216" i="16"/>
  <c r="AF223" i="16"/>
  <c r="AI23" i="14"/>
  <c r="AH196" i="14"/>
  <c r="AH197" i="14"/>
  <c r="AF140" i="16"/>
  <c r="AF146" i="16"/>
  <c r="AB46" i="19"/>
  <c r="AB43" i="19"/>
  <c r="AD29" i="19"/>
  <c r="AF70" i="19"/>
  <c r="L46" i="19"/>
  <c r="J174" i="19"/>
  <c r="J175" i="19"/>
  <c r="AH216" i="14"/>
  <c r="AH222" i="14"/>
  <c r="AB101" i="16"/>
  <c r="AB102" i="16"/>
  <c r="AF221" i="16"/>
  <c r="AF95" i="14"/>
  <c r="AF92" i="14"/>
  <c r="T195" i="14"/>
  <c r="AF141" i="14"/>
  <c r="R116" i="15"/>
  <c r="R117" i="15"/>
  <c r="Z26" i="15"/>
  <c r="N91" i="16"/>
  <c r="N96" i="16"/>
  <c r="AB148" i="19"/>
  <c r="AB142" i="19"/>
  <c r="L48" i="16"/>
  <c r="AD19" i="19"/>
  <c r="AD23" i="16"/>
  <c r="AF145" i="19"/>
  <c r="AH199" i="14"/>
  <c r="AH125" i="14"/>
  <c r="AD23" i="19"/>
  <c r="AD25" i="19"/>
  <c r="AH146" i="16"/>
  <c r="R164" i="19"/>
  <c r="N193" i="19"/>
  <c r="F101" i="14"/>
  <c r="V24" i="16"/>
  <c r="V29" i="16"/>
  <c r="P68" i="16"/>
  <c r="P49" i="16"/>
  <c r="P53" i="16"/>
  <c r="AF91" i="16"/>
  <c r="AF193" i="19"/>
  <c r="AH123" i="19"/>
  <c r="AH118" i="19"/>
  <c r="AH125" i="19"/>
  <c r="AF124" i="15"/>
  <c r="AB151" i="16"/>
  <c r="AB147" i="16"/>
  <c r="AB199" i="14"/>
  <c r="Z216" i="19"/>
  <c r="R166" i="14"/>
  <c r="R170" i="14"/>
  <c r="Z25" i="16"/>
  <c r="F99" i="14"/>
  <c r="AB140" i="14"/>
  <c r="AB146" i="14"/>
  <c r="N115" i="19"/>
  <c r="N121" i="19"/>
  <c r="N118" i="19"/>
  <c r="N122" i="19"/>
  <c r="N126" i="19"/>
  <c r="N123" i="19"/>
  <c r="F95" i="14"/>
  <c r="F91" i="14"/>
  <c r="AF165" i="19"/>
  <c r="R194" i="16"/>
  <c r="R199" i="16"/>
  <c r="F96" i="14"/>
  <c r="N194" i="14"/>
  <c r="N197" i="14"/>
  <c r="V26" i="16"/>
  <c r="P75" i="16"/>
  <c r="P69" i="16"/>
  <c r="AF197" i="16"/>
  <c r="AF199" i="16"/>
  <c r="R220" i="14"/>
  <c r="P50" i="16"/>
  <c r="T29" i="16"/>
  <c r="T24" i="16"/>
  <c r="AA26" i="14"/>
  <c r="F97" i="14"/>
  <c r="AF198" i="19"/>
  <c r="AF192" i="19"/>
  <c r="F115" i="14"/>
  <c r="F123" i="14"/>
  <c r="AH76" i="15"/>
  <c r="AH77" i="15"/>
  <c r="AB190" i="14"/>
  <c r="F100" i="14"/>
  <c r="R188" i="16"/>
  <c r="R195" i="16"/>
  <c r="N199" i="14"/>
  <c r="N196" i="14"/>
  <c r="AF196" i="16"/>
  <c r="AF189" i="16"/>
  <c r="R223" i="14"/>
  <c r="AF190" i="19"/>
  <c r="AF195" i="19"/>
  <c r="AF125" i="14"/>
  <c r="AF123" i="14"/>
  <c r="AF124" i="14"/>
  <c r="AF122" i="14"/>
  <c r="AF115" i="14"/>
  <c r="Z20" i="19"/>
  <c r="Z19" i="19"/>
  <c r="N98" i="19"/>
  <c r="N97" i="19"/>
  <c r="AH196" i="16"/>
  <c r="AB194" i="14"/>
  <c r="AB195" i="14"/>
  <c r="Z217" i="19"/>
  <c r="Z222" i="19"/>
  <c r="L199" i="14"/>
  <c r="L220" i="14"/>
  <c r="AH195" i="19"/>
  <c r="AH199" i="19"/>
  <c r="Z219" i="14"/>
  <c r="AB221" i="16"/>
  <c r="AB219" i="16"/>
  <c r="AH222" i="16"/>
  <c r="Z18" i="19"/>
  <c r="Z27" i="19"/>
  <c r="N100" i="19"/>
  <c r="R193" i="16"/>
  <c r="R189" i="16"/>
  <c r="N198" i="14"/>
  <c r="N189" i="14"/>
  <c r="V20" i="16"/>
  <c r="AF27" i="19"/>
  <c r="P74" i="16"/>
  <c r="P70" i="16"/>
  <c r="AF192" i="16"/>
  <c r="AF188" i="16"/>
  <c r="R219" i="14"/>
  <c r="P44" i="16"/>
  <c r="R170" i="16"/>
  <c r="R165" i="16"/>
  <c r="L44" i="19"/>
  <c r="AB141" i="14"/>
  <c r="AF189" i="19"/>
  <c r="AH194" i="16"/>
  <c r="AH117" i="14"/>
  <c r="AB149" i="16"/>
  <c r="AB97" i="16"/>
  <c r="AF214" i="16"/>
  <c r="AB193" i="14"/>
  <c r="AB197" i="14"/>
  <c r="L198" i="14"/>
  <c r="L192" i="14"/>
  <c r="AH96" i="19"/>
  <c r="J171" i="14"/>
  <c r="AH214" i="19"/>
  <c r="AH51" i="14"/>
  <c r="AH43" i="14"/>
  <c r="AF98" i="19"/>
  <c r="L214" i="14"/>
  <c r="AH194" i="19"/>
  <c r="AB53" i="19"/>
  <c r="R53" i="16"/>
  <c r="R50" i="16"/>
  <c r="F126" i="19"/>
  <c r="R189" i="19"/>
  <c r="R193" i="19"/>
  <c r="AF223" i="14"/>
  <c r="AB123" i="16"/>
  <c r="AB125" i="16"/>
  <c r="R98" i="16"/>
  <c r="AF47" i="19"/>
  <c r="AF52" i="19"/>
  <c r="R214" i="16"/>
  <c r="R175" i="19"/>
  <c r="AB222" i="16"/>
  <c r="P53" i="14"/>
  <c r="P50" i="14"/>
  <c r="AH18" i="16"/>
  <c r="AH27" i="16"/>
  <c r="AB218" i="14"/>
  <c r="AG24" i="14"/>
  <c r="AG20" i="14"/>
  <c r="AF196" i="14"/>
  <c r="AF192" i="14"/>
  <c r="R212" i="19"/>
  <c r="R123" i="16"/>
  <c r="R119" i="16"/>
  <c r="Z22" i="19"/>
  <c r="N92" i="19"/>
  <c r="AE20" i="14"/>
  <c r="AE22" i="14"/>
  <c r="L196" i="16"/>
  <c r="R115" i="15"/>
  <c r="R120" i="15"/>
  <c r="N100" i="16"/>
  <c r="P48" i="19"/>
  <c r="P52" i="19"/>
  <c r="N199" i="19"/>
  <c r="R169" i="16"/>
  <c r="R175" i="16"/>
  <c r="AF95" i="16"/>
  <c r="AF188" i="19"/>
  <c r="AB144" i="16"/>
  <c r="AB91" i="16"/>
  <c r="AF220" i="16"/>
  <c r="AF218" i="16"/>
  <c r="AI20" i="14"/>
  <c r="AB189" i="14"/>
  <c r="AB188" i="14"/>
  <c r="L190" i="14"/>
  <c r="L195" i="14"/>
  <c r="AH91" i="19"/>
  <c r="J168" i="14"/>
  <c r="AH218" i="19"/>
  <c r="AH44" i="14"/>
  <c r="AH47" i="14"/>
  <c r="Z218" i="16"/>
  <c r="Z220" i="16"/>
  <c r="R43" i="16"/>
  <c r="R49" i="16"/>
  <c r="AB119" i="16"/>
  <c r="AB122" i="16"/>
  <c r="Z212" i="14"/>
  <c r="Z218" i="14"/>
  <c r="AF42" i="19"/>
  <c r="AF44" i="19"/>
  <c r="P44" i="14"/>
  <c r="AB213" i="14"/>
  <c r="AB214" i="14"/>
  <c r="R220" i="19"/>
  <c r="R122" i="16"/>
  <c r="R126" i="16"/>
  <c r="Z24" i="19"/>
  <c r="N95" i="19"/>
  <c r="L194" i="16"/>
  <c r="L189" i="16"/>
  <c r="AH121" i="16"/>
  <c r="N99" i="16"/>
  <c r="P46" i="19"/>
  <c r="P44" i="19"/>
  <c r="AB119" i="14"/>
  <c r="P73" i="16"/>
  <c r="AF195" i="16"/>
  <c r="R222" i="14"/>
  <c r="R218" i="14"/>
  <c r="P52" i="16"/>
  <c r="T18" i="16"/>
  <c r="T26" i="16"/>
  <c r="R171" i="16"/>
  <c r="R174" i="16"/>
  <c r="F150" i="19"/>
  <c r="L49" i="19"/>
  <c r="L50" i="19"/>
  <c r="AB151" i="14"/>
  <c r="AF93" i="16"/>
  <c r="AF102" i="16"/>
  <c r="AF196" i="19"/>
  <c r="AB95" i="16"/>
  <c r="AF222" i="16"/>
  <c r="AF217" i="16"/>
  <c r="AI28" i="14"/>
  <c r="AB192" i="14"/>
  <c r="AB196" i="14"/>
  <c r="L52" i="14"/>
  <c r="L43" i="14"/>
  <c r="L216" i="14"/>
  <c r="L218" i="14"/>
  <c r="AH198" i="19"/>
  <c r="AB49" i="19"/>
  <c r="Z217" i="16"/>
  <c r="Z213" i="16"/>
  <c r="R51" i="16"/>
  <c r="R47" i="16"/>
  <c r="AF145" i="14"/>
  <c r="Z213" i="14"/>
  <c r="Z216" i="14"/>
  <c r="F91" i="16"/>
  <c r="N195" i="15"/>
  <c r="AF46" i="19"/>
  <c r="R172" i="19"/>
  <c r="AB214" i="16"/>
  <c r="P42" i="14"/>
  <c r="Z29" i="19"/>
  <c r="N102" i="19"/>
  <c r="AB96" i="14"/>
  <c r="T19" i="19"/>
  <c r="T28" i="19"/>
  <c r="R164" i="14"/>
  <c r="Z20" i="16"/>
  <c r="Z26" i="16"/>
  <c r="AB116" i="14"/>
  <c r="L189" i="14"/>
  <c r="AH100" i="19"/>
  <c r="AH102" i="19"/>
  <c r="J165" i="14"/>
  <c r="J174" i="14"/>
  <c r="AH220" i="19"/>
  <c r="AH213" i="19"/>
  <c r="AH42" i="14"/>
  <c r="AH189" i="19"/>
  <c r="AH190" i="19"/>
  <c r="AF97" i="14"/>
  <c r="AF99" i="14"/>
  <c r="Z222" i="14"/>
  <c r="Z214" i="14"/>
  <c r="Z26" i="19"/>
  <c r="Z25" i="19"/>
  <c r="N93" i="19"/>
  <c r="N99" i="19"/>
  <c r="AB121" i="14"/>
  <c r="AB125" i="14"/>
  <c r="N194" i="19"/>
  <c r="AF194" i="19"/>
  <c r="AF199" i="19"/>
  <c r="T198" i="19"/>
  <c r="AH189" i="16"/>
  <c r="AH198" i="16"/>
  <c r="AB51" i="16"/>
  <c r="AB198" i="14"/>
  <c r="L194" i="14"/>
  <c r="AH92" i="19"/>
  <c r="AH95" i="19"/>
  <c r="AH50" i="14"/>
  <c r="AH196" i="19"/>
  <c r="AH192" i="19"/>
  <c r="Z222" i="16"/>
  <c r="R42" i="16"/>
  <c r="AF144" i="14"/>
  <c r="AD20" i="16"/>
  <c r="AD28" i="16"/>
  <c r="Z220" i="14"/>
  <c r="AB218" i="16"/>
  <c r="Z23" i="19"/>
  <c r="Z28" i="19"/>
  <c r="N96" i="19"/>
  <c r="N91" i="19"/>
  <c r="AH96" i="16"/>
  <c r="AF74" i="19"/>
  <c r="AF71" i="19"/>
  <c r="AB92" i="14"/>
  <c r="AB101" i="14"/>
  <c r="R171" i="14"/>
  <c r="R175" i="14"/>
  <c r="AB188" i="16"/>
  <c r="Z24" i="16"/>
  <c r="R75" i="16"/>
  <c r="AB126" i="14"/>
  <c r="AB117" i="14"/>
  <c r="AF19" i="16"/>
  <c r="AB196" i="15"/>
  <c r="AB198" i="15"/>
  <c r="F95" i="16"/>
  <c r="N92" i="15"/>
  <c r="N95" i="15"/>
  <c r="AH73" i="15"/>
  <c r="AH68" i="15"/>
  <c r="AB96" i="19"/>
  <c r="R95" i="19"/>
  <c r="R96" i="19"/>
  <c r="R198" i="16"/>
  <c r="N193" i="14"/>
  <c r="AF26" i="19"/>
  <c r="AF22" i="19"/>
  <c r="AF190" i="16"/>
  <c r="R217" i="14"/>
  <c r="R214" i="14"/>
  <c r="AH26" i="19"/>
  <c r="N95" i="14"/>
  <c r="AB140" i="19"/>
  <c r="L46" i="16"/>
  <c r="L43" i="16"/>
  <c r="L188" i="19"/>
  <c r="F115" i="16"/>
  <c r="AH220" i="14"/>
  <c r="AF214" i="19"/>
  <c r="AF220" i="19"/>
  <c r="F124" i="14"/>
  <c r="AH146" i="19"/>
  <c r="AH150" i="19"/>
  <c r="R51" i="19"/>
  <c r="R47" i="19"/>
  <c r="W27" i="14"/>
  <c r="AF50" i="14"/>
  <c r="AB194" i="15"/>
  <c r="F93" i="16"/>
  <c r="AB190" i="15"/>
  <c r="F92" i="16"/>
  <c r="N100" i="15"/>
  <c r="N94" i="15"/>
  <c r="AH72" i="15"/>
  <c r="AH75" i="15"/>
  <c r="AB101" i="19"/>
  <c r="R97" i="19"/>
  <c r="R190" i="16"/>
  <c r="N188" i="14"/>
  <c r="AF28" i="19"/>
  <c r="AF20" i="19"/>
  <c r="AF194" i="16"/>
  <c r="R216" i="14"/>
  <c r="R213" i="14"/>
  <c r="AH29" i="19"/>
  <c r="T28" i="16"/>
  <c r="R117" i="14"/>
  <c r="AA20" i="14"/>
  <c r="AA27" i="14"/>
  <c r="N99" i="14"/>
  <c r="AB144" i="19"/>
  <c r="AB145" i="14"/>
  <c r="AB150" i="14"/>
  <c r="AB189" i="19"/>
  <c r="AB188" i="19"/>
  <c r="AB72" i="16"/>
  <c r="L69" i="14"/>
  <c r="L67" i="14"/>
  <c r="L76" i="14"/>
  <c r="L77" i="14"/>
  <c r="L74" i="14"/>
  <c r="L71" i="14"/>
  <c r="L73" i="14"/>
  <c r="L66" i="14"/>
  <c r="L45" i="14"/>
  <c r="L68" i="14"/>
  <c r="L72" i="14"/>
  <c r="L70" i="14"/>
  <c r="L50" i="14"/>
  <c r="AB195" i="15"/>
  <c r="AB197" i="15"/>
  <c r="F98" i="16"/>
  <c r="N99" i="15"/>
  <c r="AH71" i="15"/>
  <c r="AH67" i="15"/>
  <c r="AB91" i="19"/>
  <c r="R102" i="19"/>
  <c r="R197" i="16"/>
  <c r="N192" i="14"/>
  <c r="AF29" i="19"/>
  <c r="AF198" i="16"/>
  <c r="AF193" i="16"/>
  <c r="AH25" i="19"/>
  <c r="R124" i="14"/>
  <c r="AA28" i="14"/>
  <c r="AA19" i="14"/>
  <c r="N100" i="14"/>
  <c r="L216" i="19"/>
  <c r="AB47" i="16"/>
  <c r="AB43" i="16"/>
  <c r="AB199" i="19"/>
  <c r="AB196" i="19"/>
  <c r="AB76" i="16"/>
  <c r="AB49" i="14"/>
  <c r="L75" i="14"/>
  <c r="V25" i="19"/>
  <c r="AH218" i="16"/>
  <c r="R117" i="19"/>
  <c r="R94" i="19"/>
  <c r="N116" i="15"/>
  <c r="N115" i="15"/>
  <c r="N124" i="15"/>
  <c r="N117" i="15"/>
  <c r="N119" i="15"/>
  <c r="N125" i="15"/>
  <c r="N122" i="15"/>
  <c r="N121" i="15"/>
  <c r="N120" i="15"/>
  <c r="N97" i="15"/>
  <c r="R98" i="19"/>
  <c r="AH24" i="19"/>
  <c r="L199" i="19"/>
  <c r="AH124" i="15"/>
  <c r="AH125" i="15"/>
  <c r="AH122" i="15"/>
  <c r="AH114" i="15"/>
  <c r="AH117" i="15"/>
  <c r="AH120" i="15"/>
  <c r="AH119" i="15"/>
  <c r="AH116" i="15"/>
  <c r="AH123" i="15"/>
  <c r="AH118" i="15"/>
  <c r="AH121" i="15"/>
  <c r="F119" i="16"/>
  <c r="F118" i="16"/>
  <c r="AF120" i="15"/>
  <c r="AF114" i="15"/>
  <c r="AF118" i="15"/>
  <c r="AF121" i="15"/>
  <c r="AF123" i="15"/>
  <c r="AF119" i="15"/>
  <c r="AF115" i="15"/>
  <c r="AF125" i="15"/>
  <c r="R189" i="14"/>
  <c r="R197" i="14"/>
  <c r="R122" i="14"/>
  <c r="R94" i="14"/>
  <c r="R68" i="14"/>
  <c r="R67" i="14"/>
  <c r="R73" i="14"/>
  <c r="R69" i="14"/>
  <c r="R66" i="14"/>
  <c r="R76" i="14"/>
  <c r="R75" i="14"/>
  <c r="R45" i="14"/>
  <c r="R77" i="14"/>
  <c r="R71" i="14"/>
  <c r="R72" i="14"/>
  <c r="R70" i="14"/>
  <c r="R74" i="14"/>
  <c r="R46" i="14"/>
  <c r="AB193" i="15"/>
  <c r="AB188" i="15"/>
  <c r="F100" i="16"/>
  <c r="F99" i="16"/>
  <c r="N101" i="15"/>
  <c r="AH101" i="15"/>
  <c r="AB97" i="19"/>
  <c r="AB92" i="19"/>
  <c r="R93" i="19"/>
  <c r="R101" i="19"/>
  <c r="AH27" i="19"/>
  <c r="AH20" i="19"/>
  <c r="AB141" i="19"/>
  <c r="L77" i="16"/>
  <c r="L70" i="16"/>
  <c r="L67" i="16"/>
  <c r="L74" i="16"/>
  <c r="L68" i="16"/>
  <c r="L75" i="16"/>
  <c r="L71" i="16"/>
  <c r="L72" i="16"/>
  <c r="L69" i="16"/>
  <c r="L45" i="16"/>
  <c r="L76" i="16"/>
  <c r="L73" i="16"/>
  <c r="L47" i="16"/>
  <c r="L190" i="19"/>
  <c r="L198" i="19"/>
  <c r="F117" i="16"/>
  <c r="F125" i="16"/>
  <c r="AB44" i="16"/>
  <c r="AB198" i="19"/>
  <c r="F118" i="14"/>
  <c r="F119" i="14"/>
  <c r="AB123" i="19"/>
  <c r="N123" i="15"/>
  <c r="AH147" i="14"/>
  <c r="R96" i="14"/>
  <c r="L66" i="16"/>
  <c r="R50" i="14"/>
  <c r="AF188" i="14"/>
  <c r="AB119" i="15"/>
  <c r="AB114" i="15"/>
  <c r="R192" i="14"/>
  <c r="AB187" i="15"/>
  <c r="F96" i="16"/>
  <c r="F102" i="16"/>
  <c r="N91" i="15"/>
  <c r="AH69" i="15"/>
  <c r="AB93" i="19"/>
  <c r="AB99" i="19"/>
  <c r="R100" i="19"/>
  <c r="R99" i="19"/>
  <c r="AH18" i="19"/>
  <c r="AH19" i="19"/>
  <c r="R121" i="14"/>
  <c r="AA22" i="14"/>
  <c r="N122" i="14"/>
  <c r="N94" i="14"/>
  <c r="N117" i="14"/>
  <c r="N123" i="14"/>
  <c r="N119" i="14"/>
  <c r="N126" i="14"/>
  <c r="N115" i="14"/>
  <c r="N120" i="14"/>
  <c r="N124" i="14"/>
  <c r="N116" i="14"/>
  <c r="N102" i="14"/>
  <c r="N114" i="15"/>
  <c r="AB48" i="16"/>
  <c r="AB77" i="16"/>
  <c r="AB70" i="16"/>
  <c r="AB126" i="19"/>
  <c r="AB117" i="19"/>
  <c r="R115" i="19"/>
  <c r="AH140" i="14"/>
  <c r="AH146" i="14"/>
  <c r="AB125" i="15"/>
  <c r="AM26" i="14"/>
  <c r="V27" i="19"/>
  <c r="F94" i="16"/>
  <c r="N93" i="15"/>
  <c r="N90" i="15"/>
  <c r="AH74" i="15"/>
  <c r="AB100" i="19"/>
  <c r="AB102" i="19"/>
  <c r="R92" i="19"/>
  <c r="R91" i="19"/>
  <c r="N195" i="14"/>
  <c r="AF19" i="19"/>
  <c r="AF18" i="19"/>
  <c r="AH22" i="19"/>
  <c r="AH23" i="19"/>
  <c r="R115" i="14"/>
  <c r="AA18" i="14"/>
  <c r="AB145" i="19"/>
  <c r="L44" i="16"/>
  <c r="L50" i="16"/>
  <c r="L189" i="19"/>
  <c r="F116" i="16"/>
  <c r="AB74" i="16"/>
  <c r="AB71" i="16"/>
  <c r="F117" i="14"/>
  <c r="R76" i="19"/>
  <c r="R67" i="19"/>
  <c r="R68" i="19"/>
  <c r="R71" i="19"/>
  <c r="R73" i="19"/>
  <c r="R66" i="19"/>
  <c r="R70" i="19"/>
  <c r="R75" i="19"/>
  <c r="R45" i="19"/>
  <c r="R77" i="19"/>
  <c r="R69" i="19"/>
  <c r="R72" i="19"/>
  <c r="AF126" i="19"/>
  <c r="AF94" i="19"/>
  <c r="AF119" i="19"/>
  <c r="AF115" i="19"/>
  <c r="AF117" i="19"/>
  <c r="AF125" i="19"/>
  <c r="AF120" i="19"/>
  <c r="AF123" i="19"/>
  <c r="AF116" i="19"/>
  <c r="AF149" i="16"/>
  <c r="N121" i="14"/>
  <c r="R126" i="19"/>
  <c r="N118" i="14"/>
  <c r="W28" i="14"/>
  <c r="AF117" i="15"/>
  <c r="AM29" i="14"/>
  <c r="AF47" i="14"/>
  <c r="AF49" i="14"/>
  <c r="L52" i="16"/>
  <c r="L196" i="19"/>
  <c r="J170" i="19"/>
  <c r="J171" i="19"/>
  <c r="F123" i="16"/>
  <c r="AH219" i="14"/>
  <c r="AH221" i="14"/>
  <c r="AF218" i="19"/>
  <c r="AF219" i="19"/>
  <c r="AF126" i="16"/>
  <c r="AF94" i="16"/>
  <c r="L222" i="19"/>
  <c r="L220" i="19"/>
  <c r="AH188" i="16"/>
  <c r="AB49" i="16"/>
  <c r="AB190" i="19"/>
  <c r="AF72" i="14"/>
  <c r="AF70" i="14"/>
  <c r="AB69" i="16"/>
  <c r="AB145" i="16"/>
  <c r="AB142" i="16"/>
  <c r="F116" i="14"/>
  <c r="AF147" i="19"/>
  <c r="AF148" i="19"/>
  <c r="Z213" i="19"/>
  <c r="AB71" i="14"/>
  <c r="L46" i="14"/>
  <c r="AH147" i="19"/>
  <c r="AB214" i="19"/>
  <c r="AB217" i="19"/>
  <c r="R49" i="19"/>
  <c r="J170" i="14"/>
  <c r="J166" i="14"/>
  <c r="AH223" i="19"/>
  <c r="AH216" i="19"/>
  <c r="AF92" i="19"/>
  <c r="AF96" i="19"/>
  <c r="L213" i="14"/>
  <c r="AF141" i="16"/>
  <c r="AB115" i="19"/>
  <c r="AH122" i="14"/>
  <c r="Z214" i="16"/>
  <c r="AH145" i="16"/>
  <c r="AH148" i="16"/>
  <c r="AF119" i="16"/>
  <c r="J170" i="16"/>
  <c r="N198" i="16"/>
  <c r="N193" i="16"/>
  <c r="AF98" i="14"/>
  <c r="L222" i="16"/>
  <c r="AB52" i="14"/>
  <c r="AB117" i="16"/>
  <c r="AH123" i="14"/>
  <c r="R116" i="19"/>
  <c r="AD26" i="16"/>
  <c r="R193" i="14"/>
  <c r="V22" i="19"/>
  <c r="AH144" i="14"/>
  <c r="R99" i="14"/>
  <c r="R100" i="14"/>
  <c r="R49" i="14"/>
  <c r="R44" i="14"/>
  <c r="AH223" i="16"/>
  <c r="AH220" i="16"/>
  <c r="W20" i="14"/>
  <c r="AF197" i="14"/>
  <c r="R124" i="16"/>
  <c r="AF66" i="19"/>
  <c r="AF68" i="19"/>
  <c r="AB118" i="15"/>
  <c r="AB194" i="16"/>
  <c r="AB197" i="16"/>
  <c r="AM23" i="14"/>
  <c r="AM19" i="14"/>
  <c r="AF42" i="14"/>
  <c r="AF22" i="16"/>
  <c r="AF29" i="16"/>
  <c r="T27" i="16"/>
  <c r="T23" i="16"/>
  <c r="R126" i="14"/>
  <c r="R123" i="14"/>
  <c r="AA29" i="14"/>
  <c r="N93" i="14"/>
  <c r="AB146" i="19"/>
  <c r="AB151" i="19"/>
  <c r="AB148" i="14"/>
  <c r="AB142" i="14"/>
  <c r="L42" i="16"/>
  <c r="L197" i="19"/>
  <c r="L192" i="19"/>
  <c r="J173" i="19"/>
  <c r="F126" i="16"/>
  <c r="AH218" i="14"/>
  <c r="AH217" i="14"/>
  <c r="AF212" i="19"/>
  <c r="AF217" i="19"/>
  <c r="AF100" i="16"/>
  <c r="AF101" i="16"/>
  <c r="L212" i="19"/>
  <c r="AH190" i="16"/>
  <c r="AH193" i="16"/>
  <c r="AB46" i="16"/>
  <c r="AB50" i="16"/>
  <c r="AB193" i="19"/>
  <c r="AB194" i="19"/>
  <c r="AF67" i="14"/>
  <c r="AB75" i="16"/>
  <c r="AB150" i="16"/>
  <c r="AB141" i="16"/>
  <c r="AF124" i="16"/>
  <c r="F122" i="14"/>
  <c r="F120" i="14"/>
  <c r="AI25" i="14"/>
  <c r="AF142" i="19"/>
  <c r="AF151" i="19"/>
  <c r="Z212" i="19"/>
  <c r="AB72" i="14"/>
  <c r="AB67" i="14"/>
  <c r="L48" i="14"/>
  <c r="L42" i="14"/>
  <c r="AH145" i="19"/>
  <c r="AB216" i="19"/>
  <c r="AB222" i="19"/>
  <c r="R46" i="19"/>
  <c r="L188" i="14"/>
  <c r="AH124" i="19"/>
  <c r="AH94" i="19"/>
  <c r="AH101" i="19"/>
  <c r="J172" i="14"/>
  <c r="AH212" i="19"/>
  <c r="AH219" i="19"/>
  <c r="AH71" i="14"/>
  <c r="AH76" i="14"/>
  <c r="AH67" i="14"/>
  <c r="AH68" i="14"/>
  <c r="AH74" i="14"/>
  <c r="AH66" i="14"/>
  <c r="AH45" i="14"/>
  <c r="AH73" i="14"/>
  <c r="AH69" i="14"/>
  <c r="AF95" i="19"/>
  <c r="AF91" i="19"/>
  <c r="L221" i="14"/>
  <c r="AF147" i="16"/>
  <c r="AF151" i="16"/>
  <c r="AB116" i="19"/>
  <c r="AH118" i="14"/>
  <c r="Z219" i="16"/>
  <c r="Z212" i="16"/>
  <c r="AH142" i="16"/>
  <c r="J169" i="16"/>
  <c r="N190" i="16"/>
  <c r="AF93" i="14"/>
  <c r="L213" i="16"/>
  <c r="AF149" i="14"/>
  <c r="AF150" i="14"/>
  <c r="AB47" i="14"/>
  <c r="AB115" i="16"/>
  <c r="R125" i="19"/>
  <c r="AD25" i="16"/>
  <c r="R120" i="16"/>
  <c r="R94" i="16"/>
  <c r="R196" i="14"/>
  <c r="R198" i="14"/>
  <c r="V28" i="19"/>
  <c r="AH145" i="14"/>
  <c r="AH148" i="14"/>
  <c r="R98" i="14"/>
  <c r="R92" i="14"/>
  <c r="AB219" i="14"/>
  <c r="R42" i="14"/>
  <c r="R52" i="14"/>
  <c r="AH216" i="16"/>
  <c r="AH213" i="16"/>
  <c r="AH71" i="19"/>
  <c r="AH69" i="19"/>
  <c r="AH77" i="19"/>
  <c r="AH67" i="19"/>
  <c r="AH72" i="19"/>
  <c r="AH45" i="19"/>
  <c r="AH68" i="19"/>
  <c r="AH66" i="19"/>
  <c r="AH70" i="19"/>
  <c r="AH73" i="19"/>
  <c r="W18" i="14"/>
  <c r="AF193" i="14"/>
  <c r="R221" i="19"/>
  <c r="R214" i="19"/>
  <c r="R117" i="16"/>
  <c r="AF120" i="16"/>
  <c r="L192" i="16"/>
  <c r="R118" i="15"/>
  <c r="R125" i="15"/>
  <c r="AF75" i="19"/>
  <c r="AF73" i="19"/>
  <c r="AF120" i="14"/>
  <c r="T23" i="19"/>
  <c r="AB121" i="15"/>
  <c r="AB115" i="15"/>
  <c r="R172" i="14"/>
  <c r="AB193" i="16"/>
  <c r="P47" i="19"/>
  <c r="P49" i="19"/>
  <c r="AM20" i="14"/>
  <c r="AM25" i="14"/>
  <c r="AH76" i="19"/>
  <c r="AB123" i="14"/>
  <c r="AF44" i="14"/>
  <c r="AF51" i="14"/>
  <c r="F120" i="15"/>
  <c r="AF24" i="16"/>
  <c r="AF28" i="16"/>
  <c r="T22" i="16"/>
  <c r="T25" i="16"/>
  <c r="R118" i="14"/>
  <c r="R120" i="14"/>
  <c r="AA24" i="14"/>
  <c r="N91" i="14"/>
  <c r="N101" i="14"/>
  <c r="AB150" i="19"/>
  <c r="AB147" i="19"/>
  <c r="AB147" i="14"/>
  <c r="AB149" i="14"/>
  <c r="L51" i="16"/>
  <c r="L194" i="19"/>
  <c r="L195" i="19"/>
  <c r="J169" i="19"/>
  <c r="F122" i="16"/>
  <c r="F121" i="16"/>
  <c r="AH214" i="14"/>
  <c r="AF216" i="19"/>
  <c r="AF98" i="16"/>
  <c r="AF96" i="16"/>
  <c r="L214" i="19"/>
  <c r="AH197" i="16"/>
  <c r="AH192" i="16"/>
  <c r="AB53" i="16"/>
  <c r="AB42" i="16"/>
  <c r="AB192" i="19"/>
  <c r="AB197" i="19"/>
  <c r="AF75" i="14"/>
  <c r="AB66" i="16"/>
  <c r="AB68" i="16"/>
  <c r="AB140" i="16"/>
  <c r="F126" i="14"/>
  <c r="F121" i="14"/>
  <c r="AI24" i="14"/>
  <c r="AF149" i="19"/>
  <c r="Z220" i="19"/>
  <c r="AB73" i="14"/>
  <c r="AB69" i="14"/>
  <c r="L44" i="14"/>
  <c r="L49" i="14"/>
  <c r="AH144" i="19"/>
  <c r="AB221" i="19"/>
  <c r="AB212" i="19"/>
  <c r="R53" i="19"/>
  <c r="L196" i="14"/>
  <c r="AH99" i="19"/>
  <c r="AH97" i="19"/>
  <c r="J164" i="14"/>
  <c r="AH222" i="19"/>
  <c r="AH48" i="14"/>
  <c r="AH53" i="14"/>
  <c r="AF102" i="19"/>
  <c r="AF97" i="19"/>
  <c r="L222" i="14"/>
  <c r="AF145" i="16"/>
  <c r="AF150" i="16"/>
  <c r="AH197" i="19"/>
  <c r="AB118" i="19"/>
  <c r="Z216" i="16"/>
  <c r="Z221" i="16"/>
  <c r="AH140" i="16"/>
  <c r="R73" i="16"/>
  <c r="R77" i="16"/>
  <c r="R67" i="16"/>
  <c r="R45" i="16"/>
  <c r="R74" i="16"/>
  <c r="R69" i="16"/>
  <c r="R66" i="16"/>
  <c r="R70" i="16"/>
  <c r="J171" i="16"/>
  <c r="R196" i="19"/>
  <c r="F116" i="19"/>
  <c r="N197" i="16"/>
  <c r="AF217" i="14"/>
  <c r="AF218" i="14"/>
  <c r="AF91" i="14"/>
  <c r="AF100" i="14"/>
  <c r="AF52" i="16"/>
  <c r="L220" i="16"/>
  <c r="AF148" i="14"/>
  <c r="AF147" i="14"/>
  <c r="AB48" i="14"/>
  <c r="AB124" i="16"/>
  <c r="R120" i="19"/>
  <c r="AD24" i="16"/>
  <c r="R100" i="16"/>
  <c r="R97" i="16"/>
  <c r="R190" i="14"/>
  <c r="R188" i="14"/>
  <c r="V29" i="19"/>
  <c r="AH72" i="14"/>
  <c r="AH142" i="14"/>
  <c r="AH150" i="14"/>
  <c r="AB216" i="16"/>
  <c r="R97" i="14"/>
  <c r="R95" i="14"/>
  <c r="AB222" i="14"/>
  <c r="R48" i="14"/>
  <c r="R47" i="14"/>
  <c r="AH217" i="16"/>
  <c r="AH219" i="16"/>
  <c r="AH42" i="19"/>
  <c r="W23" i="14"/>
  <c r="AH75" i="14"/>
  <c r="AF195" i="14"/>
  <c r="AF189" i="14"/>
  <c r="R213" i="19"/>
  <c r="R118" i="16"/>
  <c r="AE24" i="14"/>
  <c r="AF119" i="14"/>
  <c r="L190" i="16"/>
  <c r="R124" i="15"/>
  <c r="R114" i="15"/>
  <c r="N115" i="16"/>
  <c r="N94" i="16"/>
  <c r="AF67" i="19"/>
  <c r="AF72" i="19"/>
  <c r="N125" i="19"/>
  <c r="AH116" i="19"/>
  <c r="T29" i="19"/>
  <c r="AB120" i="15"/>
  <c r="AB116" i="15"/>
  <c r="R174" i="14"/>
  <c r="R168" i="14"/>
  <c r="AB195" i="16"/>
  <c r="Z22" i="16"/>
  <c r="P42" i="19"/>
  <c r="P51" i="19"/>
  <c r="AM28" i="14"/>
  <c r="AM27" i="14"/>
  <c r="N120" i="16"/>
  <c r="AB122" i="14"/>
  <c r="AB115" i="14"/>
  <c r="AF52" i="14"/>
  <c r="AF43" i="14"/>
  <c r="AF23" i="16"/>
  <c r="AF26" i="16"/>
  <c r="AH28" i="19"/>
  <c r="T19" i="16"/>
  <c r="R125" i="14"/>
  <c r="AA23" i="14"/>
  <c r="AA25" i="14"/>
  <c r="N98" i="14"/>
  <c r="N92" i="14"/>
  <c r="AB149" i="19"/>
  <c r="L69" i="19"/>
  <c r="L45" i="19"/>
  <c r="L67" i="19"/>
  <c r="L75" i="19"/>
  <c r="L66" i="19"/>
  <c r="L76" i="19"/>
  <c r="L71" i="19"/>
  <c r="L77" i="19"/>
  <c r="L73" i="19"/>
  <c r="L74" i="19"/>
  <c r="L51" i="19"/>
  <c r="AB144" i="14"/>
  <c r="L53" i="16"/>
  <c r="L49" i="16"/>
  <c r="L193" i="19"/>
  <c r="J172" i="19"/>
  <c r="J168" i="19"/>
  <c r="F124" i="16"/>
  <c r="F120" i="16"/>
  <c r="AH223" i="14"/>
  <c r="AH70" i="16"/>
  <c r="AH76" i="16"/>
  <c r="AH66" i="16"/>
  <c r="AH67" i="16"/>
  <c r="AH73" i="16"/>
  <c r="AH75" i="16"/>
  <c r="AH72" i="16"/>
  <c r="AH68" i="16"/>
  <c r="AH74" i="16"/>
  <c r="AH71" i="16"/>
  <c r="AH69" i="16"/>
  <c r="AH45" i="16"/>
  <c r="AH46" i="16"/>
  <c r="AF213" i="19"/>
  <c r="AF97" i="16"/>
  <c r="L219" i="19"/>
  <c r="L223" i="19"/>
  <c r="AH195" i="16"/>
  <c r="AB52" i="16"/>
  <c r="AB195" i="19"/>
  <c r="AF73" i="14"/>
  <c r="AF71" i="14"/>
  <c r="AB73" i="16"/>
  <c r="AB67" i="16"/>
  <c r="AB148" i="16"/>
  <c r="F125" i="14"/>
  <c r="AF219" i="16"/>
  <c r="AI18" i="14"/>
  <c r="AI26" i="14"/>
  <c r="AF140" i="19"/>
  <c r="AH195" i="14"/>
  <c r="Z214" i="19"/>
  <c r="Z223" i="19"/>
  <c r="AB66" i="14"/>
  <c r="L53" i="14"/>
  <c r="AH141" i="19"/>
  <c r="AH140" i="19"/>
  <c r="AB220" i="19"/>
  <c r="R43" i="19"/>
  <c r="R48" i="19"/>
  <c r="AF115" i="16"/>
  <c r="L197" i="14"/>
  <c r="AH98" i="19"/>
  <c r="J169" i="14"/>
  <c r="J175" i="14"/>
  <c r="AH221" i="19"/>
  <c r="AH49" i="14"/>
  <c r="AH46" i="14"/>
  <c r="AF101" i="19"/>
  <c r="L217" i="14"/>
  <c r="L219" i="14"/>
  <c r="AF144" i="16"/>
  <c r="AH193" i="19"/>
  <c r="AB125" i="19"/>
  <c r="AB122" i="19"/>
  <c r="AD20" i="19"/>
  <c r="Z223" i="16"/>
  <c r="AH144" i="16"/>
  <c r="AH149" i="16"/>
  <c r="R52" i="16"/>
  <c r="R48" i="16"/>
  <c r="J165" i="16"/>
  <c r="J168" i="16"/>
  <c r="R188" i="19"/>
  <c r="R190" i="19"/>
  <c r="N195" i="16"/>
  <c r="N196" i="16"/>
  <c r="AF221" i="14"/>
  <c r="AF102" i="14"/>
  <c r="AF96" i="14"/>
  <c r="AF48" i="16"/>
  <c r="AF43" i="16"/>
  <c r="L216" i="16"/>
  <c r="L218" i="16"/>
  <c r="AF140" i="14"/>
  <c r="AB46" i="14"/>
  <c r="AB43" i="14"/>
  <c r="AB118" i="16"/>
  <c r="AB120" i="16"/>
  <c r="R119" i="19"/>
  <c r="R121" i="19"/>
  <c r="AD22" i="16"/>
  <c r="AD18" i="16"/>
  <c r="Z221" i="14"/>
  <c r="R102" i="16"/>
  <c r="R95" i="16"/>
  <c r="R195" i="14"/>
  <c r="V23" i="19"/>
  <c r="V19" i="19"/>
  <c r="R218" i="16"/>
  <c r="R171" i="19"/>
  <c r="AH149" i="14"/>
  <c r="AB213" i="16"/>
  <c r="R93" i="14"/>
  <c r="P43" i="14"/>
  <c r="AB212" i="14"/>
  <c r="AB217" i="14"/>
  <c r="R53" i="14"/>
  <c r="AF122" i="16"/>
  <c r="AH214" i="16"/>
  <c r="AH43" i="19"/>
  <c r="AH47" i="19"/>
  <c r="W29" i="14"/>
  <c r="W19" i="14"/>
  <c r="AG19" i="14"/>
  <c r="AF198" i="14"/>
  <c r="AF199" i="14"/>
  <c r="R216" i="19"/>
  <c r="R116" i="16"/>
  <c r="AE27" i="14"/>
  <c r="AE18" i="14"/>
  <c r="L193" i="16"/>
  <c r="L199" i="16"/>
  <c r="AH126" i="16"/>
  <c r="R123" i="15"/>
  <c r="N92" i="16"/>
  <c r="AF77" i="19"/>
  <c r="AB91" i="14"/>
  <c r="AB97" i="14"/>
  <c r="T20" i="19"/>
  <c r="T24" i="19"/>
  <c r="AB117" i="15"/>
  <c r="AH120" i="14"/>
  <c r="R173" i="14"/>
  <c r="AB189" i="16"/>
  <c r="AB192" i="16"/>
  <c r="Z19" i="16"/>
  <c r="Z29" i="16"/>
  <c r="P43" i="19"/>
  <c r="AM24" i="14"/>
  <c r="AB120" i="14"/>
  <c r="AH115" i="14"/>
  <c r="AF53" i="14"/>
  <c r="AF25" i="16"/>
  <c r="AH77" i="14"/>
  <c r="AF146" i="19"/>
  <c r="AF150" i="19"/>
  <c r="AB76" i="14"/>
  <c r="L47" i="14"/>
  <c r="AH148" i="19"/>
  <c r="AH149" i="19"/>
  <c r="AB219" i="19"/>
  <c r="R50" i="19"/>
  <c r="R44" i="19"/>
  <c r="AH217" i="19"/>
  <c r="AF100" i="19"/>
  <c r="AF142" i="16"/>
  <c r="AB121" i="19"/>
  <c r="AB120" i="19"/>
  <c r="AH151" i="16"/>
  <c r="AH141" i="16"/>
  <c r="J175" i="16"/>
  <c r="J172" i="16"/>
  <c r="N194" i="16"/>
  <c r="N199" i="16"/>
  <c r="AF117" i="14"/>
  <c r="AF94" i="14"/>
  <c r="L217" i="16"/>
  <c r="L214" i="16"/>
  <c r="AB44" i="14"/>
  <c r="AB50" i="14"/>
  <c r="AB126" i="16"/>
  <c r="AB121" i="16"/>
  <c r="R118" i="19"/>
  <c r="R124" i="19"/>
  <c r="R199" i="14"/>
  <c r="V18" i="19"/>
  <c r="V20" i="19"/>
  <c r="R223" i="16"/>
  <c r="R166" i="19"/>
  <c r="AH151" i="14"/>
  <c r="AB223" i="16"/>
  <c r="R102" i="14"/>
  <c r="P47" i="14"/>
  <c r="AB216" i="14"/>
  <c r="AB221" i="14"/>
  <c r="R43" i="14"/>
  <c r="AF118" i="16"/>
  <c r="AH212" i="16"/>
  <c r="AH50" i="19"/>
  <c r="AH48" i="19"/>
  <c r="W26" i="14"/>
  <c r="W25" i="14"/>
  <c r="AG27" i="14"/>
  <c r="AF190" i="14"/>
  <c r="R218" i="19"/>
  <c r="R219" i="19"/>
  <c r="R115" i="16"/>
  <c r="R121" i="16"/>
  <c r="AE23" i="14"/>
  <c r="L195" i="16"/>
  <c r="L198" i="16"/>
  <c r="R121" i="15"/>
  <c r="N93" i="16"/>
  <c r="AF69" i="19"/>
  <c r="AB100" i="14"/>
  <c r="AB95" i="14"/>
  <c r="AH74" i="19"/>
  <c r="N125" i="16"/>
  <c r="T26" i="19"/>
  <c r="T18" i="19"/>
  <c r="AB122" i="15"/>
  <c r="AH119" i="14"/>
  <c r="R169" i="14"/>
  <c r="AB199" i="16"/>
  <c r="AB190" i="16"/>
  <c r="Z28" i="16"/>
  <c r="Z18" i="16"/>
  <c r="L72" i="19"/>
  <c r="P53" i="19"/>
  <c r="AM22" i="14"/>
  <c r="AB118" i="14"/>
  <c r="AH121" i="14"/>
  <c r="AF48" i="14"/>
  <c r="AF27" i="16"/>
  <c r="AF144" i="19"/>
  <c r="AB74" i="14"/>
  <c r="L51" i="14"/>
  <c r="AH142" i="19"/>
  <c r="AB223" i="19"/>
  <c r="AB218" i="19"/>
  <c r="R52" i="19"/>
  <c r="AF93" i="19"/>
  <c r="AF99" i="19"/>
  <c r="AF148" i="16"/>
  <c r="AB124" i="19"/>
  <c r="AB119" i="19"/>
  <c r="AF117" i="16"/>
  <c r="J174" i="16"/>
  <c r="J173" i="16"/>
  <c r="N192" i="16"/>
  <c r="N188" i="16"/>
  <c r="AF216" i="14"/>
  <c r="AF101" i="14"/>
  <c r="AF42" i="16"/>
  <c r="L221" i="16"/>
  <c r="AF146" i="14"/>
  <c r="AF151" i="14"/>
  <c r="AB42" i="14"/>
  <c r="AB116" i="16"/>
  <c r="AH126" i="14"/>
  <c r="R123" i="19"/>
  <c r="R122" i="19"/>
  <c r="AD19" i="16"/>
  <c r="Z217" i="14"/>
  <c r="R92" i="16"/>
  <c r="R194" i="14"/>
  <c r="V24" i="19"/>
  <c r="V26" i="19"/>
  <c r="R76" i="16"/>
  <c r="R169" i="19"/>
  <c r="AH141" i="14"/>
  <c r="AB220" i="16"/>
  <c r="AF123" i="16"/>
  <c r="R101" i="14"/>
  <c r="R91" i="14"/>
  <c r="P48" i="14"/>
  <c r="AB223" i="14"/>
  <c r="AB220" i="14"/>
  <c r="R51" i="14"/>
  <c r="AH221" i="16"/>
  <c r="AH49" i="19"/>
  <c r="AH44" i="19"/>
  <c r="W22" i="14"/>
  <c r="W24" i="14"/>
  <c r="AG29" i="14"/>
  <c r="AF194" i="14"/>
  <c r="R222" i="19"/>
  <c r="R223" i="19"/>
  <c r="R125" i="16"/>
  <c r="N124" i="19"/>
  <c r="N94" i="19"/>
  <c r="AE28" i="14"/>
  <c r="AE25" i="14"/>
  <c r="L188" i="16"/>
  <c r="L197" i="16"/>
  <c r="R122" i="15"/>
  <c r="N98" i="16"/>
  <c r="L68" i="19"/>
  <c r="AF76" i="19"/>
  <c r="AB99" i="14"/>
  <c r="T25" i="19"/>
  <c r="R71" i="16"/>
  <c r="AB123" i="15"/>
  <c r="R165" i="14"/>
  <c r="AB198" i="16"/>
  <c r="AB196" i="16"/>
  <c r="Z27" i="16"/>
  <c r="Z23" i="16"/>
  <c r="P50" i="19"/>
  <c r="AM18" i="14"/>
  <c r="AB124" i="14"/>
  <c r="AF46" i="14"/>
  <c r="N195" i="19"/>
  <c r="N196" i="19"/>
  <c r="AF18" i="16"/>
  <c r="AF20" i="16"/>
  <c r="J147" i="15"/>
  <c r="J140" i="15"/>
  <c r="AH93" i="15"/>
  <c r="AH100" i="15"/>
  <c r="L303" i="13"/>
  <c r="L301" i="13"/>
  <c r="AD245" i="17"/>
  <c r="AD190" i="17"/>
  <c r="AD240" i="17"/>
  <c r="AE45" i="17"/>
  <c r="AD265" i="17"/>
  <c r="AD188" i="17"/>
  <c r="AD218" i="17"/>
  <c r="AD268" i="17"/>
  <c r="AD148" i="17"/>
  <c r="AD214" i="17"/>
  <c r="AD243" i="17"/>
  <c r="AD149" i="17"/>
  <c r="AD215" i="17"/>
  <c r="AE215" i="17" s="1"/>
  <c r="AD223" i="17"/>
  <c r="AD222" i="17"/>
  <c r="AD242" i="17"/>
  <c r="AD197" i="17"/>
  <c r="AD241" i="17"/>
  <c r="AD261" i="17"/>
  <c r="AD260" i="17"/>
  <c r="AE125" i="17"/>
  <c r="AD146" i="17"/>
  <c r="AD191" i="17"/>
  <c r="AD271" i="17"/>
  <c r="AD219" i="17"/>
  <c r="AD150" i="17"/>
  <c r="AD140" i="17"/>
  <c r="AD221" i="17"/>
  <c r="AD262" i="17"/>
  <c r="AD198" i="17"/>
  <c r="AD141" i="17"/>
  <c r="AE94" i="17"/>
  <c r="AE50" i="17"/>
  <c r="AD264" i="17"/>
  <c r="AD212" i="17"/>
  <c r="AD142" i="17"/>
  <c r="AD247" i="17"/>
  <c r="AD194" i="17"/>
  <c r="AD213" i="17"/>
  <c r="AD238" i="17"/>
  <c r="AD139" i="17"/>
  <c r="AD192" i="17"/>
  <c r="AD220" i="17"/>
  <c r="AD216" i="17"/>
  <c r="AD266" i="17"/>
  <c r="AD199" i="17"/>
  <c r="AD269" i="17"/>
  <c r="AD195" i="17"/>
  <c r="AD244" i="17"/>
  <c r="AD237" i="17"/>
  <c r="AD143" i="17"/>
  <c r="AD239" i="17"/>
  <c r="AE239" i="17" s="1"/>
  <c r="AD193" i="17"/>
  <c r="AE69" i="17"/>
  <c r="AD217" i="17"/>
  <c r="AD196" i="17"/>
  <c r="AD267" i="17"/>
  <c r="AD147" i="17"/>
  <c r="AD263" i="17"/>
  <c r="AE263" i="17" s="1"/>
  <c r="AE21" i="17"/>
  <c r="AD189" i="17"/>
  <c r="AD246" i="17"/>
  <c r="AD145" i="17"/>
  <c r="AD144" i="17"/>
  <c r="AD270" i="17"/>
  <c r="AD236" i="17"/>
  <c r="AJ222" i="17"/>
  <c r="AK222" i="17" s="1"/>
  <c r="AJ240" i="17"/>
  <c r="AK240" i="17" s="1"/>
  <c r="AJ238" i="17"/>
  <c r="AK238" i="17" s="1"/>
  <c r="AJ237" i="17"/>
  <c r="AK237" i="17" s="1"/>
  <c r="AJ260" i="17"/>
  <c r="AK260" i="17" s="1"/>
  <c r="AJ270" i="17"/>
  <c r="AK270" i="17" s="1"/>
  <c r="AJ269" i="17"/>
  <c r="AK269" i="17" s="1"/>
  <c r="AJ266" i="17"/>
  <c r="AK266" i="17" s="1"/>
  <c r="AJ265" i="17"/>
  <c r="AK265" i="17" s="1"/>
  <c r="AK20" i="17"/>
  <c r="AK19" i="17"/>
  <c r="AK94" i="17"/>
  <c r="AK68" i="17"/>
  <c r="AK43" i="17"/>
  <c r="AJ271" i="17"/>
  <c r="AK271" i="17" s="1"/>
  <c r="AJ246" i="17"/>
  <c r="AK246" i="17" s="1"/>
  <c r="AJ220" i="17"/>
  <c r="AK220" i="17" s="1"/>
  <c r="AJ194" i="17"/>
  <c r="AK194" i="17" s="1"/>
  <c r="AJ144" i="17"/>
  <c r="AK144" i="17" s="1"/>
  <c r="AK25" i="17"/>
  <c r="AK71" i="17"/>
  <c r="AK44" i="17"/>
  <c r="AJ261" i="17"/>
  <c r="AK261" i="17" s="1"/>
  <c r="AJ223" i="17"/>
  <c r="AK223" i="17" s="1"/>
  <c r="AJ221" i="17"/>
  <c r="AK221" i="17" s="1"/>
  <c r="AJ195" i="17"/>
  <c r="AK195" i="17" s="1"/>
  <c r="AJ145" i="17"/>
  <c r="AK145" i="17" s="1"/>
  <c r="AK95" i="17"/>
  <c r="AK26" i="17"/>
  <c r="AK48" i="17"/>
  <c r="AJ262" i="17"/>
  <c r="AK262" i="17" s="1"/>
  <c r="AJ213" i="17"/>
  <c r="AK213" i="17" s="1"/>
  <c r="AJ198" i="17"/>
  <c r="AK198" i="17" s="1"/>
  <c r="AJ197" i="17"/>
  <c r="AK197" i="17" s="1"/>
  <c r="AJ147" i="17"/>
  <c r="AK147" i="17" s="1"/>
  <c r="AK96" i="17"/>
  <c r="AK69" i="17"/>
  <c r="AK27" i="17"/>
  <c r="AJ268" i="17"/>
  <c r="AK268" i="17" s="1"/>
  <c r="AJ263" i="17"/>
  <c r="AK263" i="17" s="1"/>
  <c r="AJ214" i="17"/>
  <c r="AK214" i="17" s="1"/>
  <c r="AJ150" i="17"/>
  <c r="AK150" i="17" s="1"/>
  <c r="AJ149" i="17"/>
  <c r="AK149" i="17" s="1"/>
  <c r="AJ148" i="17"/>
  <c r="AK148" i="17" s="1"/>
  <c r="AK97" i="17"/>
  <c r="AK72" i="17"/>
  <c r="AK46" i="17"/>
  <c r="AK29" i="17"/>
  <c r="AJ245" i="17"/>
  <c r="AK245" i="17" s="1"/>
  <c r="AJ215" i="17"/>
  <c r="AK215" i="17" s="1"/>
  <c r="AJ190" i="17"/>
  <c r="AK190" i="17" s="1"/>
  <c r="AJ139" i="17"/>
  <c r="AK139" i="17" s="1"/>
  <c r="AK100" i="17"/>
  <c r="AK99" i="17"/>
  <c r="AK74" i="17"/>
  <c r="AK47" i="17"/>
  <c r="AK28" i="17"/>
  <c r="AK21" i="17"/>
  <c r="AJ212" i="17"/>
  <c r="AK212" i="17" s="1"/>
  <c r="AJ192" i="17"/>
  <c r="AK192" i="17" s="1"/>
  <c r="AJ140" i="17"/>
  <c r="AK140" i="17" s="1"/>
  <c r="AK77" i="17"/>
  <c r="AK76" i="17"/>
  <c r="AK75" i="17"/>
  <c r="AK49" i="17"/>
  <c r="AJ241" i="17"/>
  <c r="AK241" i="17" s="1"/>
  <c r="AK22" i="17"/>
  <c r="AK18" i="17"/>
  <c r="AJ189" i="17"/>
  <c r="AK189" i="17" s="1"/>
  <c r="AJ142" i="17"/>
  <c r="AK142" i="17" s="1"/>
  <c r="AK91" i="17"/>
  <c r="AK66" i="17"/>
  <c r="AK52" i="17"/>
  <c r="AK51" i="17"/>
  <c r="AJ242" i="17"/>
  <c r="AK242" i="17" s="1"/>
  <c r="AJ217" i="17"/>
  <c r="AK217" i="17" s="1"/>
  <c r="AK23" i="17"/>
  <c r="AJ141" i="17"/>
  <c r="AK141" i="17" s="1"/>
  <c r="AK92" i="17"/>
  <c r="AK67" i="17"/>
  <c r="AK42" i="17"/>
  <c r="AJ264" i="17"/>
  <c r="AK264" i="17" s="1"/>
  <c r="AJ243" i="17"/>
  <c r="AK243" i="17" s="1"/>
  <c r="AJ218" i="17"/>
  <c r="AK218" i="17" s="1"/>
  <c r="AJ193" i="17"/>
  <c r="AK193" i="17" s="1"/>
  <c r="AK24" i="17"/>
  <c r="AK45" i="17"/>
  <c r="AJ219" i="17"/>
  <c r="AK219" i="17" s="1"/>
  <c r="AK50" i="17"/>
  <c r="AJ236" i="17"/>
  <c r="AK236" i="17" s="1"/>
  <c r="AJ239" i="17"/>
  <c r="AK239" i="17" s="1"/>
  <c r="AJ196" i="17"/>
  <c r="AK196" i="17" s="1"/>
  <c r="AK53" i="17"/>
  <c r="AJ247" i="17"/>
  <c r="AK247" i="17" s="1"/>
  <c r="AJ216" i="17"/>
  <c r="AK216" i="17" s="1"/>
  <c r="AK73" i="17"/>
  <c r="AJ267" i="17"/>
  <c r="AK267" i="17" s="1"/>
  <c r="AJ244" i="17"/>
  <c r="AK244" i="17" s="1"/>
  <c r="AK93" i="17"/>
  <c r="AK70" i="17"/>
  <c r="AK101" i="17"/>
  <c r="AK90" i="17"/>
  <c r="AJ146" i="17"/>
  <c r="AK146" i="17" s="1"/>
  <c r="AK98" i="17"/>
  <c r="AJ191" i="17"/>
  <c r="AK191" i="17" s="1"/>
  <c r="AJ143" i="17"/>
  <c r="AK143" i="17" s="1"/>
  <c r="AJ199" i="17"/>
  <c r="AK199" i="17" s="1"/>
  <c r="AJ188" i="17"/>
  <c r="AK188" i="17" s="1"/>
  <c r="P194" i="17"/>
  <c r="P198" i="17"/>
  <c r="P236" i="17"/>
  <c r="P140" i="17"/>
  <c r="P197" i="17"/>
  <c r="P264" i="17"/>
  <c r="P146" i="17"/>
  <c r="P270" i="17"/>
  <c r="P271" i="17"/>
  <c r="P192" i="17"/>
  <c r="P246" i="17"/>
  <c r="P267" i="17"/>
  <c r="Q45" i="17"/>
  <c r="P262" i="17"/>
  <c r="P261" i="17"/>
  <c r="P145" i="17"/>
  <c r="P213" i="17"/>
  <c r="P245" i="17"/>
  <c r="P266" i="17"/>
  <c r="P242" i="17"/>
  <c r="P240" i="17"/>
  <c r="P191" i="17"/>
  <c r="Q191" i="17" s="1"/>
  <c r="P223" i="17"/>
  <c r="P244" i="17"/>
  <c r="P265" i="17"/>
  <c r="P222" i="17"/>
  <c r="P219" i="17"/>
  <c r="P144" i="17"/>
  <c r="P212" i="17"/>
  <c r="P221" i="17"/>
  <c r="P243" i="17"/>
  <c r="P214" i="17"/>
  <c r="P189" i="17"/>
  <c r="P269" i="17"/>
  <c r="P190" i="17"/>
  <c r="P199" i="17"/>
  <c r="P220" i="17"/>
  <c r="P241" i="17"/>
  <c r="P149" i="17"/>
  <c r="P143" i="17"/>
  <c r="P247" i="17"/>
  <c r="P142" i="17"/>
  <c r="P188" i="17"/>
  <c r="P150" i="17"/>
  <c r="P218" i="17"/>
  <c r="P141" i="17"/>
  <c r="P237" i="17"/>
  <c r="Q122" i="17"/>
  <c r="P139" i="17"/>
  <c r="P196" i="17"/>
  <c r="P215" i="17"/>
  <c r="Q215" i="17" s="1"/>
  <c r="P268" i="17"/>
  <c r="Q21" i="17"/>
  <c r="P148" i="17"/>
  <c r="P195" i="17"/>
  <c r="P216" i="17"/>
  <c r="P263" i="17"/>
  <c r="Q263" i="17" s="1"/>
  <c r="P260" i="17"/>
  <c r="P147" i="17"/>
  <c r="Q69" i="17"/>
  <c r="P238" i="17"/>
  <c r="Q91" i="17"/>
  <c r="P193" i="17"/>
  <c r="P239" i="17"/>
  <c r="Q239" i="17" s="1"/>
  <c r="P217" i="17"/>
  <c r="J140" i="17"/>
  <c r="J237" i="17"/>
  <c r="J146" i="17"/>
  <c r="J212" i="17"/>
  <c r="J242" i="17"/>
  <c r="J197" i="17"/>
  <c r="J247" i="17"/>
  <c r="J269" i="17"/>
  <c r="J149" i="17"/>
  <c r="J215" i="17"/>
  <c r="K215" i="17" s="1"/>
  <c r="J223" i="17"/>
  <c r="J243" i="17"/>
  <c r="J263" i="17"/>
  <c r="K263" i="17" s="1"/>
  <c r="J271" i="17"/>
  <c r="J150" i="17"/>
  <c r="J261" i="17"/>
  <c r="J139" i="17"/>
  <c r="J194" i="17"/>
  <c r="J214" i="17"/>
  <c r="J222" i="17"/>
  <c r="J220" i="17"/>
  <c r="J262" i="17"/>
  <c r="K45" i="17"/>
  <c r="J141" i="17"/>
  <c r="J241" i="17"/>
  <c r="J147" i="17"/>
  <c r="J192" i="17"/>
  <c r="J191" i="17"/>
  <c r="K191" i="17" s="1"/>
  <c r="J199" i="17"/>
  <c r="J240" i="17"/>
  <c r="J270" i="17"/>
  <c r="J221" i="17"/>
  <c r="J145" i="17"/>
  <c r="J190" i="17"/>
  <c r="J219" i="17"/>
  <c r="J260" i="17"/>
  <c r="J213" i="17"/>
  <c r="J267" i="17"/>
  <c r="J144" i="17"/>
  <c r="J198" i="17"/>
  <c r="J239" i="17"/>
  <c r="K239" i="17" s="1"/>
  <c r="J268" i="17"/>
  <c r="J193" i="17"/>
  <c r="J246" i="17"/>
  <c r="J266" i="17"/>
  <c r="J189" i="17"/>
  <c r="J218" i="17"/>
  <c r="J238" i="17"/>
  <c r="J148" i="17"/>
  <c r="J216" i="17"/>
  <c r="J245" i="17"/>
  <c r="J265" i="17"/>
  <c r="K69" i="17"/>
  <c r="J143" i="17"/>
  <c r="J188" i="17"/>
  <c r="J217" i="17"/>
  <c r="K21" i="17"/>
  <c r="J195" i="17"/>
  <c r="J236" i="17"/>
  <c r="J244" i="17"/>
  <c r="J264" i="17"/>
  <c r="J142" i="17"/>
  <c r="J196" i="17"/>
  <c r="AF245" i="17"/>
  <c r="AF148" i="17"/>
  <c r="AF214" i="17"/>
  <c r="AF243" i="17"/>
  <c r="AF190" i="17"/>
  <c r="AF240" i="17"/>
  <c r="AG45" i="17"/>
  <c r="AF195" i="17"/>
  <c r="AF194" i="17"/>
  <c r="AF193" i="17"/>
  <c r="AF213" i="17"/>
  <c r="AF221" i="17"/>
  <c r="AF262" i="17"/>
  <c r="AF141" i="17"/>
  <c r="AF149" i="17"/>
  <c r="AF139" i="17"/>
  <c r="AF147" i="17"/>
  <c r="AF192" i="17"/>
  <c r="AF212" i="17"/>
  <c r="AF241" i="17"/>
  <c r="AF270" i="17"/>
  <c r="AF140" i="17"/>
  <c r="AF265" i="17"/>
  <c r="AF146" i="17"/>
  <c r="AF191" i="17"/>
  <c r="AG191" i="17" s="1"/>
  <c r="AF220" i="17"/>
  <c r="AF261" i="17"/>
  <c r="AF269" i="17"/>
  <c r="AG94" i="17"/>
  <c r="AF237" i="17"/>
  <c r="AG43" i="17"/>
  <c r="AF145" i="17"/>
  <c r="AF199" i="17"/>
  <c r="AF219" i="17"/>
  <c r="AF260" i="17"/>
  <c r="AG44" i="17"/>
  <c r="AF217" i="17"/>
  <c r="AF267" i="17"/>
  <c r="AF143" i="17"/>
  <c r="AF198" i="17"/>
  <c r="AF239" i="17"/>
  <c r="AG239" i="17" s="1"/>
  <c r="AF268" i="17"/>
  <c r="AG21" i="17"/>
  <c r="AF197" i="17"/>
  <c r="AF246" i="17"/>
  <c r="AF266" i="17"/>
  <c r="AG69" i="17"/>
  <c r="AG97" i="17"/>
  <c r="AF188" i="17"/>
  <c r="AF218" i="17"/>
  <c r="AF247" i="17"/>
  <c r="AF189" i="17"/>
  <c r="AF236" i="17"/>
  <c r="AF244" i="17"/>
  <c r="AF264" i="17"/>
  <c r="AF263" i="17"/>
  <c r="AG263" i="17" s="1"/>
  <c r="AG47" i="17"/>
  <c r="AF142" i="17"/>
  <c r="AF196" i="17"/>
  <c r="AF238" i="17"/>
  <c r="AG25" i="17"/>
  <c r="AF144" i="17"/>
  <c r="AF215" i="17"/>
  <c r="AG215" i="17" s="1"/>
  <c r="AF223" i="17"/>
  <c r="AF222" i="17"/>
  <c r="AF242" i="17"/>
  <c r="AF271" i="17"/>
  <c r="AF150" i="17"/>
  <c r="AF216" i="17"/>
  <c r="V218" i="17"/>
  <c r="V199" i="17"/>
  <c r="V264" i="17"/>
  <c r="V216" i="17"/>
  <c r="V271" i="17"/>
  <c r="V198" i="17"/>
  <c r="V260" i="17"/>
  <c r="V190" i="17"/>
  <c r="V145" i="17"/>
  <c r="V217" i="17"/>
  <c r="V196" i="17"/>
  <c r="V150" i="17"/>
  <c r="V221" i="17"/>
  <c r="V242" i="17"/>
  <c r="V266" i="17"/>
  <c r="V141" i="17"/>
  <c r="V238" i="17"/>
  <c r="V269" i="17"/>
  <c r="V149" i="17"/>
  <c r="V219" i="17"/>
  <c r="V262" i="17"/>
  <c r="V191" i="17"/>
  <c r="W191" i="17" s="1"/>
  <c r="V222" i="17"/>
  <c r="V220" i="17"/>
  <c r="V241" i="17"/>
  <c r="V240" i="17"/>
  <c r="V237" i="17"/>
  <c r="V247" i="17"/>
  <c r="V268" i="17"/>
  <c r="V265" i="17"/>
  <c r="V197" i="17"/>
  <c r="V195" i="17"/>
  <c r="V194" i="17"/>
  <c r="V215" i="17"/>
  <c r="W215" i="17" s="1"/>
  <c r="V236" i="17"/>
  <c r="V245" i="17"/>
  <c r="V267" i="17"/>
  <c r="V243" i="17"/>
  <c r="V139" i="17"/>
  <c r="V148" i="17"/>
  <c r="V147" i="17"/>
  <c r="V193" i="17"/>
  <c r="V214" i="17"/>
  <c r="V223" i="17"/>
  <c r="V244" i="17"/>
  <c r="V188" i="17"/>
  <c r="V146" i="17"/>
  <c r="V192" i="17"/>
  <c r="V213" i="17"/>
  <c r="V212" i="17"/>
  <c r="V246" i="17"/>
  <c r="V140" i="17"/>
  <c r="V144" i="17"/>
  <c r="V143" i="17"/>
  <c r="V189" i="17"/>
  <c r="V142" i="17"/>
  <c r="V239" i="17"/>
  <c r="W239" i="17" s="1"/>
  <c r="W21" i="17"/>
  <c r="W45" i="17"/>
  <c r="V263" i="17"/>
  <c r="W263" i="17" s="1"/>
  <c r="V261" i="17"/>
  <c r="V270" i="17"/>
  <c r="AB144" i="17"/>
  <c r="AB188" i="17"/>
  <c r="AB263" i="17"/>
  <c r="AC263" i="17" s="1"/>
  <c r="AB194" i="17"/>
  <c r="AB261" i="17"/>
  <c r="AB192" i="17"/>
  <c r="AB247" i="17"/>
  <c r="AB198" i="17"/>
  <c r="AB264" i="17"/>
  <c r="AB150" i="17"/>
  <c r="AB269" i="17"/>
  <c r="AB139" i="17"/>
  <c r="AB199" i="17"/>
  <c r="AB266" i="17"/>
  <c r="AB244" i="17"/>
  <c r="AB142" i="17"/>
  <c r="AB214" i="17"/>
  <c r="AB241" i="17"/>
  <c r="AB191" i="17"/>
  <c r="AC191" i="17" s="1"/>
  <c r="AB246" i="17"/>
  <c r="AB236" i="17"/>
  <c r="AB149" i="17"/>
  <c r="AB221" i="17"/>
  <c r="AB268" i="17"/>
  <c r="AB146" i="17"/>
  <c r="AB238" i="17"/>
  <c r="AB265" i="17"/>
  <c r="AB216" i="17"/>
  <c r="AB271" i="17"/>
  <c r="AB141" i="17"/>
  <c r="AB213" i="17"/>
  <c r="AB260" i="17"/>
  <c r="AB218" i="17"/>
  <c r="AB217" i="17"/>
  <c r="AB237" i="17"/>
  <c r="AB245" i="17"/>
  <c r="AB196" i="17"/>
  <c r="AB243" i="17"/>
  <c r="AB193" i="17"/>
  <c r="AB240" i="17"/>
  <c r="AB190" i="17"/>
  <c r="AB197" i="17"/>
  <c r="AB143" i="17"/>
  <c r="AB223" i="17"/>
  <c r="AB270" i="17"/>
  <c r="AC76" i="17"/>
  <c r="AB148" i="17"/>
  <c r="AB220" i="17"/>
  <c r="AB267" i="17"/>
  <c r="AB145" i="17"/>
  <c r="AB215" i="17"/>
  <c r="AB262" i="17"/>
  <c r="AB140" i="17"/>
  <c r="AB212" i="17"/>
  <c r="AB239" i="17"/>
  <c r="AC239" i="17" s="1"/>
  <c r="AC45" i="17"/>
  <c r="AC21" i="17"/>
  <c r="AB195" i="17"/>
  <c r="AB242" i="17"/>
  <c r="AB147" i="17"/>
  <c r="AB219" i="17"/>
  <c r="AC19" i="17"/>
  <c r="AB189" i="17"/>
  <c r="AB222" i="17"/>
  <c r="G21" i="17"/>
  <c r="F140" i="17"/>
  <c r="F246" i="17"/>
  <c r="F192" i="17"/>
  <c r="F222" i="17"/>
  <c r="F263" i="17"/>
  <c r="G263" i="17" s="1"/>
  <c r="F143" i="17"/>
  <c r="F218" i="17"/>
  <c r="F268" i="17"/>
  <c r="F148" i="17"/>
  <c r="F237" i="17"/>
  <c r="F266" i="17"/>
  <c r="F189" i="17"/>
  <c r="F197" i="17"/>
  <c r="F238" i="17"/>
  <c r="G20" i="17"/>
  <c r="F216" i="17"/>
  <c r="F245" i="17"/>
  <c r="F265" i="17"/>
  <c r="F188" i="17"/>
  <c r="F217" i="17"/>
  <c r="F269" i="17"/>
  <c r="F195" i="17"/>
  <c r="F236" i="17"/>
  <c r="F244" i="17"/>
  <c r="F264" i="17"/>
  <c r="F142" i="17"/>
  <c r="F196" i="17"/>
  <c r="F261" i="17"/>
  <c r="F149" i="17"/>
  <c r="F215" i="17"/>
  <c r="G215" i="17" s="1"/>
  <c r="F223" i="17"/>
  <c r="F243" i="17"/>
  <c r="F242" i="17"/>
  <c r="F271" i="17"/>
  <c r="F150" i="17"/>
  <c r="F241" i="17"/>
  <c r="F139" i="17"/>
  <c r="F194" i="17"/>
  <c r="F214" i="17"/>
  <c r="F212" i="17"/>
  <c r="F220" i="17"/>
  <c r="F262" i="17"/>
  <c r="F141" i="17"/>
  <c r="F221" i="17"/>
  <c r="F147" i="17"/>
  <c r="F146" i="17"/>
  <c r="F191" i="17"/>
  <c r="G191" i="17" s="1"/>
  <c r="F199" i="17"/>
  <c r="F240" i="17"/>
  <c r="F270" i="17"/>
  <c r="F213" i="17"/>
  <c r="F145" i="17"/>
  <c r="F190" i="17"/>
  <c r="F219" i="17"/>
  <c r="F260" i="17"/>
  <c r="F193" i="17"/>
  <c r="F267" i="17"/>
  <c r="F144" i="17"/>
  <c r="F198" i="17"/>
  <c r="F239" i="17"/>
  <c r="G239" i="17" s="1"/>
  <c r="F247" i="17"/>
  <c r="Z218" i="17"/>
  <c r="Z194" i="17"/>
  <c r="Z223" i="17"/>
  <c r="Z264" i="17"/>
  <c r="AA69" i="17"/>
  <c r="Z199" i="17"/>
  <c r="Z261" i="17"/>
  <c r="Z141" i="17"/>
  <c r="Z195" i="17"/>
  <c r="Z236" i="17"/>
  <c r="Z244" i="17"/>
  <c r="Z243" i="17"/>
  <c r="Z263" i="17"/>
  <c r="AA263" i="17" s="1"/>
  <c r="Z142" i="17"/>
  <c r="Z196" i="17"/>
  <c r="Z149" i="17"/>
  <c r="Z215" i="17"/>
  <c r="AA215" i="17" s="1"/>
  <c r="Z214" i="17"/>
  <c r="Z222" i="17"/>
  <c r="Z242" i="17"/>
  <c r="Z271" i="17"/>
  <c r="Z150" i="17"/>
  <c r="Z266" i="17"/>
  <c r="Z140" i="17"/>
  <c r="Z148" i="17"/>
  <c r="Z193" i="17"/>
  <c r="Z213" i="17"/>
  <c r="Z221" i="17"/>
  <c r="Z262" i="17"/>
  <c r="Z246" i="17"/>
  <c r="Z139" i="17"/>
  <c r="Z147" i="17"/>
  <c r="Z192" i="17"/>
  <c r="Z212" i="17"/>
  <c r="Z241" i="17"/>
  <c r="Z270" i="17"/>
  <c r="AA45" i="17"/>
  <c r="Z238" i="17"/>
  <c r="Z268" i="17"/>
  <c r="AA122" i="17"/>
  <c r="Z146" i="17"/>
  <c r="Z191" i="17"/>
  <c r="AA191" i="17" s="1"/>
  <c r="Z220" i="17"/>
  <c r="Z240" i="17"/>
  <c r="Z269" i="17"/>
  <c r="Z198" i="17"/>
  <c r="Z247" i="17"/>
  <c r="Z144" i="17"/>
  <c r="Z189" i="17"/>
  <c r="Z219" i="17"/>
  <c r="Z260" i="17"/>
  <c r="AA21" i="17"/>
  <c r="Z190" i="17"/>
  <c r="Z237" i="17"/>
  <c r="Z267" i="17"/>
  <c r="Z143" i="17"/>
  <c r="Z197" i="17"/>
  <c r="Z239" i="17"/>
  <c r="AA239" i="17" s="1"/>
  <c r="Z145" i="17"/>
  <c r="Z216" i="17"/>
  <c r="Z245" i="17"/>
  <c r="Z265" i="17"/>
  <c r="AA68" i="17"/>
  <c r="Z188" i="17"/>
  <c r="Z217" i="17"/>
  <c r="AA22" i="17"/>
  <c r="H263" i="17"/>
  <c r="I263" i="17" s="1"/>
  <c r="H242" i="17"/>
  <c r="H219" i="17"/>
  <c r="H197" i="17"/>
  <c r="H150" i="17"/>
  <c r="H139" i="17"/>
  <c r="H265" i="17"/>
  <c r="I93" i="17"/>
  <c r="H143" i="17"/>
  <c r="H192" i="17"/>
  <c r="H144" i="17"/>
  <c r="H194" i="17"/>
  <c r="H217" i="17"/>
  <c r="H262" i="17"/>
  <c r="H218" i="17"/>
  <c r="I98" i="17"/>
  <c r="H240" i="17"/>
  <c r="H141" i="17"/>
  <c r="H142" i="17"/>
  <c r="H190" i="17"/>
  <c r="H215" i="17"/>
  <c r="I215" i="17" s="1"/>
  <c r="H146" i="17"/>
  <c r="H188" i="17"/>
  <c r="H189" i="17"/>
  <c r="H214" i="17"/>
  <c r="H237" i="17"/>
  <c r="I21" i="17"/>
  <c r="H216" i="17"/>
  <c r="I45" i="17"/>
  <c r="H198" i="17"/>
  <c r="H199" i="17"/>
  <c r="H236" i="17"/>
  <c r="H247" i="17"/>
  <c r="H238" i="17"/>
  <c r="I100" i="17"/>
  <c r="H220" i="17"/>
  <c r="H223" i="17"/>
  <c r="H246" i="17"/>
  <c r="H270" i="17"/>
  <c r="H260" i="17"/>
  <c r="H147" i="17"/>
  <c r="I101" i="17"/>
  <c r="H244" i="17"/>
  <c r="H245" i="17"/>
  <c r="H268" i="17"/>
  <c r="H271" i="17"/>
  <c r="H195" i="17"/>
  <c r="H149" i="17"/>
  <c r="H266" i="17"/>
  <c r="H267" i="17"/>
  <c r="H239" i="17"/>
  <c r="I239" i="17" s="1"/>
  <c r="H196" i="17"/>
  <c r="H269" i="17"/>
  <c r="H212" i="17"/>
  <c r="H221" i="17"/>
  <c r="H148" i="17"/>
  <c r="H222" i="17"/>
  <c r="H140" i="17"/>
  <c r="H213" i="17"/>
  <c r="H145" i="17"/>
  <c r="H193" i="17"/>
  <c r="H191" i="17"/>
  <c r="I191" i="17" s="1"/>
  <c r="H243" i="17"/>
  <c r="H264" i="17"/>
  <c r="H261" i="17"/>
  <c r="H241" i="17"/>
  <c r="N246" i="17"/>
  <c r="N196" i="17"/>
  <c r="N247" i="17"/>
  <c r="N148" i="17"/>
  <c r="N214" i="17"/>
  <c r="N264" i="17"/>
  <c r="N144" i="17"/>
  <c r="N220" i="17"/>
  <c r="N145" i="17"/>
  <c r="N239" i="17"/>
  <c r="O239" i="17" s="1"/>
  <c r="N268" i="17"/>
  <c r="N192" i="17"/>
  <c r="N221" i="17"/>
  <c r="N262" i="17"/>
  <c r="N266" i="17"/>
  <c r="N141" i="17"/>
  <c r="N195" i="17"/>
  <c r="N245" i="17"/>
  <c r="N265" i="17"/>
  <c r="N189" i="17"/>
  <c r="N240" i="17"/>
  <c r="N198" i="17"/>
  <c r="N217" i="17"/>
  <c r="N149" i="17"/>
  <c r="N194" i="17"/>
  <c r="N270" i="17"/>
  <c r="N190" i="17"/>
  <c r="N150" i="17"/>
  <c r="N140" i="17"/>
  <c r="N139" i="17"/>
  <c r="O21" i="17"/>
  <c r="N271" i="17"/>
  <c r="N261" i="17"/>
  <c r="N238" i="17"/>
  <c r="N193" i="17"/>
  <c r="N263" i="17"/>
  <c r="O263" i="17" s="1"/>
  <c r="N143" i="17"/>
  <c r="N218" i="17"/>
  <c r="N267" i="17"/>
  <c r="N147" i="17"/>
  <c r="N242" i="17"/>
  <c r="O45" i="17"/>
  <c r="N236" i="17"/>
  <c r="N212" i="17"/>
  <c r="O43" i="17"/>
  <c r="N215" i="17"/>
  <c r="O215" i="17" s="1"/>
  <c r="N243" i="17"/>
  <c r="N191" i="17"/>
  <c r="O191" i="17" s="1"/>
  <c r="N237" i="17"/>
  <c r="N222" i="17"/>
  <c r="N219" i="17"/>
  <c r="N216" i="17"/>
  <c r="N213" i="17"/>
  <c r="N197" i="17"/>
  <c r="N269" i="17"/>
  <c r="N244" i="17"/>
  <c r="N146" i="17"/>
  <c r="N241" i="17"/>
  <c r="O241" i="17" s="1"/>
  <c r="N188" i="17"/>
  <c r="N260" i="17"/>
  <c r="O260" i="17" s="1"/>
  <c r="N223" i="17"/>
  <c r="N199" i="17"/>
  <c r="N142" i="17"/>
  <c r="AP190" i="17"/>
  <c r="AQ190" i="17" s="1"/>
  <c r="AP220" i="17"/>
  <c r="AQ220" i="17" s="1"/>
  <c r="AP241" i="17"/>
  <c r="AQ241" i="17" s="1"/>
  <c r="AP267" i="17"/>
  <c r="AQ267" i="17" s="1"/>
  <c r="AQ67" i="17"/>
  <c r="AQ99" i="17"/>
  <c r="AP193" i="17"/>
  <c r="AQ193" i="17" s="1"/>
  <c r="AP236" i="17"/>
  <c r="AQ236" i="17" s="1"/>
  <c r="AP245" i="17"/>
  <c r="AQ245" i="17" s="1"/>
  <c r="AP266" i="17"/>
  <c r="AQ266" i="17" s="1"/>
  <c r="AQ49" i="17"/>
  <c r="AQ23" i="17"/>
  <c r="AP212" i="17"/>
  <c r="AQ212" i="17" s="1"/>
  <c r="AP197" i="17"/>
  <c r="AQ197" i="17" s="1"/>
  <c r="AP196" i="17"/>
  <c r="AQ196" i="17" s="1"/>
  <c r="AP217" i="17"/>
  <c r="AQ217" i="17" s="1"/>
  <c r="AP238" i="17"/>
  <c r="AQ238" i="17" s="1"/>
  <c r="AP260" i="17"/>
  <c r="AQ260" i="17" s="1"/>
  <c r="AP269" i="17"/>
  <c r="AQ269" i="17" s="1"/>
  <c r="AP268" i="17"/>
  <c r="AQ268" i="17" s="1"/>
  <c r="AP244" i="17"/>
  <c r="AQ244" i="17" s="1"/>
  <c r="AQ29" i="17"/>
  <c r="AQ25" i="17"/>
  <c r="AP144" i="17"/>
  <c r="AQ144" i="17" s="1"/>
  <c r="AP150" i="17"/>
  <c r="AQ150" i="17" s="1"/>
  <c r="AP149" i="17"/>
  <c r="AQ149" i="17" s="1"/>
  <c r="AP195" i="17"/>
  <c r="AQ195" i="17" s="1"/>
  <c r="AP216" i="17"/>
  <c r="AQ216" i="17" s="1"/>
  <c r="AP237" i="17"/>
  <c r="AQ237" i="17" s="1"/>
  <c r="AP246" i="17"/>
  <c r="AQ246" i="17" s="1"/>
  <c r="AP223" i="17"/>
  <c r="AQ223" i="17" s="1"/>
  <c r="AP222" i="17"/>
  <c r="AQ222" i="17" s="1"/>
  <c r="AQ27" i="17"/>
  <c r="AQ26" i="17"/>
  <c r="AQ98" i="17"/>
  <c r="AP140" i="17"/>
  <c r="AQ140" i="17" s="1"/>
  <c r="AP139" i="17"/>
  <c r="AQ139" i="17" s="1"/>
  <c r="AP148" i="17"/>
  <c r="AQ148" i="17" s="1"/>
  <c r="AP194" i="17"/>
  <c r="AQ194" i="17" s="1"/>
  <c r="AP215" i="17"/>
  <c r="AQ215" i="17" s="1"/>
  <c r="AP214" i="17"/>
  <c r="AQ214" i="17" s="1"/>
  <c r="AP213" i="17"/>
  <c r="AQ213" i="17" s="1"/>
  <c r="AP198" i="17"/>
  <c r="AQ198" i="17" s="1"/>
  <c r="AQ19" i="17"/>
  <c r="AQ77" i="17"/>
  <c r="AQ92" i="17"/>
  <c r="AQ91" i="17"/>
  <c r="AQ100" i="17"/>
  <c r="AP147" i="17"/>
  <c r="AQ147" i="17" s="1"/>
  <c r="AP145" i="17"/>
  <c r="AQ145" i="17" s="1"/>
  <c r="AP192" i="17"/>
  <c r="AQ192" i="17" s="1"/>
  <c r="AP189" i="17"/>
  <c r="AQ189" i="17" s="1"/>
  <c r="AP188" i="17"/>
  <c r="AQ188" i="17" s="1"/>
  <c r="AQ28" i="17"/>
  <c r="AQ68" i="17"/>
  <c r="AQ70" i="17"/>
  <c r="AQ69" i="17"/>
  <c r="AQ90" i="17"/>
  <c r="AQ76" i="17"/>
  <c r="AQ97" i="17"/>
  <c r="AP143" i="17"/>
  <c r="AQ143" i="17" s="1"/>
  <c r="AP142" i="17"/>
  <c r="AQ142" i="17" s="1"/>
  <c r="AP141" i="17"/>
  <c r="AQ141" i="17" s="1"/>
  <c r="AQ20" i="17"/>
  <c r="AP263" i="17"/>
  <c r="AQ263" i="17" s="1"/>
  <c r="AQ47" i="17"/>
  <c r="AQ48" i="17"/>
  <c r="AQ46" i="17"/>
  <c r="AQ44" i="17"/>
  <c r="AQ66" i="17"/>
  <c r="AQ75" i="17"/>
  <c r="AQ96" i="17"/>
  <c r="AQ95" i="17"/>
  <c r="AQ94" i="17"/>
  <c r="AQ22" i="17"/>
  <c r="AP242" i="17"/>
  <c r="AQ242" i="17" s="1"/>
  <c r="AP265" i="17"/>
  <c r="AQ265" i="17" s="1"/>
  <c r="AP264" i="17"/>
  <c r="AQ264" i="17" s="1"/>
  <c r="AP262" i="17"/>
  <c r="AQ262" i="17" s="1"/>
  <c r="AP271" i="17"/>
  <c r="AQ271" i="17" s="1"/>
  <c r="AQ43" i="17"/>
  <c r="AQ52" i="17"/>
  <c r="AQ74" i="17"/>
  <c r="AQ72" i="17"/>
  <c r="AQ71" i="17"/>
  <c r="AQ18" i="17"/>
  <c r="AP221" i="17"/>
  <c r="AQ221" i="17" s="1"/>
  <c r="AP243" i="17"/>
  <c r="AQ243" i="17" s="1"/>
  <c r="AP218" i="17"/>
  <c r="AQ218" i="17" s="1"/>
  <c r="AP240" i="17"/>
  <c r="AQ240" i="17" s="1"/>
  <c r="AP261" i="17"/>
  <c r="AQ261" i="17" s="1"/>
  <c r="AP270" i="17"/>
  <c r="AQ270" i="17" s="1"/>
  <c r="AQ42" i="17"/>
  <c r="AQ51" i="17"/>
  <c r="AQ50" i="17"/>
  <c r="AQ21" i="17"/>
  <c r="AQ24" i="17"/>
  <c r="AQ101" i="17"/>
  <c r="AQ45" i="17"/>
  <c r="AP239" i="17"/>
  <c r="AQ239" i="17" s="1"/>
  <c r="AQ53" i="17"/>
  <c r="AP247" i="17"/>
  <c r="AQ247" i="17" s="1"/>
  <c r="AQ73" i="17"/>
  <c r="AQ93" i="17"/>
  <c r="AP146" i="17"/>
  <c r="AQ146" i="17" s="1"/>
  <c r="AP191" i="17"/>
  <c r="AQ191" i="17" s="1"/>
  <c r="AP199" i="17"/>
  <c r="AQ199" i="17" s="1"/>
  <c r="AP219" i="17"/>
  <c r="AQ219" i="17" s="1"/>
  <c r="AF236" i="18"/>
  <c r="AF195" i="18"/>
  <c r="AF263" i="18"/>
  <c r="AG263" i="18" s="1"/>
  <c r="T198" i="17"/>
  <c r="T264" i="17"/>
  <c r="U69" i="17"/>
  <c r="T189" i="17"/>
  <c r="T221" i="17"/>
  <c r="T265" i="17"/>
  <c r="T195" i="17"/>
  <c r="T271" i="17"/>
  <c r="U66" i="17"/>
  <c r="T144" i="17"/>
  <c r="T236" i="17"/>
  <c r="T238" i="17"/>
  <c r="T141" i="17"/>
  <c r="T150" i="17"/>
  <c r="T196" i="17"/>
  <c r="T240" i="17"/>
  <c r="T143" i="17"/>
  <c r="T218" i="17"/>
  <c r="T243" i="17"/>
  <c r="T140" i="17"/>
  <c r="T149" i="17"/>
  <c r="T217" i="17"/>
  <c r="T261" i="17"/>
  <c r="T190" i="17"/>
  <c r="T222" i="17"/>
  <c r="T139" i="17"/>
  <c r="T148" i="17"/>
  <c r="T239" i="17"/>
  <c r="U239" i="17" s="1"/>
  <c r="T270" i="17"/>
  <c r="T145" i="17"/>
  <c r="T213" i="17"/>
  <c r="T268" i="17"/>
  <c r="T216" i="17"/>
  <c r="T260" i="17"/>
  <c r="T192" i="17"/>
  <c r="T245" i="17"/>
  <c r="T267" i="17"/>
  <c r="T194" i="17"/>
  <c r="T237" i="17"/>
  <c r="T269" i="17"/>
  <c r="T146" i="17"/>
  <c r="T223" i="17"/>
  <c r="T244" i="17"/>
  <c r="T242" i="17"/>
  <c r="U242" i="17" s="1"/>
  <c r="T263" i="17"/>
  <c r="U263" i="17" s="1"/>
  <c r="T147" i="17"/>
  <c r="T215" i="17"/>
  <c r="T247" i="17"/>
  <c r="T266" i="17"/>
  <c r="T212" i="17"/>
  <c r="T199" i="17"/>
  <c r="T220" i="17"/>
  <c r="T241" i="17"/>
  <c r="U45" i="17"/>
  <c r="T193" i="17"/>
  <c r="T214" i="17"/>
  <c r="T246" i="17"/>
  <c r="T142" i="17"/>
  <c r="T188" i="17"/>
  <c r="T197" i="17"/>
  <c r="T219" i="17"/>
  <c r="T262" i="17"/>
  <c r="U21" i="17"/>
  <c r="T191" i="17"/>
  <c r="U191" i="17" s="1"/>
  <c r="L265" i="17"/>
  <c r="L263" i="17"/>
  <c r="M263" i="17" s="1"/>
  <c r="L195" i="17"/>
  <c r="L236" i="17"/>
  <c r="L149" i="17"/>
  <c r="L241" i="17"/>
  <c r="L147" i="17"/>
  <c r="L239" i="17"/>
  <c r="M239" i="17" s="1"/>
  <c r="L145" i="17"/>
  <c r="L264" i="17"/>
  <c r="L260" i="17"/>
  <c r="L243" i="17"/>
  <c r="L244" i="17"/>
  <c r="L193" i="17"/>
  <c r="L240" i="17"/>
  <c r="L190" i="17"/>
  <c r="L217" i="17"/>
  <c r="L223" i="17"/>
  <c r="L237" i="17"/>
  <c r="L216" i="17"/>
  <c r="L270" i="17"/>
  <c r="L148" i="17"/>
  <c r="L220" i="17"/>
  <c r="L267" i="17"/>
  <c r="L215" i="17"/>
  <c r="M215" i="17" s="1"/>
  <c r="L196" i="17"/>
  <c r="L262" i="17"/>
  <c r="L140" i="17"/>
  <c r="L212" i="17"/>
  <c r="L247" i="17"/>
  <c r="M45" i="17"/>
  <c r="L271" i="17"/>
  <c r="L188" i="17"/>
  <c r="L242" i="17"/>
  <c r="L192" i="17"/>
  <c r="L219" i="17"/>
  <c r="L266" i="17"/>
  <c r="L143" i="17"/>
  <c r="L222" i="17"/>
  <c r="L269" i="17"/>
  <c r="L139" i="17"/>
  <c r="L199" i="17"/>
  <c r="L246" i="17"/>
  <c r="L189" i="17"/>
  <c r="L197" i="17"/>
  <c r="L214" i="17"/>
  <c r="L261" i="17"/>
  <c r="M47" i="17"/>
  <c r="L191" i="17"/>
  <c r="L238" i="17"/>
  <c r="M21" i="17"/>
  <c r="L245" i="17"/>
  <c r="L194" i="17"/>
  <c r="L221" i="17"/>
  <c r="L268" i="17"/>
  <c r="L146" i="17"/>
  <c r="L218" i="17"/>
  <c r="M49" i="17"/>
  <c r="L150" i="17"/>
  <c r="L141" i="17"/>
  <c r="L213" i="17"/>
  <c r="M66" i="17"/>
  <c r="L198" i="17"/>
  <c r="L142" i="17"/>
  <c r="L144" i="17"/>
  <c r="AL268" i="17"/>
  <c r="AM268" i="17" s="1"/>
  <c r="AM48" i="17"/>
  <c r="AM46" i="17"/>
  <c r="AM44" i="17"/>
  <c r="AM43" i="17"/>
  <c r="AM66" i="17"/>
  <c r="AM52" i="17"/>
  <c r="AM51" i="17"/>
  <c r="AM49" i="17"/>
  <c r="AM47" i="17"/>
  <c r="AM20" i="17"/>
  <c r="AM94" i="17"/>
  <c r="AM69" i="17"/>
  <c r="AL262" i="17"/>
  <c r="AM262" i="17" s="1"/>
  <c r="AL261" i="17"/>
  <c r="AM261" i="17" s="1"/>
  <c r="AL223" i="17"/>
  <c r="AM223" i="17" s="1"/>
  <c r="AL197" i="17"/>
  <c r="AM197" i="17" s="1"/>
  <c r="AL147" i="17"/>
  <c r="AM147" i="17" s="1"/>
  <c r="AM96" i="17"/>
  <c r="AM28" i="17"/>
  <c r="AM71" i="17"/>
  <c r="AL263" i="17"/>
  <c r="AM263" i="17" s="1"/>
  <c r="AL238" i="17"/>
  <c r="AM238" i="17" s="1"/>
  <c r="AL237" i="17"/>
  <c r="AM237" i="17" s="1"/>
  <c r="AL198" i="17"/>
  <c r="AM198" i="17" s="1"/>
  <c r="AL148" i="17"/>
  <c r="AM148" i="17" s="1"/>
  <c r="AM97" i="17"/>
  <c r="AM72" i="17"/>
  <c r="AM29" i="17"/>
  <c r="AL265" i="17"/>
  <c r="AM265" i="17" s="1"/>
  <c r="AL240" i="17"/>
  <c r="AM240" i="17" s="1"/>
  <c r="AL214" i="17"/>
  <c r="AM214" i="17" s="1"/>
  <c r="AL213" i="17"/>
  <c r="AM213" i="17" s="1"/>
  <c r="AL149" i="17"/>
  <c r="AM149" i="17" s="1"/>
  <c r="AM99" i="17"/>
  <c r="AM74" i="17"/>
  <c r="AM23" i="17"/>
  <c r="AM21" i="17"/>
  <c r="AL245" i="17"/>
  <c r="AM245" i="17" s="1"/>
  <c r="AL241" i="17"/>
  <c r="AM241" i="17" s="1"/>
  <c r="AL215" i="17"/>
  <c r="AM215" i="17" s="1"/>
  <c r="AL190" i="17"/>
  <c r="AM190" i="17" s="1"/>
  <c r="AL150" i="17"/>
  <c r="AM150" i="17" s="1"/>
  <c r="AM100" i="17"/>
  <c r="AM75" i="17"/>
  <c r="AL266" i="17"/>
  <c r="AM266" i="17" s="1"/>
  <c r="AM24" i="17"/>
  <c r="AM18" i="17"/>
  <c r="AL222" i="17"/>
  <c r="AM222" i="17" s="1"/>
  <c r="AL217" i="17"/>
  <c r="AM217" i="17" s="1"/>
  <c r="AL192" i="17"/>
  <c r="AM192" i="17" s="1"/>
  <c r="AL140" i="17"/>
  <c r="AM140" i="17" s="1"/>
  <c r="AL139" i="17"/>
  <c r="AM139" i="17" s="1"/>
  <c r="AM76" i="17"/>
  <c r="AL269" i="17"/>
  <c r="AM269" i="17" s="1"/>
  <c r="AL242" i="17"/>
  <c r="AM242" i="17" s="1"/>
  <c r="AM25" i="17"/>
  <c r="AM22" i="17"/>
  <c r="AL212" i="17"/>
  <c r="AM212" i="17" s="1"/>
  <c r="AL193" i="17"/>
  <c r="AM193" i="17" s="1"/>
  <c r="AL142" i="17"/>
  <c r="AM142" i="17" s="1"/>
  <c r="AM91" i="17"/>
  <c r="AM77" i="17"/>
  <c r="AL270" i="17"/>
  <c r="AM270" i="17" s="1"/>
  <c r="AL243" i="17"/>
  <c r="AM243" i="17" s="1"/>
  <c r="AL218" i="17"/>
  <c r="AM218" i="17" s="1"/>
  <c r="AM26" i="17"/>
  <c r="AL189" i="17"/>
  <c r="AM189" i="17" s="1"/>
  <c r="AL144" i="17"/>
  <c r="AM144" i="17" s="1"/>
  <c r="AM92" i="17"/>
  <c r="AM67" i="17"/>
  <c r="AL271" i="17"/>
  <c r="AM271" i="17" s="1"/>
  <c r="AL246" i="17"/>
  <c r="AM246" i="17" s="1"/>
  <c r="AL141" i="17"/>
  <c r="AM141" i="17" s="1"/>
  <c r="AM95" i="17"/>
  <c r="AM68" i="17"/>
  <c r="AL264" i="17"/>
  <c r="AM264" i="17" s="1"/>
  <c r="AL260" i="17"/>
  <c r="AM260" i="17" s="1"/>
  <c r="AL221" i="17"/>
  <c r="AM221" i="17" s="1"/>
  <c r="AL195" i="17"/>
  <c r="AM195" i="17" s="1"/>
  <c r="AL145" i="17"/>
  <c r="AM145" i="17" s="1"/>
  <c r="AM19" i="17"/>
  <c r="AL220" i="17"/>
  <c r="AM220" i="17" s="1"/>
  <c r="AL194" i="17"/>
  <c r="AM194" i="17" s="1"/>
  <c r="AM27" i="17"/>
  <c r="AM101" i="17"/>
  <c r="AL188" i="17"/>
  <c r="AM188" i="17" s="1"/>
  <c r="AL191" i="17"/>
  <c r="AM191" i="17" s="1"/>
  <c r="AL143" i="17"/>
  <c r="AM143" i="17" s="1"/>
  <c r="AL199" i="17"/>
  <c r="AM199" i="17" s="1"/>
  <c r="AL196" i="17"/>
  <c r="AM196" i="17" s="1"/>
  <c r="AL219" i="17"/>
  <c r="AM219" i="17" s="1"/>
  <c r="AL216" i="17"/>
  <c r="AM216" i="17" s="1"/>
  <c r="AM45" i="17"/>
  <c r="AL239" i="17"/>
  <c r="AM239" i="17" s="1"/>
  <c r="AM42" i="17"/>
  <c r="AL236" i="17"/>
  <c r="AM236" i="17" s="1"/>
  <c r="AM53" i="17"/>
  <c r="AL247" i="17"/>
  <c r="AM247" i="17" s="1"/>
  <c r="AM50" i="17"/>
  <c r="AL244" i="17"/>
  <c r="AM244" i="17" s="1"/>
  <c r="AM73" i="17"/>
  <c r="AL267" i="17"/>
  <c r="AM267" i="17" s="1"/>
  <c r="AM70" i="17"/>
  <c r="AM93" i="17"/>
  <c r="AM90" i="17"/>
  <c r="AL146" i="17"/>
  <c r="AM146" i="17" s="1"/>
  <c r="AM98" i="17"/>
  <c r="N144" i="18"/>
  <c r="O21" i="18"/>
  <c r="N217" i="18"/>
  <c r="N142" i="18"/>
  <c r="N190" i="18"/>
  <c r="N213" i="18"/>
  <c r="N194" i="18"/>
  <c r="N267" i="18"/>
  <c r="N216" i="18"/>
  <c r="N195" i="18"/>
  <c r="L302" i="13"/>
  <c r="AH141" i="17"/>
  <c r="AH197" i="17"/>
  <c r="AH218" i="17"/>
  <c r="AH240" i="17"/>
  <c r="AH271" i="17"/>
  <c r="AH190" i="17"/>
  <c r="AH212" i="17"/>
  <c r="AH221" i="17"/>
  <c r="AH238" i="17"/>
  <c r="AH264" i="17"/>
  <c r="AH263" i="17"/>
  <c r="AI263" i="17" s="1"/>
  <c r="AH262" i="17"/>
  <c r="AH261" i="17"/>
  <c r="AH270" i="17"/>
  <c r="AH267" i="17"/>
  <c r="AH217" i="17"/>
  <c r="AH242" i="17"/>
  <c r="AH241" i="17"/>
  <c r="AH216" i="17"/>
  <c r="AH237" i="17"/>
  <c r="AH246" i="17"/>
  <c r="AH268" i="17"/>
  <c r="AH266" i="17"/>
  <c r="AH265" i="17"/>
  <c r="AH196" i="17"/>
  <c r="AH220" i="17"/>
  <c r="AH195" i="17"/>
  <c r="AH194" i="17"/>
  <c r="AH215" i="17"/>
  <c r="AI215" i="17" s="1"/>
  <c r="AH236" i="17"/>
  <c r="AH245" i="17"/>
  <c r="AH244" i="17"/>
  <c r="AH243" i="17"/>
  <c r="AH150" i="17"/>
  <c r="AH149" i="17"/>
  <c r="AH148" i="17"/>
  <c r="AH147" i="17"/>
  <c r="AH193" i="17"/>
  <c r="AH214" i="17"/>
  <c r="AH223" i="17"/>
  <c r="AH222" i="17"/>
  <c r="AH198" i="17"/>
  <c r="AH139" i="17"/>
  <c r="AH145" i="17"/>
  <c r="AH192" i="17"/>
  <c r="AH213" i="17"/>
  <c r="AH189" i="17"/>
  <c r="AH188" i="17"/>
  <c r="AI21" i="17"/>
  <c r="AH144" i="17"/>
  <c r="AH143" i="17"/>
  <c r="AH142" i="17"/>
  <c r="AH140" i="17"/>
  <c r="AH269" i="17"/>
  <c r="AI69" i="17"/>
  <c r="AH260" i="17"/>
  <c r="AI24" i="17"/>
  <c r="AH247" i="17"/>
  <c r="AH146" i="17"/>
  <c r="AH191" i="17"/>
  <c r="AI191" i="17" s="1"/>
  <c r="AH199" i="17"/>
  <c r="AH219" i="17"/>
  <c r="AI45" i="17"/>
  <c r="AH239" i="17"/>
  <c r="AI239" i="17" s="1"/>
  <c r="AO23" i="17"/>
  <c r="AO22" i="17"/>
  <c r="AO21" i="17"/>
  <c r="AO20" i="17"/>
  <c r="AO25" i="17"/>
  <c r="AO28" i="17"/>
  <c r="AO27" i="17"/>
  <c r="AO29" i="17"/>
  <c r="AO18" i="17"/>
  <c r="AO19" i="17"/>
  <c r="AO94" i="17"/>
  <c r="AO96" i="17"/>
  <c r="AO95" i="17"/>
  <c r="AO92" i="17"/>
  <c r="AO91" i="17"/>
  <c r="AO77" i="17"/>
  <c r="AO76" i="17"/>
  <c r="AO75" i="17"/>
  <c r="AO74" i="17"/>
  <c r="AN268" i="17"/>
  <c r="AO268" i="17" s="1"/>
  <c r="AN266" i="17"/>
  <c r="AO266" i="17" s="1"/>
  <c r="AN241" i="17"/>
  <c r="AO241" i="17" s="1"/>
  <c r="AN215" i="17"/>
  <c r="AO215" i="17" s="1"/>
  <c r="AN190" i="17"/>
  <c r="AO190" i="17" s="1"/>
  <c r="AN139" i="17"/>
  <c r="AO139" i="17" s="1"/>
  <c r="AO52" i="17"/>
  <c r="AN269" i="17"/>
  <c r="AO269" i="17" s="1"/>
  <c r="AN212" i="17"/>
  <c r="AO212" i="17" s="1"/>
  <c r="AN194" i="17"/>
  <c r="AO194" i="17" s="1"/>
  <c r="AN144" i="17"/>
  <c r="AO144" i="17" s="1"/>
  <c r="AO68" i="17"/>
  <c r="AO43" i="17"/>
  <c r="AN260" i="17"/>
  <c r="AO260" i="17" s="1"/>
  <c r="AN221" i="17"/>
  <c r="AO221" i="17" s="1"/>
  <c r="AN195" i="17"/>
  <c r="AO195" i="17" s="1"/>
  <c r="AO71" i="17"/>
  <c r="AN217" i="17"/>
  <c r="AO217" i="17" s="1"/>
  <c r="AO44" i="17"/>
  <c r="AN213" i="17"/>
  <c r="AO213" i="17" s="1"/>
  <c r="AN270" i="17"/>
  <c r="AO270" i="17" s="1"/>
  <c r="AN147" i="17"/>
  <c r="AO147" i="17" s="1"/>
  <c r="AO48" i="17"/>
  <c r="AN193" i="17"/>
  <c r="AO193" i="17" s="1"/>
  <c r="AN262" i="17"/>
  <c r="AO262" i="17" s="1"/>
  <c r="AN150" i="17"/>
  <c r="AO150" i="17" s="1"/>
  <c r="AN246" i="17"/>
  <c r="AO246" i="17" s="1"/>
  <c r="AO97" i="17"/>
  <c r="AN242" i="17"/>
  <c r="AO242" i="17" s="1"/>
  <c r="AN263" i="17"/>
  <c r="AO263" i="17" s="1"/>
  <c r="AN261" i="17"/>
  <c r="AO261" i="17" s="1"/>
  <c r="AN197" i="17"/>
  <c r="AO197" i="17" s="1"/>
  <c r="AN218" i="17"/>
  <c r="AO218" i="17" s="1"/>
  <c r="AN240" i="17"/>
  <c r="AO240" i="17" s="1"/>
  <c r="AN237" i="17"/>
  <c r="AO237" i="17" s="1"/>
  <c r="AN148" i="17"/>
  <c r="AO148" i="17" s="1"/>
  <c r="AN145" i="17"/>
  <c r="AO145" i="17" s="1"/>
  <c r="AN192" i="17"/>
  <c r="AO192" i="17" s="1"/>
  <c r="AO66" i="17"/>
  <c r="AO99" i="17"/>
  <c r="AN264" i="17"/>
  <c r="AO264" i="17" s="1"/>
  <c r="AO72" i="17"/>
  <c r="AN142" i="17"/>
  <c r="AO142" i="17" s="1"/>
  <c r="AN271" i="17"/>
  <c r="AO271" i="17" s="1"/>
  <c r="AO51" i="17"/>
  <c r="AN245" i="17"/>
  <c r="AO245" i="17" s="1"/>
  <c r="AO47" i="17"/>
  <c r="AN238" i="17"/>
  <c r="AO238" i="17" s="1"/>
  <c r="AN223" i="17"/>
  <c r="AO223" i="17" s="1"/>
  <c r="AN243" i="17"/>
  <c r="AO243" i="17" s="1"/>
  <c r="AN222" i="17"/>
  <c r="AO222" i="17" s="1"/>
  <c r="AN265" i="17"/>
  <c r="AO265" i="17" s="1"/>
  <c r="AN214" i="17"/>
  <c r="AO214" i="17" s="1"/>
  <c r="AN198" i="17"/>
  <c r="AO198" i="17" s="1"/>
  <c r="AN220" i="17"/>
  <c r="AO220" i="17" s="1"/>
  <c r="AN189" i="17"/>
  <c r="AO189" i="17" s="1"/>
  <c r="AO69" i="17"/>
  <c r="AN140" i="17"/>
  <c r="AO140" i="17" s="1"/>
  <c r="AN149" i="17"/>
  <c r="AO149" i="17" s="1"/>
  <c r="AO49" i="17"/>
  <c r="AO24" i="17"/>
  <c r="AN141" i="17"/>
  <c r="AO141" i="17" s="1"/>
  <c r="AO46" i="17"/>
  <c r="AO67" i="17"/>
  <c r="AO100" i="17"/>
  <c r="AO26" i="17"/>
  <c r="AO45" i="17"/>
  <c r="AN219" i="17"/>
  <c r="AO219" i="17" s="1"/>
  <c r="AO90" i="17"/>
  <c r="AO93" i="17"/>
  <c r="AO98" i="17"/>
  <c r="AO101" i="17"/>
  <c r="AN143" i="17"/>
  <c r="AO143" i="17" s="1"/>
  <c r="AN146" i="17"/>
  <c r="AO146" i="17" s="1"/>
  <c r="AN188" i="17"/>
  <c r="AO188" i="17" s="1"/>
  <c r="AN191" i="17"/>
  <c r="AO191" i="17" s="1"/>
  <c r="AN196" i="17"/>
  <c r="AO196" i="17" s="1"/>
  <c r="AN199" i="17"/>
  <c r="AO199" i="17" s="1"/>
  <c r="AN216" i="17"/>
  <c r="AO216" i="17" s="1"/>
  <c r="AN239" i="17"/>
  <c r="AO239" i="17" s="1"/>
  <c r="AO42" i="17"/>
  <c r="AN236" i="17"/>
  <c r="AO236" i="17" s="1"/>
  <c r="AO53" i="17"/>
  <c r="AN247" i="17"/>
  <c r="AO247" i="17" s="1"/>
  <c r="AO50" i="17"/>
  <c r="AN244" i="17"/>
  <c r="AO244" i="17" s="1"/>
  <c r="AO73" i="17"/>
  <c r="AN267" i="17"/>
  <c r="AO267" i="17" s="1"/>
  <c r="AO70" i="17"/>
  <c r="X148" i="17"/>
  <c r="X149" i="17"/>
  <c r="X143" i="17"/>
  <c r="X144" i="17"/>
  <c r="X142" i="17"/>
  <c r="X139" i="17"/>
  <c r="X141" i="17"/>
  <c r="X147" i="17"/>
  <c r="Y45" i="17"/>
  <c r="X190" i="17"/>
  <c r="X242" i="17"/>
  <c r="X199" i="17"/>
  <c r="X269" i="17"/>
  <c r="X216" i="17"/>
  <c r="X244" i="17"/>
  <c r="X192" i="17"/>
  <c r="Y21" i="17"/>
  <c r="X150" i="17"/>
  <c r="X266" i="17"/>
  <c r="X262" i="17"/>
  <c r="X197" i="17"/>
  <c r="X237" i="17"/>
  <c r="X223" i="17"/>
  <c r="X218" i="17"/>
  <c r="X263" i="17"/>
  <c r="Y263" i="17" s="1"/>
  <c r="X189" i="17"/>
  <c r="X239" i="17"/>
  <c r="Y239" i="17" s="1"/>
  <c r="X245" i="17"/>
  <c r="X264" i="17"/>
  <c r="X241" i="17"/>
  <c r="X217" i="17"/>
  <c r="X194" i="17"/>
  <c r="X140" i="17"/>
  <c r="X220" i="17"/>
  <c r="X196" i="17"/>
  <c r="X265" i="17"/>
  <c r="Y69" i="17"/>
  <c r="X246" i="17"/>
  <c r="X191" i="17"/>
  <c r="Y191" i="17" s="1"/>
  <c r="X268" i="17"/>
  <c r="X243" i="17"/>
  <c r="X238" i="17"/>
  <c r="X271" i="17"/>
  <c r="X247" i="17"/>
  <c r="X222" i="17"/>
  <c r="X198" i="17"/>
  <c r="X270" i="17"/>
  <c r="X195" i="17"/>
  <c r="X213" i="17"/>
  <c r="X145" i="17"/>
  <c r="X261" i="17"/>
  <c r="X267" i="17"/>
  <c r="X146" i="17"/>
  <c r="X240" i="17"/>
  <c r="X236" i="17"/>
  <c r="Y20" i="17"/>
  <c r="X219" i="17"/>
  <c r="X215" i="17"/>
  <c r="Y215" i="17" s="1"/>
  <c r="X221" i="17"/>
  <c r="X188" i="17"/>
  <c r="X214" i="17"/>
  <c r="X212" i="17"/>
  <c r="X260" i="17"/>
  <c r="X193" i="17"/>
  <c r="R190" i="17"/>
  <c r="R217" i="17"/>
  <c r="R270" i="17"/>
  <c r="S45" i="17"/>
  <c r="R212" i="17"/>
  <c r="R265" i="17"/>
  <c r="R139" i="17"/>
  <c r="R195" i="17"/>
  <c r="R216" i="17"/>
  <c r="R145" i="17"/>
  <c r="R150" i="17"/>
  <c r="R214" i="17"/>
  <c r="R223" i="17"/>
  <c r="R267" i="17"/>
  <c r="R215" i="17"/>
  <c r="S215" i="17" s="1"/>
  <c r="R141" i="17"/>
  <c r="R192" i="17"/>
  <c r="R213" i="17"/>
  <c r="R244" i="17"/>
  <c r="S69" i="17"/>
  <c r="R193" i="17"/>
  <c r="R144" i="17"/>
  <c r="R191" i="17"/>
  <c r="S191" i="17" s="1"/>
  <c r="R222" i="17"/>
  <c r="R243" i="17"/>
  <c r="R146" i="17"/>
  <c r="R266" i="17"/>
  <c r="R143" i="17"/>
  <c r="R189" i="17"/>
  <c r="R221" i="17"/>
  <c r="R264" i="17"/>
  <c r="R246" i="17"/>
  <c r="R269" i="17"/>
  <c r="R142" i="17"/>
  <c r="R199" i="17"/>
  <c r="R242" i="17"/>
  <c r="R263" i="17"/>
  <c r="S263" i="17" s="1"/>
  <c r="R262" i="17"/>
  <c r="R238" i="17"/>
  <c r="R260" i="17"/>
  <c r="R188" i="17"/>
  <c r="R220" i="17"/>
  <c r="R241" i="17"/>
  <c r="R240" i="17"/>
  <c r="R271" i="17"/>
  <c r="R218" i="17"/>
  <c r="R239" i="17"/>
  <c r="S239" i="17" s="1"/>
  <c r="R247" i="17"/>
  <c r="R268" i="17"/>
  <c r="R140" i="17"/>
  <c r="R197" i="17"/>
  <c r="R219" i="17"/>
  <c r="R194" i="17"/>
  <c r="R261" i="17"/>
  <c r="S21" i="17"/>
  <c r="R198" i="17"/>
  <c r="R196" i="17"/>
  <c r="R236" i="17"/>
  <c r="R245" i="17"/>
  <c r="S52" i="17"/>
  <c r="S114" i="17"/>
  <c r="R149" i="17"/>
  <c r="R148" i="17"/>
  <c r="R147" i="17"/>
  <c r="R237" i="17"/>
  <c r="G301" i="13"/>
  <c r="K301" i="13"/>
  <c r="AH94" i="15"/>
  <c r="AH92" i="15"/>
  <c r="AH90" i="15"/>
  <c r="AH99" i="15"/>
  <c r="AH97" i="15"/>
  <c r="AH91" i="15"/>
  <c r="AH96" i="15"/>
  <c r="AH98" i="15"/>
  <c r="AH95" i="15"/>
  <c r="AY76" i="7"/>
  <c r="B120" i="17" s="1"/>
  <c r="P66" i="15"/>
  <c r="P71" i="15"/>
  <c r="P69" i="15"/>
  <c r="P67" i="15"/>
  <c r="P77" i="15"/>
  <c r="P70" i="15"/>
  <c r="AZ76" i="7"/>
  <c r="B120" i="18" s="1"/>
  <c r="P74" i="15"/>
  <c r="P76" i="15"/>
  <c r="P73" i="15"/>
  <c r="P68" i="15"/>
  <c r="P72" i="15"/>
  <c r="F141" i="15"/>
  <c r="F142" i="15"/>
  <c r="F149" i="15"/>
  <c r="F143" i="15"/>
  <c r="F147" i="15"/>
  <c r="F140" i="15"/>
  <c r="F146" i="15"/>
  <c r="F139" i="15"/>
  <c r="F145" i="15"/>
  <c r="F148" i="15"/>
  <c r="F144" i="15"/>
  <c r="J146" i="15"/>
  <c r="J145" i="15"/>
  <c r="J142" i="15"/>
  <c r="J149" i="15"/>
  <c r="J143" i="15"/>
  <c r="J148" i="15"/>
  <c r="J141" i="15"/>
  <c r="J139" i="15"/>
  <c r="J144" i="15"/>
  <c r="B100" i="17"/>
  <c r="B99" i="17"/>
  <c r="AA97" i="17"/>
  <c r="B98" i="17"/>
  <c r="B93" i="17"/>
  <c r="B94" i="17"/>
  <c r="B102" i="17"/>
  <c r="B67" i="17"/>
  <c r="B71" i="17"/>
  <c r="B95" i="17" s="1"/>
  <c r="T165" i="15"/>
  <c r="T171" i="15"/>
  <c r="T172" i="15"/>
  <c r="T170" i="15"/>
  <c r="T173" i="15"/>
  <c r="T169" i="15"/>
  <c r="T174" i="15"/>
  <c r="T163" i="15"/>
  <c r="T164" i="15"/>
  <c r="T167" i="15"/>
  <c r="T166" i="15"/>
  <c r="T168" i="15"/>
  <c r="X188" i="15"/>
  <c r="X193" i="15"/>
  <c r="X197" i="15"/>
  <c r="X190" i="15"/>
  <c r="X198" i="15"/>
  <c r="X191" i="15"/>
  <c r="X194" i="15"/>
  <c r="X195" i="15"/>
  <c r="X196" i="15"/>
  <c r="X187" i="15"/>
  <c r="X192" i="15"/>
  <c r="X189" i="15"/>
  <c r="V92" i="15"/>
  <c r="V91" i="15"/>
  <c r="V96" i="15"/>
  <c r="V98" i="15"/>
  <c r="V99" i="15"/>
  <c r="V97" i="15"/>
  <c r="V93" i="15"/>
  <c r="V90" i="15"/>
  <c r="V94" i="15"/>
  <c r="V95" i="15"/>
  <c r="V100" i="15"/>
  <c r="V101" i="15"/>
  <c r="AB166" i="15"/>
  <c r="AB174" i="15"/>
  <c r="AB167" i="15"/>
  <c r="AB163" i="15"/>
  <c r="AB171" i="15"/>
  <c r="AB172" i="15"/>
  <c r="AB168" i="15"/>
  <c r="AB169" i="15"/>
  <c r="AB170" i="15"/>
  <c r="AB173" i="15"/>
  <c r="AB164" i="15"/>
  <c r="AB165" i="15"/>
  <c r="AF164" i="15"/>
  <c r="AF171" i="15"/>
  <c r="AF172" i="15"/>
  <c r="AF174" i="15"/>
  <c r="AF163" i="15"/>
  <c r="AF167" i="15"/>
  <c r="AF169" i="15"/>
  <c r="AF170" i="15"/>
  <c r="AF173" i="15"/>
  <c r="AF168" i="15"/>
  <c r="AF165" i="15"/>
  <c r="AF166" i="15"/>
  <c r="P92" i="15"/>
  <c r="P91" i="15"/>
  <c r="P96" i="15"/>
  <c r="P97" i="15"/>
  <c r="P98" i="15"/>
  <c r="P99" i="15"/>
  <c r="P90" i="15"/>
  <c r="P94" i="15"/>
  <c r="P95" i="15"/>
  <c r="P101" i="15"/>
  <c r="P93" i="15"/>
  <c r="P100" i="15"/>
  <c r="AD144" i="15"/>
  <c r="AD147" i="15"/>
  <c r="AD143" i="15"/>
  <c r="AD139" i="15"/>
  <c r="AD140" i="15"/>
  <c r="AD145" i="15"/>
  <c r="AD148" i="15"/>
  <c r="AD146" i="15"/>
  <c r="AD141" i="15"/>
  <c r="AD149" i="15"/>
  <c r="AD142" i="15"/>
  <c r="AD150" i="15"/>
  <c r="B148" i="18"/>
  <c r="H213" i="15"/>
  <c r="H220" i="15"/>
  <c r="H216" i="15"/>
  <c r="H217" i="15"/>
  <c r="H218" i="15"/>
  <c r="H219" i="15"/>
  <c r="H212" i="15"/>
  <c r="H221" i="15"/>
  <c r="H222" i="15"/>
  <c r="H211" i="15"/>
  <c r="H215" i="15"/>
  <c r="H214" i="15"/>
  <c r="T193" i="15"/>
  <c r="T189" i="15"/>
  <c r="T197" i="15"/>
  <c r="T190" i="15"/>
  <c r="T198" i="15"/>
  <c r="T191" i="15"/>
  <c r="T192" i="15"/>
  <c r="T187" i="15"/>
  <c r="T188" i="15"/>
  <c r="T194" i="15"/>
  <c r="T195" i="15"/>
  <c r="T196" i="15"/>
  <c r="F44" i="15"/>
  <c r="F52" i="15"/>
  <c r="F42" i="15"/>
  <c r="F51" i="15"/>
  <c r="F43" i="15"/>
  <c r="F53" i="15"/>
  <c r="F45" i="15"/>
  <c r="F46" i="15"/>
  <c r="F47" i="15"/>
  <c r="F48" i="15"/>
  <c r="F50" i="15"/>
  <c r="F49" i="15"/>
  <c r="F216" i="15"/>
  <c r="F220" i="15"/>
  <c r="F212" i="15"/>
  <c r="F215" i="15"/>
  <c r="F219" i="15"/>
  <c r="F211" i="15"/>
  <c r="F221" i="15"/>
  <c r="F218" i="15"/>
  <c r="F222" i="15"/>
  <c r="F213" i="15"/>
  <c r="F217" i="15"/>
  <c r="F214" i="15"/>
  <c r="N47" i="15"/>
  <c r="N50" i="15"/>
  <c r="N53" i="15"/>
  <c r="N46" i="15"/>
  <c r="N42" i="15"/>
  <c r="N43" i="15"/>
  <c r="N48" i="15"/>
  <c r="N51" i="15"/>
  <c r="N49" i="15"/>
  <c r="N44" i="15"/>
  <c r="N52" i="15"/>
  <c r="N45" i="15"/>
  <c r="B149" i="18"/>
  <c r="X97" i="15"/>
  <c r="X90" i="15"/>
  <c r="X98" i="15"/>
  <c r="X101" i="15"/>
  <c r="X93" i="15"/>
  <c r="X94" i="15"/>
  <c r="X95" i="15"/>
  <c r="X96" i="15"/>
  <c r="X99" i="15"/>
  <c r="X100" i="15"/>
  <c r="X92" i="15"/>
  <c r="X91" i="15"/>
  <c r="B145" i="18"/>
  <c r="L169" i="15"/>
  <c r="L165" i="15"/>
  <c r="L168" i="15"/>
  <c r="L171" i="15"/>
  <c r="L173" i="15"/>
  <c r="L163" i="15"/>
  <c r="L174" i="15"/>
  <c r="L166" i="15"/>
  <c r="L170" i="15"/>
  <c r="L167" i="15"/>
  <c r="L172" i="15"/>
  <c r="L164" i="15"/>
  <c r="B140" i="18"/>
  <c r="F94" i="15"/>
  <c r="F100" i="15"/>
  <c r="F101" i="15"/>
  <c r="F95" i="15"/>
  <c r="F92" i="15"/>
  <c r="F96" i="15"/>
  <c r="F91" i="15"/>
  <c r="F98" i="15"/>
  <c r="F93" i="15"/>
  <c r="F90" i="15"/>
  <c r="F99" i="15"/>
  <c r="F97" i="15"/>
  <c r="AB207" i="21" l="1"/>
  <c r="AI237" i="21"/>
  <c r="AI238" i="21"/>
  <c r="AI239" i="21"/>
  <c r="U390" i="21"/>
  <c r="U375" i="21"/>
  <c r="U337" i="21"/>
  <c r="U333" i="21"/>
  <c r="U321" i="21"/>
  <c r="U315" i="21"/>
  <c r="U269" i="21"/>
  <c r="U245" i="21"/>
  <c r="U408" i="21"/>
  <c r="U384" i="21"/>
  <c r="U378" i="21"/>
  <c r="U364" i="21"/>
  <c r="U360" i="21"/>
  <c r="U354" i="21"/>
  <c r="U344" i="21"/>
  <c r="U342" i="21"/>
  <c r="U311" i="21"/>
  <c r="U272" i="21"/>
  <c r="U265" i="21"/>
  <c r="U259" i="21"/>
  <c r="U313" i="21"/>
  <c r="U305" i="21"/>
  <c r="U293" i="21"/>
  <c r="U251" i="21"/>
  <c r="U268" i="21"/>
  <c r="U264" i="21"/>
  <c r="U258" i="21"/>
  <c r="U237" i="21"/>
  <c r="U338" i="21"/>
  <c r="U314" i="21"/>
  <c r="U298" i="21"/>
  <c r="U235" i="21"/>
  <c r="U413" i="21"/>
  <c r="U411" i="21"/>
  <c r="U400" i="21"/>
  <c r="U379" i="21"/>
  <c r="U367" i="21"/>
  <c r="U361" i="21"/>
  <c r="U351" i="21"/>
  <c r="U341" i="21"/>
  <c r="U330" i="21"/>
  <c r="U328" i="21"/>
  <c r="U386" i="21"/>
  <c r="U270" i="21"/>
  <c r="U388" i="21"/>
  <c r="U286" i="21"/>
  <c r="U353" i="21"/>
  <c r="U284" i="21"/>
  <c r="U260" i="21"/>
  <c r="U238" i="21"/>
  <c r="U282" i="21"/>
  <c r="U239" i="21"/>
  <c r="U399" i="21"/>
  <c r="U383" i="21"/>
  <c r="U359" i="21"/>
  <c r="U262" i="21"/>
  <c r="U403" i="21"/>
  <c r="U294" i="21"/>
  <c r="U287" i="21"/>
  <c r="U250" i="21"/>
  <c r="U357" i="21"/>
  <c r="U292" i="21"/>
  <c r="U267" i="21"/>
  <c r="U407" i="21"/>
  <c r="U336" i="21"/>
  <c r="U236" i="21"/>
  <c r="U319" i="21"/>
  <c r="U295" i="21"/>
  <c r="U275" i="21"/>
  <c r="U243" i="21"/>
  <c r="U274" i="21"/>
  <c r="U240" i="21"/>
  <c r="U382" i="21"/>
  <c r="U406" i="21"/>
  <c r="U288" i="21"/>
  <c r="U312" i="21"/>
  <c r="U366" i="21"/>
  <c r="U373" i="21"/>
  <c r="U332" i="21"/>
  <c r="U381" i="21"/>
  <c r="U266" i="21"/>
  <c r="U316" i="21"/>
  <c r="U273" i="21"/>
  <c r="U374" i="21"/>
  <c r="U362" i="21"/>
  <c r="U352" i="21"/>
  <c r="U248" i="21"/>
  <c r="U377" i="21"/>
  <c r="U340" i="21"/>
  <c r="U242" i="21"/>
  <c r="U307" i="21"/>
  <c r="U331" i="21"/>
  <c r="U263" i="21"/>
  <c r="U401" i="21"/>
  <c r="U320" i="21"/>
  <c r="U297" i="21"/>
  <c r="U409" i="21"/>
  <c r="U350" i="21"/>
  <c r="U334" i="21"/>
  <c r="U281" i="21"/>
  <c r="U308" i="21"/>
  <c r="U290" i="21"/>
  <c r="U306" i="21"/>
  <c r="U405" i="21"/>
  <c r="U404" i="21"/>
  <c r="U241" i="21"/>
  <c r="U285" i="21"/>
  <c r="U296" i="21"/>
  <c r="U291" i="21"/>
  <c r="U397" i="21"/>
  <c r="U329" i="21"/>
  <c r="U398" i="21"/>
  <c r="U385" i="21"/>
  <c r="U249" i="21"/>
  <c r="U365" i="21"/>
  <c r="U283" i="21"/>
  <c r="U304" i="21"/>
  <c r="U246" i="21"/>
  <c r="U252" i="21"/>
  <c r="U335" i="21"/>
  <c r="U402" i="21"/>
  <c r="U355" i="21"/>
  <c r="U310" i="21"/>
  <c r="U317" i="21"/>
  <c r="U376" i="21"/>
  <c r="U396" i="21"/>
  <c r="U380" i="21"/>
  <c r="U261" i="21"/>
  <c r="U389" i="21"/>
  <c r="U318" i="21"/>
  <c r="U358" i="21"/>
  <c r="U339" i="21"/>
  <c r="U356" i="21"/>
  <c r="U271" i="21"/>
  <c r="U244" i="21"/>
  <c r="U387" i="21"/>
  <c r="U327" i="21"/>
  <c r="U410" i="21"/>
  <c r="U363" i="21"/>
  <c r="U309" i="21"/>
  <c r="U247" i="21"/>
  <c r="U343" i="21"/>
  <c r="U412" i="21"/>
  <c r="U289" i="21"/>
  <c r="AA237" i="21"/>
  <c r="AA238" i="21"/>
  <c r="AA239" i="21"/>
  <c r="AA262" i="17"/>
  <c r="U207" i="21"/>
  <c r="U209" i="21"/>
  <c r="U208" i="21"/>
  <c r="AB206" i="21"/>
  <c r="U206" i="21"/>
  <c r="AB208" i="21"/>
  <c r="I270" i="17"/>
  <c r="I271" i="17"/>
  <c r="AE217" i="17"/>
  <c r="U220" i="21"/>
  <c r="U228" i="21"/>
  <c r="U213" i="21"/>
  <c r="U221" i="21"/>
  <c r="U229" i="21"/>
  <c r="U218" i="21"/>
  <c r="U214" i="21"/>
  <c r="U222" i="21"/>
  <c r="U212" i="21"/>
  <c r="U226" i="21"/>
  <c r="U215" i="21"/>
  <c r="U223" i="21"/>
  <c r="U227" i="21"/>
  <c r="U216" i="21"/>
  <c r="U224" i="21"/>
  <c r="U217" i="21"/>
  <c r="U225" i="21"/>
  <c r="U219" i="21"/>
  <c r="AG216" i="17"/>
  <c r="AI260" i="17"/>
  <c r="AE139" i="17"/>
  <c r="O199" i="17"/>
  <c r="AI266" i="17"/>
  <c r="M268" i="17"/>
  <c r="O223" i="17"/>
  <c r="AE189" i="17"/>
  <c r="AC197" i="17"/>
  <c r="AE143" i="17"/>
  <c r="Q196" i="17"/>
  <c r="AC219" i="17"/>
  <c r="AC270" i="17"/>
  <c r="AC271" i="17"/>
  <c r="S198" i="17"/>
  <c r="M219" i="17"/>
  <c r="I145" i="17"/>
  <c r="AA265" i="17"/>
  <c r="G198" i="17"/>
  <c r="AC147" i="17"/>
  <c r="W193" i="17"/>
  <c r="Y246" i="17"/>
  <c r="M242" i="17"/>
  <c r="AA220" i="17"/>
  <c r="S147" i="17"/>
  <c r="Y260" i="17"/>
  <c r="G271" i="17"/>
  <c r="I222" i="17"/>
  <c r="AC146" i="17"/>
  <c r="Y267" i="17"/>
  <c r="Y265" i="17"/>
  <c r="AA144" i="17"/>
  <c r="AA140" i="17"/>
  <c r="I216" i="17"/>
  <c r="AE119" i="17"/>
  <c r="AE123" i="17"/>
  <c r="AG213" i="17"/>
  <c r="U142" i="17"/>
  <c r="U165" i="17"/>
  <c r="U169" i="17"/>
  <c r="U164" i="17"/>
  <c r="U167" i="17"/>
  <c r="U163" i="17"/>
  <c r="U171" i="17"/>
  <c r="U170" i="17"/>
  <c r="U173" i="17"/>
  <c r="U168" i="17"/>
  <c r="U166" i="17"/>
  <c r="U172" i="17"/>
  <c r="U174" i="17"/>
  <c r="Q124" i="17"/>
  <c r="S122" i="17"/>
  <c r="Q172" i="17"/>
  <c r="Q171" i="17"/>
  <c r="Q170" i="17"/>
  <c r="Q166" i="17"/>
  <c r="Q169" i="17"/>
  <c r="Q165" i="17"/>
  <c r="Q168" i="17"/>
  <c r="Q167" i="17"/>
  <c r="Q174" i="17"/>
  <c r="Q164" i="17"/>
  <c r="Q163" i="17"/>
  <c r="Q173" i="17"/>
  <c r="AI142" i="17"/>
  <c r="AI167" i="17"/>
  <c r="AI163" i="17"/>
  <c r="AI173" i="17"/>
  <c r="AI172" i="17"/>
  <c r="AI169" i="17"/>
  <c r="AI164" i="17"/>
  <c r="AI174" i="17"/>
  <c r="AI165" i="17"/>
  <c r="AI170" i="17"/>
  <c r="AI168" i="17"/>
  <c r="AI171" i="17"/>
  <c r="AI166" i="17"/>
  <c r="K142" i="17"/>
  <c r="K172" i="17"/>
  <c r="K174" i="17"/>
  <c r="K170" i="17"/>
  <c r="K167" i="17"/>
  <c r="K164" i="17"/>
  <c r="K168" i="17"/>
  <c r="K165" i="17"/>
  <c r="K169" i="17"/>
  <c r="K173" i="17"/>
  <c r="K163" i="17"/>
  <c r="K166" i="17"/>
  <c r="K171" i="17"/>
  <c r="Q117" i="17"/>
  <c r="S115" i="17"/>
  <c r="AA142" i="17"/>
  <c r="AA172" i="17"/>
  <c r="AA174" i="17"/>
  <c r="AA164" i="17"/>
  <c r="AA173" i="17"/>
  <c r="AA163" i="17"/>
  <c r="AA165" i="17"/>
  <c r="AA167" i="17"/>
  <c r="AA169" i="17"/>
  <c r="AA168" i="17"/>
  <c r="AA170" i="17"/>
  <c r="AA171" i="17"/>
  <c r="AA166" i="17"/>
  <c r="W164" i="17"/>
  <c r="W171" i="17"/>
  <c r="W174" i="17"/>
  <c r="W172" i="17"/>
  <c r="W167" i="17"/>
  <c r="W163" i="17"/>
  <c r="W166" i="17"/>
  <c r="W168" i="17"/>
  <c r="W170" i="17"/>
  <c r="W173" i="17"/>
  <c r="W169" i="17"/>
  <c r="W165" i="17"/>
  <c r="I115" i="17"/>
  <c r="S118" i="17"/>
  <c r="G164" i="17"/>
  <c r="G168" i="17"/>
  <c r="G165" i="17"/>
  <c r="G169" i="17"/>
  <c r="G166" i="17"/>
  <c r="G170" i="17"/>
  <c r="G173" i="17"/>
  <c r="G172" i="17"/>
  <c r="G163" i="17"/>
  <c r="G167" i="17"/>
  <c r="G171" i="17"/>
  <c r="G174" i="17"/>
  <c r="I119" i="17"/>
  <c r="S117" i="17"/>
  <c r="I142" i="17"/>
  <c r="I164" i="17"/>
  <c r="I166" i="17"/>
  <c r="I163" i="17"/>
  <c r="I165" i="17"/>
  <c r="I167" i="17"/>
  <c r="I169" i="17"/>
  <c r="I170" i="17"/>
  <c r="I171" i="17"/>
  <c r="I168" i="17"/>
  <c r="I173" i="17"/>
  <c r="I174" i="17"/>
  <c r="I172" i="17"/>
  <c r="AC142" i="17"/>
  <c r="AC171" i="17"/>
  <c r="AC172" i="17"/>
  <c r="AC164" i="17"/>
  <c r="AC163" i="17"/>
  <c r="AC173" i="17"/>
  <c r="AC170" i="17"/>
  <c r="AC174" i="17"/>
  <c r="AC166" i="17"/>
  <c r="AC169" i="17"/>
  <c r="AC168" i="17"/>
  <c r="AC167" i="17"/>
  <c r="AC165" i="17"/>
  <c r="AG142" i="17"/>
  <c r="AG171" i="17"/>
  <c r="AG168" i="17"/>
  <c r="AG165" i="17"/>
  <c r="AG164" i="17"/>
  <c r="AG170" i="17"/>
  <c r="AG169" i="17"/>
  <c r="AG167" i="17"/>
  <c r="AG166" i="17"/>
  <c r="AG163" i="17"/>
  <c r="AG173" i="17"/>
  <c r="AG174" i="17"/>
  <c r="AG172" i="17"/>
  <c r="AG214" i="17"/>
  <c r="I125" i="17"/>
  <c r="AA120" i="17"/>
  <c r="S142" i="17"/>
  <c r="S165" i="17"/>
  <c r="S168" i="17"/>
  <c r="S173" i="17"/>
  <c r="S170" i="17"/>
  <c r="S164" i="17"/>
  <c r="S166" i="17"/>
  <c r="S171" i="17"/>
  <c r="S167" i="17"/>
  <c r="S163" i="17"/>
  <c r="S172" i="17"/>
  <c r="S174" i="17"/>
  <c r="S169" i="17"/>
  <c r="Y174" i="17"/>
  <c r="Y170" i="17"/>
  <c r="Y173" i="17"/>
  <c r="Y169" i="17"/>
  <c r="Y167" i="17"/>
  <c r="Y171" i="17"/>
  <c r="Y165" i="17"/>
  <c r="Y164" i="17"/>
  <c r="Y163" i="17"/>
  <c r="Y172" i="17"/>
  <c r="Y166" i="17"/>
  <c r="Y168" i="17"/>
  <c r="M142" i="17"/>
  <c r="M173" i="17"/>
  <c r="M174" i="17"/>
  <c r="M163" i="17"/>
  <c r="M166" i="17"/>
  <c r="M168" i="17"/>
  <c r="M169" i="17"/>
  <c r="M164" i="17"/>
  <c r="M165" i="17"/>
  <c r="M172" i="17"/>
  <c r="M171" i="17"/>
  <c r="M167" i="17"/>
  <c r="M170" i="17"/>
  <c r="O142" i="17"/>
  <c r="O174" i="17"/>
  <c r="O168" i="17"/>
  <c r="O173" i="17"/>
  <c r="O170" i="17"/>
  <c r="O171" i="17"/>
  <c r="O172" i="17"/>
  <c r="O164" i="17"/>
  <c r="O169" i="17"/>
  <c r="O167" i="17"/>
  <c r="O163" i="17"/>
  <c r="O165" i="17"/>
  <c r="O166" i="17"/>
  <c r="AE142" i="17"/>
  <c r="AE173" i="17"/>
  <c r="AE171" i="17"/>
  <c r="AE172" i="17"/>
  <c r="AE167" i="17"/>
  <c r="AE170" i="17"/>
  <c r="AE163" i="17"/>
  <c r="AE166" i="17"/>
  <c r="AE168" i="17"/>
  <c r="AE169" i="17"/>
  <c r="AE164" i="17"/>
  <c r="AE174" i="17"/>
  <c r="AE165" i="17"/>
  <c r="I114" i="17"/>
  <c r="AA124" i="17"/>
  <c r="O142" i="18"/>
  <c r="O165" i="18"/>
  <c r="O169" i="18"/>
  <c r="O173" i="18"/>
  <c r="O174" i="18"/>
  <c r="O163" i="18"/>
  <c r="O167" i="18"/>
  <c r="O171" i="18"/>
  <c r="O170" i="18"/>
  <c r="O166" i="18"/>
  <c r="O168" i="18"/>
  <c r="O172" i="18"/>
  <c r="O164" i="18"/>
  <c r="AM125" i="18"/>
  <c r="AM121" i="18"/>
  <c r="AM117" i="18"/>
  <c r="AM122" i="18"/>
  <c r="AM118" i="18"/>
  <c r="AM114" i="18"/>
  <c r="AM123" i="18"/>
  <c r="AM119" i="18"/>
  <c r="AM115" i="18"/>
  <c r="AM124" i="18"/>
  <c r="AM120" i="18"/>
  <c r="AM116" i="18"/>
  <c r="AQ114" i="18"/>
  <c r="AQ123" i="18"/>
  <c r="AQ119" i="18"/>
  <c r="AQ115" i="18"/>
  <c r="AQ118" i="18"/>
  <c r="AQ124" i="18"/>
  <c r="AQ120" i="18"/>
  <c r="AQ116" i="18"/>
  <c r="AQ122" i="18"/>
  <c r="AQ125" i="18"/>
  <c r="AQ121" i="18"/>
  <c r="AQ117" i="18"/>
  <c r="AF240" i="18"/>
  <c r="AO121" i="18"/>
  <c r="AO122" i="18"/>
  <c r="AO118" i="18"/>
  <c r="AO114" i="18"/>
  <c r="AO117" i="18"/>
  <c r="AO123" i="18"/>
  <c r="AO119" i="18"/>
  <c r="AO115" i="18"/>
  <c r="AO125" i="18"/>
  <c r="AO124" i="18"/>
  <c r="AO120" i="18"/>
  <c r="AO116" i="18"/>
  <c r="AK125" i="18"/>
  <c r="AK121" i="18"/>
  <c r="AK117" i="18"/>
  <c r="AK124" i="18"/>
  <c r="AK116" i="18"/>
  <c r="AK122" i="18"/>
  <c r="AK118" i="18"/>
  <c r="AK114" i="18"/>
  <c r="AK123" i="18"/>
  <c r="AK119" i="18"/>
  <c r="AK115" i="18"/>
  <c r="AK120" i="18"/>
  <c r="N149" i="18"/>
  <c r="L196" i="18"/>
  <c r="W124" i="17"/>
  <c r="W120" i="17"/>
  <c r="W116" i="17"/>
  <c r="W123" i="17"/>
  <c r="W119" i="17"/>
  <c r="W115" i="17"/>
  <c r="W122" i="17"/>
  <c r="W118" i="17"/>
  <c r="W114" i="17"/>
  <c r="W125" i="17"/>
  <c r="W121" i="17"/>
  <c r="W117" i="17"/>
  <c r="Q121" i="17"/>
  <c r="I123" i="17"/>
  <c r="I118" i="17"/>
  <c r="AE117" i="17"/>
  <c r="S119" i="17"/>
  <c r="S121" i="17"/>
  <c r="AA117" i="17"/>
  <c r="U125" i="17"/>
  <c r="U123" i="17"/>
  <c r="U124" i="17"/>
  <c r="U121" i="17"/>
  <c r="U116" i="17"/>
  <c r="U122" i="17"/>
  <c r="U118" i="17"/>
  <c r="U114" i="17"/>
  <c r="U115" i="17"/>
  <c r="U120" i="17"/>
  <c r="U117" i="17"/>
  <c r="U119" i="17"/>
  <c r="Q125" i="17"/>
  <c r="I116" i="17"/>
  <c r="I122" i="17"/>
  <c r="AE121" i="17"/>
  <c r="S123" i="17"/>
  <c r="S125" i="17"/>
  <c r="AA121" i="17"/>
  <c r="AG218" i="17"/>
  <c r="Q139" i="17"/>
  <c r="Q123" i="17"/>
  <c r="Q119" i="17"/>
  <c r="I120" i="17"/>
  <c r="AE114" i="17"/>
  <c r="AE116" i="17"/>
  <c r="S116" i="17"/>
  <c r="AA115" i="17"/>
  <c r="AA125" i="17"/>
  <c r="Y123" i="17"/>
  <c r="Y119" i="17"/>
  <c r="Y115" i="17"/>
  <c r="Y122" i="17"/>
  <c r="Y118" i="17"/>
  <c r="Y114" i="17"/>
  <c r="Y125" i="17"/>
  <c r="Y121" i="17"/>
  <c r="Y117" i="17"/>
  <c r="Y124" i="17"/>
  <c r="Y120" i="17"/>
  <c r="Y116" i="17"/>
  <c r="AC118" i="17"/>
  <c r="AC115" i="17"/>
  <c r="AC114" i="17"/>
  <c r="AC123" i="17"/>
  <c r="AC125" i="17"/>
  <c r="AC124" i="17"/>
  <c r="AC121" i="17"/>
  <c r="AC117" i="17"/>
  <c r="AC119" i="17"/>
  <c r="AC116" i="17"/>
  <c r="AC120" i="17"/>
  <c r="AC122" i="17"/>
  <c r="Q115" i="17"/>
  <c r="Q114" i="17"/>
  <c r="I124" i="17"/>
  <c r="AE118" i="17"/>
  <c r="AE120" i="17"/>
  <c r="S120" i="17"/>
  <c r="AA119" i="17"/>
  <c r="AA114" i="17"/>
  <c r="M121" i="17"/>
  <c r="M118" i="17"/>
  <c r="M119" i="17"/>
  <c r="M114" i="17"/>
  <c r="M125" i="17"/>
  <c r="M115" i="17"/>
  <c r="M116" i="17"/>
  <c r="M124" i="17"/>
  <c r="M123" i="17"/>
  <c r="M122" i="17"/>
  <c r="M120" i="17"/>
  <c r="M117" i="17"/>
  <c r="AG93" i="17"/>
  <c r="AG123" i="17"/>
  <c r="AG121" i="17"/>
  <c r="AG119" i="17"/>
  <c r="AG117" i="17"/>
  <c r="AG115" i="17"/>
  <c r="AG120" i="17"/>
  <c r="AG122" i="17"/>
  <c r="AG116" i="17"/>
  <c r="AG118" i="17"/>
  <c r="AG114" i="17"/>
  <c r="AG125" i="17"/>
  <c r="AG124" i="17"/>
  <c r="Q116" i="17"/>
  <c r="Q118" i="17"/>
  <c r="I117" i="17"/>
  <c r="AE122" i="17"/>
  <c r="AE124" i="17"/>
  <c r="S124" i="17"/>
  <c r="AA123" i="17"/>
  <c r="AA118" i="17"/>
  <c r="O116" i="17"/>
  <c r="O123" i="17"/>
  <c r="O119" i="17"/>
  <c r="O115" i="17"/>
  <c r="O124" i="17"/>
  <c r="O122" i="17"/>
  <c r="O118" i="17"/>
  <c r="O114" i="17"/>
  <c r="O125" i="17"/>
  <c r="O121" i="17"/>
  <c r="O117" i="17"/>
  <c r="O120" i="17"/>
  <c r="K125" i="17"/>
  <c r="K121" i="17"/>
  <c r="K117" i="17"/>
  <c r="K124" i="17"/>
  <c r="K120" i="17"/>
  <c r="K116" i="17"/>
  <c r="K123" i="17"/>
  <c r="K119" i="17"/>
  <c r="K115" i="17"/>
  <c r="K122" i="17"/>
  <c r="K118" i="17"/>
  <c r="K114" i="17"/>
  <c r="AI93" i="17"/>
  <c r="AI125" i="17"/>
  <c r="AI121" i="17"/>
  <c r="AI117" i="17"/>
  <c r="AI115" i="17"/>
  <c r="AI119" i="17"/>
  <c r="AI124" i="17"/>
  <c r="AI122" i="17"/>
  <c r="AI120" i="17"/>
  <c r="AI114" i="17"/>
  <c r="AI123" i="17"/>
  <c r="AI118" i="17"/>
  <c r="AI116" i="17"/>
  <c r="Q120" i="17"/>
  <c r="I121" i="17"/>
  <c r="AE115" i="17"/>
  <c r="AA116" i="17"/>
  <c r="U213" i="17"/>
  <c r="G69" i="17"/>
  <c r="Q142" i="17"/>
  <c r="G267" i="17"/>
  <c r="W140" i="17"/>
  <c r="W141" i="17"/>
  <c r="AG212" i="17"/>
  <c r="AE192" i="17"/>
  <c r="AF212" i="18"/>
  <c r="AF266" i="18"/>
  <c r="AG266" i="18" s="1"/>
  <c r="AF149" i="18"/>
  <c r="AF261" i="18"/>
  <c r="AF214" i="18"/>
  <c r="AF146" i="18"/>
  <c r="AF221" i="18"/>
  <c r="AF139" i="18"/>
  <c r="AF148" i="18"/>
  <c r="AF215" i="18"/>
  <c r="AG215" i="18" s="1"/>
  <c r="AF192" i="18"/>
  <c r="AF271" i="18"/>
  <c r="AG271" i="18" s="1"/>
  <c r="AF191" i="18"/>
  <c r="AG191" i="18" s="1"/>
  <c r="AF264" i="18"/>
  <c r="AG264" i="18" s="1"/>
  <c r="AF267" i="18"/>
  <c r="AG267" i="18" s="1"/>
  <c r="G262" i="17"/>
  <c r="G264" i="17"/>
  <c r="W145" i="17"/>
  <c r="AG222" i="17"/>
  <c r="Q149" i="17"/>
  <c r="AE195" i="17"/>
  <c r="I99" i="17"/>
  <c r="AF147" i="18"/>
  <c r="AF218" i="18"/>
  <c r="AE190" i="17"/>
  <c r="AF239" i="18"/>
  <c r="AG239" i="18" s="1"/>
  <c r="AF270" i="18"/>
  <c r="AG270" i="18" s="1"/>
  <c r="AF198" i="18"/>
  <c r="I266" i="17"/>
  <c r="AI72" i="17"/>
  <c r="O144" i="18"/>
  <c r="M212" i="17"/>
  <c r="I262" i="17"/>
  <c r="W143" i="17"/>
  <c r="Q148" i="17"/>
  <c r="M190" i="17"/>
  <c r="U238" i="17"/>
  <c r="G268" i="17"/>
  <c r="O25" i="18"/>
  <c r="N243" i="18"/>
  <c r="N193" i="18"/>
  <c r="N262" i="18"/>
  <c r="N264" i="18"/>
  <c r="O74" i="18"/>
  <c r="O27" i="18"/>
  <c r="N146" i="18"/>
  <c r="O146" i="18" s="1"/>
  <c r="N145" i="18"/>
  <c r="O145" i="18" s="1"/>
  <c r="O95" i="18"/>
  <c r="N148" i="18"/>
  <c r="O148" i="18" s="1"/>
  <c r="N270" i="18"/>
  <c r="N266" i="18"/>
  <c r="N265" i="18"/>
  <c r="N269" i="18"/>
  <c r="W75" i="17"/>
  <c r="N215" i="18"/>
  <c r="O215" i="18" s="1"/>
  <c r="N236" i="18"/>
  <c r="N245" i="18"/>
  <c r="O24" i="18"/>
  <c r="N141" i="18"/>
  <c r="O141" i="18" s="1"/>
  <c r="N192" i="18"/>
  <c r="N191" i="18"/>
  <c r="O191" i="18" s="1"/>
  <c r="N143" i="18"/>
  <c r="O143" i="18" s="1"/>
  <c r="N140" i="18"/>
  <c r="O140" i="18" s="1"/>
  <c r="O18" i="18"/>
  <c r="N246" i="18"/>
  <c r="N214" i="18"/>
  <c r="N219" i="18"/>
  <c r="U245" i="17"/>
  <c r="N196" i="18"/>
  <c r="O196" i="18" s="1"/>
  <c r="N238" i="18"/>
  <c r="N247" i="18"/>
  <c r="N222" i="18"/>
  <c r="N212" i="18"/>
  <c r="N189" i="18"/>
  <c r="N188" i="18"/>
  <c r="O22" i="18"/>
  <c r="N197" i="18"/>
  <c r="N218" i="18"/>
  <c r="N239" i="18"/>
  <c r="O239" i="18" s="1"/>
  <c r="N268" i="18"/>
  <c r="O29" i="18"/>
  <c r="N223" i="18"/>
  <c r="N199" i="18"/>
  <c r="O26" i="18"/>
  <c r="N198" i="18"/>
  <c r="N240" i="18"/>
  <c r="N261" i="18"/>
  <c r="N260" i="18"/>
  <c r="N147" i="18"/>
  <c r="O147" i="18" s="1"/>
  <c r="N242" i="18"/>
  <c r="N221" i="18"/>
  <c r="N237" i="18"/>
  <c r="N244" i="18"/>
  <c r="O23" i="18"/>
  <c r="N220" i="18"/>
  <c r="O220" i="18" s="1"/>
  <c r="N241" i="18"/>
  <c r="N263" i="18"/>
  <c r="O263" i="18" s="1"/>
  <c r="N271" i="18"/>
  <c r="N139" i="18"/>
  <c r="O139" i="18" s="1"/>
  <c r="O28" i="18"/>
  <c r="O19" i="18"/>
  <c r="N150" i="18"/>
  <c r="O150" i="18" s="1"/>
  <c r="I269" i="17"/>
  <c r="W139" i="17"/>
  <c r="K190" i="17"/>
  <c r="Q144" i="17"/>
  <c r="AE193" i="17"/>
  <c r="U212" i="17"/>
  <c r="M73" i="17"/>
  <c r="AE199" i="17"/>
  <c r="W146" i="17"/>
  <c r="I97" i="17"/>
  <c r="AF238" i="18"/>
  <c r="AF150" i="18"/>
  <c r="AF244" i="18"/>
  <c r="AF217" i="18"/>
  <c r="AF140" i="18"/>
  <c r="AF223" i="18"/>
  <c r="AF241" i="18"/>
  <c r="AG69" i="18"/>
  <c r="AE196" i="17"/>
  <c r="W142" i="17"/>
  <c r="AF246" i="18"/>
  <c r="AF269" i="18"/>
  <c r="AG269" i="18" s="1"/>
  <c r="AF142" i="18"/>
  <c r="AF216" i="18"/>
  <c r="AF245" i="18"/>
  <c r="AF247" i="18"/>
  <c r="AF188" i="18"/>
  <c r="AF145" i="18"/>
  <c r="AF144" i="18"/>
  <c r="AF243" i="18"/>
  <c r="AE191" i="17"/>
  <c r="W150" i="17"/>
  <c r="W69" i="17"/>
  <c r="AF213" i="18"/>
  <c r="AF265" i="18"/>
  <c r="AG265" i="18" s="1"/>
  <c r="AF262" i="18"/>
  <c r="AG262" i="18" s="1"/>
  <c r="AF196" i="18"/>
  <c r="AF268" i="18"/>
  <c r="AG268" i="18" s="1"/>
  <c r="AF190" i="18"/>
  <c r="AF194" i="18"/>
  <c r="AG45" i="18"/>
  <c r="AF143" i="18"/>
  <c r="AF189" i="18"/>
  <c r="AF237" i="18"/>
  <c r="AF242" i="18"/>
  <c r="AF260" i="18"/>
  <c r="AG260" i="18" s="1"/>
  <c r="AF199" i="18"/>
  <c r="AF197" i="18"/>
  <c r="AG21" i="18"/>
  <c r="AF219" i="18"/>
  <c r="M223" i="17"/>
  <c r="AE198" i="17"/>
  <c r="U68" i="17"/>
  <c r="AF193" i="18"/>
  <c r="AF222" i="18"/>
  <c r="AF220" i="18"/>
  <c r="AG47" i="18"/>
  <c r="AF141" i="18"/>
  <c r="U217" i="17"/>
  <c r="I95" i="17"/>
  <c r="I91" i="17"/>
  <c r="G42" i="17"/>
  <c r="G269" i="17"/>
  <c r="G265" i="17"/>
  <c r="W73" i="17"/>
  <c r="W148" i="17"/>
  <c r="M238" i="17"/>
  <c r="M244" i="17"/>
  <c r="M195" i="17"/>
  <c r="I92" i="17"/>
  <c r="S260" i="17"/>
  <c r="Y28" i="17"/>
  <c r="M192" i="17"/>
  <c r="M216" i="17"/>
  <c r="U243" i="17"/>
  <c r="U241" i="17"/>
  <c r="M191" i="17"/>
  <c r="U246" i="17"/>
  <c r="M199" i="17"/>
  <c r="W66" i="17"/>
  <c r="Q216" i="17"/>
  <c r="M52" i="17"/>
  <c r="U214" i="17"/>
  <c r="M221" i="17"/>
  <c r="W70" i="17"/>
  <c r="U67" i="17"/>
  <c r="U72" i="17"/>
  <c r="M213" i="17"/>
  <c r="W67" i="17"/>
  <c r="W77" i="17"/>
  <c r="M217" i="17"/>
  <c r="U215" i="17"/>
  <c r="U74" i="17"/>
  <c r="Y141" i="17"/>
  <c r="U75" i="17"/>
  <c r="Y74" i="17"/>
  <c r="M218" i="17"/>
  <c r="M214" i="17"/>
  <c r="U220" i="17"/>
  <c r="U71" i="17"/>
  <c r="S222" i="17"/>
  <c r="S261" i="17"/>
  <c r="M220" i="17"/>
  <c r="U219" i="17"/>
  <c r="U70" i="17"/>
  <c r="M222" i="17"/>
  <c r="U77" i="17"/>
  <c r="U73" i="17"/>
  <c r="G25" i="17"/>
  <c r="O240" i="17"/>
  <c r="I75" i="17"/>
  <c r="I149" i="17"/>
  <c r="I96" i="17"/>
  <c r="I94" i="17"/>
  <c r="G145" i="17"/>
  <c r="G270" i="17"/>
  <c r="S188" i="17"/>
  <c r="Y212" i="17"/>
  <c r="O149" i="18"/>
  <c r="M193" i="17"/>
  <c r="U216" i="17"/>
  <c r="U218" i="17"/>
  <c r="Y67" i="17"/>
  <c r="Y66" i="17"/>
  <c r="L217" i="18"/>
  <c r="Y71" i="17"/>
  <c r="Y70" i="17"/>
  <c r="G260" i="17"/>
  <c r="G261" i="17"/>
  <c r="AI199" i="17"/>
  <c r="G150" i="17"/>
  <c r="AC217" i="17"/>
  <c r="AC70" i="17"/>
  <c r="W71" i="17"/>
  <c r="W74" i="17"/>
  <c r="W68" i="17"/>
  <c r="W147" i="17"/>
  <c r="AG219" i="17"/>
  <c r="K193" i="17"/>
  <c r="Q140" i="17"/>
  <c r="AE188" i="17"/>
  <c r="Y73" i="17"/>
  <c r="Y68" i="17"/>
  <c r="S196" i="17"/>
  <c r="Y143" i="17"/>
  <c r="L193" i="18"/>
  <c r="L198" i="18"/>
  <c r="L244" i="18"/>
  <c r="L240" i="18"/>
  <c r="S194" i="17"/>
  <c r="S189" i="17"/>
  <c r="Y214" i="17"/>
  <c r="L239" i="18"/>
  <c r="M239" i="18" s="1"/>
  <c r="M241" i="17"/>
  <c r="M198" i="17"/>
  <c r="U247" i="17"/>
  <c r="O244" i="17"/>
  <c r="O236" i="17"/>
  <c r="O238" i="17"/>
  <c r="I264" i="17"/>
  <c r="I267" i="17"/>
  <c r="I268" i="17"/>
  <c r="S197" i="17"/>
  <c r="L262" i="18"/>
  <c r="I66" i="17"/>
  <c r="AC214" i="17"/>
  <c r="I76" i="17"/>
  <c r="G148" i="17"/>
  <c r="AC77" i="17"/>
  <c r="AC220" i="17"/>
  <c r="M71" i="17"/>
  <c r="S247" i="17"/>
  <c r="S48" i="17"/>
  <c r="AC216" i="17"/>
  <c r="G142" i="17"/>
  <c r="O245" i="17"/>
  <c r="I69" i="17"/>
  <c r="AC71" i="17"/>
  <c r="Y221" i="17"/>
  <c r="AC212" i="17"/>
  <c r="G141" i="17"/>
  <c r="M74" i="17"/>
  <c r="K76" i="17"/>
  <c r="K75" i="17"/>
  <c r="AC73" i="17"/>
  <c r="AC67" i="17"/>
  <c r="I71" i="17"/>
  <c r="Y52" i="17"/>
  <c r="Y198" i="17"/>
  <c r="Y244" i="17"/>
  <c r="Y46" i="17"/>
  <c r="G146" i="17"/>
  <c r="M69" i="17"/>
  <c r="K66" i="17"/>
  <c r="AC69" i="17"/>
  <c r="I70" i="17"/>
  <c r="I147" i="17"/>
  <c r="AC193" i="17"/>
  <c r="K265" i="17"/>
  <c r="AC221" i="17"/>
  <c r="G139" i="17"/>
  <c r="K72" i="17"/>
  <c r="M77" i="17"/>
  <c r="M70" i="17"/>
  <c r="M189" i="17"/>
  <c r="M75" i="17"/>
  <c r="M188" i="17"/>
  <c r="M68" i="17"/>
  <c r="U237" i="17"/>
  <c r="U222" i="17"/>
  <c r="O237" i="17"/>
  <c r="O242" i="17"/>
  <c r="I261" i="17"/>
  <c r="I148" i="17"/>
  <c r="I260" i="17"/>
  <c r="I73" i="17"/>
  <c r="I68" i="17"/>
  <c r="I265" i="17"/>
  <c r="AA217" i="17"/>
  <c r="AA216" i="17"/>
  <c r="AA260" i="17"/>
  <c r="AA213" i="17"/>
  <c r="AA261" i="17"/>
  <c r="G52" i="17"/>
  <c r="AC145" i="17"/>
  <c r="AC143" i="17"/>
  <c r="AC265" i="17"/>
  <c r="AC268" i="17"/>
  <c r="AC264" i="17"/>
  <c r="AG217" i="17"/>
  <c r="K68" i="17"/>
  <c r="K194" i="17"/>
  <c r="Q70" i="17"/>
  <c r="Q141" i="17"/>
  <c r="Q143" i="17"/>
  <c r="Q146" i="17"/>
  <c r="AC218" i="17"/>
  <c r="G149" i="17"/>
  <c r="M67" i="17"/>
  <c r="K70" i="17"/>
  <c r="S90" i="17"/>
  <c r="AC223" i="17"/>
  <c r="G144" i="17"/>
  <c r="AC66" i="17"/>
  <c r="AC74" i="17"/>
  <c r="I67" i="17"/>
  <c r="I72" i="17"/>
  <c r="M194" i="17"/>
  <c r="M76" i="17"/>
  <c r="U244" i="17"/>
  <c r="U240" i="17"/>
  <c r="U236" i="17"/>
  <c r="U221" i="17"/>
  <c r="AA91" i="17"/>
  <c r="AA98" i="17"/>
  <c r="G147" i="17"/>
  <c r="G143" i="17"/>
  <c r="G140" i="17"/>
  <c r="AC189" i="17"/>
  <c r="AC195" i="17"/>
  <c r="AC75" i="17"/>
  <c r="Q145" i="17"/>
  <c r="AE91" i="17"/>
  <c r="AC215" i="17"/>
  <c r="AC222" i="17"/>
  <c r="AC72" i="17"/>
  <c r="I77" i="17"/>
  <c r="K77" i="17"/>
  <c r="K71" i="17"/>
  <c r="K73" i="17"/>
  <c r="L199" i="18"/>
  <c r="L216" i="18"/>
  <c r="L191" i="18"/>
  <c r="M191" i="18" s="1"/>
  <c r="L221" i="18"/>
  <c r="L271" i="18"/>
  <c r="L144" i="18"/>
  <c r="L223" i="18"/>
  <c r="L261" i="18"/>
  <c r="L146" i="18"/>
  <c r="L242" i="18"/>
  <c r="L142" i="18"/>
  <c r="L247" i="18"/>
  <c r="L192" i="18"/>
  <c r="L188" i="18"/>
  <c r="M21" i="18"/>
  <c r="L269" i="18"/>
  <c r="L145" i="18"/>
  <c r="L236" i="18"/>
  <c r="L241" i="18"/>
  <c r="L147" i="18"/>
  <c r="L195" i="18"/>
  <c r="L267" i="18"/>
  <c r="L218" i="18"/>
  <c r="M69" i="18"/>
  <c r="L190" i="18"/>
  <c r="L263" i="18"/>
  <c r="M263" i="18" s="1"/>
  <c r="L213" i="18"/>
  <c r="L219" i="18"/>
  <c r="L264" i="18"/>
  <c r="L260" i="18"/>
  <c r="L140" i="18"/>
  <c r="L270" i="18"/>
  <c r="L238" i="18"/>
  <c r="L149" i="18"/>
  <c r="L245" i="18"/>
  <c r="M45" i="18"/>
  <c r="L189" i="18"/>
  <c r="L139" i="18"/>
  <c r="L215" i="18"/>
  <c r="M215" i="18" s="1"/>
  <c r="L220" i="18"/>
  <c r="L265" i="18"/>
  <c r="L214" i="18"/>
  <c r="L266" i="18"/>
  <c r="L197" i="18"/>
  <c r="L246" i="18"/>
  <c r="L194" i="18"/>
  <c r="L212" i="18"/>
  <c r="L150" i="18"/>
  <c r="L222" i="18"/>
  <c r="L243" i="18"/>
  <c r="L268" i="18"/>
  <c r="L148" i="18"/>
  <c r="L237" i="18"/>
  <c r="L141" i="18"/>
  <c r="L143" i="18"/>
  <c r="AA101" i="17"/>
  <c r="Y44" i="17"/>
  <c r="Y261" i="17"/>
  <c r="Y196" i="17"/>
  <c r="Y50" i="17"/>
  <c r="AI101" i="17"/>
  <c r="I221" i="17"/>
  <c r="I223" i="17"/>
  <c r="AA24" i="17"/>
  <c r="AA267" i="17"/>
  <c r="AA212" i="17"/>
  <c r="AA95" i="17"/>
  <c r="AC190" i="17"/>
  <c r="AC196" i="17"/>
  <c r="AG98" i="17"/>
  <c r="AA93" i="17"/>
  <c r="Y47" i="17"/>
  <c r="AI92" i="17"/>
  <c r="M245" i="17"/>
  <c r="M240" i="17"/>
  <c r="O243" i="17"/>
  <c r="O261" i="17"/>
  <c r="I212" i="17"/>
  <c r="I220" i="17"/>
  <c r="AG150" i="17"/>
  <c r="K236" i="17"/>
  <c r="K238" i="17"/>
  <c r="K262" i="17"/>
  <c r="AA96" i="17"/>
  <c r="S28" i="17"/>
  <c r="Y188" i="17"/>
  <c r="Y48" i="17"/>
  <c r="Y49" i="17"/>
  <c r="AI269" i="17"/>
  <c r="M246" i="17"/>
  <c r="M247" i="17"/>
  <c r="M237" i="17"/>
  <c r="M236" i="17"/>
  <c r="O269" i="17"/>
  <c r="O271" i="17"/>
  <c r="AA197" i="17"/>
  <c r="AA190" i="17"/>
  <c r="AE96" i="17"/>
  <c r="AA94" i="17"/>
  <c r="Y195" i="17"/>
  <c r="AA99" i="17"/>
  <c r="AI261" i="17"/>
  <c r="AA90" i="17"/>
  <c r="AA92" i="17"/>
  <c r="AC48" i="17"/>
  <c r="W72" i="17"/>
  <c r="AE197" i="17"/>
  <c r="Y193" i="17"/>
  <c r="M243" i="17"/>
  <c r="Y147" i="17"/>
  <c r="Y237" i="17"/>
  <c r="G72" i="17"/>
  <c r="O50" i="17"/>
  <c r="O44" i="17"/>
  <c r="O27" i="17"/>
  <c r="AA188" i="17"/>
  <c r="AA219" i="17"/>
  <c r="AA270" i="17"/>
  <c r="AC266" i="17"/>
  <c r="K217" i="17"/>
  <c r="K216" i="17"/>
  <c r="K213" i="17"/>
  <c r="AG242" i="17"/>
  <c r="Y146" i="17"/>
  <c r="S268" i="17"/>
  <c r="S220" i="17"/>
  <c r="Y247" i="17"/>
  <c r="Y241" i="17"/>
  <c r="AI146" i="17"/>
  <c r="M22" i="17"/>
  <c r="M20" i="17"/>
  <c r="M266" i="17"/>
  <c r="M271" i="17"/>
  <c r="M260" i="17"/>
  <c r="M265" i="17"/>
  <c r="U266" i="17"/>
  <c r="O20" i="17"/>
  <c r="O267" i="17"/>
  <c r="I213" i="17"/>
  <c r="I141" i="17"/>
  <c r="AA18" i="17"/>
  <c r="AA189" i="17"/>
  <c r="AA29" i="17"/>
  <c r="AA271" i="17"/>
  <c r="AC140" i="17"/>
  <c r="AC267" i="17"/>
  <c r="AC260" i="17"/>
  <c r="AC149" i="17"/>
  <c r="W76" i="17"/>
  <c r="K199" i="17"/>
  <c r="Q147" i="17"/>
  <c r="Q150" i="17"/>
  <c r="AE24" i="17"/>
  <c r="AE145" i="17"/>
  <c r="AE147" i="17"/>
  <c r="AE42" i="17"/>
  <c r="AE47" i="17"/>
  <c r="AE194" i="17"/>
  <c r="Y144" i="17"/>
  <c r="M29" i="17"/>
  <c r="U29" i="17"/>
  <c r="O24" i="17"/>
  <c r="I90" i="17"/>
  <c r="G266" i="17"/>
  <c r="AC139" i="17"/>
  <c r="AC261" i="17"/>
  <c r="AG247" i="17"/>
  <c r="AG246" i="17"/>
  <c r="Q188" i="17"/>
  <c r="Q52" i="17"/>
  <c r="Y145" i="17"/>
  <c r="Y150" i="17"/>
  <c r="M18" i="17"/>
  <c r="O53" i="17"/>
  <c r="Y142" i="17"/>
  <c r="Y140" i="17"/>
  <c r="S219" i="17"/>
  <c r="S218" i="17"/>
  <c r="Y243" i="17"/>
  <c r="O47" i="17"/>
  <c r="AA266" i="17"/>
  <c r="AA214" i="17"/>
  <c r="AC269" i="17"/>
  <c r="AG67" i="17"/>
  <c r="AG244" i="17"/>
  <c r="Q42" i="17"/>
  <c r="Q195" i="17"/>
  <c r="AA25" i="17"/>
  <c r="AA221" i="17"/>
  <c r="W195" i="17"/>
  <c r="AG271" i="17"/>
  <c r="AG238" i="17"/>
  <c r="AG236" i="17"/>
  <c r="AG68" i="17"/>
  <c r="K214" i="17"/>
  <c r="Q77" i="17"/>
  <c r="Q49" i="17"/>
  <c r="Q48" i="17"/>
  <c r="AE216" i="17"/>
  <c r="AE212" i="17"/>
  <c r="AE221" i="17"/>
  <c r="S23" i="17"/>
  <c r="AG22" i="17"/>
  <c r="AE270" i="17"/>
  <c r="AE51" i="17"/>
  <c r="Y194" i="17"/>
  <c r="O26" i="17"/>
  <c r="W212" i="17"/>
  <c r="W220" i="17"/>
  <c r="W219" i="17"/>
  <c r="AG26" i="17"/>
  <c r="AG23" i="17"/>
  <c r="AG29" i="17"/>
  <c r="Q218" i="17"/>
  <c r="O216" i="17"/>
  <c r="I52" i="17"/>
  <c r="I42" i="17"/>
  <c r="W144" i="17"/>
  <c r="W149" i="17"/>
  <c r="AG223" i="17"/>
  <c r="AG220" i="17"/>
  <c r="AG221" i="17"/>
  <c r="K74" i="17"/>
  <c r="K67" i="17"/>
  <c r="Q99" i="17"/>
  <c r="AE99" i="17"/>
  <c r="S95" i="17"/>
  <c r="S244" i="17"/>
  <c r="S91" i="17"/>
  <c r="Y218" i="17"/>
  <c r="Y242" i="17"/>
  <c r="Y75" i="17"/>
  <c r="Y149" i="17"/>
  <c r="AI98" i="17"/>
  <c r="AI198" i="17"/>
  <c r="M23" i="17"/>
  <c r="U223" i="17"/>
  <c r="U23" i="17"/>
  <c r="U20" i="17"/>
  <c r="O51" i="17"/>
  <c r="O29" i="17"/>
  <c r="AA242" i="17"/>
  <c r="AA100" i="17"/>
  <c r="AC213" i="17"/>
  <c r="AC29" i="17"/>
  <c r="W214" i="17"/>
  <c r="K189" i="17"/>
  <c r="Q217" i="17"/>
  <c r="Y148" i="17"/>
  <c r="O25" i="17"/>
  <c r="AE90" i="17"/>
  <c r="G48" i="17"/>
  <c r="G51" i="17"/>
  <c r="S99" i="17"/>
  <c r="Q92" i="17"/>
  <c r="Q98" i="17"/>
  <c r="S53" i="17"/>
  <c r="S50" i="17"/>
  <c r="S43" i="17"/>
  <c r="AI94" i="17"/>
  <c r="AI90" i="17"/>
  <c r="U76" i="17"/>
  <c r="U147" i="17"/>
  <c r="U26" i="17"/>
  <c r="O19" i="17"/>
  <c r="I150" i="17"/>
  <c r="AA49" i="17"/>
  <c r="AA240" i="17"/>
  <c r="AA238" i="17"/>
  <c r="AA147" i="17"/>
  <c r="AC18" i="17"/>
  <c r="AC24" i="17"/>
  <c r="W28" i="17"/>
  <c r="W29" i="17"/>
  <c r="W46" i="17"/>
  <c r="W53" i="17"/>
  <c r="AG197" i="17"/>
  <c r="AG90" i="17"/>
  <c r="K44" i="17"/>
  <c r="Q25" i="17"/>
  <c r="Q47" i="17"/>
  <c r="Q199" i="17"/>
  <c r="Q43" i="17"/>
  <c r="AE70" i="17"/>
  <c r="AE246" i="17"/>
  <c r="AE219" i="17"/>
  <c r="AE44" i="17"/>
  <c r="Q90" i="17"/>
  <c r="G46" i="17"/>
  <c r="G43" i="17"/>
  <c r="AE101" i="17"/>
  <c r="Q95" i="17"/>
  <c r="Q97" i="17"/>
  <c r="S245" i="17"/>
  <c r="S46" i="17"/>
  <c r="S242" i="17"/>
  <c r="AI96" i="17"/>
  <c r="G247" i="17"/>
  <c r="AG96" i="17"/>
  <c r="AG188" i="17"/>
  <c r="K196" i="17"/>
  <c r="K195" i="17"/>
  <c r="Q67" i="17"/>
  <c r="Q27" i="17"/>
  <c r="Q190" i="17"/>
  <c r="Q53" i="17"/>
  <c r="AE236" i="17"/>
  <c r="AE74" i="17"/>
  <c r="AE237" i="17"/>
  <c r="G49" i="17"/>
  <c r="G50" i="17"/>
  <c r="AE93" i="17"/>
  <c r="Q94" i="17"/>
  <c r="Q96" i="17"/>
  <c r="M44" i="17"/>
  <c r="AA245" i="17"/>
  <c r="AG52" i="17"/>
  <c r="AG50" i="17"/>
  <c r="AG199" i="17"/>
  <c r="K49" i="17"/>
  <c r="G44" i="17"/>
  <c r="Q100" i="17"/>
  <c r="G47" i="17"/>
  <c r="AE95" i="17"/>
  <c r="AE100" i="17"/>
  <c r="S93" i="17"/>
  <c r="Q101" i="17"/>
  <c r="S240" i="17"/>
  <c r="S49" i="17"/>
  <c r="S51" i="17"/>
  <c r="Y240" i="17"/>
  <c r="Y197" i="17"/>
  <c r="Y43" i="17"/>
  <c r="Y76" i="17"/>
  <c r="M28" i="17"/>
  <c r="O188" i="17"/>
  <c r="AA247" i="17"/>
  <c r="AA146" i="17"/>
  <c r="AA244" i="17"/>
  <c r="AC26" i="17"/>
  <c r="W25" i="17"/>
  <c r="W52" i="17"/>
  <c r="AG53" i="17"/>
  <c r="AG51" i="17"/>
  <c r="K43" i="17"/>
  <c r="K51" i="17"/>
  <c r="K53" i="17"/>
  <c r="K47" i="17"/>
  <c r="S100" i="17"/>
  <c r="G53" i="17"/>
  <c r="AE98" i="17"/>
  <c r="AE92" i="17"/>
  <c r="Q93" i="17"/>
  <c r="S44" i="17"/>
  <c r="S42" i="17"/>
  <c r="M19" i="17"/>
  <c r="AA198" i="17"/>
  <c r="AC23" i="17"/>
  <c r="W270" i="17"/>
  <c r="AG196" i="17"/>
  <c r="AG189" i="17"/>
  <c r="AG100" i="17"/>
  <c r="AG46" i="17"/>
  <c r="S96" i="17"/>
  <c r="G45" i="17"/>
  <c r="AE97" i="17"/>
  <c r="S101" i="17"/>
  <c r="Y72" i="17"/>
  <c r="Y199" i="17"/>
  <c r="Y77" i="17"/>
  <c r="AI97" i="17"/>
  <c r="M51" i="17"/>
  <c r="M196" i="17"/>
  <c r="U188" i="17"/>
  <c r="U25" i="17"/>
  <c r="O265" i="17"/>
  <c r="O262" i="17"/>
  <c r="O22" i="17"/>
  <c r="I18" i="17"/>
  <c r="I22" i="17"/>
  <c r="I214" i="17"/>
  <c r="I218" i="17"/>
  <c r="AA50" i="17"/>
  <c r="AA241" i="17"/>
  <c r="AA148" i="17"/>
  <c r="G23" i="17"/>
  <c r="G213" i="17"/>
  <c r="G27" i="17"/>
  <c r="AC25" i="17"/>
  <c r="AC199" i="17"/>
  <c r="AC28" i="17"/>
  <c r="W261" i="17"/>
  <c r="W23" i="17"/>
  <c r="AG49" i="17"/>
  <c r="AG198" i="17"/>
  <c r="AG92" i="17"/>
  <c r="K48" i="17"/>
  <c r="Q26" i="17"/>
  <c r="Q193" i="17"/>
  <c r="Q189" i="17"/>
  <c r="Y238" i="17"/>
  <c r="S92" i="17"/>
  <c r="S148" i="17"/>
  <c r="S73" i="17"/>
  <c r="Y189" i="17"/>
  <c r="Y262" i="17"/>
  <c r="Y51" i="17"/>
  <c r="Y42" i="17"/>
  <c r="AI95" i="17"/>
  <c r="AI265" i="17"/>
  <c r="AI262" i="17"/>
  <c r="M269" i="17"/>
  <c r="M72" i="17"/>
  <c r="M25" i="17"/>
  <c r="M262" i="17"/>
  <c r="M24" i="17"/>
  <c r="U18" i="17"/>
  <c r="O49" i="17"/>
  <c r="O46" i="17"/>
  <c r="O28" i="17"/>
  <c r="I26" i="17"/>
  <c r="AA145" i="17"/>
  <c r="AA70" i="17"/>
  <c r="AA246" i="17"/>
  <c r="AA236" i="17"/>
  <c r="G24" i="17"/>
  <c r="AC27" i="17"/>
  <c r="W51" i="17"/>
  <c r="W189" i="17"/>
  <c r="W188" i="17"/>
  <c r="W197" i="17"/>
  <c r="K245" i="17"/>
  <c r="K268" i="17"/>
  <c r="K267" i="17"/>
  <c r="K270" i="17"/>
  <c r="AE144" i="17"/>
  <c r="AE244" i="17"/>
  <c r="AE264" i="17"/>
  <c r="AE49" i="17"/>
  <c r="AE265" i="17"/>
  <c r="S149" i="17"/>
  <c r="S66" i="17"/>
  <c r="S75" i="17"/>
  <c r="I246" i="17"/>
  <c r="G220" i="17"/>
  <c r="S20" i="17"/>
  <c r="S221" i="17"/>
  <c r="S67" i="17"/>
  <c r="S76" i="17"/>
  <c r="Y271" i="17"/>
  <c r="Y266" i="17"/>
  <c r="Y26" i="17"/>
  <c r="AI23" i="17"/>
  <c r="AI213" i="17"/>
  <c r="AI150" i="17"/>
  <c r="AI268" i="17"/>
  <c r="AI264" i="17"/>
  <c r="M270" i="17"/>
  <c r="M264" i="17"/>
  <c r="I25" i="17"/>
  <c r="AA53" i="17"/>
  <c r="AA51" i="17"/>
  <c r="G219" i="17"/>
  <c r="G212" i="17"/>
  <c r="AC68" i="17"/>
  <c r="AE269" i="17"/>
  <c r="S262" i="17"/>
  <c r="S269" i="17"/>
  <c r="S68" i="17"/>
  <c r="S213" i="17"/>
  <c r="Y18" i="17"/>
  <c r="Y190" i="17"/>
  <c r="AI222" i="17"/>
  <c r="AI271" i="17"/>
  <c r="M261" i="17"/>
  <c r="U27" i="17"/>
  <c r="U22" i="17"/>
  <c r="O219" i="17"/>
  <c r="O270" i="17"/>
  <c r="O23" i="17"/>
  <c r="O247" i="17"/>
  <c r="O18" i="17"/>
  <c r="I47" i="17"/>
  <c r="I245" i="17"/>
  <c r="I19" i="17"/>
  <c r="W192" i="17"/>
  <c r="W47" i="17"/>
  <c r="K244" i="17"/>
  <c r="K266" i="17"/>
  <c r="K223" i="17"/>
  <c r="Q238" i="17"/>
  <c r="Q260" i="17"/>
  <c r="AE267" i="17"/>
  <c r="AE52" i="17"/>
  <c r="AE43" i="17"/>
  <c r="AE268" i="17"/>
  <c r="AI223" i="17"/>
  <c r="AI220" i="17"/>
  <c r="U52" i="17"/>
  <c r="U261" i="17"/>
  <c r="I243" i="17"/>
  <c r="I244" i="17"/>
  <c r="G221" i="17"/>
  <c r="W43" i="17"/>
  <c r="S94" i="17"/>
  <c r="S18" i="17"/>
  <c r="S22" i="17"/>
  <c r="S98" i="17"/>
  <c r="S26" i="17"/>
  <c r="S77" i="17"/>
  <c r="S141" i="17"/>
  <c r="S267" i="17"/>
  <c r="S195" i="17"/>
  <c r="S217" i="17"/>
  <c r="Y268" i="17"/>
  <c r="Y264" i="17"/>
  <c r="Y223" i="17"/>
  <c r="Y192" i="17"/>
  <c r="Y25" i="17"/>
  <c r="Y139" i="17"/>
  <c r="AI22" i="17"/>
  <c r="AI91" i="17"/>
  <c r="AI99" i="17"/>
  <c r="AI214" i="17"/>
  <c r="AI216" i="17"/>
  <c r="AI267" i="17"/>
  <c r="AI218" i="17"/>
  <c r="O20" i="18"/>
  <c r="AA143" i="17"/>
  <c r="AA71" i="17"/>
  <c r="AA139" i="17"/>
  <c r="K218" i="17"/>
  <c r="K260" i="17"/>
  <c r="K221" i="17"/>
  <c r="K220" i="17"/>
  <c r="AE262" i="17"/>
  <c r="AE271" i="17"/>
  <c r="AE260" i="17"/>
  <c r="Y236" i="17"/>
  <c r="S97" i="17"/>
  <c r="M144" i="17"/>
  <c r="M141" i="17"/>
  <c r="M197" i="17"/>
  <c r="M27" i="17"/>
  <c r="M267" i="17"/>
  <c r="U262" i="17"/>
  <c r="U19" i="17"/>
  <c r="U28" i="17"/>
  <c r="O42" i="17"/>
  <c r="I241" i="17"/>
  <c r="I20" i="17"/>
  <c r="AA77" i="17"/>
  <c r="AA43" i="17"/>
  <c r="AA74" i="17"/>
  <c r="AA73" i="17"/>
  <c r="AA243" i="17"/>
  <c r="AC20" i="17"/>
  <c r="W50" i="17"/>
  <c r="W48" i="17"/>
  <c r="W194" i="17"/>
  <c r="W42" i="17"/>
  <c r="K219" i="17"/>
  <c r="K222" i="17"/>
  <c r="AE53" i="17"/>
  <c r="AE46" i="17"/>
  <c r="AE266" i="17"/>
  <c r="AE261" i="17"/>
  <c r="AE48" i="17"/>
  <c r="S71" i="17"/>
  <c r="S72" i="17"/>
  <c r="W44" i="17"/>
  <c r="Y245" i="17"/>
  <c r="S237" i="17"/>
  <c r="S236" i="17"/>
  <c r="S140" i="17"/>
  <c r="S271" i="17"/>
  <c r="S24" i="17"/>
  <c r="S199" i="17"/>
  <c r="S47" i="17"/>
  <c r="S74" i="17"/>
  <c r="S243" i="17"/>
  <c r="S223" i="17"/>
  <c r="S139" i="17"/>
  <c r="S190" i="17"/>
  <c r="Y270" i="17"/>
  <c r="Y53" i="17"/>
  <c r="AI219" i="17"/>
  <c r="AI46" i="17"/>
  <c r="AI75" i="17"/>
  <c r="AI140" i="17"/>
  <c r="AI74" i="17"/>
  <c r="AI100" i="17"/>
  <c r="AI193" i="17"/>
  <c r="AI244" i="17"/>
  <c r="AI19" i="17"/>
  <c r="AI241" i="17"/>
  <c r="AI270" i="17"/>
  <c r="AI221" i="17"/>
  <c r="AI197" i="17"/>
  <c r="M146" i="17"/>
  <c r="M26" i="17"/>
  <c r="M48" i="17"/>
  <c r="M53" i="17"/>
  <c r="U199" i="17"/>
  <c r="U24" i="17"/>
  <c r="U267" i="17"/>
  <c r="U50" i="17"/>
  <c r="U143" i="17"/>
  <c r="U195" i="17"/>
  <c r="U198" i="17"/>
  <c r="O197" i="17"/>
  <c r="O222" i="17"/>
  <c r="O143" i="17"/>
  <c r="O48" i="17"/>
  <c r="O189" i="17"/>
  <c r="O52" i="17"/>
  <c r="O144" i="17"/>
  <c r="I48" i="17"/>
  <c r="I140" i="17"/>
  <c r="I195" i="17"/>
  <c r="I146" i="17"/>
  <c r="I74" i="17"/>
  <c r="I197" i="17"/>
  <c r="AA48" i="17"/>
  <c r="AA237" i="17"/>
  <c r="AA269" i="17"/>
  <c r="AA268" i="17"/>
  <c r="AA192" i="17"/>
  <c r="AA75" i="17"/>
  <c r="AA72" i="17"/>
  <c r="AA222" i="17"/>
  <c r="AA76" i="17"/>
  <c r="AA23" i="17"/>
  <c r="AA264" i="17"/>
  <c r="G26" i="17"/>
  <c r="G190" i="17"/>
  <c r="G18" i="17"/>
  <c r="G214" i="17"/>
  <c r="G196" i="17"/>
  <c r="G195" i="17"/>
  <c r="G238" i="17"/>
  <c r="G237" i="17"/>
  <c r="G22" i="17"/>
  <c r="AC262" i="17"/>
  <c r="AC148" i="17"/>
  <c r="AC245" i="17"/>
  <c r="AC141" i="17"/>
  <c r="AC44" i="17"/>
  <c r="AC42" i="17"/>
  <c r="AC241" i="17"/>
  <c r="AC22" i="17"/>
  <c r="AC194" i="17"/>
  <c r="W18" i="17"/>
  <c r="W213" i="17"/>
  <c r="W223" i="17"/>
  <c r="W267" i="17"/>
  <c r="W49" i="17"/>
  <c r="W24" i="17"/>
  <c r="W242" i="17"/>
  <c r="W190" i="17"/>
  <c r="AG27" i="17"/>
  <c r="AG76" i="17"/>
  <c r="AG42" i="17"/>
  <c r="AG266" i="17"/>
  <c r="AG143" i="17"/>
  <c r="AG73" i="17"/>
  <c r="AG72" i="17"/>
  <c r="AG140" i="17"/>
  <c r="AG139" i="17"/>
  <c r="AG95" i="17"/>
  <c r="AG148" i="17"/>
  <c r="K264" i="17"/>
  <c r="K188" i="17"/>
  <c r="K148" i="17"/>
  <c r="K50" i="17"/>
  <c r="K198" i="17"/>
  <c r="K24" i="17"/>
  <c r="K243" i="17"/>
  <c r="K197" i="17"/>
  <c r="K237" i="17"/>
  <c r="Q50" i="17"/>
  <c r="Q46" i="17"/>
  <c r="Q241" i="17"/>
  <c r="Q214" i="17"/>
  <c r="Q219" i="17"/>
  <c r="Q44" i="17"/>
  <c r="Q267" i="17"/>
  <c r="Q51" i="17"/>
  <c r="Q20" i="17"/>
  <c r="AE23" i="17"/>
  <c r="AE220" i="17"/>
  <c r="AE213" i="17"/>
  <c r="AE72" i="17"/>
  <c r="AE22" i="17"/>
  <c r="AE75" i="17"/>
  <c r="AE148" i="17"/>
  <c r="S214" i="17"/>
  <c r="S19" i="17"/>
  <c r="Y216" i="17"/>
  <c r="AI47" i="17"/>
  <c r="AI76" i="17"/>
  <c r="AI139" i="17"/>
  <c r="AI147" i="17"/>
  <c r="AI245" i="17"/>
  <c r="AI25" i="17"/>
  <c r="AI242" i="17"/>
  <c r="AI212" i="17"/>
  <c r="AI141" i="17"/>
  <c r="M139" i="17"/>
  <c r="M140" i="17"/>
  <c r="M42" i="17"/>
  <c r="U269" i="17"/>
  <c r="U42" i="17"/>
  <c r="U149" i="17"/>
  <c r="U48" i="17"/>
  <c r="O266" i="17"/>
  <c r="O246" i="17"/>
  <c r="I196" i="17"/>
  <c r="I238" i="17"/>
  <c r="I51" i="17"/>
  <c r="I46" i="17"/>
  <c r="I219" i="17"/>
  <c r="AN260" i="18"/>
  <c r="AO260" i="18" s="1"/>
  <c r="AO74" i="18"/>
  <c r="AN191" i="18"/>
  <c r="AO191" i="18" s="1"/>
  <c r="AN246" i="18"/>
  <c r="AO246" i="18" s="1"/>
  <c r="AO72" i="18"/>
  <c r="AN189" i="18"/>
  <c r="AO189" i="18" s="1"/>
  <c r="AN244" i="18"/>
  <c r="AO244" i="18" s="1"/>
  <c r="AO70" i="18"/>
  <c r="AN195" i="18"/>
  <c r="AO195" i="18" s="1"/>
  <c r="AN262" i="18"/>
  <c r="AO262" i="18" s="1"/>
  <c r="AO76" i="18"/>
  <c r="AN148" i="18"/>
  <c r="AO148" i="18" s="1"/>
  <c r="AO26" i="18"/>
  <c r="AO22" i="18"/>
  <c r="AO94" i="18"/>
  <c r="AN146" i="18"/>
  <c r="AO146" i="18" s="1"/>
  <c r="AN218" i="18"/>
  <c r="AO218" i="18" s="1"/>
  <c r="AN265" i="18"/>
  <c r="AO265" i="18" s="1"/>
  <c r="AO71" i="18"/>
  <c r="AN143" i="18"/>
  <c r="AO143" i="18" s="1"/>
  <c r="AN223" i="18"/>
  <c r="AO223" i="18" s="1"/>
  <c r="AN270" i="18"/>
  <c r="AO270" i="18" s="1"/>
  <c r="AO68" i="18"/>
  <c r="AO95" i="18"/>
  <c r="AO28" i="18"/>
  <c r="AN240" i="18"/>
  <c r="AO240" i="18" s="1"/>
  <c r="AN267" i="18"/>
  <c r="AO267" i="18" s="1"/>
  <c r="AO53" i="18"/>
  <c r="AO92" i="18"/>
  <c r="AO99" i="18"/>
  <c r="AN188" i="18"/>
  <c r="AO188" i="18" s="1"/>
  <c r="AN215" i="18"/>
  <c r="AO215" i="18" s="1"/>
  <c r="AN222" i="18"/>
  <c r="AO222" i="18" s="1"/>
  <c r="AN269" i="18"/>
  <c r="AO269" i="18" s="1"/>
  <c r="AN241" i="18"/>
  <c r="AO241" i="18" s="1"/>
  <c r="AO24" i="18"/>
  <c r="AN220" i="18"/>
  <c r="AO220" i="18" s="1"/>
  <c r="AN247" i="18"/>
  <c r="AO247" i="18" s="1"/>
  <c r="AO45" i="18"/>
  <c r="AO52" i="18"/>
  <c r="AO91" i="18"/>
  <c r="AO98" i="18"/>
  <c r="AN150" i="18"/>
  <c r="AO150" i="18" s="1"/>
  <c r="AN214" i="18"/>
  <c r="AO214" i="18" s="1"/>
  <c r="AO75" i="18"/>
  <c r="AO23" i="18"/>
  <c r="AO25" i="18"/>
  <c r="AN212" i="18"/>
  <c r="AO212" i="18" s="1"/>
  <c r="AN239" i="18"/>
  <c r="AO239" i="18" s="1"/>
  <c r="AN266" i="18"/>
  <c r="AO266" i="18" s="1"/>
  <c r="AO44" i="18"/>
  <c r="AO51" i="18"/>
  <c r="AO90" i="18"/>
  <c r="AN142" i="18"/>
  <c r="AO142" i="18" s="1"/>
  <c r="AN194" i="18"/>
  <c r="AO194" i="18" s="1"/>
  <c r="AN221" i="18"/>
  <c r="AO221" i="18" s="1"/>
  <c r="AO27" i="18"/>
  <c r="AN192" i="18"/>
  <c r="AO192" i="18" s="1"/>
  <c r="AN219" i="18"/>
  <c r="AO219" i="18" s="1"/>
  <c r="AN238" i="18"/>
  <c r="AO238" i="18" s="1"/>
  <c r="AN245" i="18"/>
  <c r="AO245" i="18" s="1"/>
  <c r="AO43" i="18"/>
  <c r="AO50" i="18"/>
  <c r="AO97" i="18"/>
  <c r="AN149" i="18"/>
  <c r="AO149" i="18" s="1"/>
  <c r="AN213" i="18"/>
  <c r="AO213" i="18" s="1"/>
  <c r="AO19" i="18"/>
  <c r="AN147" i="18"/>
  <c r="AO147" i="18" s="1"/>
  <c r="AN199" i="18"/>
  <c r="AO199" i="18" s="1"/>
  <c r="AN198" i="18"/>
  <c r="AO198" i="18" s="1"/>
  <c r="AN237" i="18"/>
  <c r="AO237" i="18" s="1"/>
  <c r="AN264" i="18"/>
  <c r="AO264" i="18" s="1"/>
  <c r="AO42" i="18"/>
  <c r="AO77" i="18"/>
  <c r="AN141" i="18"/>
  <c r="AO141" i="18" s="1"/>
  <c r="AN140" i="18"/>
  <c r="AO140" i="18" s="1"/>
  <c r="AO20" i="18"/>
  <c r="AN139" i="18"/>
  <c r="AO139" i="18" s="1"/>
  <c r="AO101" i="18"/>
  <c r="AN190" i="18"/>
  <c r="AO190" i="18" s="1"/>
  <c r="AN217" i="18"/>
  <c r="AO217" i="18" s="1"/>
  <c r="AN236" i="18"/>
  <c r="AO236" i="18" s="1"/>
  <c r="AN271" i="18"/>
  <c r="AO271" i="18" s="1"/>
  <c r="AO69" i="18"/>
  <c r="AO96" i="18"/>
  <c r="AO67" i="18"/>
  <c r="AO29" i="18"/>
  <c r="AO66" i="18"/>
  <c r="AO93" i="18"/>
  <c r="AN145" i="18"/>
  <c r="AO145" i="18" s="1"/>
  <c r="AN197" i="18"/>
  <c r="AO197" i="18" s="1"/>
  <c r="AN216" i="18"/>
  <c r="AO216" i="18" s="1"/>
  <c r="AN263" i="18"/>
  <c r="AO263" i="18" s="1"/>
  <c r="AO49" i="18"/>
  <c r="AO48" i="18"/>
  <c r="AN261" i="18"/>
  <c r="AO261" i="18" s="1"/>
  <c r="AO21" i="18"/>
  <c r="AN268" i="18"/>
  <c r="AO268" i="18" s="1"/>
  <c r="AO46" i="18"/>
  <c r="AO73" i="18"/>
  <c r="AO100" i="18"/>
  <c r="AN144" i="18"/>
  <c r="AO144" i="18" s="1"/>
  <c r="AN196" i="18"/>
  <c r="AO196" i="18" s="1"/>
  <c r="AN243" i="18"/>
  <c r="AO243" i="18" s="1"/>
  <c r="AN242" i="18"/>
  <c r="AO242" i="18" s="1"/>
  <c r="AN193" i="18"/>
  <c r="AO193" i="18" s="1"/>
  <c r="AO47" i="18"/>
  <c r="AO18" i="18"/>
  <c r="AA46" i="17"/>
  <c r="AA47" i="17"/>
  <c r="AA27" i="17"/>
  <c r="AA223" i="17"/>
  <c r="G194" i="17"/>
  <c r="G242" i="17"/>
  <c r="G197" i="17"/>
  <c r="G222" i="17"/>
  <c r="G19" i="17"/>
  <c r="AC46" i="17"/>
  <c r="AC237" i="17"/>
  <c r="AC238" i="17"/>
  <c r="AC236" i="17"/>
  <c r="W245" i="17"/>
  <c r="W26" i="17"/>
  <c r="W222" i="17"/>
  <c r="W221" i="17"/>
  <c r="AG74" i="17"/>
  <c r="AG91" i="17"/>
  <c r="AG71" i="17"/>
  <c r="K143" i="17"/>
  <c r="K20" i="17"/>
  <c r="K144" i="17"/>
  <c r="K261" i="17"/>
  <c r="K140" i="17"/>
  <c r="Q220" i="17"/>
  <c r="Q24" i="17"/>
  <c r="Q222" i="17"/>
  <c r="Q240" i="17"/>
  <c r="Q246" i="17"/>
  <c r="Q264" i="17"/>
  <c r="Q198" i="17"/>
  <c r="AE140" i="17"/>
  <c r="AE19" i="17"/>
  <c r="AE67" i="17"/>
  <c r="AE73" i="17"/>
  <c r="AE240" i="17"/>
  <c r="S241" i="17"/>
  <c r="S238" i="17"/>
  <c r="S27" i="17"/>
  <c r="S266" i="17"/>
  <c r="S150" i="17"/>
  <c r="S265" i="17"/>
  <c r="Y222" i="17"/>
  <c r="Y217" i="17"/>
  <c r="Y269" i="17"/>
  <c r="Y27" i="17"/>
  <c r="AI70" i="17"/>
  <c r="AI43" i="17"/>
  <c r="AI67" i="17"/>
  <c r="AI143" i="17"/>
  <c r="AI188" i="17"/>
  <c r="AI148" i="17"/>
  <c r="AI236" i="17"/>
  <c r="AI217" i="17"/>
  <c r="AI190" i="17"/>
  <c r="M147" i="17"/>
  <c r="U193" i="17"/>
  <c r="U192" i="17"/>
  <c r="U270" i="17"/>
  <c r="U140" i="17"/>
  <c r="U43" i="17"/>
  <c r="U44" i="17"/>
  <c r="U47" i="17"/>
  <c r="O213" i="17"/>
  <c r="O193" i="17"/>
  <c r="O139" i="17"/>
  <c r="O194" i="17"/>
  <c r="O268" i="17"/>
  <c r="O264" i="17"/>
  <c r="I193" i="17"/>
  <c r="I247" i="17"/>
  <c r="I190" i="17"/>
  <c r="I49" i="17"/>
  <c r="I242" i="17"/>
  <c r="AA21" i="18"/>
  <c r="Z265" i="18"/>
  <c r="Z193" i="18"/>
  <c r="Z218" i="18"/>
  <c r="Z261" i="18"/>
  <c r="Z143" i="18"/>
  <c r="Z190" i="18"/>
  <c r="Z199" i="18"/>
  <c r="Z220" i="18"/>
  <c r="Z241" i="18"/>
  <c r="Z197" i="18"/>
  <c r="Z244" i="18"/>
  <c r="Z262" i="18"/>
  <c r="Z271" i="18"/>
  <c r="Z270" i="18"/>
  <c r="Z189" i="18"/>
  <c r="Z223" i="18"/>
  <c r="Z240" i="18"/>
  <c r="Z239" i="18"/>
  <c r="AA239" i="18" s="1"/>
  <c r="Z260" i="18"/>
  <c r="Z269" i="18"/>
  <c r="Z268" i="18"/>
  <c r="Z267" i="18"/>
  <c r="Z264" i="18"/>
  <c r="Z263" i="18"/>
  <c r="AA263" i="18" s="1"/>
  <c r="Z144" i="18"/>
  <c r="Z214" i="18"/>
  <c r="Z195" i="18"/>
  <c r="Z216" i="18"/>
  <c r="Z238" i="18"/>
  <c r="Z247" i="18"/>
  <c r="Z246" i="18"/>
  <c r="Z243" i="18"/>
  <c r="Z242" i="18"/>
  <c r="Z219" i="18"/>
  <c r="Z147" i="18"/>
  <c r="Z148" i="18"/>
  <c r="Z194" i="18"/>
  <c r="Z215" i="18"/>
  <c r="AA215" i="18" s="1"/>
  <c r="Z236" i="18"/>
  <c r="Z222" i="18"/>
  <c r="Z221" i="18"/>
  <c r="Z198" i="18"/>
  <c r="Z196" i="18"/>
  <c r="Z146" i="18"/>
  <c r="Z192" i="18"/>
  <c r="Z213" i="18"/>
  <c r="Z212" i="18"/>
  <c r="Z188" i="18"/>
  <c r="Z150" i="18"/>
  <c r="Z149" i="18"/>
  <c r="Z245" i="18"/>
  <c r="Z145" i="18"/>
  <c r="Z191" i="18"/>
  <c r="AA191" i="18" s="1"/>
  <c r="Z142" i="18"/>
  <c r="Z141" i="18"/>
  <c r="Z140" i="18"/>
  <c r="Z139" i="18"/>
  <c r="Z237" i="18"/>
  <c r="AA23" i="18"/>
  <c r="Z217" i="18"/>
  <c r="Z266" i="18"/>
  <c r="AA45" i="18"/>
  <c r="AA69" i="18"/>
  <c r="AA20" i="17"/>
  <c r="AA19" i="17"/>
  <c r="AA141" i="17"/>
  <c r="AA194" i="17"/>
  <c r="G240" i="17"/>
  <c r="G243" i="17"/>
  <c r="G189" i="17"/>
  <c r="G28" i="17"/>
  <c r="G192" i="17"/>
  <c r="AC240" i="17"/>
  <c r="AC150" i="17"/>
  <c r="AC198" i="17"/>
  <c r="W236" i="17"/>
  <c r="W268" i="17"/>
  <c r="W264" i="17"/>
  <c r="AG144" i="17"/>
  <c r="AG260" i="17"/>
  <c r="AG237" i="17"/>
  <c r="AG146" i="17"/>
  <c r="AG66" i="17"/>
  <c r="AG19" i="17"/>
  <c r="AG193" i="17"/>
  <c r="AG240" i="17"/>
  <c r="AG245" i="17"/>
  <c r="K246" i="17"/>
  <c r="K26" i="17"/>
  <c r="K192" i="17"/>
  <c r="K27" i="17"/>
  <c r="K46" i="17"/>
  <c r="K22" i="17"/>
  <c r="Q268" i="17"/>
  <c r="Q243" i="17"/>
  <c r="Q242" i="17"/>
  <c r="Q261" i="17"/>
  <c r="Q192" i="17"/>
  <c r="Q197" i="17"/>
  <c r="Q194" i="17"/>
  <c r="AE247" i="17"/>
  <c r="AE141" i="17"/>
  <c r="AE150" i="17"/>
  <c r="AE242" i="17"/>
  <c r="S264" i="17"/>
  <c r="S146" i="17"/>
  <c r="S144" i="17"/>
  <c r="S25" i="17"/>
  <c r="S145" i="17"/>
  <c r="S212" i="17"/>
  <c r="Y219" i="17"/>
  <c r="Y22" i="17"/>
  <c r="Y29" i="17"/>
  <c r="Y19" i="17"/>
  <c r="AI71" i="17"/>
  <c r="AI68" i="17"/>
  <c r="AI144" i="17"/>
  <c r="AI189" i="17"/>
  <c r="AI18" i="17"/>
  <c r="AI149" i="17"/>
  <c r="AI26" i="17"/>
  <c r="M150" i="17"/>
  <c r="M148" i="17"/>
  <c r="U197" i="17"/>
  <c r="U194" i="17"/>
  <c r="U49" i="17"/>
  <c r="U190" i="17"/>
  <c r="U265" i="17"/>
  <c r="O212" i="17"/>
  <c r="O147" i="17"/>
  <c r="O140" i="17"/>
  <c r="O149" i="17"/>
  <c r="O214" i="17"/>
  <c r="I53" i="17"/>
  <c r="I43" i="17"/>
  <c r="I236" i="17"/>
  <c r="I237" i="17"/>
  <c r="I50" i="17"/>
  <c r="I217" i="17"/>
  <c r="I27" i="17"/>
  <c r="F242" i="18"/>
  <c r="F191" i="18"/>
  <c r="G191" i="18" s="1"/>
  <c r="F220" i="18"/>
  <c r="F271" i="18"/>
  <c r="F188" i="18"/>
  <c r="F238" i="18"/>
  <c r="F193" i="18"/>
  <c r="F214" i="18"/>
  <c r="F244" i="18"/>
  <c r="F264" i="18"/>
  <c r="F142" i="18"/>
  <c r="F196" i="18"/>
  <c r="F237" i="18"/>
  <c r="F194" i="18"/>
  <c r="F223" i="18"/>
  <c r="F243" i="18"/>
  <c r="F263" i="18"/>
  <c r="G263" i="18" s="1"/>
  <c r="F150" i="18"/>
  <c r="F216" i="18"/>
  <c r="F245" i="18"/>
  <c r="F149" i="18"/>
  <c r="F213" i="18"/>
  <c r="F221" i="18"/>
  <c r="F241" i="18"/>
  <c r="F261" i="18"/>
  <c r="G45" i="18"/>
  <c r="F140" i="18"/>
  <c r="F195" i="18"/>
  <c r="F236" i="18"/>
  <c r="G21" i="18"/>
  <c r="F141" i="18"/>
  <c r="F192" i="18"/>
  <c r="F212" i="18"/>
  <c r="F199" i="18"/>
  <c r="F240" i="18"/>
  <c r="F269" i="18"/>
  <c r="F148" i="18"/>
  <c r="F215" i="18"/>
  <c r="G215" i="18" s="1"/>
  <c r="F146" i="18"/>
  <c r="F145" i="18"/>
  <c r="F190" i="18"/>
  <c r="F219" i="18"/>
  <c r="F260" i="18"/>
  <c r="F139" i="18"/>
  <c r="F147" i="18"/>
  <c r="F270" i="18"/>
  <c r="F144" i="18"/>
  <c r="F198" i="18"/>
  <c r="F239" i="18"/>
  <c r="F268" i="18"/>
  <c r="F262" i="18"/>
  <c r="F189" i="18"/>
  <c r="F218" i="18"/>
  <c r="F247" i="18"/>
  <c r="F267" i="18"/>
  <c r="F222" i="18"/>
  <c r="F265" i="18"/>
  <c r="G69" i="18"/>
  <c r="F143" i="18"/>
  <c r="F197" i="18"/>
  <c r="F217" i="18"/>
  <c r="F246" i="18"/>
  <c r="F266" i="18"/>
  <c r="AA42" i="17"/>
  <c r="AA150" i="17"/>
  <c r="AA149" i="17"/>
  <c r="AA66" i="17"/>
  <c r="G193" i="17"/>
  <c r="G199" i="17"/>
  <c r="G223" i="17"/>
  <c r="G29" i="17"/>
  <c r="G245" i="17"/>
  <c r="AC52" i="17"/>
  <c r="AC50" i="17"/>
  <c r="AC188" i="17"/>
  <c r="I21" i="18"/>
  <c r="H262" i="18"/>
  <c r="H188" i="18"/>
  <c r="H238" i="18"/>
  <c r="H193" i="18"/>
  <c r="H223" i="18"/>
  <c r="H264" i="18"/>
  <c r="I69" i="18"/>
  <c r="H198" i="18"/>
  <c r="I28" i="18"/>
  <c r="H222" i="18"/>
  <c r="H269" i="18"/>
  <c r="I94" i="18"/>
  <c r="H148" i="18"/>
  <c r="H215" i="18"/>
  <c r="I215" i="18" s="1"/>
  <c r="H213" i="18"/>
  <c r="H221" i="18"/>
  <c r="H241" i="18"/>
  <c r="H271" i="18"/>
  <c r="H214" i="18"/>
  <c r="H260" i="18"/>
  <c r="H139" i="18"/>
  <c r="H147" i="18"/>
  <c r="H192" i="18"/>
  <c r="H212" i="18"/>
  <c r="H220" i="18"/>
  <c r="H261" i="18"/>
  <c r="I45" i="18"/>
  <c r="H194" i="18"/>
  <c r="H239" i="18"/>
  <c r="I239" i="18" s="1"/>
  <c r="H268" i="18"/>
  <c r="I101" i="18"/>
  <c r="H146" i="18"/>
  <c r="H191" i="18"/>
  <c r="I191" i="18" s="1"/>
  <c r="H199" i="18"/>
  <c r="H240" i="18"/>
  <c r="H149" i="18"/>
  <c r="H218" i="18"/>
  <c r="H247" i="18"/>
  <c r="H267" i="18"/>
  <c r="H145" i="18"/>
  <c r="H190" i="18"/>
  <c r="H219" i="18"/>
  <c r="H141" i="18"/>
  <c r="H197" i="18"/>
  <c r="H217" i="18"/>
  <c r="H246" i="18"/>
  <c r="I99" i="18"/>
  <c r="H144" i="18"/>
  <c r="H189" i="18"/>
  <c r="I189" i="18" s="1"/>
  <c r="H142" i="18"/>
  <c r="H196" i="18"/>
  <c r="H237" i="18"/>
  <c r="H266" i="18"/>
  <c r="H143" i="18"/>
  <c r="H270" i="18"/>
  <c r="H150" i="18"/>
  <c r="H216" i="18"/>
  <c r="H245" i="18"/>
  <c r="H265" i="18"/>
  <c r="H242" i="18"/>
  <c r="H140" i="18"/>
  <c r="H195" i="18"/>
  <c r="H236" i="18"/>
  <c r="H244" i="18"/>
  <c r="H243" i="18"/>
  <c r="H263" i="18"/>
  <c r="I263" i="18" s="1"/>
  <c r="I23" i="18"/>
  <c r="W19" i="17"/>
  <c r="W20" i="17"/>
  <c r="W247" i="17"/>
  <c r="W269" i="17"/>
  <c r="W260" i="17"/>
  <c r="W199" i="17"/>
  <c r="AG264" i="17"/>
  <c r="AG70" i="17"/>
  <c r="AG20" i="17"/>
  <c r="AG101" i="17"/>
  <c r="AG270" i="17"/>
  <c r="AG149" i="17"/>
  <c r="AG194" i="17"/>
  <c r="AG190" i="17"/>
  <c r="K147" i="17"/>
  <c r="K150" i="17"/>
  <c r="K149" i="17"/>
  <c r="K242" i="17"/>
  <c r="K28" i="17"/>
  <c r="Q29" i="17"/>
  <c r="Q74" i="17"/>
  <c r="Q221" i="17"/>
  <c r="Q265" i="17"/>
  <c r="Q262" i="17"/>
  <c r="Q68" i="17"/>
  <c r="AE27" i="17"/>
  <c r="AE222" i="17"/>
  <c r="AE28" i="17"/>
  <c r="AE218" i="17"/>
  <c r="AE71" i="17"/>
  <c r="AI194" i="17"/>
  <c r="AI48" i="17"/>
  <c r="AI66" i="17"/>
  <c r="T265" i="18"/>
  <c r="T188" i="18"/>
  <c r="T267" i="18"/>
  <c r="T269" i="18"/>
  <c r="U69" i="18"/>
  <c r="T197" i="18"/>
  <c r="T189" i="18"/>
  <c r="T144" i="18"/>
  <c r="T245" i="18"/>
  <c r="T237" i="18"/>
  <c r="T217" i="18"/>
  <c r="T261" i="18"/>
  <c r="U45" i="18"/>
  <c r="T271" i="18"/>
  <c r="T222" i="18"/>
  <c r="T196" i="18"/>
  <c r="T195" i="18"/>
  <c r="T194" i="18"/>
  <c r="T143" i="18"/>
  <c r="T263" i="18"/>
  <c r="U263" i="18" s="1"/>
  <c r="T212" i="18"/>
  <c r="U101" i="18"/>
  <c r="T216" i="18"/>
  <c r="T241" i="18"/>
  <c r="T238" i="18"/>
  <c r="T150" i="18"/>
  <c r="T262" i="18"/>
  <c r="T193" i="18"/>
  <c r="T260" i="18"/>
  <c r="T213" i="18"/>
  <c r="T139" i="18"/>
  <c r="T266" i="18"/>
  <c r="T218" i="18"/>
  <c r="T270" i="18"/>
  <c r="T268" i="18"/>
  <c r="T247" i="18"/>
  <c r="T239" i="18"/>
  <c r="U239" i="18" s="1"/>
  <c r="T190" i="18"/>
  <c r="T220" i="18"/>
  <c r="T146" i="18"/>
  <c r="T240" i="18"/>
  <c r="T246" i="18"/>
  <c r="T236" i="18"/>
  <c r="T215" i="18"/>
  <c r="U215" i="18" s="1"/>
  <c r="T140" i="18"/>
  <c r="T221" i="18"/>
  <c r="T147" i="18"/>
  <c r="T219" i="18"/>
  <c r="T244" i="18"/>
  <c r="T214" i="18"/>
  <c r="T191" i="18"/>
  <c r="U191" i="18" s="1"/>
  <c r="U21" i="18"/>
  <c r="T148" i="18"/>
  <c r="T198" i="18"/>
  <c r="T264" i="18"/>
  <c r="T192" i="18"/>
  <c r="T141" i="18"/>
  <c r="T199" i="18"/>
  <c r="T142" i="18"/>
  <c r="T242" i="18"/>
  <c r="T145" i="18"/>
  <c r="U93" i="18"/>
  <c r="T223" i="18"/>
  <c r="T149" i="18"/>
  <c r="T243" i="18"/>
  <c r="AL220" i="18"/>
  <c r="AM220" i="18" s="1"/>
  <c r="AM46" i="18"/>
  <c r="AM101" i="18"/>
  <c r="AL218" i="18"/>
  <c r="AM218" i="18" s="1"/>
  <c r="AM44" i="18"/>
  <c r="AM99" i="18"/>
  <c r="AL216" i="18"/>
  <c r="AM216" i="18" s="1"/>
  <c r="AM42" i="18"/>
  <c r="AL142" i="18"/>
  <c r="AM142" i="18" s="1"/>
  <c r="AL222" i="18"/>
  <c r="AM222" i="18" s="1"/>
  <c r="AM48" i="18"/>
  <c r="AL140" i="18"/>
  <c r="AM140" i="18" s="1"/>
  <c r="AM24" i="18"/>
  <c r="AM22" i="18"/>
  <c r="AL260" i="18"/>
  <c r="AM260" i="18" s="1"/>
  <c r="AM66" i="18"/>
  <c r="AM93" i="18"/>
  <c r="AL190" i="18"/>
  <c r="AM190" i="18" s="1"/>
  <c r="AL237" i="18"/>
  <c r="AM237" i="18" s="1"/>
  <c r="AM43" i="18"/>
  <c r="AM90" i="18"/>
  <c r="AL195" i="18"/>
  <c r="AM195" i="18" s="1"/>
  <c r="AL242" i="18"/>
  <c r="AM242" i="18" s="1"/>
  <c r="AL261" i="18"/>
  <c r="AM261" i="18" s="1"/>
  <c r="AM67" i="18"/>
  <c r="AM28" i="18"/>
  <c r="AL240" i="18"/>
  <c r="AM240" i="18" s="1"/>
  <c r="AL267" i="18"/>
  <c r="AM267" i="18" s="1"/>
  <c r="AM73" i="18"/>
  <c r="AL145" i="18"/>
  <c r="AM145" i="18" s="1"/>
  <c r="AL217" i="18"/>
  <c r="AM217" i="18" s="1"/>
  <c r="AL264" i="18"/>
  <c r="AM264" i="18" s="1"/>
  <c r="AM70" i="18"/>
  <c r="AL150" i="18"/>
  <c r="AM150" i="18" s="1"/>
  <c r="AL214" i="18"/>
  <c r="AM214" i="18" s="1"/>
  <c r="AM75" i="18"/>
  <c r="AL269" i="18"/>
  <c r="AM269" i="18" s="1"/>
  <c r="AM20" i="18"/>
  <c r="AL212" i="18"/>
  <c r="AM212" i="18" s="1"/>
  <c r="AL247" i="18"/>
  <c r="AM247" i="18" s="1"/>
  <c r="AM53" i="18"/>
  <c r="AM100" i="18"/>
  <c r="AL197" i="18"/>
  <c r="AM197" i="18" s="1"/>
  <c r="AL244" i="18"/>
  <c r="AM244" i="18" s="1"/>
  <c r="AM50" i="18"/>
  <c r="AM97" i="18"/>
  <c r="AL194" i="18"/>
  <c r="AM194" i="18" s="1"/>
  <c r="AL148" i="18"/>
  <c r="AM148" i="18" s="1"/>
  <c r="AM47" i="18"/>
  <c r="AM29" i="18"/>
  <c r="AL192" i="18"/>
  <c r="AM192" i="18" s="1"/>
  <c r="AL239" i="18"/>
  <c r="AM239" i="18" s="1"/>
  <c r="AM45" i="18"/>
  <c r="AM92" i="18"/>
  <c r="AL189" i="18"/>
  <c r="AM189" i="18" s="1"/>
  <c r="AL236" i="18"/>
  <c r="AM236" i="18" s="1"/>
  <c r="AL271" i="18"/>
  <c r="AM271" i="18" s="1"/>
  <c r="AM77" i="18"/>
  <c r="AL149" i="18"/>
  <c r="AM149" i="18" s="1"/>
  <c r="AL241" i="18"/>
  <c r="AM241" i="18" s="1"/>
  <c r="AM19" i="18"/>
  <c r="AM21" i="18"/>
  <c r="AL147" i="18"/>
  <c r="AM147" i="18" s="1"/>
  <c r="AL219" i="18"/>
  <c r="AM219" i="18" s="1"/>
  <c r="AL266" i="18"/>
  <c r="AM266" i="18" s="1"/>
  <c r="AM72" i="18"/>
  <c r="AL144" i="18"/>
  <c r="AM144" i="18" s="1"/>
  <c r="AL196" i="18"/>
  <c r="AM196" i="18" s="1"/>
  <c r="AL263" i="18"/>
  <c r="AM263" i="18" s="1"/>
  <c r="AM69" i="18"/>
  <c r="AL141" i="18"/>
  <c r="AM141" i="18" s="1"/>
  <c r="AL221" i="18"/>
  <c r="AM221" i="18" s="1"/>
  <c r="AM27" i="18"/>
  <c r="AM18" i="18"/>
  <c r="AL139" i="18"/>
  <c r="AM139" i="18" s="1"/>
  <c r="AL199" i="18"/>
  <c r="AM199" i="18" s="1"/>
  <c r="AL246" i="18"/>
  <c r="AM246" i="18" s="1"/>
  <c r="AM52" i="18"/>
  <c r="AM91" i="18"/>
  <c r="AL188" i="18"/>
  <c r="AM188" i="18" s="1"/>
  <c r="AL243" i="18"/>
  <c r="AM243" i="18" s="1"/>
  <c r="AM49" i="18"/>
  <c r="AM96" i="18"/>
  <c r="AL213" i="18"/>
  <c r="AM213" i="18" s="1"/>
  <c r="AM23" i="18"/>
  <c r="AM94" i="18"/>
  <c r="AL191" i="18"/>
  <c r="AM191" i="18" s="1"/>
  <c r="AL238" i="18"/>
  <c r="AM238" i="18" s="1"/>
  <c r="AL265" i="18"/>
  <c r="AM265" i="18" s="1"/>
  <c r="AM71" i="18"/>
  <c r="AL143" i="18"/>
  <c r="AM143" i="18" s="1"/>
  <c r="AL223" i="18"/>
  <c r="AM223" i="18" s="1"/>
  <c r="AL270" i="18"/>
  <c r="AM270" i="18" s="1"/>
  <c r="AM76" i="18"/>
  <c r="AL193" i="18"/>
  <c r="AM193" i="18" s="1"/>
  <c r="AM25" i="18"/>
  <c r="AL268" i="18"/>
  <c r="AM268" i="18" s="1"/>
  <c r="AM74" i="18"/>
  <c r="AL146" i="18"/>
  <c r="AM146" i="18" s="1"/>
  <c r="AL198" i="18"/>
  <c r="AM198" i="18" s="1"/>
  <c r="AL245" i="18"/>
  <c r="AM245" i="18" s="1"/>
  <c r="AM51" i="18"/>
  <c r="AM98" i="18"/>
  <c r="AL215" i="18"/>
  <c r="AM215" i="18" s="1"/>
  <c r="AL262" i="18"/>
  <c r="AM262" i="18" s="1"/>
  <c r="AM68" i="18"/>
  <c r="AM95" i="18"/>
  <c r="AM26" i="18"/>
  <c r="U51" i="17"/>
  <c r="U148" i="17"/>
  <c r="O146" i="17"/>
  <c r="O150" i="17"/>
  <c r="O217" i="17"/>
  <c r="O145" i="17"/>
  <c r="O148" i="17"/>
  <c r="I199" i="17"/>
  <c r="I194" i="17"/>
  <c r="I192" i="17"/>
  <c r="AD240" i="18"/>
  <c r="AD143" i="18"/>
  <c r="AD243" i="18"/>
  <c r="AE69" i="18"/>
  <c r="AD149" i="18"/>
  <c r="AD198" i="18"/>
  <c r="AE45" i="18"/>
  <c r="AD148" i="18"/>
  <c r="AD246" i="18"/>
  <c r="AD239" i="18"/>
  <c r="AE239" i="18" s="1"/>
  <c r="AE21" i="18"/>
  <c r="AD220" i="18"/>
  <c r="AD264" i="18"/>
  <c r="AD150" i="18"/>
  <c r="AD222" i="18"/>
  <c r="AD266" i="18"/>
  <c r="AE75" i="18"/>
  <c r="AD140" i="18"/>
  <c r="AD260" i="18"/>
  <c r="AD244" i="18"/>
  <c r="AD241" i="18"/>
  <c r="AD261" i="18"/>
  <c r="AD213" i="18"/>
  <c r="AD269" i="18"/>
  <c r="AE29" i="18"/>
  <c r="AD212" i="18"/>
  <c r="AD236" i="18"/>
  <c r="AD271" i="18"/>
  <c r="AD199" i="18"/>
  <c r="AD218" i="18"/>
  <c r="AE72" i="18"/>
  <c r="AD237" i="18"/>
  <c r="AD263" i="18"/>
  <c r="AE263" i="18" s="1"/>
  <c r="AD242" i="18"/>
  <c r="AE101" i="18"/>
  <c r="AD190" i="18"/>
  <c r="AD223" i="18"/>
  <c r="AD214" i="18"/>
  <c r="AD247" i="18"/>
  <c r="AD216" i="18"/>
  <c r="AD215" i="18"/>
  <c r="AE215" i="18" s="1"/>
  <c r="AD194" i="18"/>
  <c r="AD144" i="18"/>
  <c r="AD217" i="18"/>
  <c r="AD193" i="18"/>
  <c r="AD268" i="18"/>
  <c r="AD196" i="18"/>
  <c r="AD195" i="18"/>
  <c r="AD141" i="18"/>
  <c r="AD265" i="18"/>
  <c r="AD146" i="18"/>
  <c r="AD192" i="18"/>
  <c r="AD188" i="18"/>
  <c r="AD142" i="18"/>
  <c r="AD219" i="18"/>
  <c r="AD191" i="18"/>
  <c r="AE191" i="18" s="1"/>
  <c r="AD147" i="18"/>
  <c r="AE48" i="18"/>
  <c r="AD189" i="18"/>
  <c r="AD139" i="18"/>
  <c r="AD270" i="18"/>
  <c r="AD238" i="18"/>
  <c r="AD245" i="18"/>
  <c r="AD267" i="18"/>
  <c r="AE94" i="18"/>
  <c r="AD262" i="18"/>
  <c r="AD145" i="18"/>
  <c r="AD197" i="18"/>
  <c r="AD221" i="18"/>
  <c r="AA52" i="17"/>
  <c r="AA44" i="17"/>
  <c r="G241" i="17"/>
  <c r="G217" i="17"/>
  <c r="G216" i="17"/>
  <c r="AC246" i="17"/>
  <c r="AC244" i="17"/>
  <c r="AC247" i="17"/>
  <c r="AJ212" i="18"/>
  <c r="AK212" i="18" s="1"/>
  <c r="AJ267" i="18"/>
  <c r="AK267" i="18" s="1"/>
  <c r="AK93" i="18"/>
  <c r="AK100" i="18"/>
  <c r="AJ216" i="18"/>
  <c r="AK216" i="18" s="1"/>
  <c r="AK42" i="18"/>
  <c r="AJ142" i="18"/>
  <c r="AK142" i="18" s="1"/>
  <c r="AJ222" i="18"/>
  <c r="AK222" i="18" s="1"/>
  <c r="AK48" i="18"/>
  <c r="AJ144" i="18"/>
  <c r="AK144" i="18" s="1"/>
  <c r="AJ217" i="18"/>
  <c r="AK217" i="18" s="1"/>
  <c r="AJ189" i="18"/>
  <c r="AK189" i="18" s="1"/>
  <c r="AK18" i="18"/>
  <c r="AJ240" i="18"/>
  <c r="AK240" i="18" s="1"/>
  <c r="AK46" i="18"/>
  <c r="AJ266" i="18"/>
  <c r="AK266" i="18" s="1"/>
  <c r="AJ265" i="18"/>
  <c r="AK265" i="18" s="1"/>
  <c r="AJ143" i="18"/>
  <c r="AK143" i="18" s="1"/>
  <c r="AJ223" i="18"/>
  <c r="AK223" i="18" s="1"/>
  <c r="AJ270" i="18"/>
  <c r="AK270" i="18" s="1"/>
  <c r="AK76" i="18"/>
  <c r="AJ269" i="18"/>
  <c r="AK269" i="18" s="1"/>
  <c r="AK75" i="18"/>
  <c r="AJ148" i="18"/>
  <c r="AK148" i="18" s="1"/>
  <c r="AK25" i="18"/>
  <c r="AJ220" i="18"/>
  <c r="AK220" i="18" s="1"/>
  <c r="AJ247" i="18"/>
  <c r="AK247" i="18" s="1"/>
  <c r="AJ246" i="18"/>
  <c r="AK246" i="18" s="1"/>
  <c r="AJ245" i="18"/>
  <c r="AK245" i="18" s="1"/>
  <c r="AK98" i="18"/>
  <c r="AJ215" i="18"/>
  <c r="AK215" i="18" s="1"/>
  <c r="AJ262" i="18"/>
  <c r="AK262" i="18" s="1"/>
  <c r="AK68" i="18"/>
  <c r="AK53" i="18"/>
  <c r="AK44" i="18"/>
  <c r="AK67" i="18"/>
  <c r="AK26" i="18"/>
  <c r="AJ192" i="18"/>
  <c r="AK192" i="18" s="1"/>
  <c r="AJ239" i="18"/>
  <c r="AK239" i="18" s="1"/>
  <c r="AJ238" i="18"/>
  <c r="AK238" i="18" s="1"/>
  <c r="AJ237" i="18"/>
  <c r="AK237" i="18" s="1"/>
  <c r="AK90" i="18"/>
  <c r="AJ195" i="18"/>
  <c r="AK195" i="18" s="1"/>
  <c r="AJ242" i="18"/>
  <c r="AK242" i="18" s="1"/>
  <c r="AJ213" i="18"/>
  <c r="AK213" i="18" s="1"/>
  <c r="AJ261" i="18"/>
  <c r="AK261" i="18" s="1"/>
  <c r="AJ197" i="18"/>
  <c r="AK197" i="18" s="1"/>
  <c r="AK23" i="18"/>
  <c r="AK27" i="18"/>
  <c r="AJ147" i="18"/>
  <c r="AK147" i="18" s="1"/>
  <c r="AJ219" i="18"/>
  <c r="AK219" i="18" s="1"/>
  <c r="AJ218" i="18"/>
  <c r="AK218" i="18" s="1"/>
  <c r="AJ264" i="18"/>
  <c r="AK264" i="18" s="1"/>
  <c r="AK70" i="18"/>
  <c r="AJ150" i="18"/>
  <c r="AK150" i="18" s="1"/>
  <c r="AJ214" i="18"/>
  <c r="AK214" i="18" s="1"/>
  <c r="AK95" i="18"/>
  <c r="AJ140" i="18"/>
  <c r="AK140" i="18" s="1"/>
  <c r="AK73" i="18"/>
  <c r="AK20" i="18"/>
  <c r="AK19" i="18"/>
  <c r="AJ139" i="18"/>
  <c r="AK139" i="18" s="1"/>
  <c r="AJ199" i="18"/>
  <c r="AK199" i="18" s="1"/>
  <c r="AJ198" i="18"/>
  <c r="AK198" i="18" s="1"/>
  <c r="AJ244" i="18"/>
  <c r="AK244" i="18" s="1"/>
  <c r="AK50" i="18"/>
  <c r="AK97" i="18"/>
  <c r="AJ194" i="18"/>
  <c r="AK194" i="18" s="1"/>
  <c r="AK52" i="18"/>
  <c r="AK47" i="18"/>
  <c r="AK43" i="18"/>
  <c r="AK29" i="18"/>
  <c r="AK28" i="18"/>
  <c r="AK94" i="18"/>
  <c r="AJ191" i="18"/>
  <c r="AK191" i="18" s="1"/>
  <c r="AJ190" i="18"/>
  <c r="AK190" i="18" s="1"/>
  <c r="AJ236" i="18"/>
  <c r="AK236" i="18" s="1"/>
  <c r="AJ271" i="18"/>
  <c r="AK271" i="18" s="1"/>
  <c r="AK77" i="18"/>
  <c r="AJ149" i="18"/>
  <c r="AK149" i="18" s="1"/>
  <c r="AJ221" i="18"/>
  <c r="AK221" i="18" s="1"/>
  <c r="AJ241" i="18"/>
  <c r="AK241" i="18" s="1"/>
  <c r="AJ193" i="18"/>
  <c r="AK193" i="18" s="1"/>
  <c r="AK21" i="18"/>
  <c r="AJ268" i="18"/>
  <c r="AK268" i="18" s="1"/>
  <c r="AK74" i="18"/>
  <c r="AJ146" i="18"/>
  <c r="AK146" i="18" s="1"/>
  <c r="AJ145" i="18"/>
  <c r="AK145" i="18" s="1"/>
  <c r="AJ196" i="18"/>
  <c r="AK196" i="18" s="1"/>
  <c r="AJ263" i="18"/>
  <c r="AK263" i="18" s="1"/>
  <c r="AK69" i="18"/>
  <c r="AJ141" i="18"/>
  <c r="AK141" i="18" s="1"/>
  <c r="AK99" i="18"/>
  <c r="AK91" i="18"/>
  <c r="AK72" i="18"/>
  <c r="AK22" i="18"/>
  <c r="AJ260" i="18"/>
  <c r="AK260" i="18" s="1"/>
  <c r="AK66" i="18"/>
  <c r="AK101" i="18"/>
  <c r="AK92" i="18"/>
  <c r="AJ188" i="18"/>
  <c r="AK188" i="18" s="1"/>
  <c r="AJ243" i="18"/>
  <c r="AK243" i="18" s="1"/>
  <c r="AK49" i="18"/>
  <c r="AK96" i="18"/>
  <c r="AK51" i="18"/>
  <c r="AK45" i="18"/>
  <c r="AK71" i="18"/>
  <c r="AK24" i="18"/>
  <c r="W237" i="17"/>
  <c r="W238" i="17"/>
  <c r="W196" i="17"/>
  <c r="W198" i="17"/>
  <c r="AG241" i="17"/>
  <c r="AG141" i="17"/>
  <c r="AG99" i="17"/>
  <c r="AG77" i="17"/>
  <c r="K25" i="17"/>
  <c r="K212" i="17"/>
  <c r="K23" i="17"/>
  <c r="Q76" i="17"/>
  <c r="Q237" i="17"/>
  <c r="Q19" i="17"/>
  <c r="Q212" i="17"/>
  <c r="Q244" i="17"/>
  <c r="Q23" i="17"/>
  <c r="Q271" i="17"/>
  <c r="Q73" i="17"/>
  <c r="AE76" i="17"/>
  <c r="AE238" i="17"/>
  <c r="AE223" i="17"/>
  <c r="AE77" i="17"/>
  <c r="AE245" i="17"/>
  <c r="S70" i="17"/>
  <c r="S29" i="17"/>
  <c r="Y220" i="17"/>
  <c r="Y23" i="17"/>
  <c r="AI73" i="17"/>
  <c r="AI51" i="17"/>
  <c r="AI52" i="17"/>
  <c r="AI77" i="17"/>
  <c r="AI192" i="17"/>
  <c r="AI28" i="17"/>
  <c r="AI195" i="17"/>
  <c r="AI246" i="17"/>
  <c r="AI49" i="17"/>
  <c r="AI238" i="17"/>
  <c r="AQ21" i="18"/>
  <c r="AQ20" i="18"/>
  <c r="AQ18" i="18"/>
  <c r="AQ24" i="18"/>
  <c r="AQ26" i="18"/>
  <c r="AQ25" i="18"/>
  <c r="AQ29" i="18"/>
  <c r="AQ23" i="18"/>
  <c r="AQ22" i="18"/>
  <c r="AP268" i="18"/>
  <c r="AQ268" i="18" s="1"/>
  <c r="AQ94" i="18"/>
  <c r="AP260" i="18"/>
  <c r="AQ260" i="18" s="1"/>
  <c r="AQ66" i="18"/>
  <c r="AP146" i="18"/>
  <c r="AQ146" i="18" s="1"/>
  <c r="AP238" i="18"/>
  <c r="AQ238" i="18" s="1"/>
  <c r="AQ52" i="18"/>
  <c r="AP144" i="18"/>
  <c r="AQ144" i="18" s="1"/>
  <c r="AP236" i="18"/>
  <c r="AQ236" i="18" s="1"/>
  <c r="AQ50" i="18"/>
  <c r="AP150" i="18"/>
  <c r="AQ150" i="18" s="1"/>
  <c r="AP242" i="18"/>
  <c r="AQ242" i="18" s="1"/>
  <c r="AQ68" i="18"/>
  <c r="AQ95" i="18"/>
  <c r="AQ28" i="18"/>
  <c r="AQ46" i="18"/>
  <c r="AQ93" i="18"/>
  <c r="AP190" i="18"/>
  <c r="AQ190" i="18" s="1"/>
  <c r="AP237" i="18"/>
  <c r="AQ237" i="18" s="1"/>
  <c r="AQ43" i="18"/>
  <c r="AQ90" i="18"/>
  <c r="AP195" i="18"/>
  <c r="AQ195" i="18" s="1"/>
  <c r="AP222" i="18"/>
  <c r="AQ222" i="18" s="1"/>
  <c r="AP261" i="18"/>
  <c r="AQ261" i="18" s="1"/>
  <c r="AQ47" i="18"/>
  <c r="AP240" i="18"/>
  <c r="AQ240" i="18" s="1"/>
  <c r="AP267" i="18"/>
  <c r="AQ267" i="18" s="1"/>
  <c r="AQ73" i="18"/>
  <c r="AP145" i="18"/>
  <c r="AQ145" i="18" s="1"/>
  <c r="AP217" i="18"/>
  <c r="AQ217" i="18" s="1"/>
  <c r="AP264" i="18"/>
  <c r="AQ264" i="18" s="1"/>
  <c r="AQ70" i="18"/>
  <c r="AP142" i="18"/>
  <c r="AQ142" i="18" s="1"/>
  <c r="AP214" i="18"/>
  <c r="AQ214" i="18" s="1"/>
  <c r="AQ75" i="18"/>
  <c r="AP241" i="18"/>
  <c r="AQ241" i="18" s="1"/>
  <c r="AP220" i="18"/>
  <c r="AQ220" i="18" s="1"/>
  <c r="AP247" i="18"/>
  <c r="AQ247" i="18" s="1"/>
  <c r="AQ53" i="18"/>
  <c r="AQ100" i="18"/>
  <c r="AP197" i="18"/>
  <c r="AQ197" i="18" s="1"/>
  <c r="AP244" i="18"/>
  <c r="AQ244" i="18" s="1"/>
  <c r="AQ42" i="18"/>
  <c r="AQ97" i="18"/>
  <c r="AP194" i="18"/>
  <c r="AQ194" i="18" s="1"/>
  <c r="AP221" i="18"/>
  <c r="AQ221" i="18" s="1"/>
  <c r="AP213" i="18"/>
  <c r="AQ213" i="18" s="1"/>
  <c r="AP212" i="18"/>
  <c r="AQ212" i="18" s="1"/>
  <c r="AP239" i="18"/>
  <c r="AQ239" i="18" s="1"/>
  <c r="AQ45" i="18"/>
  <c r="AQ92" i="18"/>
  <c r="AP189" i="18"/>
  <c r="AQ189" i="18" s="1"/>
  <c r="AP216" i="18"/>
  <c r="AQ216" i="18" s="1"/>
  <c r="AP271" i="18"/>
  <c r="AQ271" i="18" s="1"/>
  <c r="AQ77" i="18"/>
  <c r="AP149" i="18"/>
  <c r="AQ149" i="18" s="1"/>
  <c r="AP193" i="18"/>
  <c r="AQ193" i="18" s="1"/>
  <c r="AQ19" i="18"/>
  <c r="AP192" i="18"/>
  <c r="AQ192" i="18" s="1"/>
  <c r="AP219" i="18"/>
  <c r="AQ219" i="18" s="1"/>
  <c r="AP266" i="18"/>
  <c r="AQ266" i="18" s="1"/>
  <c r="AQ72" i="18"/>
  <c r="AQ99" i="18"/>
  <c r="AP196" i="18"/>
  <c r="AQ196" i="18" s="1"/>
  <c r="AP263" i="18"/>
  <c r="AQ263" i="18" s="1"/>
  <c r="AQ69" i="18"/>
  <c r="AP141" i="18"/>
  <c r="AQ141" i="18" s="1"/>
  <c r="AP148" i="18"/>
  <c r="AQ148" i="18" s="1"/>
  <c r="AQ27" i="18"/>
  <c r="AP147" i="18"/>
  <c r="AQ147" i="18" s="1"/>
  <c r="AP199" i="18"/>
  <c r="AQ199" i="18" s="1"/>
  <c r="AP246" i="18"/>
  <c r="AQ246" i="18" s="1"/>
  <c r="AQ44" i="18"/>
  <c r="AQ91" i="18"/>
  <c r="AP188" i="18"/>
  <c r="AQ188" i="18" s="1"/>
  <c r="AP243" i="18"/>
  <c r="AQ243" i="18" s="1"/>
  <c r="AQ49" i="18"/>
  <c r="AQ96" i="18"/>
  <c r="AP140" i="18"/>
  <c r="AQ140" i="18" s="1"/>
  <c r="AP139" i="18"/>
  <c r="AQ139" i="18" s="1"/>
  <c r="AP191" i="18"/>
  <c r="AQ191" i="18" s="1"/>
  <c r="AP218" i="18"/>
  <c r="AQ218" i="18" s="1"/>
  <c r="AP265" i="18"/>
  <c r="AQ265" i="18" s="1"/>
  <c r="AQ71" i="18"/>
  <c r="AP143" i="18"/>
  <c r="AQ143" i="18" s="1"/>
  <c r="AP223" i="18"/>
  <c r="AQ223" i="18" s="1"/>
  <c r="AP270" i="18"/>
  <c r="AQ270" i="18" s="1"/>
  <c r="AQ76" i="18"/>
  <c r="AQ67" i="18"/>
  <c r="AQ74" i="18"/>
  <c r="AQ101" i="18"/>
  <c r="AP198" i="18"/>
  <c r="AQ198" i="18" s="1"/>
  <c r="AP245" i="18"/>
  <c r="AQ245" i="18" s="1"/>
  <c r="AQ51" i="18"/>
  <c r="AQ98" i="18"/>
  <c r="AP215" i="18"/>
  <c r="AQ215" i="18" s="1"/>
  <c r="AP262" i="18"/>
  <c r="AQ262" i="18" s="1"/>
  <c r="AQ48" i="18"/>
  <c r="AP269" i="18"/>
  <c r="AQ269" i="18" s="1"/>
  <c r="M143" i="17"/>
  <c r="M46" i="17"/>
  <c r="M149" i="17"/>
  <c r="U46" i="17"/>
  <c r="U268" i="17"/>
  <c r="U139" i="17"/>
  <c r="U53" i="17"/>
  <c r="U196" i="17"/>
  <c r="U144" i="17"/>
  <c r="U189" i="17"/>
  <c r="J267" i="18"/>
  <c r="J190" i="18"/>
  <c r="J143" i="18"/>
  <c r="J268" i="18"/>
  <c r="J246" i="18"/>
  <c r="J223" i="18"/>
  <c r="J212" i="18"/>
  <c r="J269" i="18"/>
  <c r="J247" i="18"/>
  <c r="J271" i="18"/>
  <c r="J139" i="18"/>
  <c r="J198" i="18"/>
  <c r="J189" i="18"/>
  <c r="J144" i="18"/>
  <c r="J192" i="18"/>
  <c r="J195" i="18"/>
  <c r="J218" i="18"/>
  <c r="J191" i="18"/>
  <c r="K191" i="18" s="1"/>
  <c r="J216" i="18"/>
  <c r="J217" i="18"/>
  <c r="J240" i="18"/>
  <c r="J150" i="18"/>
  <c r="J142" i="18"/>
  <c r="J213" i="18"/>
  <c r="J238" i="18"/>
  <c r="K21" i="18"/>
  <c r="J239" i="18"/>
  <c r="K239" i="18" s="1"/>
  <c r="J263" i="18"/>
  <c r="K263" i="18" s="1"/>
  <c r="J197" i="18"/>
  <c r="J199" i="18"/>
  <c r="J237" i="18"/>
  <c r="J260" i="18"/>
  <c r="J261" i="18"/>
  <c r="J219" i="18"/>
  <c r="J140" i="18"/>
  <c r="J221" i="18"/>
  <c r="K45" i="18"/>
  <c r="J241" i="18"/>
  <c r="J188" i="18"/>
  <c r="J244" i="18"/>
  <c r="J264" i="18"/>
  <c r="J220" i="18"/>
  <c r="J148" i="18"/>
  <c r="J243" i="18"/>
  <c r="K49" i="18"/>
  <c r="J145" i="18"/>
  <c r="J146" i="18"/>
  <c r="J196" i="18"/>
  <c r="K69" i="18"/>
  <c r="J265" i="18"/>
  <c r="J149" i="18"/>
  <c r="J236" i="18"/>
  <c r="J141" i="18"/>
  <c r="K92" i="18"/>
  <c r="J270" i="18"/>
  <c r="J262" i="18"/>
  <c r="J147" i="18"/>
  <c r="J242" i="18"/>
  <c r="J193" i="18"/>
  <c r="J222" i="18"/>
  <c r="J215" i="18"/>
  <c r="K215" i="18" s="1"/>
  <c r="J214" i="18"/>
  <c r="J245" i="18"/>
  <c r="J194" i="18"/>
  <c r="J266" i="18"/>
  <c r="O190" i="17"/>
  <c r="O198" i="17"/>
  <c r="O221" i="17"/>
  <c r="I189" i="17"/>
  <c r="I240" i="17"/>
  <c r="I29" i="17"/>
  <c r="I144" i="17"/>
  <c r="I143" i="17"/>
  <c r="I28" i="17"/>
  <c r="AA193" i="17"/>
  <c r="AA67" i="17"/>
  <c r="AA26" i="17"/>
  <c r="AA199" i="17"/>
  <c r="AA218" i="17"/>
  <c r="G188" i="17"/>
  <c r="G218" i="17"/>
  <c r="G246" i="17"/>
  <c r="AC242" i="17"/>
  <c r="AC53" i="17"/>
  <c r="AC49" i="17"/>
  <c r="AC192" i="17"/>
  <c r="AC144" i="17"/>
  <c r="W240" i="17"/>
  <c r="W22" i="17"/>
  <c r="AG268" i="17"/>
  <c r="AG267" i="17"/>
  <c r="AG145" i="17"/>
  <c r="AG75" i="17"/>
  <c r="AG24" i="17"/>
  <c r="AG48" i="17"/>
  <c r="K269" i="17"/>
  <c r="K146" i="17"/>
  <c r="K18" i="17"/>
  <c r="Q247" i="17"/>
  <c r="Q223" i="17"/>
  <c r="Q266" i="17"/>
  <c r="Q71" i="17"/>
  <c r="Q270" i="17"/>
  <c r="Q18" i="17"/>
  <c r="AE25" i="17"/>
  <c r="AE20" i="17"/>
  <c r="AE18" i="17"/>
  <c r="AE26" i="17"/>
  <c r="AH139" i="18"/>
  <c r="AH216" i="18"/>
  <c r="AH142" i="18"/>
  <c r="AH222" i="18"/>
  <c r="AH219" i="18"/>
  <c r="AH140" i="18"/>
  <c r="AH221" i="18"/>
  <c r="AI45" i="18"/>
  <c r="AH147" i="18"/>
  <c r="AH196" i="18"/>
  <c r="AH263" i="18"/>
  <c r="AI263" i="18" s="1"/>
  <c r="AI69" i="18"/>
  <c r="AH141" i="18"/>
  <c r="AH146" i="18"/>
  <c r="AH199" i="18"/>
  <c r="AH260" i="18"/>
  <c r="AH215" i="18"/>
  <c r="AI215" i="18" s="1"/>
  <c r="AH262" i="18"/>
  <c r="AH190" i="18"/>
  <c r="AH213" i="18"/>
  <c r="AH197" i="18"/>
  <c r="AH191" i="18"/>
  <c r="AI191" i="18" s="1"/>
  <c r="AH218" i="18"/>
  <c r="AH266" i="18"/>
  <c r="AH247" i="18"/>
  <c r="AH268" i="18"/>
  <c r="AH264" i="18"/>
  <c r="AH271" i="18"/>
  <c r="AH270" i="18"/>
  <c r="AH238" i="18"/>
  <c r="AH217" i="18"/>
  <c r="AH241" i="18"/>
  <c r="AH212" i="18"/>
  <c r="AH242" i="18"/>
  <c r="AH267" i="18"/>
  <c r="AI21" i="18"/>
  <c r="AH192" i="18"/>
  <c r="AH214" i="18"/>
  <c r="AH261" i="18"/>
  <c r="AH245" i="18"/>
  <c r="AH189" i="18"/>
  <c r="AH243" i="18"/>
  <c r="AH194" i="18"/>
  <c r="AI101" i="18"/>
  <c r="AH223" i="18"/>
  <c r="AH149" i="18"/>
  <c r="AH265" i="18"/>
  <c r="AH244" i="18"/>
  <c r="AH195" i="18"/>
  <c r="AH239" i="18"/>
  <c r="AI239" i="18" s="1"/>
  <c r="AH148" i="18"/>
  <c r="AH236" i="18"/>
  <c r="AH150" i="18"/>
  <c r="AH246" i="18"/>
  <c r="AH193" i="18"/>
  <c r="AH240" i="18"/>
  <c r="AH188" i="18"/>
  <c r="AI97" i="18"/>
  <c r="AH198" i="18"/>
  <c r="AH144" i="18"/>
  <c r="AH269" i="18"/>
  <c r="AI28" i="18"/>
  <c r="AH220" i="18"/>
  <c r="AH143" i="18"/>
  <c r="AH145" i="18"/>
  <c r="AH237" i="18"/>
  <c r="S246" i="17"/>
  <c r="S143" i="17"/>
  <c r="S193" i="17"/>
  <c r="S192" i="17"/>
  <c r="S216" i="17"/>
  <c r="S270" i="17"/>
  <c r="Y213" i="17"/>
  <c r="Y24" i="17"/>
  <c r="AI247" i="17"/>
  <c r="AI42" i="17"/>
  <c r="AI145" i="17"/>
  <c r="AI29" i="17"/>
  <c r="AI237" i="17"/>
  <c r="AI50" i="17"/>
  <c r="AI27" i="17"/>
  <c r="AI240" i="17"/>
  <c r="M43" i="17"/>
  <c r="M50" i="17"/>
  <c r="U146" i="17"/>
  <c r="U260" i="17"/>
  <c r="U150" i="17"/>
  <c r="AG261" i="18"/>
  <c r="O218" i="17"/>
  <c r="O195" i="17"/>
  <c r="O192" i="17"/>
  <c r="I198" i="17"/>
  <c r="I188" i="17"/>
  <c r="I23" i="17"/>
  <c r="I24" i="17"/>
  <c r="I139" i="17"/>
  <c r="AA28" i="17"/>
  <c r="AA196" i="17"/>
  <c r="AA195" i="17"/>
  <c r="G244" i="17"/>
  <c r="AC243" i="17"/>
  <c r="AC51" i="17"/>
  <c r="AB217" i="18"/>
  <c r="AB145" i="18"/>
  <c r="AB143" i="18"/>
  <c r="AB190" i="18"/>
  <c r="AB199" i="18"/>
  <c r="AB220" i="18"/>
  <c r="AB241" i="18"/>
  <c r="AB262" i="18"/>
  <c r="AB271" i="18"/>
  <c r="AB188" i="18"/>
  <c r="AB193" i="18"/>
  <c r="AB192" i="18"/>
  <c r="AB189" i="18"/>
  <c r="AB198" i="18"/>
  <c r="AB146" i="18"/>
  <c r="AB268" i="18"/>
  <c r="AB144" i="18"/>
  <c r="AB142" i="18"/>
  <c r="AB269" i="18"/>
  <c r="AB267" i="18"/>
  <c r="AB265" i="18"/>
  <c r="AB263" i="18"/>
  <c r="AC263" i="18" s="1"/>
  <c r="AB239" i="18"/>
  <c r="AC239" i="18" s="1"/>
  <c r="AB264" i="18"/>
  <c r="AB246" i="18"/>
  <c r="AB244" i="18"/>
  <c r="AB243" i="18"/>
  <c r="AB242" i="18"/>
  <c r="AB218" i="18"/>
  <c r="AB216" i="18"/>
  <c r="AB270" i="18"/>
  <c r="AB223" i="18"/>
  <c r="AB222" i="18"/>
  <c r="AB221" i="18"/>
  <c r="AB196" i="18"/>
  <c r="AB195" i="18"/>
  <c r="AB194" i="18"/>
  <c r="AB266" i="18"/>
  <c r="AC45" i="18"/>
  <c r="AB247" i="18"/>
  <c r="AB213" i="18"/>
  <c r="AB212" i="18"/>
  <c r="AB150" i="18"/>
  <c r="AB149" i="18"/>
  <c r="AB148" i="18"/>
  <c r="AB147" i="18"/>
  <c r="AB245" i="18"/>
  <c r="AB261" i="18"/>
  <c r="AB260" i="18"/>
  <c r="AB236" i="18"/>
  <c r="AB191" i="18"/>
  <c r="AC191" i="18" s="1"/>
  <c r="AB141" i="18"/>
  <c r="AB140" i="18"/>
  <c r="AB139" i="18"/>
  <c r="AB237" i="18"/>
  <c r="AB240" i="18"/>
  <c r="AB238" i="18"/>
  <c r="AB214" i="18"/>
  <c r="AC21" i="18"/>
  <c r="AB197" i="18"/>
  <c r="AB219" i="18"/>
  <c r="AB215" i="18"/>
  <c r="AC215" i="18" s="1"/>
  <c r="AC69" i="18"/>
  <c r="W246" i="17"/>
  <c r="W243" i="17"/>
  <c r="W241" i="17"/>
  <c r="W262" i="17"/>
  <c r="W217" i="17"/>
  <c r="W271" i="17"/>
  <c r="W218" i="17"/>
  <c r="AG269" i="17"/>
  <c r="AG265" i="17"/>
  <c r="AG192" i="17"/>
  <c r="AG18" i="17"/>
  <c r="AG243" i="17"/>
  <c r="K29" i="17"/>
  <c r="K145" i="17"/>
  <c r="K241" i="17"/>
  <c r="K271" i="17"/>
  <c r="K52" i="17"/>
  <c r="K19" i="17"/>
  <c r="Q269" i="17"/>
  <c r="Q66" i="17"/>
  <c r="Q245" i="17"/>
  <c r="Q236" i="17"/>
  <c r="AE29" i="17"/>
  <c r="AE241" i="17"/>
  <c r="AE149" i="17"/>
  <c r="AE243" i="17"/>
  <c r="R219" i="18"/>
  <c r="R242" i="18"/>
  <c r="R140" i="18"/>
  <c r="R196" i="18"/>
  <c r="R240" i="18"/>
  <c r="R193" i="18"/>
  <c r="R246" i="18"/>
  <c r="R198" i="18"/>
  <c r="R150" i="18"/>
  <c r="R149" i="18"/>
  <c r="R195" i="18"/>
  <c r="R238" i="18"/>
  <c r="R270" i="18"/>
  <c r="R188" i="18"/>
  <c r="R239" i="18"/>
  <c r="S239" i="18" s="1"/>
  <c r="R221" i="18"/>
  <c r="S69" i="18"/>
  <c r="R147" i="18"/>
  <c r="R215" i="18"/>
  <c r="S215" i="18" s="1"/>
  <c r="R236" i="18"/>
  <c r="R245" i="18"/>
  <c r="R267" i="18"/>
  <c r="R212" i="18"/>
  <c r="R220" i="18"/>
  <c r="R139" i="18"/>
  <c r="S45" i="18"/>
  <c r="R223" i="18"/>
  <c r="R244" i="18"/>
  <c r="R247" i="18"/>
  <c r="R190" i="18"/>
  <c r="R197" i="18"/>
  <c r="R269" i="18"/>
  <c r="R213" i="18"/>
  <c r="R222" i="18"/>
  <c r="R262" i="18"/>
  <c r="R214" i="18"/>
  <c r="R263" i="18"/>
  <c r="S263" i="18" s="1"/>
  <c r="R217" i="18"/>
  <c r="R192" i="18"/>
  <c r="R144" i="18"/>
  <c r="R148" i="18"/>
  <c r="R260" i="18"/>
  <c r="R143" i="18"/>
  <c r="R264" i="18"/>
  <c r="R237" i="18"/>
  <c r="R266" i="18"/>
  <c r="R199" i="18"/>
  <c r="R241" i="18"/>
  <c r="R271" i="18"/>
  <c r="R145" i="18"/>
  <c r="R141" i="18"/>
  <c r="R191" i="18"/>
  <c r="S191" i="18" s="1"/>
  <c r="R218" i="18"/>
  <c r="R261" i="18"/>
  <c r="R268" i="18"/>
  <c r="S94" i="18"/>
  <c r="R146" i="18"/>
  <c r="R265" i="18"/>
  <c r="R216" i="18"/>
  <c r="R189" i="18"/>
  <c r="S101" i="18"/>
  <c r="R243" i="18"/>
  <c r="R194" i="18"/>
  <c r="R142" i="18"/>
  <c r="S21" i="18"/>
  <c r="AI53" i="17"/>
  <c r="AI44" i="17"/>
  <c r="AI243" i="17"/>
  <c r="AI196" i="17"/>
  <c r="AI20" i="17"/>
  <c r="V214" i="18"/>
  <c r="V243" i="18"/>
  <c r="V264" i="18"/>
  <c r="V146" i="18"/>
  <c r="V215" i="18"/>
  <c r="W215" i="18" s="1"/>
  <c r="V247" i="18"/>
  <c r="V268" i="18"/>
  <c r="V217" i="18"/>
  <c r="V266" i="18"/>
  <c r="V263" i="18"/>
  <c r="W263" i="18" s="1"/>
  <c r="V262" i="18"/>
  <c r="V271" i="18"/>
  <c r="V197" i="18"/>
  <c r="V244" i="18"/>
  <c r="V267" i="18"/>
  <c r="V242" i="18"/>
  <c r="V241" i="18"/>
  <c r="V240" i="18"/>
  <c r="V261" i="18"/>
  <c r="V270" i="18"/>
  <c r="V189" i="18"/>
  <c r="V223" i="18"/>
  <c r="V221" i="18"/>
  <c r="V220" i="18"/>
  <c r="V219" i="18"/>
  <c r="V218" i="18"/>
  <c r="V239" i="18"/>
  <c r="W239" i="18" s="1"/>
  <c r="V260" i="18"/>
  <c r="V269" i="18"/>
  <c r="V246" i="18"/>
  <c r="V144" i="18"/>
  <c r="V193" i="18"/>
  <c r="V199" i="18"/>
  <c r="V198" i="18"/>
  <c r="V196" i="18"/>
  <c r="V195" i="18"/>
  <c r="V216" i="18"/>
  <c r="V238" i="18"/>
  <c r="V236" i="18"/>
  <c r="V222" i="18"/>
  <c r="V147" i="18"/>
  <c r="V188" i="18"/>
  <c r="V150" i="18"/>
  <c r="V149" i="18"/>
  <c r="V148" i="18"/>
  <c r="V194" i="18"/>
  <c r="V192" i="18"/>
  <c r="V213" i="18"/>
  <c r="V212" i="18"/>
  <c r="V265" i="18"/>
  <c r="V141" i="18"/>
  <c r="V140" i="18"/>
  <c r="V139" i="18"/>
  <c r="V145" i="18"/>
  <c r="V191" i="18"/>
  <c r="W191" i="18" s="1"/>
  <c r="V190" i="18"/>
  <c r="V245" i="18"/>
  <c r="V143" i="18"/>
  <c r="V142" i="18"/>
  <c r="W21" i="18"/>
  <c r="V237" i="18"/>
  <c r="W69" i="18"/>
  <c r="W45" i="18"/>
  <c r="P149" i="18"/>
  <c r="P260" i="18"/>
  <c r="P150" i="18"/>
  <c r="P267" i="18"/>
  <c r="P193" i="18"/>
  <c r="P244" i="18"/>
  <c r="P144" i="18"/>
  <c r="P240" i="18"/>
  <c r="Q45" i="18"/>
  <c r="P141" i="18"/>
  <c r="P218" i="18"/>
  <c r="P268" i="18"/>
  <c r="P148" i="18"/>
  <c r="P262" i="18"/>
  <c r="P142" i="18"/>
  <c r="P217" i="18"/>
  <c r="P192" i="18"/>
  <c r="P212" i="18"/>
  <c r="P220" i="18"/>
  <c r="P271" i="18"/>
  <c r="Q69" i="18"/>
  <c r="P270" i="18"/>
  <c r="Q21" i="18"/>
  <c r="P242" i="18"/>
  <c r="P197" i="18"/>
  <c r="P266" i="18"/>
  <c r="P223" i="18"/>
  <c r="P145" i="18"/>
  <c r="P222" i="18"/>
  <c r="P188" i="18"/>
  <c r="P245" i="18"/>
  <c r="P213" i="18"/>
  <c r="P261" i="18"/>
  <c r="P214" i="18"/>
  <c r="P246" i="18"/>
  <c r="P236" i="18"/>
  <c r="P146" i="18"/>
  <c r="P263" i="18"/>
  <c r="Q263" i="18" s="1"/>
  <c r="P219" i="18"/>
  <c r="P194" i="18"/>
  <c r="P237" i="18"/>
  <c r="P215" i="18"/>
  <c r="Q215" i="18" s="1"/>
  <c r="P241" i="18"/>
  <c r="P198" i="18"/>
  <c r="P247" i="18"/>
  <c r="P216" i="18"/>
  <c r="P147" i="18"/>
  <c r="P264" i="18"/>
  <c r="P199" i="18"/>
  <c r="P189" i="18"/>
  <c r="Q76" i="18"/>
  <c r="P238" i="18"/>
  <c r="P195" i="18"/>
  <c r="P243" i="18"/>
  <c r="P190" i="18"/>
  <c r="P143" i="18"/>
  <c r="P269" i="18"/>
  <c r="P196" i="18"/>
  <c r="P139" i="18"/>
  <c r="P221" i="18"/>
  <c r="P239" i="18"/>
  <c r="Q239" i="18" s="1"/>
  <c r="P140" i="18"/>
  <c r="Q93" i="18"/>
  <c r="P265" i="18"/>
  <c r="P191" i="18"/>
  <c r="Q191" i="18" s="1"/>
  <c r="M145" i="17"/>
  <c r="U145" i="17"/>
  <c r="U141" i="17"/>
  <c r="U271" i="17"/>
  <c r="U264" i="17"/>
  <c r="X189" i="18"/>
  <c r="X261" i="18"/>
  <c r="X147" i="18"/>
  <c r="X215" i="18"/>
  <c r="Y215" i="18" s="1"/>
  <c r="X247" i="18"/>
  <c r="X268" i="18"/>
  <c r="X245" i="18"/>
  <c r="X139" i="18"/>
  <c r="X145" i="18"/>
  <c r="X143" i="18"/>
  <c r="X141" i="18"/>
  <c r="X140" i="18"/>
  <c r="X142" i="18"/>
  <c r="Y69" i="18"/>
  <c r="X271" i="18"/>
  <c r="X269" i="18"/>
  <c r="X223" i="18"/>
  <c r="X212" i="18"/>
  <c r="X150" i="18"/>
  <c r="X262" i="18"/>
  <c r="X260" i="18"/>
  <c r="X236" i="18"/>
  <c r="X213" i="18"/>
  <c r="X190" i="18"/>
  <c r="Y70" i="18"/>
  <c r="X265" i="18"/>
  <c r="Y45" i="18"/>
  <c r="X263" i="18"/>
  <c r="Y263" i="18" s="1"/>
  <c r="X239" i="18"/>
  <c r="Y239" i="18" s="1"/>
  <c r="X238" i="18"/>
  <c r="X214" i="18"/>
  <c r="X191" i="18"/>
  <c r="Y191" i="18" s="1"/>
  <c r="X237" i="18"/>
  <c r="X270" i="18"/>
  <c r="X264" i="18"/>
  <c r="X241" i="18"/>
  <c r="X216" i="18"/>
  <c r="X193" i="18"/>
  <c r="X192" i="18"/>
  <c r="X217" i="18"/>
  <c r="X240" i="18"/>
  <c r="X242" i="18"/>
  <c r="X218" i="18"/>
  <c r="X194" i="18"/>
  <c r="X146" i="18"/>
  <c r="X266" i="18"/>
  <c r="Y21" i="18"/>
  <c r="X197" i="18"/>
  <c r="X219" i="18"/>
  <c r="X220" i="18"/>
  <c r="X195" i="18"/>
  <c r="Y76" i="18"/>
  <c r="X267" i="18"/>
  <c r="X243" i="18"/>
  <c r="X144" i="18"/>
  <c r="X198" i="18"/>
  <c r="X196" i="18"/>
  <c r="X148" i="18"/>
  <c r="Y52" i="18"/>
  <c r="X244" i="18"/>
  <c r="X221" i="18"/>
  <c r="Y99" i="18"/>
  <c r="X188" i="18"/>
  <c r="X149" i="18"/>
  <c r="Y44" i="18"/>
  <c r="X246" i="18"/>
  <c r="X222" i="18"/>
  <c r="X199" i="18"/>
  <c r="Y24" i="18"/>
  <c r="O141" i="17"/>
  <c r="O220" i="17"/>
  <c r="O196" i="17"/>
  <c r="I44" i="17"/>
  <c r="G236" i="17"/>
  <c r="AC43" i="17"/>
  <c r="AC47" i="17"/>
  <c r="W244" i="17"/>
  <c r="W27" i="17"/>
  <c r="W265" i="17"/>
  <c r="W266" i="17"/>
  <c r="W216" i="17"/>
  <c r="AG261" i="17"/>
  <c r="AG28" i="17"/>
  <c r="AG147" i="17"/>
  <c r="AG262" i="17"/>
  <c r="AG195" i="17"/>
  <c r="K240" i="17"/>
  <c r="K141" i="17"/>
  <c r="K139" i="17"/>
  <c r="K247" i="17"/>
  <c r="K42" i="17"/>
  <c r="Q72" i="17"/>
  <c r="Q28" i="17"/>
  <c r="Q75" i="17"/>
  <c r="Q213" i="17"/>
  <c r="Q22" i="17"/>
  <c r="AE66" i="17"/>
  <c r="AE68" i="17"/>
  <c r="AE146" i="17"/>
  <c r="AE214" i="17"/>
  <c r="O74" i="17"/>
  <c r="O73" i="17"/>
  <c r="O71" i="17"/>
  <c r="O70" i="17"/>
  <c r="O72" i="17"/>
  <c r="O67" i="17"/>
  <c r="O77" i="17"/>
  <c r="G73" i="17"/>
  <c r="G71" i="17"/>
  <c r="O76" i="17"/>
  <c r="O75" i="17"/>
  <c r="G66" i="17"/>
  <c r="O68" i="17"/>
  <c r="O69" i="17"/>
  <c r="G74" i="17"/>
  <c r="O66" i="17"/>
  <c r="M94" i="17"/>
  <c r="M95" i="17"/>
  <c r="M96" i="17"/>
  <c r="M97" i="17"/>
  <c r="M91" i="17"/>
  <c r="M99" i="17"/>
  <c r="M92" i="17"/>
  <c r="M100" i="17"/>
  <c r="M93" i="17"/>
  <c r="M101" i="17"/>
  <c r="M98" i="17"/>
  <c r="M90" i="17"/>
  <c r="O91" i="17"/>
  <c r="O99" i="17"/>
  <c r="O92" i="17"/>
  <c r="O100" i="17"/>
  <c r="O93" i="17"/>
  <c r="O101" i="17"/>
  <c r="O94" i="17"/>
  <c r="O90" i="17"/>
  <c r="O96" i="17"/>
  <c r="O97" i="17"/>
  <c r="O98" i="17"/>
  <c r="O95" i="17"/>
  <c r="K97" i="17"/>
  <c r="K98" i="17"/>
  <c r="K91" i="17"/>
  <c r="K99" i="17"/>
  <c r="K92" i="17"/>
  <c r="K100" i="17"/>
  <c r="K94" i="17"/>
  <c r="K90" i="17"/>
  <c r="K95" i="17"/>
  <c r="K96" i="17"/>
  <c r="K93" i="17"/>
  <c r="K101" i="17"/>
  <c r="G70" i="17"/>
  <c r="B91" i="17"/>
  <c r="W95" i="17"/>
  <c r="W96" i="17"/>
  <c r="W97" i="17"/>
  <c r="W98" i="17"/>
  <c r="W92" i="17"/>
  <c r="W100" i="17"/>
  <c r="W93" i="17"/>
  <c r="W101" i="17"/>
  <c r="W94" i="17"/>
  <c r="W90" i="17"/>
  <c r="W91" i="17"/>
  <c r="W99" i="17"/>
  <c r="AC94" i="17"/>
  <c r="AC95" i="17"/>
  <c r="AC96" i="17"/>
  <c r="AC97" i="17"/>
  <c r="AC91" i="17"/>
  <c r="AC99" i="17"/>
  <c r="AC92" i="17"/>
  <c r="AC100" i="17"/>
  <c r="AC93" i="17"/>
  <c r="AC101" i="17"/>
  <c r="AC90" i="17"/>
  <c r="AC98" i="17"/>
  <c r="U98" i="17"/>
  <c r="U90" i="17"/>
  <c r="U91" i="17"/>
  <c r="U99" i="17"/>
  <c r="U92" i="17"/>
  <c r="U100" i="17"/>
  <c r="U93" i="17"/>
  <c r="U101" i="17"/>
  <c r="U95" i="17"/>
  <c r="U96" i="17"/>
  <c r="U97" i="17"/>
  <c r="U94" i="17"/>
  <c r="Y92" i="17"/>
  <c r="Y100" i="17"/>
  <c r="Y93" i="17"/>
  <c r="Y101" i="17"/>
  <c r="Y94" i="17"/>
  <c r="Y95" i="17"/>
  <c r="Y97" i="17"/>
  <c r="Y98" i="17"/>
  <c r="Y90" i="17"/>
  <c r="Y91" i="17"/>
  <c r="Y99" i="17"/>
  <c r="Y96" i="17"/>
  <c r="G75" i="17"/>
  <c r="G67" i="17"/>
  <c r="G76" i="17"/>
  <c r="G77" i="17"/>
  <c r="G68" i="17"/>
  <c r="AC237" i="21" l="1"/>
  <c r="AC238" i="21"/>
  <c r="AC239" i="21"/>
  <c r="AK237" i="21"/>
  <c r="AK238" i="21"/>
  <c r="AK239" i="21"/>
  <c r="O189" i="18"/>
  <c r="O217" i="18"/>
  <c r="AC237" i="18"/>
  <c r="Y246" i="18"/>
  <c r="AG244" i="18"/>
  <c r="W208" i="21"/>
  <c r="W206" i="21"/>
  <c r="W209" i="21"/>
  <c r="AD206" i="21"/>
  <c r="AD208" i="21"/>
  <c r="W207" i="21"/>
  <c r="AD207" i="21"/>
  <c r="K261" i="18"/>
  <c r="AE247" i="18"/>
  <c r="AE265" i="18"/>
  <c r="W220" i="18"/>
  <c r="S217" i="18"/>
  <c r="Y219" i="18"/>
  <c r="Y223" i="18"/>
  <c r="AI271" i="18"/>
  <c r="G149" i="18"/>
  <c r="AA242" i="18"/>
  <c r="AG212" i="18"/>
  <c r="AI240" i="18"/>
  <c r="AG219" i="18"/>
  <c r="AG213" i="18"/>
  <c r="AI189" i="18"/>
  <c r="K197" i="18"/>
  <c r="I143" i="18"/>
  <c r="I246" i="18"/>
  <c r="I240" i="18"/>
  <c r="AC260" i="18"/>
  <c r="K148" i="18"/>
  <c r="U266" i="18"/>
  <c r="I197" i="18"/>
  <c r="G145" i="18"/>
  <c r="O244" i="18"/>
  <c r="AI146" i="18"/>
  <c r="G193" i="18"/>
  <c r="AC270" i="18"/>
  <c r="AI223" i="18"/>
  <c r="G196" i="18"/>
  <c r="Y188" i="18"/>
  <c r="AG241" i="18"/>
  <c r="AG218" i="18"/>
  <c r="U246" i="18"/>
  <c r="AG216" i="18"/>
  <c r="AC236" i="18"/>
  <c r="AC244" i="18"/>
  <c r="G190" i="18"/>
  <c r="AA266" i="18"/>
  <c r="AG222" i="18"/>
  <c r="Y71" i="18"/>
  <c r="AG223" i="18"/>
  <c r="O92" i="18"/>
  <c r="AG221" i="18"/>
  <c r="O222" i="18"/>
  <c r="O123" i="18"/>
  <c r="O116" i="18"/>
  <c r="AG220" i="18"/>
  <c r="AG214" i="18"/>
  <c r="AG217" i="18"/>
  <c r="AG238" i="18"/>
  <c r="M125" i="18"/>
  <c r="AG240" i="18"/>
  <c r="O243" i="18"/>
  <c r="O114" i="18"/>
  <c r="O120" i="18"/>
  <c r="AE142" i="18"/>
  <c r="AE174" i="18"/>
  <c r="AE165" i="18"/>
  <c r="AE169" i="18"/>
  <c r="AE173" i="18"/>
  <c r="AE163" i="18"/>
  <c r="AE167" i="18"/>
  <c r="AE171" i="18"/>
  <c r="AE164" i="18"/>
  <c r="AE170" i="18"/>
  <c r="AE168" i="18"/>
  <c r="AE166" i="18"/>
  <c r="AE172" i="18"/>
  <c r="AI142" i="18"/>
  <c r="AI166" i="18"/>
  <c r="AI170" i="18"/>
  <c r="AI174" i="18"/>
  <c r="AI171" i="18"/>
  <c r="AI165" i="18"/>
  <c r="AI164" i="18"/>
  <c r="AI168" i="18"/>
  <c r="AI172" i="18"/>
  <c r="AI169" i="18"/>
  <c r="AI163" i="18"/>
  <c r="AI167" i="18"/>
  <c r="AI173" i="18"/>
  <c r="Q142" i="18"/>
  <c r="Q166" i="18"/>
  <c r="Q170" i="18"/>
  <c r="Q174" i="18"/>
  <c r="Q165" i="18"/>
  <c r="Q169" i="18"/>
  <c r="Q173" i="18"/>
  <c r="Q164" i="18"/>
  <c r="Q168" i="18"/>
  <c r="Q172" i="18"/>
  <c r="Q163" i="18"/>
  <c r="Q167" i="18"/>
  <c r="Q171" i="18"/>
  <c r="S142" i="18"/>
  <c r="S171" i="18"/>
  <c r="S165" i="18"/>
  <c r="S164" i="18"/>
  <c r="S168" i="18"/>
  <c r="S172" i="18"/>
  <c r="S169" i="18"/>
  <c r="S163" i="18"/>
  <c r="S173" i="18"/>
  <c r="S174" i="18"/>
  <c r="S167" i="18"/>
  <c r="S166" i="18"/>
  <c r="S170" i="18"/>
  <c r="I142" i="18"/>
  <c r="I163" i="18"/>
  <c r="I167" i="18"/>
  <c r="I171" i="18"/>
  <c r="I166" i="18"/>
  <c r="I170" i="18"/>
  <c r="I174" i="18"/>
  <c r="I165" i="18"/>
  <c r="I169" i="18"/>
  <c r="I173" i="18"/>
  <c r="I164" i="18"/>
  <c r="I168" i="18"/>
  <c r="I172" i="18"/>
  <c r="AC142" i="18"/>
  <c r="AC164" i="18"/>
  <c r="AC163" i="18"/>
  <c r="AC167" i="18"/>
  <c r="AC171" i="18"/>
  <c r="AC168" i="18"/>
  <c r="AC166" i="18"/>
  <c r="AC174" i="18"/>
  <c r="AC165" i="18"/>
  <c r="AC169" i="18"/>
  <c r="AC173" i="18"/>
  <c r="AC172" i="18"/>
  <c r="AC170" i="18"/>
  <c r="M119" i="18"/>
  <c r="M124" i="18"/>
  <c r="O117" i="18"/>
  <c r="AG121" i="18"/>
  <c r="AG119" i="18"/>
  <c r="U116" i="18"/>
  <c r="G120" i="18"/>
  <c r="K142" i="18"/>
  <c r="K163" i="18"/>
  <c r="K167" i="18"/>
  <c r="K171" i="18"/>
  <c r="K174" i="18"/>
  <c r="K165" i="18"/>
  <c r="K169" i="18"/>
  <c r="K173" i="18"/>
  <c r="K168" i="18"/>
  <c r="K164" i="18"/>
  <c r="K166" i="18"/>
  <c r="K170" i="18"/>
  <c r="K172" i="18"/>
  <c r="Y163" i="18"/>
  <c r="Y167" i="18"/>
  <c r="Y171" i="18"/>
  <c r="Y166" i="18"/>
  <c r="Y170" i="18"/>
  <c r="Y174" i="18"/>
  <c r="Y169" i="18"/>
  <c r="Y164" i="18"/>
  <c r="Y172" i="18"/>
  <c r="Y165" i="18"/>
  <c r="Y173" i="18"/>
  <c r="Y168" i="18"/>
  <c r="G142" i="18"/>
  <c r="G166" i="18"/>
  <c r="G170" i="18"/>
  <c r="G174" i="18"/>
  <c r="G173" i="18"/>
  <c r="G164" i="18"/>
  <c r="G168" i="18"/>
  <c r="G172" i="18"/>
  <c r="G171" i="18"/>
  <c r="G167" i="18"/>
  <c r="G163" i="18"/>
  <c r="G165" i="18"/>
  <c r="G169" i="18"/>
  <c r="W142" i="18"/>
  <c r="W166" i="18"/>
  <c r="W170" i="18"/>
  <c r="W174" i="18"/>
  <c r="W173" i="18"/>
  <c r="W164" i="18"/>
  <c r="W168" i="18"/>
  <c r="W172" i="18"/>
  <c r="W169" i="18"/>
  <c r="W171" i="18"/>
  <c r="W167" i="18"/>
  <c r="W165" i="18"/>
  <c r="W163" i="18"/>
  <c r="U142" i="18"/>
  <c r="U174" i="18"/>
  <c r="U167" i="18"/>
  <c r="U165" i="18"/>
  <c r="U169" i="18"/>
  <c r="U163" i="18"/>
  <c r="U171" i="18"/>
  <c r="U164" i="18"/>
  <c r="U170" i="18"/>
  <c r="U166" i="18"/>
  <c r="U173" i="18"/>
  <c r="U168" i="18"/>
  <c r="U172" i="18"/>
  <c r="AA142" i="18"/>
  <c r="AA163" i="18"/>
  <c r="AA167" i="18"/>
  <c r="AA171" i="18"/>
  <c r="AA174" i="18"/>
  <c r="AA165" i="18"/>
  <c r="AA169" i="18"/>
  <c r="AA173" i="18"/>
  <c r="AA164" i="18"/>
  <c r="AA170" i="18"/>
  <c r="AA168" i="18"/>
  <c r="AA166" i="18"/>
  <c r="AA172" i="18"/>
  <c r="AG142" i="18"/>
  <c r="AG166" i="18"/>
  <c r="AG170" i="18"/>
  <c r="AG174" i="18"/>
  <c r="AG165" i="18"/>
  <c r="AG169" i="18"/>
  <c r="AG173" i="18"/>
  <c r="AG164" i="18"/>
  <c r="AG168" i="18"/>
  <c r="AG172" i="18"/>
  <c r="AG163" i="18"/>
  <c r="AG167" i="18"/>
  <c r="AG171" i="18"/>
  <c r="AA123" i="18"/>
  <c r="AA121" i="18"/>
  <c r="Y125" i="18"/>
  <c r="W117" i="18"/>
  <c r="W119" i="18"/>
  <c r="AI117" i="18"/>
  <c r="K117" i="18"/>
  <c r="K114" i="18"/>
  <c r="AG116" i="18"/>
  <c r="S125" i="18"/>
  <c r="I117" i="18"/>
  <c r="I122" i="18"/>
  <c r="Q117" i="18"/>
  <c r="U114" i="18"/>
  <c r="AC124" i="18"/>
  <c r="AC122" i="18"/>
  <c r="G122" i="18"/>
  <c r="AE120" i="18"/>
  <c r="AE122" i="18"/>
  <c r="M163" i="18"/>
  <c r="M167" i="18"/>
  <c r="M171" i="18"/>
  <c r="M164" i="18"/>
  <c r="M166" i="18"/>
  <c r="M172" i="18"/>
  <c r="M168" i="18"/>
  <c r="M170" i="18"/>
  <c r="M165" i="18"/>
  <c r="M169" i="18"/>
  <c r="M173" i="18"/>
  <c r="M174" i="18"/>
  <c r="AA120" i="18"/>
  <c r="AA125" i="18"/>
  <c r="Y115" i="18"/>
  <c r="W121" i="18"/>
  <c r="W123" i="18"/>
  <c r="M115" i="18"/>
  <c r="AI121" i="18"/>
  <c r="K121" i="18"/>
  <c r="K115" i="18"/>
  <c r="AG120" i="18"/>
  <c r="S116" i="18"/>
  <c r="S114" i="18"/>
  <c r="I115" i="18"/>
  <c r="Q115" i="18"/>
  <c r="Q121" i="18"/>
  <c r="U117" i="18"/>
  <c r="U122" i="18"/>
  <c r="AC117" i="18"/>
  <c r="G124" i="18"/>
  <c r="G116" i="18"/>
  <c r="AA124" i="18"/>
  <c r="Y119" i="18"/>
  <c r="Y123" i="18"/>
  <c r="W124" i="18"/>
  <c r="AI118" i="18"/>
  <c r="AI116" i="18"/>
  <c r="K120" i="18"/>
  <c r="S115" i="18"/>
  <c r="I116" i="18"/>
  <c r="I125" i="18"/>
  <c r="Q114" i="18"/>
  <c r="AC125" i="18"/>
  <c r="AC121" i="18"/>
  <c r="AE117" i="18"/>
  <c r="AE125" i="18"/>
  <c r="AG245" i="18"/>
  <c r="AA115" i="18"/>
  <c r="AA116" i="18"/>
  <c r="Y117" i="18"/>
  <c r="W114" i="18"/>
  <c r="W122" i="18"/>
  <c r="M117" i="18"/>
  <c r="O121" i="18"/>
  <c r="AI122" i="18"/>
  <c r="AI120" i="18"/>
  <c r="K124" i="18"/>
  <c r="AG125" i="18"/>
  <c r="AG123" i="18"/>
  <c r="S119" i="18"/>
  <c r="I120" i="18"/>
  <c r="I114" i="18"/>
  <c r="Q118" i="18"/>
  <c r="U120" i="18"/>
  <c r="AC116" i="18"/>
  <c r="AC114" i="18"/>
  <c r="G114" i="18"/>
  <c r="AE121" i="18"/>
  <c r="AE114" i="18"/>
  <c r="AG236" i="18"/>
  <c r="AG147" i="18"/>
  <c r="AG243" i="18"/>
  <c r="O197" i="18"/>
  <c r="AA119" i="18"/>
  <c r="AA117" i="18"/>
  <c r="Y121" i="18"/>
  <c r="W118" i="18"/>
  <c r="W115" i="18"/>
  <c r="M121" i="18"/>
  <c r="O119" i="18"/>
  <c r="O125" i="18"/>
  <c r="AI115" i="18"/>
  <c r="AI124" i="18"/>
  <c r="K118" i="18"/>
  <c r="AG114" i="18"/>
  <c r="AG118" i="18"/>
  <c r="S123" i="18"/>
  <c r="I124" i="18"/>
  <c r="I118" i="18"/>
  <c r="Q122" i="18"/>
  <c r="U124" i="18"/>
  <c r="AC120" i="18"/>
  <c r="AC118" i="18"/>
  <c r="G118" i="18"/>
  <c r="AE116" i="18"/>
  <c r="AE118" i="18"/>
  <c r="AA114" i="18"/>
  <c r="Y114" i="18"/>
  <c r="Y116" i="18"/>
  <c r="W125" i="18"/>
  <c r="M114" i="18"/>
  <c r="M123" i="18"/>
  <c r="O118" i="18"/>
  <c r="O124" i="18"/>
  <c r="AI125" i="18"/>
  <c r="K125" i="18"/>
  <c r="K119" i="18"/>
  <c r="AG124" i="18"/>
  <c r="S120" i="18"/>
  <c r="S118" i="18"/>
  <c r="I119" i="18"/>
  <c r="Q119" i="18"/>
  <c r="Q125" i="18"/>
  <c r="U121" i="18"/>
  <c r="U115" i="18"/>
  <c r="AC115" i="18"/>
  <c r="G115" i="18"/>
  <c r="G117" i="18"/>
  <c r="AE115" i="18"/>
  <c r="AE124" i="18"/>
  <c r="AG242" i="18"/>
  <c r="AG246" i="18"/>
  <c r="AA118" i="18"/>
  <c r="Y118" i="18"/>
  <c r="Y120" i="18"/>
  <c r="W116" i="18"/>
  <c r="M118" i="18"/>
  <c r="M116" i="18"/>
  <c r="O122" i="18"/>
  <c r="AI119" i="18"/>
  <c r="K122" i="18"/>
  <c r="K123" i="18"/>
  <c r="AG122" i="18"/>
  <c r="S124" i="18"/>
  <c r="S122" i="18"/>
  <c r="I123" i="18"/>
  <c r="Q123" i="18"/>
  <c r="Q116" i="18"/>
  <c r="U125" i="18"/>
  <c r="U119" i="18"/>
  <c r="AC119" i="18"/>
  <c r="G119" i="18"/>
  <c r="G121" i="18"/>
  <c r="AE119" i="18"/>
  <c r="AG144" i="18"/>
  <c r="AG237" i="18"/>
  <c r="AG247" i="18"/>
  <c r="AA122" i="18"/>
  <c r="Y122" i="18"/>
  <c r="Y124" i="18"/>
  <c r="W120" i="18"/>
  <c r="M122" i="18"/>
  <c r="M120" i="18"/>
  <c r="O115" i="18"/>
  <c r="AI114" i="18"/>
  <c r="AI123" i="18"/>
  <c r="K116" i="18"/>
  <c r="AG117" i="18"/>
  <c r="AG115" i="18"/>
  <c r="S121" i="18"/>
  <c r="S117" i="18"/>
  <c r="I121" i="18"/>
  <c r="Q124" i="18"/>
  <c r="Q120" i="18"/>
  <c r="U118" i="18"/>
  <c r="U123" i="18"/>
  <c r="AC123" i="18"/>
  <c r="G123" i="18"/>
  <c r="G125" i="18"/>
  <c r="AE123" i="18"/>
  <c r="M190" i="18"/>
  <c r="O47" i="18"/>
  <c r="AG149" i="18"/>
  <c r="O260" i="18"/>
  <c r="G123" i="17"/>
  <c r="G119" i="17"/>
  <c r="G115" i="17"/>
  <c r="G122" i="17"/>
  <c r="G118" i="17"/>
  <c r="G114" i="17"/>
  <c r="G125" i="17"/>
  <c r="G121" i="17"/>
  <c r="G117" i="17"/>
  <c r="G124" i="17"/>
  <c r="G120" i="17"/>
  <c r="G116" i="17"/>
  <c r="AG198" i="18"/>
  <c r="AG197" i="18"/>
  <c r="AG192" i="18"/>
  <c r="AG141" i="18"/>
  <c r="AG189" i="18"/>
  <c r="AG145" i="18"/>
  <c r="AG148" i="18"/>
  <c r="O45" i="18"/>
  <c r="AG196" i="18"/>
  <c r="O53" i="18"/>
  <c r="AG199" i="18"/>
  <c r="AG195" i="18"/>
  <c r="AG143" i="18"/>
  <c r="O51" i="18"/>
  <c r="AG194" i="18"/>
  <c r="O42" i="18"/>
  <c r="AG188" i="18"/>
  <c r="O270" i="18"/>
  <c r="AG146" i="18"/>
  <c r="AG190" i="18"/>
  <c r="AG139" i="18"/>
  <c r="AG193" i="18"/>
  <c r="AG140" i="18"/>
  <c r="O49" i="18"/>
  <c r="O52" i="18"/>
  <c r="O76" i="18"/>
  <c r="M264" i="18"/>
  <c r="O44" i="18"/>
  <c r="O43" i="18"/>
  <c r="O46" i="18"/>
  <c r="O73" i="18"/>
  <c r="M192" i="18"/>
  <c r="AG48" i="18"/>
  <c r="O264" i="18"/>
  <c r="AG53" i="18"/>
  <c r="O246" i="18"/>
  <c r="O271" i="18"/>
  <c r="O240" i="18"/>
  <c r="O266" i="18"/>
  <c r="O237" i="18"/>
  <c r="O190" i="18"/>
  <c r="O236" i="18"/>
  <c r="AG46" i="18"/>
  <c r="AG49" i="18"/>
  <c r="AG97" i="18"/>
  <c r="O242" i="18"/>
  <c r="O238" i="18"/>
  <c r="O194" i="18"/>
  <c r="AG44" i="18"/>
  <c r="O241" i="18"/>
  <c r="AG50" i="18"/>
  <c r="AG51" i="18"/>
  <c r="O188" i="18"/>
  <c r="O247" i="18"/>
  <c r="O193" i="18"/>
  <c r="O199" i="18"/>
  <c r="O195" i="18"/>
  <c r="AG42" i="18"/>
  <c r="O75" i="18"/>
  <c r="M74" i="18"/>
  <c r="O101" i="18"/>
  <c r="M260" i="18"/>
  <c r="O69" i="18"/>
  <c r="O71" i="18"/>
  <c r="O50" i="18"/>
  <c r="O98" i="18"/>
  <c r="O91" i="18"/>
  <c r="O213" i="18"/>
  <c r="O219" i="18"/>
  <c r="O218" i="18"/>
  <c r="O72" i="18"/>
  <c r="O96" i="18"/>
  <c r="O67" i="18"/>
  <c r="O70" i="18"/>
  <c r="O214" i="18"/>
  <c r="O97" i="18"/>
  <c r="O93" i="18"/>
  <c r="O216" i="18"/>
  <c r="O99" i="18"/>
  <c r="O100" i="18"/>
  <c r="O223" i="18"/>
  <c r="O68" i="18"/>
  <c r="O94" i="18"/>
  <c r="O221" i="18"/>
  <c r="AG23" i="18"/>
  <c r="O198" i="18"/>
  <c r="O90" i="18"/>
  <c r="O245" i="18"/>
  <c r="O48" i="18"/>
  <c r="O66" i="18"/>
  <c r="O212" i="18"/>
  <c r="AG27" i="18"/>
  <c r="O262" i="18"/>
  <c r="O261" i="18"/>
  <c r="AG43" i="18"/>
  <c r="M237" i="18"/>
  <c r="O77" i="18"/>
  <c r="G270" i="18"/>
  <c r="O269" i="18"/>
  <c r="U192" i="18"/>
  <c r="I51" i="18"/>
  <c r="O265" i="18"/>
  <c r="O268" i="18"/>
  <c r="AG99" i="18"/>
  <c r="O192" i="18"/>
  <c r="G269" i="18"/>
  <c r="O267" i="18"/>
  <c r="AG20" i="18"/>
  <c r="S236" i="18"/>
  <c r="M212" i="18"/>
  <c r="M50" i="18"/>
  <c r="AG26" i="18"/>
  <c r="AG29" i="18"/>
  <c r="AG22" i="18"/>
  <c r="AG25" i="18"/>
  <c r="AG18" i="18"/>
  <c r="AG28" i="18"/>
  <c r="M143" i="18"/>
  <c r="M52" i="18"/>
  <c r="M139" i="18"/>
  <c r="M145" i="18"/>
  <c r="AG19" i="18"/>
  <c r="AG150" i="18"/>
  <c r="AG24" i="18"/>
  <c r="AG71" i="18"/>
  <c r="AG76" i="18"/>
  <c r="AG66" i="18"/>
  <c r="AG70" i="18"/>
  <c r="AG72" i="18"/>
  <c r="M214" i="18"/>
  <c r="AG52" i="18"/>
  <c r="AG73" i="18"/>
  <c r="AG96" i="18"/>
  <c r="AG101" i="18"/>
  <c r="AG95" i="18"/>
  <c r="AG77" i="18"/>
  <c r="AG67" i="18"/>
  <c r="AG98" i="18"/>
  <c r="AG94" i="18"/>
  <c r="AG75" i="18"/>
  <c r="AG92" i="18"/>
  <c r="AG68" i="18"/>
  <c r="AG91" i="18"/>
  <c r="AG90" i="18"/>
  <c r="AG93" i="18"/>
  <c r="AG100" i="18"/>
  <c r="AG74" i="18"/>
  <c r="M243" i="18"/>
  <c r="M236" i="18"/>
  <c r="M262" i="18"/>
  <c r="M67" i="18"/>
  <c r="M141" i="18"/>
  <c r="M94" i="18"/>
  <c r="M101" i="18"/>
  <c r="M91" i="18"/>
  <c r="M213" i="18"/>
  <c r="M77" i="18"/>
  <c r="M268" i="18"/>
  <c r="M266" i="18"/>
  <c r="M270" i="18"/>
  <c r="M96" i="18"/>
  <c r="G189" i="18"/>
  <c r="G195" i="18"/>
  <c r="M93" i="18"/>
  <c r="M18" i="18"/>
  <c r="M95" i="18"/>
  <c r="M265" i="18"/>
  <c r="M267" i="18"/>
  <c r="M68" i="18"/>
  <c r="M98" i="18"/>
  <c r="M90" i="18"/>
  <c r="M220" i="18"/>
  <c r="M100" i="18"/>
  <c r="M75" i="18"/>
  <c r="M66" i="18"/>
  <c r="M97" i="18"/>
  <c r="M222" i="18"/>
  <c r="M217" i="18"/>
  <c r="M271" i="18"/>
  <c r="M149" i="18"/>
  <c r="M148" i="18"/>
  <c r="M150" i="18"/>
  <c r="M140" i="18"/>
  <c r="G147" i="18"/>
  <c r="M219" i="18"/>
  <c r="M76" i="18"/>
  <c r="M73" i="18"/>
  <c r="M269" i="18"/>
  <c r="M261" i="18"/>
  <c r="M70" i="18"/>
  <c r="M216" i="18"/>
  <c r="W139" i="18"/>
  <c r="M223" i="18"/>
  <c r="M241" i="18"/>
  <c r="M246" i="18"/>
  <c r="M197" i="18"/>
  <c r="M99" i="18"/>
  <c r="M72" i="18"/>
  <c r="M238" i="18"/>
  <c r="M53" i="18"/>
  <c r="M44" i="18"/>
  <c r="M25" i="18"/>
  <c r="M221" i="18"/>
  <c r="M247" i="18"/>
  <c r="M245" i="18"/>
  <c r="M242" i="18"/>
  <c r="M48" i="18"/>
  <c r="M42" i="18"/>
  <c r="M240" i="18"/>
  <c r="M71" i="18"/>
  <c r="M28" i="18"/>
  <c r="M92" i="18"/>
  <c r="M218" i="18"/>
  <c r="I245" i="18"/>
  <c r="M244" i="18"/>
  <c r="M23" i="18"/>
  <c r="Y266" i="18"/>
  <c r="M26" i="18"/>
  <c r="M49" i="18"/>
  <c r="M144" i="18"/>
  <c r="Y264" i="18"/>
  <c r="Y146" i="18"/>
  <c r="M22" i="18"/>
  <c r="W148" i="18"/>
  <c r="M20" i="18"/>
  <c r="M188" i="18"/>
  <c r="M194" i="18"/>
  <c r="M43" i="18"/>
  <c r="M147" i="18"/>
  <c r="M198" i="18"/>
  <c r="M189" i="18"/>
  <c r="M199" i="18"/>
  <c r="M24" i="18"/>
  <c r="M27" i="18"/>
  <c r="M29" i="18"/>
  <c r="M19" i="18"/>
  <c r="M51" i="18"/>
  <c r="M46" i="18"/>
  <c r="M196" i="18"/>
  <c r="M142" i="18"/>
  <c r="M195" i="18"/>
  <c r="M47" i="18"/>
  <c r="M146" i="18"/>
  <c r="M193" i="18"/>
  <c r="Q143" i="18"/>
  <c r="G139" i="18"/>
  <c r="G143" i="18"/>
  <c r="G146" i="18"/>
  <c r="G144" i="18"/>
  <c r="G150" i="18"/>
  <c r="G140" i="18"/>
  <c r="G148" i="18"/>
  <c r="Q145" i="18"/>
  <c r="AE43" i="18"/>
  <c r="AE52" i="18"/>
  <c r="I195" i="18"/>
  <c r="I49" i="18"/>
  <c r="AA53" i="18"/>
  <c r="G141" i="18"/>
  <c r="Y100" i="18"/>
  <c r="Y73" i="18"/>
  <c r="Y238" i="18"/>
  <c r="Y77" i="18"/>
  <c r="Q265" i="18"/>
  <c r="Q139" i="18"/>
  <c r="Q96" i="18"/>
  <c r="Q99" i="18"/>
  <c r="Q70" i="18"/>
  <c r="Q67" i="18"/>
  <c r="Q66" i="18"/>
  <c r="Q141" i="18"/>
  <c r="W72" i="18"/>
  <c r="AI264" i="18"/>
  <c r="K24" i="18"/>
  <c r="K23" i="18"/>
  <c r="AE47" i="18"/>
  <c r="AE49" i="18"/>
  <c r="U264" i="18"/>
  <c r="I140" i="18"/>
  <c r="I217" i="18"/>
  <c r="G266" i="18"/>
  <c r="AA237" i="18"/>
  <c r="Q149" i="18"/>
  <c r="Y241" i="18"/>
  <c r="Q261" i="18"/>
  <c r="Q97" i="18"/>
  <c r="U214" i="18"/>
  <c r="U218" i="18"/>
  <c r="I199" i="18"/>
  <c r="I194" i="18"/>
  <c r="I213" i="18"/>
  <c r="W140" i="18"/>
  <c r="Q150" i="18"/>
  <c r="W143" i="18"/>
  <c r="Q148" i="18"/>
  <c r="Y199" i="18"/>
  <c r="Y196" i="18"/>
  <c r="W245" i="18"/>
  <c r="S243" i="18"/>
  <c r="S96" i="18"/>
  <c r="AC261" i="18"/>
  <c r="AC265" i="18"/>
  <c r="AI77" i="18"/>
  <c r="AI188" i="18"/>
  <c r="AI71" i="18"/>
  <c r="AI99" i="18"/>
  <c r="AI90" i="18"/>
  <c r="K236" i="18"/>
  <c r="K241" i="18"/>
  <c r="K237" i="18"/>
  <c r="AE197" i="18"/>
  <c r="AE245" i="18"/>
  <c r="AE73" i="18"/>
  <c r="AE242" i="18"/>
  <c r="AE246" i="18"/>
  <c r="U43" i="18"/>
  <c r="U220" i="18"/>
  <c r="U70" i="18"/>
  <c r="U66" i="18"/>
  <c r="I221" i="18"/>
  <c r="AA43" i="18"/>
  <c r="Y190" i="18"/>
  <c r="Y26" i="18"/>
  <c r="W141" i="18"/>
  <c r="S237" i="18"/>
  <c r="S198" i="18"/>
  <c r="S196" i="18"/>
  <c r="AC267" i="18"/>
  <c r="AI67" i="18"/>
  <c r="AI194" i="18"/>
  <c r="AI70" i="18"/>
  <c r="AI68" i="18"/>
  <c r="AI93" i="18"/>
  <c r="K238" i="18"/>
  <c r="AE93" i="18"/>
  <c r="AE189" i="18"/>
  <c r="AE240" i="18"/>
  <c r="U51" i="18"/>
  <c r="G53" i="18"/>
  <c r="Y22" i="18"/>
  <c r="Y195" i="18"/>
  <c r="Y23" i="18"/>
  <c r="Y189" i="18"/>
  <c r="AC269" i="18"/>
  <c r="AC262" i="18"/>
  <c r="AI91" i="18"/>
  <c r="AI75" i="18"/>
  <c r="K243" i="18"/>
  <c r="AE238" i="18"/>
  <c r="AE194" i="18"/>
  <c r="AE241" i="18"/>
  <c r="G49" i="18"/>
  <c r="Y198" i="18"/>
  <c r="Y28" i="18"/>
  <c r="W147" i="18"/>
  <c r="Y29" i="18"/>
  <c r="S238" i="18"/>
  <c r="AC197" i="18"/>
  <c r="AC140" i="18"/>
  <c r="AC147" i="18"/>
  <c r="AI193" i="18"/>
  <c r="AI199" i="18"/>
  <c r="AE97" i="18"/>
  <c r="AE27" i="18"/>
  <c r="AE96" i="18"/>
  <c r="U49" i="18"/>
  <c r="U48" i="18"/>
  <c r="G42" i="18"/>
  <c r="AA140" i="18"/>
  <c r="Y18" i="18"/>
  <c r="Y194" i="18"/>
  <c r="Y19" i="18"/>
  <c r="W150" i="18"/>
  <c r="S192" i="18"/>
  <c r="S195" i="18"/>
  <c r="AC266" i="18"/>
  <c r="AI74" i="18"/>
  <c r="AI95" i="18"/>
  <c r="AI98" i="18"/>
  <c r="AE188" i="18"/>
  <c r="AE196" i="18"/>
  <c r="AE190" i="18"/>
  <c r="AE237" i="18"/>
  <c r="Y20" i="18"/>
  <c r="Y193" i="18"/>
  <c r="S194" i="18"/>
  <c r="S199" i="18"/>
  <c r="S197" i="18"/>
  <c r="AI73" i="18"/>
  <c r="AI100" i="18"/>
  <c r="K245" i="18"/>
  <c r="AE244" i="18"/>
  <c r="AE243" i="18"/>
  <c r="Y142" i="18"/>
  <c r="Y217" i="18"/>
  <c r="Y214" i="18"/>
  <c r="S46" i="18"/>
  <c r="Y50" i="18"/>
  <c r="Y222" i="18"/>
  <c r="Y148" i="18"/>
  <c r="Y141" i="18"/>
  <c r="Y197" i="18"/>
  <c r="Y192" i="18"/>
  <c r="Y147" i="18"/>
  <c r="W216" i="18"/>
  <c r="W146" i="18"/>
  <c r="S53" i="18"/>
  <c r="S216" i="18"/>
  <c r="S218" i="18"/>
  <c r="S193" i="18"/>
  <c r="AC70" i="18"/>
  <c r="AC77" i="18"/>
  <c r="AC240" i="18"/>
  <c r="AC28" i="18"/>
  <c r="AI237" i="18"/>
  <c r="AI144" i="18"/>
  <c r="AI76" i="18"/>
  <c r="AI43" i="18"/>
  <c r="AI72" i="18"/>
  <c r="AI66" i="18"/>
  <c r="AI92" i="18"/>
  <c r="AI42" i="18"/>
  <c r="K194" i="18"/>
  <c r="K242" i="18"/>
  <c r="K96" i="18"/>
  <c r="K196" i="18"/>
  <c r="K99" i="18"/>
  <c r="K244" i="18"/>
  <c r="K19" i="18"/>
  <c r="K28" i="18"/>
  <c r="K70" i="18"/>
  <c r="K94" i="18"/>
  <c r="K189" i="18"/>
  <c r="K247" i="18"/>
  <c r="K190" i="18"/>
  <c r="AE139" i="18"/>
  <c r="AE192" i="18"/>
  <c r="AE268" i="18"/>
  <c r="AE51" i="18"/>
  <c r="AE42" i="18"/>
  <c r="U223" i="18"/>
  <c r="U199" i="18"/>
  <c r="U148" i="18"/>
  <c r="U72" i="18"/>
  <c r="U240" i="18"/>
  <c r="U247" i="18"/>
  <c r="U213" i="18"/>
  <c r="U77" i="18"/>
  <c r="I243" i="18"/>
  <c r="I97" i="18"/>
  <c r="I95" i="18"/>
  <c r="I266" i="18"/>
  <c r="I91" i="18"/>
  <c r="I219" i="18"/>
  <c r="I218" i="18"/>
  <c r="I72" i="18"/>
  <c r="I212" i="18"/>
  <c r="I66" i="18"/>
  <c r="I53" i="18"/>
  <c r="G217" i="18"/>
  <c r="G92" i="18"/>
  <c r="G70" i="18"/>
  <c r="G198" i="18"/>
  <c r="G18" i="18"/>
  <c r="G194" i="18"/>
  <c r="G188" i="18"/>
  <c r="AA72" i="18"/>
  <c r="AA217" i="18"/>
  <c r="AA76" i="18"/>
  <c r="AA247" i="18"/>
  <c r="AA264" i="18"/>
  <c r="AA271" i="18"/>
  <c r="Y143" i="18"/>
  <c r="S188" i="18"/>
  <c r="K246" i="18"/>
  <c r="Q247" i="18"/>
  <c r="Q244" i="18"/>
  <c r="S146" i="18"/>
  <c r="S141" i="18"/>
  <c r="S148" i="18"/>
  <c r="AC97" i="18"/>
  <c r="AC93" i="18"/>
  <c r="AC100" i="18"/>
  <c r="AC26" i="18"/>
  <c r="AC24" i="18"/>
  <c r="AI148" i="18"/>
  <c r="AI49" i="18"/>
  <c r="AI44" i="18"/>
  <c r="K97" i="18"/>
  <c r="K139" i="18"/>
  <c r="U242" i="18"/>
  <c r="U237" i="18"/>
  <c r="I100" i="18"/>
  <c r="I93" i="18"/>
  <c r="AA93" i="18"/>
  <c r="AA212" i="18"/>
  <c r="AA269" i="18"/>
  <c r="Q238" i="18"/>
  <c r="S52" i="18"/>
  <c r="S44" i="18"/>
  <c r="AC22" i="18"/>
  <c r="AC94" i="18"/>
  <c r="AC101" i="18"/>
  <c r="AC19" i="18"/>
  <c r="AC96" i="18"/>
  <c r="AC23" i="18"/>
  <c r="AI143" i="18"/>
  <c r="AI50" i="18"/>
  <c r="K101" i="18"/>
  <c r="K149" i="18"/>
  <c r="K90" i="18"/>
  <c r="U243" i="18"/>
  <c r="U241" i="18"/>
  <c r="U245" i="18"/>
  <c r="I265" i="18"/>
  <c r="I77" i="18"/>
  <c r="I96" i="18"/>
  <c r="I92" i="18"/>
  <c r="I73" i="18"/>
  <c r="G236" i="18"/>
  <c r="AA66" i="18"/>
  <c r="AA94" i="18"/>
  <c r="AA213" i="18"/>
  <c r="AA221" i="18"/>
  <c r="AA219" i="18"/>
  <c r="AA214" i="18"/>
  <c r="AA260" i="18"/>
  <c r="Y213" i="18"/>
  <c r="Y150" i="18"/>
  <c r="W222" i="18"/>
  <c r="W218" i="18"/>
  <c r="S50" i="18"/>
  <c r="S268" i="18"/>
  <c r="S145" i="18"/>
  <c r="S100" i="18"/>
  <c r="S144" i="18"/>
  <c r="S51" i="18"/>
  <c r="S49" i="18"/>
  <c r="AC67" i="18"/>
  <c r="AC95" i="18"/>
  <c r="AC20" i="18"/>
  <c r="AI149" i="18"/>
  <c r="AI268" i="18"/>
  <c r="AI46" i="18"/>
  <c r="AI262" i="18"/>
  <c r="AI53" i="18"/>
  <c r="AI147" i="18"/>
  <c r="K76" i="18"/>
  <c r="K72" i="18"/>
  <c r="K199" i="18"/>
  <c r="K195" i="18"/>
  <c r="U244" i="18"/>
  <c r="I75" i="18"/>
  <c r="I74" i="18"/>
  <c r="I90" i="18"/>
  <c r="AA222" i="18"/>
  <c r="Y221" i="18"/>
  <c r="Y144" i="18"/>
  <c r="Y97" i="18"/>
  <c r="Y42" i="18"/>
  <c r="Y220" i="18"/>
  <c r="Y49" i="18"/>
  <c r="Y212" i="18"/>
  <c r="Y25" i="18"/>
  <c r="Y139" i="18"/>
  <c r="Q140" i="18"/>
  <c r="Q241" i="18"/>
  <c r="Q146" i="18"/>
  <c r="Q245" i="18"/>
  <c r="W43" i="18"/>
  <c r="W149" i="18"/>
  <c r="W236" i="18"/>
  <c r="W144" i="18"/>
  <c r="W219" i="18"/>
  <c r="W214" i="18"/>
  <c r="S189" i="18"/>
  <c r="S97" i="18"/>
  <c r="S271" i="18"/>
  <c r="S264" i="18"/>
  <c r="S42" i="18"/>
  <c r="S214" i="18"/>
  <c r="S43" i="18"/>
  <c r="S48" i="18"/>
  <c r="AC68" i="18"/>
  <c r="AC214" i="18"/>
  <c r="AC51" i="18"/>
  <c r="AC223" i="18"/>
  <c r="AC264" i="18"/>
  <c r="AC52" i="18"/>
  <c r="AC47" i="18"/>
  <c r="AC43" i="18"/>
  <c r="AI96" i="18"/>
  <c r="AI94" i="18"/>
  <c r="AI51" i="18"/>
  <c r="K266" i="18"/>
  <c r="K193" i="18"/>
  <c r="K270" i="18"/>
  <c r="K46" i="18"/>
  <c r="K44" i="18"/>
  <c r="K140" i="18"/>
  <c r="K93" i="18"/>
  <c r="K192" i="18"/>
  <c r="K143" i="18"/>
  <c r="AE262" i="18"/>
  <c r="AE270" i="18"/>
  <c r="AE195" i="18"/>
  <c r="AE46" i="18"/>
  <c r="AE236" i="18"/>
  <c r="AE198" i="18"/>
  <c r="U76" i="18"/>
  <c r="U219" i="18"/>
  <c r="U236" i="18"/>
  <c r="U190" i="18"/>
  <c r="U262" i="18"/>
  <c r="U216" i="18"/>
  <c r="U96" i="18"/>
  <c r="U74" i="18"/>
  <c r="I46" i="18"/>
  <c r="I48" i="18"/>
  <c r="I216" i="18"/>
  <c r="I70" i="18"/>
  <c r="I144" i="18"/>
  <c r="I141" i="18"/>
  <c r="I267" i="18"/>
  <c r="I261" i="18"/>
  <c r="I98" i="18"/>
  <c r="I27" i="18"/>
  <c r="G265" i="18"/>
  <c r="G268" i="18"/>
  <c r="G24" i="18"/>
  <c r="AA68" i="18"/>
  <c r="AA49" i="18"/>
  <c r="AA96" i="18"/>
  <c r="AA51" i="18"/>
  <c r="AA236" i="18"/>
  <c r="AA243" i="18"/>
  <c r="AA27" i="18"/>
  <c r="AA240" i="18"/>
  <c r="Y243" i="18"/>
  <c r="Y218" i="18"/>
  <c r="Y48" i="18"/>
  <c r="Y269" i="18"/>
  <c r="Q27" i="18"/>
  <c r="Q188" i="18"/>
  <c r="Q42" i="18"/>
  <c r="Q144" i="18"/>
  <c r="W66" i="18"/>
  <c r="W98" i="18"/>
  <c r="S66" i="18"/>
  <c r="S91" i="18"/>
  <c r="S149" i="18"/>
  <c r="AC149" i="18"/>
  <c r="AC66" i="18"/>
  <c r="AC27" i="18"/>
  <c r="AI244" i="18"/>
  <c r="Y149" i="18"/>
  <c r="Y267" i="18"/>
  <c r="Y265" i="18"/>
  <c r="Y47" i="18"/>
  <c r="Y271" i="18"/>
  <c r="Q25" i="18"/>
  <c r="Q98" i="18"/>
  <c r="Q243" i="18"/>
  <c r="Q147" i="18"/>
  <c r="Q237" i="18"/>
  <c r="Q95" i="18"/>
  <c r="Q22" i="18"/>
  <c r="Q47" i="18"/>
  <c r="Q48" i="18"/>
  <c r="Q29" i="18"/>
  <c r="W260" i="18"/>
  <c r="AC18" i="18"/>
  <c r="Y261" i="18"/>
  <c r="W194" i="18"/>
  <c r="AC98" i="18"/>
  <c r="Y270" i="18"/>
  <c r="Y268" i="18"/>
  <c r="Q50" i="18"/>
  <c r="S140" i="18"/>
  <c r="AC139" i="18"/>
  <c r="AC91" i="18"/>
  <c r="AC75" i="18"/>
  <c r="AI220" i="18"/>
  <c r="AI48" i="18"/>
  <c r="AC218" i="18"/>
  <c r="Y140" i="18"/>
  <c r="Y145" i="18"/>
  <c r="Y68" i="18"/>
  <c r="Y43" i="18"/>
  <c r="Q264" i="18"/>
  <c r="Q242" i="18"/>
  <c r="Q53" i="18"/>
  <c r="W94" i="18"/>
  <c r="W221" i="18"/>
  <c r="S68" i="18"/>
  <c r="S262" i="18"/>
  <c r="AC49" i="18"/>
  <c r="AI217" i="18"/>
  <c r="Y53" i="18"/>
  <c r="Y262" i="18"/>
  <c r="Y51" i="18"/>
  <c r="Q28" i="18"/>
  <c r="Q190" i="18"/>
  <c r="Q246" i="18"/>
  <c r="Q19" i="18"/>
  <c r="W188" i="18"/>
  <c r="W261" i="18"/>
  <c r="S67" i="18"/>
  <c r="K77" i="18"/>
  <c r="AE76" i="18"/>
  <c r="I24" i="18"/>
  <c r="AA98" i="18"/>
  <c r="AA99" i="18"/>
  <c r="K75" i="18"/>
  <c r="K73" i="18"/>
  <c r="AE95" i="18"/>
  <c r="AA77" i="18"/>
  <c r="AA261" i="18"/>
  <c r="K67" i="18"/>
  <c r="K66" i="18"/>
  <c r="K95" i="18"/>
  <c r="AE68" i="18"/>
  <c r="AA95" i="18"/>
  <c r="AA92" i="18"/>
  <c r="AA218" i="18"/>
  <c r="I260" i="18"/>
  <c r="AA220" i="18"/>
  <c r="I264" i="18"/>
  <c r="I262" i="18"/>
  <c r="AA101" i="18"/>
  <c r="AA265" i="18"/>
  <c r="Q43" i="18"/>
  <c r="Q52" i="18"/>
  <c r="W145" i="18"/>
  <c r="W212" i="18"/>
  <c r="W223" i="18"/>
  <c r="S47" i="18"/>
  <c r="S143" i="18"/>
  <c r="S92" i="18"/>
  <c r="S139" i="18"/>
  <c r="S150" i="18"/>
  <c r="S76" i="18"/>
  <c r="AC72" i="18"/>
  <c r="AC90" i="18"/>
  <c r="AC150" i="18"/>
  <c r="AC194" i="18"/>
  <c r="AC71" i="18"/>
  <c r="AC144" i="18"/>
  <c r="AC50" i="18"/>
  <c r="AC99" i="18"/>
  <c r="AI198" i="18"/>
  <c r="AI150" i="18"/>
  <c r="AI24" i="18"/>
  <c r="AI47" i="18"/>
  <c r="AI245" i="18"/>
  <c r="AI52" i="18"/>
  <c r="AI238" i="18"/>
  <c r="AI247" i="18"/>
  <c r="AI197" i="18"/>
  <c r="AI260" i="18"/>
  <c r="AI141" i="18"/>
  <c r="AI216" i="18"/>
  <c r="K147" i="18"/>
  <c r="K71" i="18"/>
  <c r="K146" i="18"/>
  <c r="K98" i="18"/>
  <c r="K26" i="18"/>
  <c r="K150" i="18"/>
  <c r="K47" i="18"/>
  <c r="K198" i="18"/>
  <c r="K42" i="18"/>
  <c r="AE28" i="18"/>
  <c r="AE26" i="18"/>
  <c r="AE24" i="18"/>
  <c r="AE23" i="18"/>
  <c r="AE22" i="18"/>
  <c r="AE18" i="18"/>
  <c r="AE71" i="18"/>
  <c r="AE44" i="18"/>
  <c r="AE218" i="18"/>
  <c r="AE19" i="18"/>
  <c r="AE266" i="18"/>
  <c r="AE53" i="18"/>
  <c r="U44" i="18"/>
  <c r="U147" i="18"/>
  <c r="U47" i="18"/>
  <c r="U268" i="18"/>
  <c r="U261" i="18"/>
  <c r="I244" i="18"/>
  <c r="I67" i="18"/>
  <c r="I68" i="18"/>
  <c r="I237" i="18"/>
  <c r="I71" i="18"/>
  <c r="I190" i="18"/>
  <c r="I149" i="18"/>
  <c r="I52" i="18"/>
  <c r="I192" i="18"/>
  <c r="I271" i="18"/>
  <c r="I269" i="18"/>
  <c r="I223" i="18"/>
  <c r="I19" i="18"/>
  <c r="G197" i="18"/>
  <c r="G51" i="18"/>
  <c r="G48" i="18"/>
  <c r="G44" i="18"/>
  <c r="G192" i="18"/>
  <c r="G261" i="18"/>
  <c r="G25" i="18"/>
  <c r="G264" i="18"/>
  <c r="AA73" i="18"/>
  <c r="AA67" i="18"/>
  <c r="AA150" i="18"/>
  <c r="AA71" i="18"/>
  <c r="AA238" i="18"/>
  <c r="AA267" i="18"/>
  <c r="AA262" i="18"/>
  <c r="Y67" i="18"/>
  <c r="Y101" i="18"/>
  <c r="Q222" i="18"/>
  <c r="Q23" i="18"/>
  <c r="Q90" i="18"/>
  <c r="W92" i="18"/>
  <c r="W195" i="18"/>
  <c r="W74" i="18"/>
  <c r="W77" i="18"/>
  <c r="S28" i="18"/>
  <c r="AC190" i="18"/>
  <c r="Y74" i="18"/>
  <c r="Y240" i="18"/>
  <c r="Y216" i="18"/>
  <c r="Y27" i="18"/>
  <c r="Y75" i="18"/>
  <c r="Y46" i="18"/>
  <c r="Y93" i="18"/>
  <c r="Y92" i="18"/>
  <c r="Q77" i="18"/>
  <c r="Q221" i="18"/>
  <c r="Q92" i="18"/>
  <c r="Q216" i="18"/>
  <c r="Q74" i="18"/>
  <c r="Q214" i="18"/>
  <c r="Q26" i="18"/>
  <c r="Q46" i="18"/>
  <c r="Q270" i="18"/>
  <c r="Q44" i="18"/>
  <c r="Q51" i="18"/>
  <c r="Q268" i="18"/>
  <c r="Q49" i="18"/>
  <c r="W46" i="18"/>
  <c r="W51" i="18"/>
  <c r="W213" i="18"/>
  <c r="W91" i="18"/>
  <c r="W196" i="18"/>
  <c r="W269" i="18"/>
  <c r="W189" i="18"/>
  <c r="W241" i="18"/>
  <c r="W53" i="18"/>
  <c r="W217" i="18"/>
  <c r="W68" i="18"/>
  <c r="S23" i="18"/>
  <c r="S265" i="18"/>
  <c r="S266" i="18"/>
  <c r="S260" i="18"/>
  <c r="S70" i="18"/>
  <c r="S73" i="18"/>
  <c r="S190" i="18"/>
  <c r="S220" i="18"/>
  <c r="S147" i="18"/>
  <c r="S95" i="18"/>
  <c r="S77" i="18"/>
  <c r="S24" i="18"/>
  <c r="AC73" i="18"/>
  <c r="AC92" i="18"/>
  <c r="AC29" i="18"/>
  <c r="AC212" i="18"/>
  <c r="AC195" i="18"/>
  <c r="AC246" i="18"/>
  <c r="AC268" i="18"/>
  <c r="AC74" i="18"/>
  <c r="AC271" i="18"/>
  <c r="AC143" i="18"/>
  <c r="AI145" i="18"/>
  <c r="AI236" i="18"/>
  <c r="AI265" i="18"/>
  <c r="AI261" i="18"/>
  <c r="AI242" i="18"/>
  <c r="AI270" i="18"/>
  <c r="AI266" i="18"/>
  <c r="AI213" i="18"/>
  <c r="AI25" i="18"/>
  <c r="AI140" i="18"/>
  <c r="AI139" i="18"/>
  <c r="K214" i="18"/>
  <c r="K68" i="18"/>
  <c r="K141" i="18"/>
  <c r="K145" i="18"/>
  <c r="K74" i="18"/>
  <c r="K188" i="18"/>
  <c r="K260" i="18"/>
  <c r="K240" i="18"/>
  <c r="K91" i="18"/>
  <c r="K27" i="18"/>
  <c r="K100" i="18"/>
  <c r="K51" i="18"/>
  <c r="AE221" i="18"/>
  <c r="AE267" i="18"/>
  <c r="AE99" i="18"/>
  <c r="AE100" i="18"/>
  <c r="AE193" i="18"/>
  <c r="AE92" i="18"/>
  <c r="AE199" i="18"/>
  <c r="AE269" i="18"/>
  <c r="AE260" i="18"/>
  <c r="AE222" i="18"/>
  <c r="AE143" i="18"/>
  <c r="U145" i="18"/>
  <c r="U141" i="18"/>
  <c r="U92" i="18"/>
  <c r="U221" i="18"/>
  <c r="U146" i="18"/>
  <c r="U270" i="18"/>
  <c r="U260" i="18"/>
  <c r="U238" i="18"/>
  <c r="U212" i="18"/>
  <c r="U196" i="18"/>
  <c r="U217" i="18"/>
  <c r="U94" i="18"/>
  <c r="U52" i="18"/>
  <c r="I236" i="18"/>
  <c r="I47" i="18"/>
  <c r="I270" i="18"/>
  <c r="I196" i="18"/>
  <c r="I42" i="18"/>
  <c r="I145" i="18"/>
  <c r="I20" i="18"/>
  <c r="I268" i="18"/>
  <c r="I147" i="18"/>
  <c r="I241" i="18"/>
  <c r="I222" i="18"/>
  <c r="I193" i="18"/>
  <c r="I18" i="18"/>
  <c r="G267" i="18"/>
  <c r="G262" i="18"/>
  <c r="G99" i="18"/>
  <c r="G260" i="18"/>
  <c r="G241" i="18"/>
  <c r="G95" i="18"/>
  <c r="G50" i="18"/>
  <c r="G244" i="18"/>
  <c r="G271" i="18"/>
  <c r="G28" i="18"/>
  <c r="AA74" i="18"/>
  <c r="AA90" i="18"/>
  <c r="AA70" i="18"/>
  <c r="AA145" i="18"/>
  <c r="AA188" i="18"/>
  <c r="AA196" i="18"/>
  <c r="AA147" i="18"/>
  <c r="AA216" i="18"/>
  <c r="AA268" i="18"/>
  <c r="AA47" i="18"/>
  <c r="AA244" i="18"/>
  <c r="AA75" i="18"/>
  <c r="AA18" i="18"/>
  <c r="Y98" i="18"/>
  <c r="Y72" i="18"/>
  <c r="Y66" i="18"/>
  <c r="Q195" i="18"/>
  <c r="Q194" i="18"/>
  <c r="Q218" i="18"/>
  <c r="W97" i="18"/>
  <c r="W192" i="18"/>
  <c r="W26" i="18"/>
  <c r="W198" i="18"/>
  <c r="W24" i="18"/>
  <c r="W242" i="18"/>
  <c r="W44" i="18"/>
  <c r="W22" i="18"/>
  <c r="W47" i="18"/>
  <c r="S222" i="18"/>
  <c r="S247" i="18"/>
  <c r="S212" i="18"/>
  <c r="S90" i="18"/>
  <c r="S74" i="18"/>
  <c r="S93" i="18"/>
  <c r="S240" i="18"/>
  <c r="AC213" i="18"/>
  <c r="AC196" i="18"/>
  <c r="AC53" i="18"/>
  <c r="AC146" i="18"/>
  <c r="AC145" i="18"/>
  <c r="AI214" i="18"/>
  <c r="AI190" i="18"/>
  <c r="AI26" i="18"/>
  <c r="K262" i="18"/>
  <c r="K220" i="18"/>
  <c r="K20" i="18"/>
  <c r="K218" i="18"/>
  <c r="K268" i="18"/>
  <c r="AE146" i="18"/>
  <c r="AE217" i="18"/>
  <c r="AE213" i="18"/>
  <c r="AE25" i="18"/>
  <c r="AE150" i="18"/>
  <c r="AE66" i="18"/>
  <c r="U42" i="18"/>
  <c r="U23" i="18"/>
  <c r="U222" i="18"/>
  <c r="U95" i="18"/>
  <c r="U269" i="18"/>
  <c r="I139" i="18"/>
  <c r="I29" i="18"/>
  <c r="G77" i="18"/>
  <c r="G247" i="18"/>
  <c r="G101" i="18"/>
  <c r="G91" i="18"/>
  <c r="G219" i="18"/>
  <c r="G94" i="18"/>
  <c r="G221" i="18"/>
  <c r="G66" i="18"/>
  <c r="G237" i="18"/>
  <c r="G214" i="18"/>
  <c r="G220" i="18"/>
  <c r="G22" i="18"/>
  <c r="AA198" i="18"/>
  <c r="AA195" i="18"/>
  <c r="AA48" i="18"/>
  <c r="AA197" i="18"/>
  <c r="AA44" i="18"/>
  <c r="AA22" i="18"/>
  <c r="Q219" i="18"/>
  <c r="Q223" i="18"/>
  <c r="Q217" i="18"/>
  <c r="Q193" i="18"/>
  <c r="W18" i="18"/>
  <c r="W76" i="18"/>
  <c r="W29" i="18"/>
  <c r="W28" i="18"/>
  <c r="W199" i="18"/>
  <c r="W19" i="18"/>
  <c r="W267" i="18"/>
  <c r="W271" i="18"/>
  <c r="W50" i="18"/>
  <c r="W264" i="18"/>
  <c r="S22" i="18"/>
  <c r="S18" i="18"/>
  <c r="S213" i="18"/>
  <c r="S244" i="18"/>
  <c r="S267" i="18"/>
  <c r="AC245" i="18"/>
  <c r="AC247" i="18"/>
  <c r="AC221" i="18"/>
  <c r="AC198" i="18"/>
  <c r="AC44" i="18"/>
  <c r="AI212" i="18"/>
  <c r="AI196" i="18"/>
  <c r="AI219" i="18"/>
  <c r="K264" i="18"/>
  <c r="K217" i="18"/>
  <c r="K29" i="18"/>
  <c r="AE219" i="18"/>
  <c r="AE144" i="18"/>
  <c r="AE214" i="18"/>
  <c r="AE261" i="18"/>
  <c r="AE70" i="18"/>
  <c r="AE148" i="18"/>
  <c r="U140" i="18"/>
  <c r="U20" i="18"/>
  <c r="U97" i="18"/>
  <c r="U22" i="18"/>
  <c r="U73" i="18"/>
  <c r="U267" i="18"/>
  <c r="I43" i="18"/>
  <c r="G218" i="18"/>
  <c r="G72" i="18"/>
  <c r="G76" i="18"/>
  <c r="G213" i="18"/>
  <c r="G46" i="18"/>
  <c r="G29" i="18"/>
  <c r="AA50" i="18"/>
  <c r="AA19" i="18"/>
  <c r="AA28" i="18"/>
  <c r="Y91" i="18"/>
  <c r="Y90" i="18"/>
  <c r="Q196" i="18"/>
  <c r="Q198" i="18"/>
  <c r="Q213" i="18"/>
  <c r="Q266" i="18"/>
  <c r="Q271" i="18"/>
  <c r="Q18" i="18"/>
  <c r="Q72" i="18"/>
  <c r="W95" i="18"/>
  <c r="W70" i="18"/>
  <c r="W67" i="18"/>
  <c r="W190" i="18"/>
  <c r="W101" i="18"/>
  <c r="W193" i="18"/>
  <c r="W52" i="18"/>
  <c r="W244" i="18"/>
  <c r="W262" i="18"/>
  <c r="W268" i="18"/>
  <c r="W243" i="18"/>
  <c r="S269" i="18"/>
  <c r="S223" i="18"/>
  <c r="S71" i="18"/>
  <c r="S270" i="18"/>
  <c r="S72" i="18"/>
  <c r="AC219" i="18"/>
  <c r="AC222" i="18"/>
  <c r="AC216" i="18"/>
  <c r="AC46" i="18"/>
  <c r="AC189" i="18"/>
  <c r="AI243" i="18"/>
  <c r="AI192" i="18"/>
  <c r="AI27" i="18"/>
  <c r="K222" i="18"/>
  <c r="K221" i="18"/>
  <c r="K22" i="18"/>
  <c r="K18" i="18"/>
  <c r="K269" i="18"/>
  <c r="AE145" i="18"/>
  <c r="AE141" i="18"/>
  <c r="AE223" i="18"/>
  <c r="AE74" i="18"/>
  <c r="AE271" i="18"/>
  <c r="AE67" i="18"/>
  <c r="AE264" i="18"/>
  <c r="U27" i="18"/>
  <c r="U26" i="18"/>
  <c r="U198" i="18"/>
  <c r="U90" i="18"/>
  <c r="U193" i="18"/>
  <c r="U75" i="18"/>
  <c r="U46" i="18"/>
  <c r="U71" i="18"/>
  <c r="U50" i="18"/>
  <c r="U188" i="18"/>
  <c r="I44" i="18"/>
  <c r="I198" i="18"/>
  <c r="I238" i="18"/>
  <c r="I22" i="18"/>
  <c r="G71" i="18"/>
  <c r="G52" i="18"/>
  <c r="G93" i="18"/>
  <c r="G100" i="18"/>
  <c r="G27" i="18"/>
  <c r="AA139" i="18"/>
  <c r="AA192" i="18"/>
  <c r="AA144" i="18"/>
  <c r="AA52" i="18"/>
  <c r="AA241" i="18"/>
  <c r="AA25" i="18"/>
  <c r="Y247" i="18"/>
  <c r="Q189" i="18"/>
  <c r="Q220" i="18"/>
  <c r="W96" i="18"/>
  <c r="S26" i="18"/>
  <c r="S27" i="18"/>
  <c r="AC192" i="18"/>
  <c r="AC241" i="18"/>
  <c r="AI19" i="18"/>
  <c r="AI29" i="18"/>
  <c r="AI18" i="18"/>
  <c r="AI222" i="18"/>
  <c r="K265" i="18"/>
  <c r="K213" i="18"/>
  <c r="K216" i="18"/>
  <c r="K271" i="18"/>
  <c r="K52" i="18"/>
  <c r="AE140" i="18"/>
  <c r="AE220" i="18"/>
  <c r="U29" i="18"/>
  <c r="U99" i="18"/>
  <c r="U53" i="18"/>
  <c r="U91" i="18"/>
  <c r="I146" i="18"/>
  <c r="I148" i="18"/>
  <c r="I188" i="18"/>
  <c r="G98" i="18"/>
  <c r="G240" i="18"/>
  <c r="G243" i="18"/>
  <c r="G97" i="18"/>
  <c r="G43" i="18"/>
  <c r="G68" i="18"/>
  <c r="G20" i="18"/>
  <c r="AA146" i="18"/>
  <c r="AA42" i="18"/>
  <c r="AA193" i="18"/>
  <c r="AA26" i="18"/>
  <c r="Y244" i="18"/>
  <c r="Y237" i="18"/>
  <c r="Y236" i="18"/>
  <c r="Q269" i="18"/>
  <c r="Q94" i="18"/>
  <c r="Q91" i="18"/>
  <c r="Q68" i="18"/>
  <c r="Q267" i="18"/>
  <c r="W90" i="18"/>
  <c r="W71" i="18"/>
  <c r="W42" i="18"/>
  <c r="W197" i="18"/>
  <c r="W247" i="18"/>
  <c r="S25" i="18"/>
  <c r="S20" i="18"/>
  <c r="Y95" i="18"/>
  <c r="Y260" i="18"/>
  <c r="Y96" i="18"/>
  <c r="Q24" i="18"/>
  <c r="Q199" i="18"/>
  <c r="Q100" i="18"/>
  <c r="Q236" i="18"/>
  <c r="Q73" i="18"/>
  <c r="Q197" i="18"/>
  <c r="Q20" i="18"/>
  <c r="Q71" i="18"/>
  <c r="Q212" i="18"/>
  <c r="Q262" i="18"/>
  <c r="Q240" i="18"/>
  <c r="W75" i="18"/>
  <c r="W237" i="18"/>
  <c r="W93" i="18"/>
  <c r="W265" i="18"/>
  <c r="W238" i="18"/>
  <c r="W25" i="18"/>
  <c r="W270" i="18"/>
  <c r="W23" i="18"/>
  <c r="W48" i="18"/>
  <c r="W99" i="18"/>
  <c r="S75" i="18"/>
  <c r="S261" i="18"/>
  <c r="S241" i="18"/>
  <c r="S98" i="18"/>
  <c r="S99" i="18"/>
  <c r="S245" i="18"/>
  <c r="S221" i="18"/>
  <c r="S246" i="18"/>
  <c r="S242" i="18"/>
  <c r="AC238" i="18"/>
  <c r="AC141" i="18"/>
  <c r="AC148" i="18"/>
  <c r="AC42" i="18"/>
  <c r="AC242" i="18"/>
  <c r="AC25" i="18"/>
  <c r="AC76" i="18"/>
  <c r="AC48" i="18"/>
  <c r="AC193" i="18"/>
  <c r="AC220" i="18"/>
  <c r="AC217" i="18"/>
  <c r="AI20" i="18"/>
  <c r="AI269" i="18"/>
  <c r="AI246" i="18"/>
  <c r="AI195" i="18"/>
  <c r="AI22" i="18"/>
  <c r="AI267" i="18"/>
  <c r="AI241" i="18"/>
  <c r="AI218" i="18"/>
  <c r="K50" i="18"/>
  <c r="K48" i="18"/>
  <c r="K43" i="18"/>
  <c r="K219" i="18"/>
  <c r="K144" i="18"/>
  <c r="K53" i="18"/>
  <c r="K212" i="18"/>
  <c r="K25" i="18"/>
  <c r="AE50" i="18"/>
  <c r="AE90" i="18"/>
  <c r="AE98" i="18"/>
  <c r="AE216" i="18"/>
  <c r="AE212" i="18"/>
  <c r="AE77" i="18"/>
  <c r="AE91" i="18"/>
  <c r="AE20" i="18"/>
  <c r="AE149" i="18"/>
  <c r="U149" i="18"/>
  <c r="U100" i="18"/>
  <c r="U98" i="18"/>
  <c r="U24" i="18"/>
  <c r="U139" i="18"/>
  <c r="U19" i="18"/>
  <c r="U18" i="18"/>
  <c r="U143" i="18"/>
  <c r="U271" i="18"/>
  <c r="U144" i="18"/>
  <c r="U67" i="18"/>
  <c r="U265" i="18"/>
  <c r="I242" i="18"/>
  <c r="I150" i="18"/>
  <c r="I50" i="18"/>
  <c r="I25" i="18"/>
  <c r="I247" i="18"/>
  <c r="I220" i="18"/>
  <c r="I214" i="18"/>
  <c r="I76" i="18"/>
  <c r="I26" i="18"/>
  <c r="G246" i="18"/>
  <c r="G222" i="18"/>
  <c r="G90" i="18"/>
  <c r="G239" i="18"/>
  <c r="G96" i="18"/>
  <c r="G199" i="18"/>
  <c r="G74" i="18"/>
  <c r="G245" i="18"/>
  <c r="G223" i="18"/>
  <c r="G67" i="18"/>
  <c r="G238" i="18"/>
  <c r="G242" i="18"/>
  <c r="G23" i="18"/>
  <c r="AA97" i="18"/>
  <c r="AA141" i="18"/>
  <c r="AA245" i="18"/>
  <c r="AA100" i="18"/>
  <c r="AA246" i="18"/>
  <c r="AA223" i="18"/>
  <c r="AA270" i="18"/>
  <c r="AA199" i="18"/>
  <c r="AA91" i="18"/>
  <c r="AA24" i="18"/>
  <c r="Q192" i="18"/>
  <c r="W20" i="18"/>
  <c r="W27" i="18"/>
  <c r="W73" i="18"/>
  <c r="W49" i="18"/>
  <c r="S29" i="18"/>
  <c r="S219" i="18"/>
  <c r="AC243" i="18"/>
  <c r="AC188" i="18"/>
  <c r="AC199" i="18"/>
  <c r="AI23" i="18"/>
  <c r="AI221" i="18"/>
  <c r="K223" i="18"/>
  <c r="AE147" i="18"/>
  <c r="U28" i="18"/>
  <c r="U194" i="18"/>
  <c r="U189" i="18"/>
  <c r="U68" i="18"/>
  <c r="G73" i="18"/>
  <c r="G212" i="18"/>
  <c r="G216" i="18"/>
  <c r="G47" i="18"/>
  <c r="G26" i="18"/>
  <c r="AA149" i="18"/>
  <c r="AA194" i="18"/>
  <c r="AA189" i="18"/>
  <c r="AA190" i="18"/>
  <c r="AA29" i="18"/>
  <c r="Y242" i="18"/>
  <c r="Y94" i="18"/>
  <c r="Y245" i="18"/>
  <c r="Q75" i="18"/>
  <c r="Q101" i="18"/>
  <c r="Q260" i="18"/>
  <c r="W100" i="18"/>
  <c r="W246" i="18"/>
  <c r="W240" i="18"/>
  <c r="W266" i="18"/>
  <c r="S19" i="18"/>
  <c r="K267" i="18"/>
  <c r="U25" i="18"/>
  <c r="U150" i="18"/>
  <c r="U195" i="18"/>
  <c r="U197" i="18"/>
  <c r="G75" i="18"/>
  <c r="G19" i="18"/>
  <c r="AA148" i="18"/>
  <c r="AA46" i="18"/>
  <c r="AA143" i="18"/>
  <c r="AA20" i="18"/>
  <c r="G94" i="17"/>
  <c r="G95" i="17"/>
  <c r="G97" i="17"/>
  <c r="G98" i="17"/>
  <c r="G96" i="17"/>
  <c r="G91" i="17"/>
  <c r="G100" i="17"/>
  <c r="G92" i="17"/>
  <c r="G101" i="17"/>
  <c r="G93" i="17"/>
  <c r="G90" i="17"/>
  <c r="G99" i="17"/>
  <c r="AW353" i="21"/>
</calcChain>
</file>

<file path=xl/sharedStrings.xml><?xml version="1.0" encoding="utf-8"?>
<sst xmlns="http://schemas.openxmlformats.org/spreadsheetml/2006/main" count="8854" uniqueCount="1273">
  <si>
    <t>W_TO</t>
  </si>
  <si>
    <t>Takeoff Weight</t>
  </si>
  <si>
    <t>W_OE</t>
  </si>
  <si>
    <t>W_F</t>
  </si>
  <si>
    <t>W_PL</t>
  </si>
  <si>
    <t>Operating Empty Weight</t>
  </si>
  <si>
    <t>Fuel Weight</t>
  </si>
  <si>
    <t>Payload Weight</t>
  </si>
  <si>
    <t>W_E</t>
  </si>
  <si>
    <t>W_tfo</t>
  </si>
  <si>
    <t>W_crew</t>
  </si>
  <si>
    <t>Empty Weight</t>
  </si>
  <si>
    <t>trapped Fuel Weight</t>
  </si>
  <si>
    <t>Crew Weight</t>
  </si>
  <si>
    <t>W_ME</t>
  </si>
  <si>
    <t>W_FEQ</t>
  </si>
  <si>
    <t>Manufacturer's Empty Weight</t>
  </si>
  <si>
    <t>Fixed Equipment Weight</t>
  </si>
  <si>
    <t>Pilot</t>
  </si>
  <si>
    <t>Personal Equipment</t>
  </si>
  <si>
    <t>Baggage</t>
  </si>
  <si>
    <t>fixed equipment</t>
  </si>
  <si>
    <t>Armor Bathtub</t>
  </si>
  <si>
    <t>Avionics Suite</t>
  </si>
  <si>
    <t>2x Multi-Band Radios</t>
  </si>
  <si>
    <t>15x Avionics Boxes</t>
  </si>
  <si>
    <t>GAU-8</t>
  </si>
  <si>
    <t>eqn 2.1 p5</t>
  </si>
  <si>
    <t>eqn 2.2 p6</t>
  </si>
  <si>
    <t>eqn 2.3 p6</t>
  </si>
  <si>
    <t>Mission 1: CAS</t>
  </si>
  <si>
    <t>1350 Rounds</t>
  </si>
  <si>
    <t>2x Sidewinders</t>
  </si>
  <si>
    <t>2x Missile Rails</t>
  </si>
  <si>
    <t>12x Bombs</t>
  </si>
  <si>
    <t>4x Bomb Racks</t>
  </si>
  <si>
    <t>2x 370 gallon tanks</t>
  </si>
  <si>
    <t>600 gallon tank</t>
  </si>
  <si>
    <t>3x pylons</t>
  </si>
  <si>
    <t>Mission 2: Ferry</t>
  </si>
  <si>
    <t>W_OE_tent</t>
  </si>
  <si>
    <t>W_TO_guess</t>
  </si>
  <si>
    <t>W_E_tent</t>
  </si>
  <si>
    <t>W_F_used</t>
  </si>
  <si>
    <t>W_F_res</t>
  </si>
  <si>
    <t>Fuel used Weight</t>
  </si>
  <si>
    <t>Fuel Reserved Weight</t>
  </si>
  <si>
    <t>eqn 2.6 p9</t>
  </si>
  <si>
    <t>CAS Mission</t>
  </si>
  <si>
    <t>Weights</t>
  </si>
  <si>
    <t>[lbs]</t>
  </si>
  <si>
    <t>Mff</t>
  </si>
  <si>
    <t>Wto</t>
  </si>
  <si>
    <t>1. Start, Taxi, &amp; TO</t>
  </si>
  <si>
    <t>W1</t>
  </si>
  <si>
    <t>2. Climb</t>
  </si>
  <si>
    <t>W2</t>
  </si>
  <si>
    <t>3. Cruise</t>
  </si>
  <si>
    <t>W3</t>
  </si>
  <si>
    <t>4. Descend</t>
  </si>
  <si>
    <t>W4</t>
  </si>
  <si>
    <t>5. Dash</t>
  </si>
  <si>
    <t>W5</t>
  </si>
  <si>
    <t>6. Combat</t>
  </si>
  <si>
    <t>W6</t>
  </si>
  <si>
    <t>7. Dash</t>
  </si>
  <si>
    <t>W7</t>
  </si>
  <si>
    <t>8. Climb</t>
  </si>
  <si>
    <t>W8</t>
  </si>
  <si>
    <t>9. Cruise</t>
  </si>
  <si>
    <t>W9</t>
  </si>
  <si>
    <t>10. Descend</t>
  </si>
  <si>
    <t>W10</t>
  </si>
  <si>
    <t>11. Loiter</t>
  </si>
  <si>
    <t>W11</t>
  </si>
  <si>
    <t>12. Land</t>
  </si>
  <si>
    <t>W12</t>
  </si>
  <si>
    <t>Tot. MFF</t>
  </si>
  <si>
    <t>Ferry Mission</t>
  </si>
  <si>
    <t>1.Start-Up</t>
  </si>
  <si>
    <t>5. Loiter</t>
  </si>
  <si>
    <t>6. Land</t>
  </si>
  <si>
    <t>W_E from fig 2.12</t>
  </si>
  <si>
    <t>% Diff</t>
  </si>
  <si>
    <t>CAS</t>
  </si>
  <si>
    <t>Ferry</t>
  </si>
  <si>
    <t>log10 W_TO</t>
  </si>
  <si>
    <t>A</t>
  </si>
  <si>
    <t>B</t>
  </si>
  <si>
    <t>C</t>
  </si>
  <si>
    <t>M_res</t>
  </si>
  <si>
    <t>M_ff</t>
  </si>
  <si>
    <t>M_tfo</t>
  </si>
  <si>
    <t>D</t>
  </si>
  <si>
    <t>C_L_max</t>
  </si>
  <si>
    <t>C_L_max_TO</t>
  </si>
  <si>
    <t>C_L_max_L</t>
  </si>
  <si>
    <t>1.2-1.8</t>
  </si>
  <si>
    <t>1.6-2.2</t>
  </si>
  <si>
    <t>1.8-3.0</t>
  </si>
  <si>
    <t>V_s</t>
  </si>
  <si>
    <t>W/S</t>
  </si>
  <si>
    <t>Wing Loading</t>
  </si>
  <si>
    <t>Stall Speed</t>
  </si>
  <si>
    <t>Air Density</t>
  </si>
  <si>
    <t>Lift Coef</t>
  </si>
  <si>
    <t>k1</t>
  </si>
  <si>
    <t>k2</t>
  </si>
  <si>
    <t>S_TOG</t>
  </si>
  <si>
    <t>mu_G</t>
  </si>
  <si>
    <t>C_D_0</t>
  </si>
  <si>
    <t>Take Off Ground Run</t>
  </si>
  <si>
    <t>Engine Bypass Ratio</t>
  </si>
  <si>
    <t>TO Ground Run</t>
  </si>
  <si>
    <t>TO Lift Coef</t>
  </si>
  <si>
    <t>Surface Friction Coef</t>
  </si>
  <si>
    <t>(W/S)_TO</t>
  </si>
  <si>
    <t>(T/W)_TO</t>
  </si>
  <si>
    <t>p102</t>
  </si>
  <si>
    <t>p106</t>
  </si>
  <si>
    <t>Landing Ground Run</t>
  </si>
  <si>
    <t>W_L / W_TO</t>
  </si>
  <si>
    <t>Landing to TO Weight</t>
  </si>
  <si>
    <t>slugs/ft^3</t>
  </si>
  <si>
    <t>ft</t>
  </si>
  <si>
    <t>S_LG</t>
  </si>
  <si>
    <t>V_A</t>
  </si>
  <si>
    <t>S_L</t>
  </si>
  <si>
    <t>Landing Distance</t>
  </si>
  <si>
    <t>S_FL</t>
  </si>
  <si>
    <t>Landing Field Length</t>
  </si>
  <si>
    <t>kts</t>
  </si>
  <si>
    <t>Approach Velocity</t>
  </si>
  <si>
    <t>V_S_L</t>
  </si>
  <si>
    <t>Landing Stall Speed</t>
  </si>
  <si>
    <t>ft/s</t>
  </si>
  <si>
    <t>0 Lift Drag Coef</t>
  </si>
  <si>
    <t>Drag Polar Estimation</t>
  </si>
  <si>
    <t>p130</t>
  </si>
  <si>
    <t>p118</t>
  </si>
  <si>
    <t>c_f</t>
  </si>
  <si>
    <t>Equivalent Skin Friction Coef</t>
  </si>
  <si>
    <t>a</t>
  </si>
  <si>
    <t>b</t>
  </si>
  <si>
    <t>d</t>
  </si>
  <si>
    <t>c</t>
  </si>
  <si>
    <t>lbs</t>
  </si>
  <si>
    <t>Take Off Weight</t>
  </si>
  <si>
    <t>S_wet</t>
  </si>
  <si>
    <t>Wetted Area</t>
  </si>
  <si>
    <t>ft^2</t>
  </si>
  <si>
    <t>f</t>
  </si>
  <si>
    <t>Equivalent Parasite Area</t>
  </si>
  <si>
    <t>S</t>
  </si>
  <si>
    <t>Wing Area</t>
  </si>
  <si>
    <t>e</t>
  </si>
  <si>
    <t>Aspect Ratio</t>
  </si>
  <si>
    <t>Oswald Efficiency Factor</t>
  </si>
  <si>
    <t>Design Choice</t>
  </si>
  <si>
    <t>Requirement</t>
  </si>
  <si>
    <t>Clean</t>
  </si>
  <si>
    <t>TO Flaps</t>
  </si>
  <si>
    <t>Landing Flaps</t>
  </si>
  <si>
    <t>Landing Gear</t>
  </si>
  <si>
    <r>
      <rPr>
        <sz val="11"/>
        <color theme="1"/>
        <rFont val="Calibri"/>
        <family val="2"/>
      </rPr>
      <t>π</t>
    </r>
    <r>
      <rPr>
        <sz val="13.2"/>
        <color theme="1"/>
        <rFont val="Calibri"/>
        <family val="2"/>
      </rPr>
      <t>Ae</t>
    </r>
  </si>
  <si>
    <t>slug/ft^3</t>
  </si>
  <si>
    <t>Operational Ceiling</t>
  </si>
  <si>
    <t>p164</t>
  </si>
  <si>
    <t>RC</t>
  </si>
  <si>
    <t>fpm; ft/min</t>
  </si>
  <si>
    <t>Rate of Climb</t>
  </si>
  <si>
    <t>Air Density (40,000ft)</t>
  </si>
  <si>
    <r>
      <rPr>
        <sz val="11"/>
        <color theme="1"/>
        <rFont val="Calibri"/>
        <family val="2"/>
      </rPr>
      <t>π</t>
    </r>
    <r>
      <rPr>
        <sz val="12.1"/>
        <color theme="1"/>
        <rFont val="Calibri"/>
        <family val="2"/>
      </rPr>
      <t>Ae</t>
    </r>
  </si>
  <si>
    <t>Oswald Efficiency Factor (Cruise)</t>
  </si>
  <si>
    <t>(L/D)_max</t>
  </si>
  <si>
    <t>M=0.495</t>
  </si>
  <si>
    <t>λ</t>
  </si>
  <si>
    <t>ρ</t>
  </si>
  <si>
    <t>Maneuvering</t>
  </si>
  <si>
    <t>p172</t>
  </si>
  <si>
    <t>h</t>
  </si>
  <si>
    <t>altitude</t>
  </si>
  <si>
    <t>M</t>
  </si>
  <si>
    <t>Mach Number</t>
  </si>
  <si>
    <t>q(bar)</t>
  </si>
  <si>
    <t>Dynamic Pressure</t>
  </si>
  <si>
    <t>n_max</t>
  </si>
  <si>
    <t>g</t>
  </si>
  <si>
    <t>Max Sustained Normal Load Factor</t>
  </si>
  <si>
    <t>πAe</t>
  </si>
  <si>
    <t>Speed of Sound</t>
  </si>
  <si>
    <t>V</t>
  </si>
  <si>
    <t>WCR</t>
  </si>
  <si>
    <t>W_F_60%</t>
  </si>
  <si>
    <t>(W/S)</t>
  </si>
  <si>
    <t>(T/W)</t>
  </si>
  <si>
    <t>T_0/T_M</t>
  </si>
  <si>
    <t>Thrust Ratio</t>
  </si>
  <si>
    <t>Weight Ratio</t>
  </si>
  <si>
    <t>(W/S)_TO / (W/S)</t>
  </si>
  <si>
    <t>p179</t>
  </si>
  <si>
    <t>Maximum Speed</t>
  </si>
  <si>
    <t>Altitude</t>
  </si>
  <si>
    <t>Mach</t>
  </si>
  <si>
    <t>Velocity</t>
  </si>
  <si>
    <t>Up</t>
  </si>
  <si>
    <t>Left</t>
  </si>
  <si>
    <t>Wing</t>
  </si>
  <si>
    <t>p55</t>
  </si>
  <si>
    <t>C_D_Wing</t>
  </si>
  <si>
    <t>C_D_0_W</t>
  </si>
  <si>
    <t>C_D_L_W</t>
  </si>
  <si>
    <t>subsonic wing drag coef</t>
  </si>
  <si>
    <t>subsonic 0 lift wing drag coef</t>
  </si>
  <si>
    <t>subsonic drag coef due to lift</t>
  </si>
  <si>
    <t>R_wf</t>
  </si>
  <si>
    <t>R_LS</t>
  </si>
  <si>
    <t>C_f_w</t>
  </si>
  <si>
    <t>L'</t>
  </si>
  <si>
    <t>t/c</t>
  </si>
  <si>
    <t>S_wet_w</t>
  </si>
  <si>
    <t>C_L_w</t>
  </si>
  <si>
    <t>e_t</t>
  </si>
  <si>
    <t>v</t>
  </si>
  <si>
    <t>w</t>
  </si>
  <si>
    <t>Class II</t>
  </si>
  <si>
    <t>Class I</t>
  </si>
  <si>
    <t>Part 6 p53</t>
  </si>
  <si>
    <t>Part 2 p293</t>
  </si>
  <si>
    <t>\|/</t>
  </si>
  <si>
    <t>Less Thrust</t>
  </si>
  <si>
    <t>&lt;-</t>
  </si>
  <si>
    <t>More Wing area</t>
  </si>
  <si>
    <t>wing area</t>
  </si>
  <si>
    <t>equivalent parasite area</t>
  </si>
  <si>
    <t>clean zero lift drag coef</t>
  </si>
  <si>
    <t>Wing Sizing</t>
  </si>
  <si>
    <t>compressibility drag increment</t>
  </si>
  <si>
    <t>p2 fig 12.7</t>
  </si>
  <si>
    <t>Flap Drag Increment</t>
  </si>
  <si>
    <t>TO flaps</t>
  </si>
  <si>
    <t>Landing flaps</t>
  </si>
  <si>
    <t>Landing gear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</si>
  <si>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C_D_0</t>
    </r>
  </si>
  <si>
    <t>C_L</t>
  </si>
  <si>
    <t>C_D</t>
  </si>
  <si>
    <t>Landing</t>
  </si>
  <si>
    <t>p1 eqn 3.13</t>
  </si>
  <si>
    <t>p2 eqn 12.3</t>
  </si>
  <si>
    <t>p1 eqn 3.16</t>
  </si>
  <si>
    <t>REQ</t>
  </si>
  <si>
    <t>p1 fig 3.16</t>
  </si>
  <si>
    <t>p1 eqn 3.15</t>
  </si>
  <si>
    <t>sea level</t>
  </si>
  <si>
    <t>p1 fig 3.21b</t>
  </si>
  <si>
    <t>main wing airfoil</t>
  </si>
  <si>
    <t>horizontal stabilizer airfoil</t>
  </si>
  <si>
    <t>vertical stabilizer airfoil (if different)</t>
  </si>
  <si>
    <r>
      <t xml:space="preserve">7.1 C_L vs. </t>
    </r>
    <r>
      <rPr>
        <sz val="11"/>
        <color theme="1"/>
        <rFont val="Calibri"/>
        <family val="2"/>
      </rPr>
      <t>α</t>
    </r>
  </si>
  <si>
    <t>7.2 C_L vs. α</t>
  </si>
  <si>
    <t>TO/Landing: airfoil, wing, flaps, slats</t>
  </si>
  <si>
    <t>TO, climb, landing</t>
  </si>
  <si>
    <t>Conditions</t>
  </si>
  <si>
    <t>Graphs</t>
  </si>
  <si>
    <t>Re for V=100KTAS, Sea Level, 90F day, Config: CC</t>
  </si>
  <si>
    <t>Info on each graph</t>
  </si>
  <si>
    <t>Airfoil ID</t>
  </si>
  <si>
    <t>re number</t>
  </si>
  <si>
    <t>AR</t>
  </si>
  <si>
    <t>mach</t>
  </si>
  <si>
    <t>sweep at max thickness line</t>
  </si>
  <si>
    <t>twist angle</t>
  </si>
  <si>
    <t>incidence angle</t>
  </si>
  <si>
    <t>7.3 C_L vs. α for Flight Cond</t>
  </si>
  <si>
    <t>7.4 Zero Lift Drag Coef</t>
  </si>
  <si>
    <t>C_D_0 vs. M of each component + combined</t>
  </si>
  <si>
    <t>C_D_0 vs. M for configs: CC, WC, FC</t>
  </si>
  <si>
    <t>sub critical mach drag buildup equivalent flat plate area summary</t>
  </si>
  <si>
    <t>sub critical mach drag buildup C_D_0 summary</t>
  </si>
  <si>
    <t>7.5 Drag due to Lift Factor K, K', K''</t>
  </si>
  <si>
    <t>Show each type of analysis for each air speed</t>
  </si>
  <si>
    <t>compare with known K values of similar A/C</t>
  </si>
  <si>
    <t>K vs. M</t>
  </si>
  <si>
    <t>Graphs and Formulas</t>
  </si>
  <si>
    <t>CC for subsonic/transonic</t>
  </si>
  <si>
    <t>subcrit M: Re based on M=0.7, 40k standard</t>
  </si>
  <si>
    <t>crit M through M=0.95: intervals of M=0.05</t>
  </si>
  <si>
    <t>WC</t>
  </si>
  <si>
    <t>subcrit M: Re based on M=0.6, 30k standard</t>
  </si>
  <si>
    <t>FC</t>
  </si>
  <si>
    <t>WTO</t>
  </si>
  <si>
    <t>Re based on V=100KTAS, Sea Level, 90F day</t>
  </si>
  <si>
    <t>gear down</t>
  </si>
  <si>
    <t>High lift devices positioned for TO</t>
  </si>
  <si>
    <t>WL</t>
  </si>
  <si>
    <t>gear down and gear up</t>
  </si>
  <si>
    <t>High lift devices positioned for landing</t>
  </si>
  <si>
    <t>7.7 OEI drag</t>
  </si>
  <si>
    <t>Windmilling and boat tail drag</t>
  </si>
  <si>
    <t>Re for V=100KTAS, Sea Level, 90F day, config: CC</t>
  </si>
  <si>
    <t>Calc and present Drag, sample calcs with step by step</t>
  </si>
  <si>
    <t>Drag (lb) vs. Velocity (knots), use at least 3 points in 60-120 KTAS range (60, 90, 120)</t>
  </si>
  <si>
    <t>Trim drag</t>
  </si>
  <si>
    <t>Drag (lb) vs. Velocity (KTAS)</t>
  </si>
  <si>
    <t>Drag (lb) vs. Velocity (KCAS)</t>
  </si>
  <si>
    <t>7.8 Moment Coef</t>
  </si>
  <si>
    <t>aircraft C_L vs. C_M</t>
  </si>
  <si>
    <t>C_L vs C_M for TO</t>
  </si>
  <si>
    <t>TO/Landing Build Up: airfoil, wing, flaps, slats</t>
  </si>
  <si>
    <t>C_L vs C_M for climb-out/approach</t>
  </si>
  <si>
    <t>C_L vs C_M for landing</t>
  </si>
  <si>
    <t>C_L vs C_M for cruise for flight cond</t>
  </si>
  <si>
    <t>7.6 Drag Polar C_D vs. C_L</t>
  </si>
  <si>
    <t>Taper Ratio</t>
  </si>
  <si>
    <t>R2 Tables 6.1-6.12</t>
  </si>
  <si>
    <t>Initial Airfoil</t>
  </si>
  <si>
    <t>R2 Tables 8.1-8.12</t>
  </si>
  <si>
    <t>Sweep Angle</t>
  </si>
  <si>
    <t>Cantilever Wing</t>
  </si>
  <si>
    <t>Mid Wing</t>
  </si>
  <si>
    <t>U_1</t>
  </si>
  <si>
    <t>Total airplane drag</t>
  </si>
  <si>
    <t>drag coef</t>
  </si>
  <si>
    <t>dynamic pressure</t>
  </si>
  <si>
    <t>air density</t>
  </si>
  <si>
    <t>velocity</t>
  </si>
  <si>
    <t>mach number</t>
  </si>
  <si>
    <t>speed of sound</t>
  </si>
  <si>
    <t>Wing - Subsonic</t>
  </si>
  <si>
    <t>wing/fuselage interference factor</t>
  </si>
  <si>
    <t>eqn 4.5</t>
  </si>
  <si>
    <t>eqn 4.6</t>
  </si>
  <si>
    <t>fig 4.1</t>
  </si>
  <si>
    <t>lifting surface correction factor</t>
  </si>
  <si>
    <t>fig 4.2</t>
  </si>
  <si>
    <t>turbulent flat plate friction coef</t>
  </si>
  <si>
    <t>fig 4.3</t>
  </si>
  <si>
    <t>airfoil thickness location parameter</t>
  </si>
  <si>
    <t>fig 4.4</t>
  </si>
  <si>
    <t>thickness ratio at mean geometric chord</t>
  </si>
  <si>
    <t>fig 4.5</t>
  </si>
  <si>
    <t>wetted area of wing</t>
  </si>
  <si>
    <t>fig 4.6, app b</t>
  </si>
  <si>
    <t>figs 2.5-2.7</t>
  </si>
  <si>
    <t>eqn 4.8</t>
  </si>
  <si>
    <t>wing lift coef</t>
  </si>
  <si>
    <t>eqn 4.9</t>
  </si>
  <si>
    <t>W</t>
  </si>
  <si>
    <t>Mach #</t>
  </si>
  <si>
    <t>μ</t>
  </si>
  <si>
    <t>temperature</t>
  </si>
  <si>
    <t>air viscosity</t>
  </si>
  <si>
    <t>°F</t>
  </si>
  <si>
    <t>T</t>
  </si>
  <si>
    <t>slug/ft*s</t>
  </si>
  <si>
    <t>U_1 (ft/s)</t>
  </si>
  <si>
    <t>C_D_0_w</t>
  </si>
  <si>
    <t>R_N_w</t>
  </si>
  <si>
    <t>Thrust</t>
  </si>
  <si>
    <t>Engine</t>
  </si>
  <si>
    <t>L</t>
  </si>
  <si>
    <t>delta t/c is sweep?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</si>
  <si>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t/c</t>
    </r>
  </si>
  <si>
    <t>cos Δt/c</t>
  </si>
  <si>
    <t>°</t>
  </si>
  <si>
    <t>Sweep at max thickness ratio</t>
  </si>
  <si>
    <t>C_f</t>
  </si>
  <si>
    <t>R</t>
  </si>
  <si>
    <t>T_each</t>
  </si>
  <si>
    <t>lbf</t>
  </si>
  <si>
    <t>Engine Thrust</t>
  </si>
  <si>
    <t>S_wet_B</t>
  </si>
  <si>
    <t>d_equiv</t>
  </si>
  <si>
    <t>S_B</t>
  </si>
  <si>
    <t>Re_L</t>
  </si>
  <si>
    <t>(C_D_f)_B</t>
  </si>
  <si>
    <t>d_b</t>
  </si>
  <si>
    <t>C_D_b</t>
  </si>
  <si>
    <t>C_D_0_B</t>
  </si>
  <si>
    <t>Body</t>
  </si>
  <si>
    <t>l_B (ft)</t>
  </si>
  <si>
    <t>c(bar) (in)</t>
  </si>
  <si>
    <t>Fuel Calcs</t>
  </si>
  <si>
    <t>Fuel Density</t>
  </si>
  <si>
    <t>lb/gallon</t>
  </si>
  <si>
    <t>M1</t>
  </si>
  <si>
    <t>M2</t>
  </si>
  <si>
    <t>Vol_f</t>
  </si>
  <si>
    <t>gallons</t>
  </si>
  <si>
    <t>ft^3</t>
  </si>
  <si>
    <t>Stores</t>
  </si>
  <si>
    <t>Internal</t>
  </si>
  <si>
    <t>Wing Airfoil Notes</t>
  </si>
  <si>
    <t>x_t/c</t>
  </si>
  <si>
    <t>further back = less skin friction drag</t>
  </si>
  <si>
    <t>&lt;.25c(bar) = nose up C_m</t>
  </si>
  <si>
    <t>&gt;.25c(bar) = nose down C_m</t>
  </si>
  <si>
    <t>high t/c = high C_l_max</t>
  </si>
  <si>
    <t>increase t/c = slight increase C_D_0</t>
  </si>
  <si>
    <t>increase t/c = decrease M_CR</t>
  </si>
  <si>
    <t>r_LE</t>
  </si>
  <si>
    <t>smaller r_LE = slightly higher viscous drag due to lift</t>
  </si>
  <si>
    <t>smaller leading edge radius promotes earlier flow separation</t>
  </si>
  <si>
    <t>camber</t>
  </si>
  <si>
    <t>positive camber will shift the C_lalpha curve to the left</t>
  </si>
  <si>
    <t>LE camber delays flow separation over the forward part of the airfoil producing higher C_L_max</t>
  </si>
  <si>
    <t>amount of camber determines value of zero lift AoA</t>
  </si>
  <si>
    <t>symmetric airfoil = zero camber; zero lift AoA = 0; C_m_ac = 0</t>
  </si>
  <si>
    <t>positive camber -&gt; negative C_m_ac</t>
  </si>
  <si>
    <t>positive camber -&gt; increase in section C_l_max</t>
  </si>
  <si>
    <t>Δt/c</t>
  </si>
  <si>
    <t>correction</t>
  </si>
  <si>
    <t>delta C_D_0 * (280/S_ref)</t>
  </si>
  <si>
    <t>beta</t>
  </si>
  <si>
    <t>KTAS</t>
  </si>
  <si>
    <t>fps</t>
  </si>
  <si>
    <t>C_1</t>
  </si>
  <si>
    <t>Wing-Body</t>
  </si>
  <si>
    <t>F</t>
  </si>
  <si>
    <r>
      <t>(C_L_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)_W</t>
    </r>
  </si>
  <si>
    <t>(C_L_α)_WB</t>
  </si>
  <si>
    <t>α</t>
  </si>
  <si>
    <t>α_0L</t>
  </si>
  <si>
    <t>NOTE</t>
  </si>
  <si>
    <t>&lt;|35°| sweep</t>
  </si>
  <si>
    <t>Req</t>
  </si>
  <si>
    <t>If l_h/c(bar) &lt;3</t>
  </si>
  <si>
    <t>If l_h/c(bar) &gt;5</t>
  </si>
  <si>
    <t>C_L_max_w</t>
  </si>
  <si>
    <t>C_L_max of wing</t>
  </si>
  <si>
    <t>eqn 7.1</t>
  </si>
  <si>
    <t>Δ_c/4</t>
  </si>
  <si>
    <t>1/4 chord sweep</t>
  </si>
  <si>
    <t>eqn 7.2</t>
  </si>
  <si>
    <t>Roskam P2</t>
  </si>
  <si>
    <t>PICK ONE</t>
  </si>
  <si>
    <t>C_L_max_w unswept</t>
  </si>
  <si>
    <t>k_λ</t>
  </si>
  <si>
    <t>λ=1</t>
  </si>
  <si>
    <t>λ=0.4</t>
  </si>
  <si>
    <t>final check</t>
  </si>
  <si>
    <t>eqn 7.3</t>
  </si>
  <si>
    <t>C_l_max_r</t>
  </si>
  <si>
    <t>C_l_max_t</t>
  </si>
  <si>
    <t>root section lift</t>
  </si>
  <si>
    <t>tip section lift</t>
  </si>
  <si>
    <t>fig 7.1</t>
  </si>
  <si>
    <t>Re_r</t>
  </si>
  <si>
    <t>Re_t</t>
  </si>
  <si>
    <t>c_r</t>
  </si>
  <si>
    <t>c_t</t>
  </si>
  <si>
    <t>sweep corrected req</t>
  </si>
  <si>
    <t>(maneuvering req)</t>
  </si>
  <si>
    <t>root chord</t>
  </si>
  <si>
    <t>tip chord</t>
  </si>
  <si>
    <t>reynolds @ root</t>
  </si>
  <si>
    <t>reynolds @ tip</t>
  </si>
  <si>
    <t>% diff</t>
  </si>
  <si>
    <t>should be &lt; 5%</t>
  </si>
  <si>
    <t>STEP 7.2</t>
  </si>
  <si>
    <t>STEP 7.3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</si>
  <si>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C_L_max_TO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</si>
  <si>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C_L_max_L</t>
    </r>
  </si>
  <si>
    <t>incremental TO lift</t>
  </si>
  <si>
    <t>incremental L lift</t>
  </si>
  <si>
    <t>eqn 7.6</t>
  </si>
  <si>
    <t>eqn 7.7</t>
  </si>
  <si>
    <t>WING DESIGN</t>
  </si>
  <si>
    <t>l_h</t>
  </si>
  <si>
    <t>c(bar)</t>
  </si>
  <si>
    <t>l_h/c(bar)</t>
  </si>
  <si>
    <t>S_wf</t>
  </si>
  <si>
    <t>wing-flap area</t>
  </si>
  <si>
    <t>fig 7.2</t>
  </si>
  <si>
    <t>CHANGE ME</t>
  </si>
  <si>
    <t>STEP 7.4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</si>
  <si>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C_L_max</t>
    </r>
  </si>
  <si>
    <t>K_Δ</t>
  </si>
  <si>
    <t>uncorrected</t>
  </si>
  <si>
    <t>corrected</t>
  </si>
  <si>
    <t>eqn 7.8</t>
  </si>
  <si>
    <t>eqn 7.9</t>
  </si>
  <si>
    <t>n_0</t>
  </si>
  <si>
    <t>n_i</t>
  </si>
  <si>
    <t>taper ratio</t>
  </si>
  <si>
    <t>inner flap chord</t>
  </si>
  <si>
    <t>outer flap chord</t>
  </si>
  <si>
    <t>S_wf/S</t>
  </si>
  <si>
    <t>mean geo chord</t>
  </si>
  <si>
    <t>α_0_l</t>
  </si>
  <si>
    <t>deg</t>
  </si>
  <si>
    <t>C_m_0</t>
  </si>
  <si>
    <t>C_l_α</t>
  </si>
  <si>
    <t>deg^-1</t>
  </si>
  <si>
    <t>a.c.</t>
  </si>
  <si>
    <t>α_C_l_max</t>
  </si>
  <si>
    <t>C_l_max</t>
  </si>
  <si>
    <t>α^*</t>
  </si>
  <si>
    <t>tenths c</t>
  </si>
  <si>
    <t>Table 8.1a</t>
  </si>
  <si>
    <t>Roskam P6</t>
  </si>
  <si>
    <t>C_l</t>
  </si>
  <si>
    <t>L/D</t>
  </si>
  <si>
    <t>Tail</t>
  </si>
  <si>
    <t>R_N = 9E6</t>
  </si>
  <si>
    <t>NACA 0009</t>
  </si>
  <si>
    <t>progress made</t>
  </si>
  <si>
    <t>complete</t>
  </si>
  <si>
    <t>naca 1410</t>
  </si>
  <si>
    <t>taper</t>
  </si>
  <si>
    <t>sweep</t>
  </si>
  <si>
    <t>1/28/2021 lecture notes</t>
  </si>
  <si>
    <t>INCOMPLETE</t>
  </si>
  <si>
    <t>Misc</t>
  </si>
  <si>
    <t>Canopy</t>
  </si>
  <si>
    <t>sidewinders</t>
  </si>
  <si>
    <t>WCB</t>
  </si>
  <si>
    <t>http://www.pdas.com/e2.html</t>
  </si>
  <si>
    <t>c(bar) (ft)</t>
  </si>
  <si>
    <t>d/b</t>
  </si>
  <si>
    <t>fig 13.4</t>
  </si>
  <si>
    <t>X sec area</t>
  </si>
  <si>
    <t>CC</t>
  </si>
  <si>
    <t>C_D_0_t</t>
  </si>
  <si>
    <t>Subsonic K</t>
  </si>
  <si>
    <t>e'</t>
  </si>
  <si>
    <t>k'</t>
  </si>
  <si>
    <t>k''</t>
  </si>
  <si>
    <t>k</t>
  </si>
  <si>
    <t>N fig 13.5</t>
  </si>
  <si>
    <t>n eqn 13.9</t>
  </si>
  <si>
    <t>n eqn 13.8</t>
  </si>
  <si>
    <t>n fig 13.6</t>
  </si>
  <si>
    <t>SL</t>
  </si>
  <si>
    <t>(C_D_0)_WB</t>
  </si>
  <si>
    <t>C_L_α</t>
  </si>
  <si>
    <t>M:</t>
  </si>
  <si>
    <t>Config</t>
  </si>
  <si>
    <t>Temp</t>
  </si>
  <si>
    <t>Standard</t>
  </si>
  <si>
    <t>90F</t>
  </si>
  <si>
    <t>Altitudes</t>
  </si>
  <si>
    <t>Supersonic K</t>
  </si>
  <si>
    <t>thrust</t>
  </si>
  <si>
    <t>engine</t>
  </si>
  <si>
    <t>C0</t>
  </si>
  <si>
    <t>C1</t>
  </si>
  <si>
    <t>C2</t>
  </si>
  <si>
    <t>1x600g</t>
  </si>
  <si>
    <t>2x370g</t>
  </si>
  <si>
    <t>LE sweep</t>
  </si>
  <si>
    <t>mac</t>
  </si>
  <si>
    <t>C1 Wing Characteristics</t>
  </si>
  <si>
    <t>S_B (ft)</t>
  </si>
  <si>
    <t>Flap</t>
  </si>
  <si>
    <t>C_D_0_nose</t>
  </si>
  <si>
    <t>Flaps</t>
  </si>
  <si>
    <t>TO del_f</t>
  </si>
  <si>
    <t>L del_f</t>
  </si>
  <si>
    <t>rad</t>
  </si>
  <si>
    <t>TO</t>
  </si>
  <si>
    <t>del_f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</si>
  <si>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α_0L</t>
    </r>
  </si>
  <si>
    <t>dC_l/ddel_f</t>
  </si>
  <si>
    <t>fig 9.10</t>
  </si>
  <si>
    <t>K_f'</t>
  </si>
  <si>
    <t>fig 9.9</t>
  </si>
  <si>
    <t>c_f/c</t>
  </si>
  <si>
    <t>flap to chord ratio</t>
  </si>
  <si>
    <t>eqn 9.2</t>
  </si>
  <si>
    <t>Δα</t>
  </si>
  <si>
    <t>Δα_stall</t>
  </si>
  <si>
    <t>AR Check</t>
  </si>
  <si>
    <t>ΔLE</t>
  </si>
  <si>
    <t>fig 9.14</t>
  </si>
  <si>
    <t>&lt;4 HIGH AR</t>
  </si>
  <si>
    <t>Δy</t>
  </si>
  <si>
    <t>%chord</t>
  </si>
  <si>
    <t>C_L_max/C_l_max</t>
  </si>
  <si>
    <t>α_stall</t>
  </si>
  <si>
    <t>Δα_C_L_max</t>
  </si>
  <si>
    <t>D_t_nose</t>
  </si>
  <si>
    <t>C_D_0_main</t>
  </si>
  <si>
    <t>frontal area</t>
  </si>
  <si>
    <r>
      <t xml:space="preserve">TO </t>
    </r>
    <r>
      <rPr>
        <sz val="11"/>
        <color theme="1"/>
        <rFont val="Calibri"/>
        <family val="2"/>
      </rPr>
      <t>δ_f</t>
    </r>
  </si>
  <si>
    <t>L δ_f</t>
  </si>
  <si>
    <t>L ΔC_D_flap</t>
  </si>
  <si>
    <t>k_1</t>
  </si>
  <si>
    <t>TO K_2</t>
  </si>
  <si>
    <t>L k_2</t>
  </si>
  <si>
    <t>S_WF</t>
  </si>
  <si>
    <t>S_WF/S_W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</si>
  <si>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C_l_max</t>
    </r>
  </si>
  <si>
    <t>STEP 7.5</t>
  </si>
  <si>
    <r>
      <t>C_l_</t>
    </r>
    <r>
      <rPr>
        <sz val="11"/>
        <color theme="1"/>
        <rFont val="Calibri"/>
        <family val="2"/>
      </rPr>
      <t>δ_f</t>
    </r>
  </si>
  <si>
    <t>K'</t>
  </si>
  <si>
    <t>fig 7.5</t>
  </si>
  <si>
    <t>fig 7.6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</si>
  <si>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</t>
    </r>
    <r>
      <rPr>
        <sz val="11"/>
        <color theme="1"/>
        <rFont val="Calibri"/>
        <family val="1"/>
      </rPr>
      <t>_TO</t>
    </r>
  </si>
  <si>
    <t>δ_f_TO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</si>
  <si>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</t>
    </r>
    <r>
      <rPr>
        <sz val="11"/>
        <color theme="1"/>
        <rFont val="Calibri"/>
        <family val="1"/>
      </rPr>
      <t>_L</t>
    </r>
  </si>
  <si>
    <t>δ_f_L</t>
  </si>
  <si>
    <t>S_VT</t>
  </si>
  <si>
    <t>S_HT</t>
  </si>
  <si>
    <r>
      <t xml:space="preserve">TO </t>
    </r>
    <r>
      <rPr>
        <sz val="11"/>
        <rFont val="Times New Roman"/>
        <family val="1"/>
      </rPr>
      <t>Δ</t>
    </r>
    <r>
      <rPr>
        <sz val="11"/>
        <rFont val="Calibri"/>
        <family val="1"/>
      </rPr>
      <t>C_D_flap</t>
    </r>
  </si>
  <si>
    <t>dia</t>
  </si>
  <si>
    <t>bombs</t>
  </si>
  <si>
    <t>l_B</t>
  </si>
  <si>
    <t>l_b</t>
  </si>
  <si>
    <t>S_s(wet)</t>
  </si>
  <si>
    <t>S_B(x area)</t>
  </si>
  <si>
    <t>C_D_f</t>
  </si>
  <si>
    <t>C_D_0_sw</t>
  </si>
  <si>
    <t>C_D_0_bmbs</t>
  </si>
  <si>
    <t>sweep angle</t>
  </si>
  <si>
    <t>1x</t>
  </si>
  <si>
    <t>2x</t>
  </si>
  <si>
    <t>12x</t>
  </si>
  <si>
    <t>Flaps TO</t>
  </si>
  <si>
    <t>Flaps L</t>
  </si>
  <si>
    <t>x2</t>
  </si>
  <si>
    <t>x12</t>
  </si>
  <si>
    <t>ΔC_D_gear 15</t>
  </si>
  <si>
    <t>ΔC_D_gear 20</t>
  </si>
  <si>
    <t>Aircraft</t>
  </si>
  <si>
    <t>600g tank</t>
  </si>
  <si>
    <t>370g tank</t>
  </si>
  <si>
    <t>1x 600g tank</t>
  </si>
  <si>
    <t>2x 370g tank</t>
  </si>
  <si>
    <t>TO δ_f</t>
  </si>
  <si>
    <t>TO ΔC_D_flap</t>
  </si>
  <si>
    <t>Transonic K</t>
  </si>
  <si>
    <t>K</t>
  </si>
  <si>
    <t>80.2083ft^3</t>
  </si>
  <si>
    <t>98.9236ft^3</t>
  </si>
  <si>
    <t>WL Gear Down</t>
  </si>
  <si>
    <t>WL Gear Up</t>
  </si>
  <si>
    <t>392ft^3</t>
  </si>
  <si>
    <t>489ft^2</t>
  </si>
  <si>
    <t>ΔC_D_gear TO</t>
  </si>
  <si>
    <t>ΔC_D_gear L</t>
  </si>
  <si>
    <t>NACA1410</t>
  </si>
  <si>
    <t>c_l_α</t>
  </si>
  <si>
    <t>c_m_0</t>
  </si>
  <si>
    <t>α_c_l_max</t>
  </si>
  <si>
    <t>c_l_max</t>
  </si>
  <si>
    <t>pos. of max t/c</t>
  </si>
  <si>
    <t>% c</t>
  </si>
  <si>
    <t>pos. of max camber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</si>
  <si>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y</t>
    </r>
  </si>
  <si>
    <t>graph</t>
  </si>
  <si>
    <t>c_l</t>
  </si>
  <si>
    <t>clean</t>
  </si>
  <si>
    <t>L flaps</t>
  </si>
  <si>
    <t>p245 R6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</si>
  <si>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</t>
    </r>
  </si>
  <si>
    <t>δ_f</t>
  </si>
  <si>
    <t>(c_l_δ)_theory</t>
  </si>
  <si>
    <t>(c_l_δ) / (c_l_δ)_theory</t>
  </si>
  <si>
    <t>airfoil incremental lift coef due to plain flap defl.</t>
  </si>
  <si>
    <t>eqn 8.4</t>
  </si>
  <si>
    <t>flap chord to chord ratio</t>
  </si>
  <si>
    <t>sectional lift curve slope</t>
  </si>
  <si>
    <t>sectional max lift coef</t>
  </si>
  <si>
    <t>linear lift curve slope section</t>
  </si>
  <si>
    <t>%</t>
  </si>
  <si>
    <t>???</t>
  </si>
  <si>
    <t>(c_l_α)_δ</t>
  </si>
  <si>
    <t>Δc_l_max</t>
  </si>
  <si>
    <t>k_2</t>
  </si>
  <si>
    <t>k_3</t>
  </si>
  <si>
    <t>(Δc_l_max)_base</t>
  </si>
  <si>
    <t>eqn 8.18</t>
  </si>
  <si>
    <t>acc for flap-chord to airfoil chord ratio diff fr 25%</t>
  </si>
  <si>
    <t>acc for flap angles diff fr ref flap angle</t>
  </si>
  <si>
    <t>acc for flap motion as f(x) of flap defl</t>
  </si>
  <si>
    <t>fig 8.32</t>
  </si>
  <si>
    <t>fig 8.33</t>
  </si>
  <si>
    <t>fig 8.34</t>
  </si>
  <si>
    <t>airfoil incremental max lift coef due to flaps</t>
  </si>
  <si>
    <t>fig 8.31</t>
  </si>
  <si>
    <t>fig 8.13</t>
  </si>
  <si>
    <t>acc for nonlinearities at high flap defl</t>
  </si>
  <si>
    <t>acc for flap size and thiccness ratio</t>
  </si>
  <si>
    <t>fig 8.14</t>
  </si>
  <si>
    <t>fig 8.15</t>
  </si>
  <si>
    <t>rad^-1</t>
  </si>
  <si>
    <t>AIRFOIL</t>
  </si>
  <si>
    <t>WING</t>
  </si>
  <si>
    <t>p277</t>
  </si>
  <si>
    <t>p246</t>
  </si>
  <si>
    <t>α_w</t>
  </si>
  <si>
    <t>i_w</t>
  </si>
  <si>
    <t>airplane AoA</t>
  </si>
  <si>
    <t>eqn 8.20</t>
  </si>
  <si>
    <t>α_0_L_w</t>
  </si>
  <si>
    <t>subsonic wing zero-lift AoA</t>
  </si>
  <si>
    <t>eqn 8.21</t>
  </si>
  <si>
    <t>α_0_L</t>
  </si>
  <si>
    <t>sec 8.1.1.1</t>
  </si>
  <si>
    <t>(Δα_0 / ε_t)</t>
  </si>
  <si>
    <t>change in wing zero-lift AoA per deg of linear wing twist</t>
  </si>
  <si>
    <t>fig 8.41</t>
  </si>
  <si>
    <t>ε_t</t>
  </si>
  <si>
    <t>wing twist angle</t>
  </si>
  <si>
    <t>(α_0_l)_at M / (α_0_l) at M=0.3</t>
  </si>
  <si>
    <t>fig 8.42</t>
  </si>
  <si>
    <t>R3 p200</t>
  </si>
  <si>
    <t>α*</t>
  </si>
  <si>
    <t>α_w*</t>
  </si>
  <si>
    <t>wing linear range of AoA</t>
  </si>
  <si>
    <t>sec 8.1.3.3</t>
  </si>
  <si>
    <t>β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</si>
  <si>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t/c</t>
    </r>
  </si>
  <si>
    <t>p288</t>
  </si>
  <si>
    <t>Nico ch13</t>
  </si>
  <si>
    <t>(α_C_L_max)_w</t>
  </si>
  <si>
    <t>K_b</t>
  </si>
  <si>
    <t>Δc_l</t>
  </si>
  <si>
    <t>C_L_α_w</t>
  </si>
  <si>
    <t>(α_δ)_C_L / (α_δ)_c_l</t>
  </si>
  <si>
    <t>flap-span factor</t>
  </si>
  <si>
    <t>fig 8.51-52</t>
  </si>
  <si>
    <t>airfoil lift increment due to flaps</t>
  </si>
  <si>
    <t>sec 8.1.2.1</t>
  </si>
  <si>
    <t>sec 8.1.3.2</t>
  </si>
  <si>
    <t>wing lift curve slope</t>
  </si>
  <si>
    <t>airfoil lift curve slope</t>
  </si>
  <si>
    <t>ratio of 3d to 2d flap effectiveness parameter</t>
  </si>
  <si>
    <t>fig 8.53</t>
  </si>
  <si>
    <t>sec 8.1.1.2</t>
  </si>
  <si>
    <t>p291</t>
  </si>
  <si>
    <t>flap-chord = .2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</si>
  <si>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C_L_w</t>
    </r>
  </si>
  <si>
    <r>
      <t>(C_L_α_w)_</t>
    </r>
    <r>
      <rPr>
        <sz val="11"/>
        <color theme="1"/>
        <rFont val="Calibri"/>
        <family val="2"/>
      </rPr>
      <t>δ</t>
    </r>
  </si>
  <si>
    <t>wing lift curve slope due to flaps</t>
  </si>
  <si>
    <t>plain flap</t>
  </si>
  <si>
    <t>ΔC_L_max_w</t>
  </si>
  <si>
    <t>wing max lift increment due to flaps</t>
  </si>
  <si>
    <t>p294</t>
  </si>
  <si>
    <t>S_w_f</t>
  </si>
  <si>
    <t>airfoil incremental lift coef due to TE flap</t>
  </si>
  <si>
    <t>sec 8.1.2.3</t>
  </si>
  <si>
    <t>flapped wing area</t>
  </si>
  <si>
    <t>planform correction factor</t>
  </si>
  <si>
    <t>fig 8.55</t>
  </si>
  <si>
    <t>fig 8.54</t>
  </si>
  <si>
    <t>S_w_f / S</t>
  </si>
  <si>
    <t>ratio of flapped wing area to wing area</t>
  </si>
  <si>
    <t>L Flaps</t>
  </si>
  <si>
    <t>ΔC_L_w</t>
  </si>
  <si>
    <t>(C_L_α_w)_δ</t>
  </si>
  <si>
    <t>flap-wing chord ratio</t>
  </si>
  <si>
    <t>wing lift increment due to flaps</t>
  </si>
  <si>
    <t>AIRCRAFT</t>
  </si>
  <si>
    <t>p297</t>
  </si>
  <si>
    <t>C_L_0</t>
  </si>
  <si>
    <t>C_L_0_wf</t>
  </si>
  <si>
    <r>
      <rPr>
        <sz val="11"/>
        <color theme="1"/>
        <rFont val="Calibri"/>
        <family val="2"/>
      </rPr>
      <t>α</t>
    </r>
    <r>
      <rPr>
        <sz val="12.1"/>
        <color theme="1"/>
        <rFont val="Calibri"/>
        <family val="2"/>
      </rPr>
      <t>_0_L_w</t>
    </r>
  </si>
  <si>
    <t>C_L_α_wf</t>
  </si>
  <si>
    <t>d_f</t>
  </si>
  <si>
    <t>wing incidence angle</t>
  </si>
  <si>
    <t>wing-fuselage lift curve slope</t>
  </si>
  <si>
    <t>wing-fuselage interference factor</t>
  </si>
  <si>
    <t>wing span</t>
  </si>
  <si>
    <t>S_h</t>
  </si>
  <si>
    <t>i_h</t>
  </si>
  <si>
    <t>NACA0009</t>
  </si>
  <si>
    <t>C1 Tail</t>
  </si>
  <si>
    <t>k_wf</t>
  </si>
  <si>
    <r>
      <t>C_L_</t>
    </r>
    <r>
      <rPr>
        <sz val="11"/>
        <color theme="1"/>
        <rFont val="Calibri"/>
        <family val="2"/>
      </rPr>
      <t>α</t>
    </r>
    <r>
      <rPr>
        <sz val="12.1"/>
        <color theme="1"/>
        <rFont val="Calibri"/>
        <family val="2"/>
      </rPr>
      <t>_wf</t>
    </r>
  </si>
  <si>
    <r>
      <rPr>
        <sz val="11"/>
        <color theme="1"/>
        <rFont val="Calibri"/>
        <family val="2"/>
      </rPr>
      <t>ε</t>
    </r>
    <r>
      <rPr>
        <sz val="12.1"/>
        <color theme="1"/>
        <rFont val="Calibri"/>
        <family val="2"/>
      </rPr>
      <t>_cl</t>
    </r>
  </si>
  <si>
    <t>eq 8.39</t>
  </si>
  <si>
    <t>horiz tail aspect ratio</t>
  </si>
  <si>
    <t>equivalent fuselage diameter</t>
  </si>
  <si>
    <t>z_h</t>
  </si>
  <si>
    <t>x_h</t>
  </si>
  <si>
    <t>γ_h</t>
  </si>
  <si>
    <t>ε_cl</t>
  </si>
  <si>
    <t>z_w</t>
  </si>
  <si>
    <t>wing zero-lift AoA</t>
  </si>
  <si>
    <r>
      <t>C_L_</t>
    </r>
    <r>
      <rPr>
        <sz val="11"/>
        <color theme="1"/>
        <rFont val="Calibri"/>
        <family val="2"/>
      </rPr>
      <t>α</t>
    </r>
    <r>
      <rPr>
        <sz val="12.1"/>
        <color theme="1"/>
        <rFont val="Calibri"/>
        <family val="2"/>
      </rPr>
      <t>_h</t>
    </r>
  </si>
  <si>
    <t>horiz tail lift curve slope</t>
  </si>
  <si>
    <t>horiz tail sweep at max thiccness ratio</t>
  </si>
  <si>
    <t>Δt/c_h</t>
  </si>
  <si>
    <t>η_h</t>
  </si>
  <si>
    <t>dδ/dα</t>
  </si>
  <si>
    <t>k_A</t>
  </si>
  <si>
    <t>k_h</t>
  </si>
  <si>
    <t>C_L_α_w @M</t>
  </si>
  <si>
    <t>C_L_α_w @M=0</t>
  </si>
  <si>
    <t>Δc/4</t>
  </si>
  <si>
    <t>h_h</t>
  </si>
  <si>
    <r>
      <t>ε</t>
    </r>
    <r>
      <rPr>
        <sz val="12.1"/>
        <color theme="1"/>
        <rFont val="Calibri"/>
        <family val="2"/>
      </rPr>
      <t>_0_h</t>
    </r>
  </si>
  <si>
    <t>α*_A</t>
  </si>
  <si>
    <t>α*_w</t>
  </si>
  <si>
    <t>α_C_L_max</t>
  </si>
  <si>
    <t>α_C_L_max_w</t>
  </si>
  <si>
    <t>Δα_w/c</t>
  </si>
  <si>
    <t>Δc_l_h</t>
  </si>
  <si>
    <r>
      <t>δ</t>
    </r>
    <r>
      <rPr>
        <sz val="12.65"/>
        <color theme="1"/>
        <rFont val="Calibri"/>
        <family val="2"/>
      </rPr>
      <t>_f</t>
    </r>
    <r>
      <rPr>
        <sz val="11"/>
        <color theme="1"/>
        <rFont val="Calibri"/>
        <family val="2"/>
      </rPr>
      <t>_h</t>
    </r>
  </si>
  <si>
    <r>
      <t>c_l_</t>
    </r>
    <r>
      <rPr>
        <sz val="11"/>
        <color theme="1"/>
        <rFont val="Calibri"/>
        <family val="2"/>
      </rPr>
      <t>δ</t>
    </r>
    <r>
      <rPr>
        <sz val="12.65"/>
        <color theme="1"/>
        <rFont val="Calibri"/>
        <family val="2"/>
      </rPr>
      <t>/c_l_δ_theory</t>
    </r>
  </si>
  <si>
    <t>c_l_δ_theory</t>
  </si>
  <si>
    <r>
      <rPr>
        <sz val="11"/>
        <color theme="1"/>
        <rFont val="Times New Roman"/>
        <family val="1"/>
      </rPr>
      <t>Δ</t>
    </r>
    <r>
      <rPr>
        <sz val="12.65"/>
        <color theme="1"/>
        <rFont val="Calibri"/>
        <family val="2"/>
        <scheme val="minor"/>
      </rPr>
      <t>C_L_h</t>
    </r>
  </si>
  <si>
    <t>k_b</t>
  </si>
  <si>
    <t>c_l_α_h</t>
  </si>
  <si>
    <t>α_δ_C_L/α_δ_c_l</t>
  </si>
  <si>
    <t>ΔC_L</t>
  </si>
  <si>
    <t>k_wh</t>
  </si>
  <si>
    <t>Δ_δ_f</t>
  </si>
  <si>
    <t>k_cw</t>
  </si>
  <si>
    <t>(C_L_α)_δ</t>
  </si>
  <si>
    <t>(dε/dα)_δ</t>
  </si>
  <si>
    <t>ΔC_L_max</t>
  </si>
  <si>
    <t>dε/dα</t>
  </si>
  <si>
    <t>Δε_f</t>
  </si>
  <si>
    <t>a/c zero-lift AoA</t>
  </si>
  <si>
    <t>a/c zero AoA lift coef</t>
  </si>
  <si>
    <t>a/c lift curve slope</t>
  </si>
  <si>
    <t>eqn 8.31</t>
  </si>
  <si>
    <t>eqn 8.32</t>
  </si>
  <si>
    <t>wing-fuse zero AoA lift coef</t>
  </si>
  <si>
    <t>eqn 8.33</t>
  </si>
  <si>
    <t>wing-fuse lift curve slope</t>
  </si>
  <si>
    <t>eqn 8.37</t>
  </si>
  <si>
    <t>eqn 8.38</t>
  </si>
  <si>
    <t>eqn 8.40</t>
  </si>
  <si>
    <t>wing zero-lift drag coef</t>
  </si>
  <si>
    <t>fig 8.63</t>
  </si>
  <si>
    <t>eqn 8.39</t>
  </si>
  <si>
    <t>horiz tail height from wing</t>
  </si>
  <si>
    <t>horiz tail distance from wing</t>
  </si>
  <si>
    <t>horiz tail angle from wing</t>
  </si>
  <si>
    <t>wing AoA</t>
  </si>
  <si>
    <t>eqn 8.43</t>
  </si>
  <si>
    <t>eqn 8.42</t>
  </si>
  <si>
    <t>eqn 8.45</t>
  </si>
  <si>
    <t>horiz tail downwash gradient</t>
  </si>
  <si>
    <t>eqn 8.46</t>
  </si>
  <si>
    <t>eqn 8.47</t>
  </si>
  <si>
    <t>eqn 8.48</t>
  </si>
  <si>
    <t>eqn 8.44</t>
  </si>
  <si>
    <t>eqn 8.49</t>
  </si>
  <si>
    <t>deg?</t>
  </si>
  <si>
    <t>horiz tail incidence angle</t>
  </si>
  <si>
    <t>eqn 8.50</t>
  </si>
  <si>
    <t>sec 8.1.3.4</t>
  </si>
  <si>
    <t>wing max lift coef</t>
  </si>
  <si>
    <t>difference between a/c stall AoA for canard and wing</t>
  </si>
  <si>
    <t>eqn 8.51</t>
  </si>
  <si>
    <t>horiz tail area</t>
  </si>
  <si>
    <t>a/c AoA of max lift coef</t>
  </si>
  <si>
    <t>a/c max lift coef</t>
  </si>
  <si>
    <t>a/c linear range of AoA</t>
  </si>
  <si>
    <t>horiz tail aspect ratio factor</t>
  </si>
  <si>
    <t>horiz tail taper ratio factor</t>
  </si>
  <si>
    <t>horiz tail taper ratio</t>
  </si>
  <si>
    <t>horiz tail height</t>
  </si>
  <si>
    <t>horiz tail c/4 distance from wing c/4</t>
  </si>
  <si>
    <t>fig 8.66</t>
  </si>
  <si>
    <t>wing span?</t>
  </si>
  <si>
    <t>wing lift curve slope at M = 0.15</t>
  </si>
  <si>
    <t>wing lift curve slope at M = 0</t>
  </si>
  <si>
    <t>wing c/4 sweep</t>
  </si>
  <si>
    <t>horiz tail height factor</t>
  </si>
  <si>
    <t>sec 4.2.1.1</t>
  </si>
  <si>
    <t>GROUND EFFECT</t>
  </si>
  <si>
    <t>N. p270</t>
  </si>
  <si>
    <t>R. p313</t>
  </si>
  <si>
    <t>Δα_g</t>
  </si>
  <si>
    <t>C_L_wf</t>
  </si>
  <si>
    <t>σ_g</t>
  </si>
  <si>
    <t>r_g</t>
  </si>
  <si>
    <t>T_g</t>
  </si>
  <si>
    <r>
      <t>(C_L_</t>
    </r>
    <r>
      <rPr>
        <sz val="11"/>
        <color theme="1"/>
        <rFont val="Calibri"/>
        <family val="2"/>
      </rPr>
      <t>α)_wf</t>
    </r>
  </si>
  <si>
    <t>B_g</t>
  </si>
  <si>
    <t>sec 8.1.7.2</t>
  </si>
  <si>
    <t>fig 8.77</t>
  </si>
  <si>
    <t>fig 8.78</t>
  </si>
  <si>
    <t>fig 8.79</t>
  </si>
  <si>
    <t>finite span factor</t>
  </si>
  <si>
    <t>vertical induced velocity factor</t>
  </si>
  <si>
    <t>horizontal induced velocity factor</t>
  </si>
  <si>
    <t>circulation change factor</t>
  </si>
  <si>
    <t>AR/AR_eff</t>
  </si>
  <si>
    <t>2 h/b</t>
  </si>
  <si>
    <t>N. fig 10.2a</t>
  </si>
  <si>
    <t>ground effect AR ratio</t>
  </si>
  <si>
    <t>2*height over wing span</t>
  </si>
  <si>
    <r>
      <t>C_L_</t>
    </r>
    <r>
      <rPr>
        <sz val="11"/>
        <color theme="1"/>
        <rFont val="Calibri"/>
        <family val="2"/>
      </rPr>
      <t>α_g</t>
    </r>
  </si>
  <si>
    <t>ground effect lift curve slope</t>
  </si>
  <si>
    <t>N. eqn 2.13</t>
  </si>
  <si>
    <t>AR_eff</t>
  </si>
  <si>
    <t>ground effect effective aspect ratio</t>
  </si>
  <si>
    <t>wing aspect ratio</t>
  </si>
  <si>
    <t>wing-fuse lift coef</t>
  </si>
  <si>
    <t>wing height above ground</t>
  </si>
  <si>
    <t>ROSKAM 6 CHAPTER 8.1</t>
  </si>
  <si>
    <t>ROSKAM 6 CHAPTER 8.2</t>
  </si>
  <si>
    <t>P321</t>
  </si>
  <si>
    <t>p321</t>
  </si>
  <si>
    <t>phrasing???</t>
  </si>
  <si>
    <t>what c_l (AoA) for M_crit</t>
  </si>
  <si>
    <t>x_cp</t>
  </si>
  <si>
    <t>x_ac</t>
  </si>
  <si>
    <t>M_crit</t>
  </si>
  <si>
    <t>eqn 8.62</t>
  </si>
  <si>
    <t>chord length</t>
  </si>
  <si>
    <t>sectional lift coef</t>
  </si>
  <si>
    <t>thickness ratio</t>
  </si>
  <si>
    <t>dc_m/dc_l</t>
  </si>
  <si>
    <t>x_ref</t>
  </si>
  <si>
    <t>airfoil pitching moment variation with lift coef</t>
  </si>
  <si>
    <t>eqn 8.64</t>
  </si>
  <si>
    <t>c_l*</t>
  </si>
  <si>
    <r>
      <t>c_l_</t>
    </r>
    <r>
      <rPr>
        <sz val="11"/>
        <color theme="1"/>
        <rFont val="Calibri"/>
        <family val="2"/>
      </rPr>
      <t>α</t>
    </r>
  </si>
  <si>
    <t>eqn 8.66</t>
  </si>
  <si>
    <t>airfoil linear range for pitching moment</t>
  </si>
  <si>
    <t>airfoil linear lift curve slope</t>
  </si>
  <si>
    <t>airfoil zero-lift AoA</t>
  </si>
  <si>
    <t>Flaps Up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</si>
  <si>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c_m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</si>
  <si>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c_l_max</t>
    </r>
  </si>
  <si>
    <t>fig 8.92</t>
  </si>
  <si>
    <t>airfoil pitching moment increment due to flaps</t>
  </si>
  <si>
    <t>airfoil max lift coef increment due to flaps</t>
  </si>
  <si>
    <t>p334</t>
  </si>
  <si>
    <t>C2 Wing Characteristics</t>
  </si>
  <si>
    <t>v tail c/4 height?</t>
  </si>
  <si>
    <t>whacc</t>
  </si>
  <si>
    <t>conditional</t>
  </si>
  <si>
    <t>aero center location (c/4)</t>
  </si>
  <si>
    <t>reference point location (cg?)</t>
  </si>
  <si>
    <t>transonic crit mach number (conditional)</t>
  </si>
  <si>
    <t>V_TO</t>
  </si>
  <si>
    <t>takeoff velocity</t>
  </si>
  <si>
    <t>SL speed of sound</t>
  </si>
  <si>
    <t>landing velocity</t>
  </si>
  <si>
    <t>wherever it is in space</t>
  </si>
  <si>
    <t>DIMENSIONS</t>
  </si>
  <si>
    <t>C2 Tail Characteristics</t>
  </si>
  <si>
    <t>mac or c(bar)</t>
  </si>
  <si>
    <t>span of c(bar)</t>
  </si>
  <si>
    <t>c_m_0_r</t>
  </si>
  <si>
    <t>c_m_0_t</t>
  </si>
  <si>
    <t>airfoil root zero-lift moment coef</t>
  </si>
  <si>
    <t>airfoil tip zero-lift moment coef</t>
  </si>
  <si>
    <t>C_m_0_w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</si>
  <si>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C_m_0 / ε_t</t>
    </r>
  </si>
  <si>
    <t>fig 8.98</t>
  </si>
  <si>
    <t>subsonic wing C_m_0</t>
  </si>
  <si>
    <t>C_m_0_w_at M</t>
  </si>
  <si>
    <t>eqn 8.70</t>
  </si>
  <si>
    <t>eqn 8.71</t>
  </si>
  <si>
    <t>transonic wing C_m_0 up to crit Mach #</t>
  </si>
  <si>
    <t>C_m_0_M / C_m_0_M=0</t>
  </si>
  <si>
    <t>fig 8.99</t>
  </si>
  <si>
    <t>C_m_0_w_at M=0</t>
  </si>
  <si>
    <t>(dC_m/dC_L)_w</t>
  </si>
  <si>
    <t>n_ref</t>
  </si>
  <si>
    <t>n_ac</t>
  </si>
  <si>
    <t>subsonic wing pitching moment curve slope</t>
  </si>
  <si>
    <t>moment reference center location</t>
  </si>
  <si>
    <t>wing aero center location</t>
  </si>
  <si>
    <t>wing root chord</t>
  </si>
  <si>
    <t>wing mac</t>
  </si>
  <si>
    <t>eqn 8.73</t>
  </si>
  <si>
    <t>fig 8.97a</t>
  </si>
  <si>
    <t>(C_L_w)_δ</t>
  </si>
  <si>
    <t>ΔC_L_ref_w</t>
  </si>
  <si>
    <t>K_p</t>
  </si>
  <si>
    <t>c'/c</t>
  </si>
  <si>
    <t>ΔC'_m / ΔC_L_ref_w</t>
  </si>
  <si>
    <t>K_Λ</t>
  </si>
  <si>
    <t>C_m_w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</si>
  <si>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C_m_w</t>
    </r>
  </si>
  <si>
    <t>fig 8.97</t>
  </si>
  <si>
    <t>eqn 8.74</t>
  </si>
  <si>
    <t>wing lift coef due to flaps</t>
  </si>
  <si>
    <t>sec 8.1.4</t>
  </si>
  <si>
    <t>wing lift coef flaps up</t>
  </si>
  <si>
    <t>sec 8.1.3</t>
  </si>
  <si>
    <t>wing lift increment due to flaps for ref wing</t>
  </si>
  <si>
    <t>flap span factor</t>
  </si>
  <si>
    <t>fig 8.105</t>
  </si>
  <si>
    <t>flaps down wing chord to flaps up wing chord ratio</t>
  </si>
  <si>
    <t>fig 8.106</t>
  </si>
  <si>
    <t>partial span flap conversion factor</t>
  </si>
  <si>
    <t>fig 8.107</t>
  </si>
  <si>
    <t>wing pitching moment coef flaps up</t>
  </si>
  <si>
    <t>sec 8.2.3</t>
  </si>
  <si>
    <t>eqn 8.56</t>
  </si>
  <si>
    <t>fig 8.75</t>
  </si>
  <si>
    <t>p350</t>
  </si>
  <si>
    <t>C_m_0_wf</t>
  </si>
  <si>
    <t>C_m_0_f</t>
  </si>
  <si>
    <t>(k_2 - k_1)</t>
  </si>
  <si>
    <t>fig 8.111</t>
  </si>
  <si>
    <t>w_f_i</t>
  </si>
  <si>
    <t>Δx_i</t>
  </si>
  <si>
    <t>i_cl_f</t>
  </si>
  <si>
    <t>Σ1-&gt;13</t>
  </si>
  <si>
    <t>wf</t>
  </si>
  <si>
    <t>summy</t>
  </si>
  <si>
    <t>diameter of flat fuselage?</t>
  </si>
  <si>
    <t>what flight conditions do 7.3 require?</t>
  </si>
  <si>
    <t>fineness ratio</t>
  </si>
  <si>
    <t>avg</t>
  </si>
  <si>
    <t>eqn 8.77</t>
  </si>
  <si>
    <t>eqn 8.78</t>
  </si>
  <si>
    <t>wing zero lift moment coef</t>
  </si>
  <si>
    <t>fuselage zero lift moment coef</t>
  </si>
  <si>
    <t>C_m_0_h</t>
  </si>
  <si>
    <t>C_L_0_h</t>
  </si>
  <si>
    <t>x(bar)_ac_h</t>
  </si>
  <si>
    <t>x(bar)_ref</t>
  </si>
  <si>
    <t>horiz tail moment coef at zero AoA</t>
  </si>
  <si>
    <t>horiz tail ac distance from cg</t>
  </si>
  <si>
    <t>fig 8.114</t>
  </si>
  <si>
    <t>horiz tail lift coef at zero AoA</t>
  </si>
  <si>
    <t>a/c zero lift moment coef</t>
  </si>
  <si>
    <t>eqn 8.76</t>
  </si>
  <si>
    <t>x(bar)_ac_w</t>
  </si>
  <si>
    <t>n_mgc</t>
  </si>
  <si>
    <t>x(bar)_ac_wf</t>
  </si>
  <si>
    <t>x(bar)_ac_A</t>
  </si>
  <si>
    <t>C_L_α_h</t>
  </si>
  <si>
    <t>dC_m / dC_L</t>
  </si>
  <si>
    <t>dδ/da</t>
  </si>
  <si>
    <t>eqn 8.81</t>
  </si>
  <si>
    <t>eqn 8.82</t>
  </si>
  <si>
    <t>eqn 8.83</t>
  </si>
  <si>
    <t>eqn 8.84</t>
  </si>
  <si>
    <t>fig 8.100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</si>
  <si>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x(bar)_ac_f</t>
    </r>
  </si>
  <si>
    <t>a/c moment variation with lift coef</t>
  </si>
  <si>
    <t>cg distance from LE of mac</t>
  </si>
  <si>
    <t>a/c aero center distance from LE</t>
  </si>
  <si>
    <t>fuselage average width of each section</t>
  </si>
  <si>
    <t>fuselage section length 13 sections</t>
  </si>
  <si>
    <t>wing AoA for zero lift</t>
  </si>
  <si>
    <t>x_i / c_f</t>
  </si>
  <si>
    <r>
      <t>dM/d</t>
    </r>
    <r>
      <rPr>
        <sz val="11"/>
        <color theme="1"/>
        <rFont val="Calibri"/>
        <family val="2"/>
      </rPr>
      <t>α</t>
    </r>
  </si>
  <si>
    <r>
      <t>C_L_</t>
    </r>
    <r>
      <rPr>
        <sz val="11"/>
        <color theme="1"/>
        <rFont val="Calibri"/>
        <family val="2"/>
      </rPr>
      <t>α_w</t>
    </r>
  </si>
  <si>
    <t>Δx_ac_f</t>
  </si>
  <si>
    <t>eqn 8.85</t>
  </si>
  <si>
    <t>eqn 8.86</t>
  </si>
  <si>
    <t>wing mean aero chord</t>
  </si>
  <si>
    <r>
      <t>(C_L_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)_wf</t>
    </r>
  </si>
  <si>
    <t>fuselage aero center shift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</si>
  <si>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C_m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</si>
  <si>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C_m_w</t>
    </r>
  </si>
  <si>
    <r>
      <t>C_L_</t>
    </r>
    <r>
      <rPr>
        <sz val="11"/>
        <color theme="1"/>
        <rFont val="Calibri"/>
        <family val="2"/>
      </rPr>
      <t>α_h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</si>
  <si>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δ_f</t>
    </r>
  </si>
  <si>
    <t>eqn 8.88</t>
  </si>
  <si>
    <t>a/c moment coef increment</t>
  </si>
  <si>
    <t>wing flap pitching moment change</t>
  </si>
  <si>
    <t>8.1.5.2</t>
  </si>
  <si>
    <t>fig 8.70</t>
  </si>
  <si>
    <r>
      <t>C_L_</t>
    </r>
    <r>
      <rPr>
        <sz val="11"/>
        <color theme="1"/>
        <rFont val="Calibri"/>
        <family val="2"/>
      </rPr>
      <t>α</t>
    </r>
    <r>
      <rPr>
        <sz val="8.8000000000000007"/>
        <color theme="1"/>
        <rFont val="Calibri"/>
        <family val="2"/>
      </rPr>
      <t>_w</t>
    </r>
  </si>
  <si>
    <r>
      <t>C_L_</t>
    </r>
    <r>
      <rPr>
        <sz val="11"/>
        <color theme="1"/>
        <rFont val="Calibri"/>
        <family val="2"/>
      </rPr>
      <t>α</t>
    </r>
    <r>
      <rPr>
        <sz val="8.8000000000000007"/>
        <color theme="1"/>
        <rFont val="Calibri"/>
        <family val="2"/>
      </rPr>
      <t>_w</t>
    </r>
    <r>
      <rPr>
        <sz val="11"/>
        <color theme="1"/>
        <rFont val="Calibri"/>
        <family val="2"/>
        <scheme val="minor"/>
      </rPr>
      <t>f</t>
    </r>
  </si>
  <si>
    <r>
      <t>C_L_</t>
    </r>
    <r>
      <rPr>
        <sz val="11"/>
        <color theme="1"/>
        <rFont val="Calibri"/>
        <family val="2"/>
      </rPr>
      <t>α</t>
    </r>
    <r>
      <rPr>
        <sz val="8.8000000000000007"/>
        <color theme="1"/>
        <rFont val="Calibri"/>
        <family val="2"/>
      </rPr>
      <t>_h</t>
    </r>
  </si>
  <si>
    <t>ε_0_h</t>
  </si>
  <si>
    <t>eqn 8.52</t>
  </si>
  <si>
    <t>sec 8.1.4.1</t>
  </si>
  <si>
    <t>canard on wing interference factor</t>
  </si>
  <si>
    <t>wing flap deflection tail downwash increase</t>
  </si>
  <si>
    <t>wing on horiz tail interference factor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</si>
  <si>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</si>
  <si>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C_L_h</t>
    </r>
  </si>
  <si>
    <t>LE Radius</t>
  </si>
  <si>
    <t>How should the drag polar curves look?</t>
  </si>
  <si>
    <t>RCR 7.4.3 where are the equivalent flat plate area calcs?</t>
  </si>
  <si>
    <t>Hand written sample calcs?</t>
  </si>
  <si>
    <t>K too high?</t>
  </si>
  <si>
    <t>K vs. due to lift of each component</t>
  </si>
  <si>
    <t>which equation does Transonic K go? Sub or super?</t>
  </si>
  <si>
    <t>C3</t>
  </si>
  <si>
    <t>wetted area</t>
  </si>
  <si>
    <t xml:space="preserve">equivalent circle area </t>
  </si>
  <si>
    <t>TO_g</t>
  </si>
  <si>
    <t>L_g</t>
  </si>
  <si>
    <t xml:space="preserve">  </t>
  </si>
  <si>
    <t>S_v</t>
  </si>
  <si>
    <t>rho</t>
  </si>
  <si>
    <t>u</t>
  </si>
  <si>
    <t>(C_L_α)_W</t>
  </si>
  <si>
    <t>Component</t>
  </si>
  <si>
    <t>wing</t>
  </si>
  <si>
    <t>Gear Down</t>
  </si>
  <si>
    <t>Gear Up</t>
  </si>
  <si>
    <t>V tail</t>
  </si>
  <si>
    <t>Boattail</t>
  </si>
  <si>
    <t>climb</t>
  </si>
  <si>
    <t>b_f</t>
  </si>
  <si>
    <t>Σ1-&gt;5</t>
  </si>
  <si>
    <t>r1x</t>
  </si>
  <si>
    <t>r1y</t>
  </si>
  <si>
    <t>r1z</t>
  </si>
  <si>
    <t>r2x</t>
  </si>
  <si>
    <t>r2y</t>
  </si>
  <si>
    <t>r2z</t>
  </si>
  <si>
    <t>Rx</t>
  </si>
  <si>
    <t>Ry</t>
  </si>
  <si>
    <t>Rz</t>
  </si>
  <si>
    <t>deltav1x</t>
  </si>
  <si>
    <t>deltav1</t>
  </si>
  <si>
    <t>deltav1z</t>
  </si>
  <si>
    <t>deltav1y</t>
  </si>
  <si>
    <t>deltav2x</t>
  </si>
  <si>
    <t>deltav2y</t>
  </si>
  <si>
    <t>deltav2z</t>
  </si>
  <si>
    <t>deltav2</t>
  </si>
  <si>
    <t>SpaceX Merlin</t>
  </si>
  <si>
    <t>I_sp</t>
  </si>
  <si>
    <t>m0</t>
  </si>
  <si>
    <t>kg</t>
  </si>
  <si>
    <t>m/s^2</t>
  </si>
  <si>
    <t>s</t>
  </si>
  <si>
    <t>deltam1</t>
  </si>
  <si>
    <t>deltam2</t>
  </si>
  <si>
    <t>vt1</t>
  </si>
  <si>
    <t>vt2</t>
  </si>
  <si>
    <t>vE1</t>
  </si>
  <si>
    <t>vA2</t>
  </si>
  <si>
    <t>eqn 8.22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</si>
  <si>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  <scheme val="minor"/>
      </rPr>
      <t>C_L</t>
    </r>
  </si>
  <si>
    <t>pre-fix</t>
  </si>
  <si>
    <t>distance from nose</t>
  </si>
  <si>
    <t>cg</t>
  </si>
  <si>
    <t>tail mac</t>
  </si>
  <si>
    <t>in</t>
  </si>
  <si>
    <t>(C_L_α)_h</t>
  </si>
  <si>
    <t>ΔC_L_h</t>
  </si>
  <si>
    <t>Δc_l_TO</t>
  </si>
  <si>
    <t>Δc_l_L</t>
  </si>
  <si>
    <t>flap:chord = .25</t>
  </si>
  <si>
    <t>RADIANS</t>
  </si>
  <si>
    <t>C_L_h</t>
  </si>
  <si>
    <r>
      <t xml:space="preserve">TO </t>
    </r>
    <r>
      <rPr>
        <sz val="11"/>
        <color theme="1"/>
        <rFont val="Calibri"/>
        <family val="2"/>
      </rPr>
      <t>α</t>
    </r>
  </si>
  <si>
    <r>
      <t xml:space="preserve">L </t>
    </r>
    <r>
      <rPr>
        <sz val="11"/>
        <color theme="1"/>
        <rFont val="Calibri"/>
        <family val="2"/>
      </rPr>
      <t>α</t>
    </r>
  </si>
  <si>
    <t>p136</t>
  </si>
  <si>
    <t>e_h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</si>
  <si>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C_D_trim_lift</t>
    </r>
  </si>
  <si>
    <t>p101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</si>
  <si>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C_D_p_</t>
    </r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_c/4=0_TO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</si>
  <si>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C_D_p_</t>
    </r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_c/4=0_L</t>
    </r>
  </si>
  <si>
    <t>s_ef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</si>
  <si>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C_D_trim_prof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</si>
  <si>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C_D_trim</t>
    </r>
  </si>
  <si>
    <t>SL 90F</t>
  </si>
  <si>
    <t>Δc/2</t>
  </si>
  <si>
    <t>k_w</t>
  </si>
  <si>
    <r>
      <t>c_l_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_w</t>
    </r>
  </si>
  <si>
    <r>
      <t>c_l_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_h</t>
    </r>
  </si>
  <si>
    <t>c_l_α_w</t>
  </si>
  <si>
    <t>Mcos(Δc/4)_w</t>
  </si>
  <si>
    <t>α_0_M/α_0_M=.3</t>
  </si>
  <si>
    <t>p307</t>
  </si>
  <si>
    <t>Δc_l_w</t>
  </si>
  <si>
    <r>
      <t>K_</t>
    </r>
    <r>
      <rPr>
        <sz val="11"/>
        <color theme="1"/>
        <rFont val="Times New Roman"/>
        <family val="1"/>
      </rPr>
      <t>Λ</t>
    </r>
  </si>
  <si>
    <t>Δc_l_max_w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</si>
  <si>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C_L_max</t>
    </r>
    <r>
      <rPr>
        <sz val="11"/>
        <color theme="1"/>
        <rFont val="Calibri"/>
        <family val="1"/>
      </rPr>
      <t>_w</t>
    </r>
  </si>
  <si>
    <t>tail</t>
  </si>
  <si>
    <t>plot</t>
  </si>
  <si>
    <t>?</t>
  </si>
  <si>
    <t>c_m_ac = C_m_0</t>
  </si>
  <si>
    <t>p248</t>
  </si>
  <si>
    <t>c_m</t>
  </si>
  <si>
    <t>TRANSONIC</t>
  </si>
  <si>
    <t>C_m</t>
  </si>
  <si>
    <r>
      <rPr>
        <sz val="11"/>
        <color theme="1"/>
        <rFont val="Calibri"/>
        <family val="2"/>
      </rPr>
      <t>α</t>
    </r>
    <r>
      <rPr>
        <sz val="12.1"/>
        <color theme="1"/>
        <rFont val="Calibri"/>
        <family val="2"/>
      </rPr>
      <t>_0_L</t>
    </r>
  </si>
  <si>
    <t>ref wing</t>
  </si>
  <si>
    <t>p343</t>
  </si>
  <si>
    <r>
      <rPr>
        <sz val="11"/>
        <color theme="1"/>
        <rFont val="Times New Roman"/>
        <family val="1"/>
      </rPr>
      <t>Λ</t>
    </r>
    <r>
      <rPr>
        <sz val="12.1"/>
        <color theme="1"/>
        <rFont val="Calibri"/>
        <family val="2"/>
      </rPr>
      <t>_c/2</t>
    </r>
  </si>
  <si>
    <r>
      <rPr>
        <sz val="11"/>
        <color theme="1"/>
        <rFont val="Times New Roman"/>
        <family val="1"/>
      </rPr>
      <t>Δ</t>
    </r>
    <r>
      <rPr>
        <sz val="12.1"/>
        <color theme="1"/>
        <rFont val="Calibri"/>
        <family val="2"/>
      </rPr>
      <t>C_L_ref_w</t>
    </r>
  </si>
  <si>
    <t>REF WING</t>
  </si>
  <si>
    <t>ACTUAL WING</t>
  </si>
  <si>
    <r>
      <rPr>
        <sz val="11"/>
        <color theme="1"/>
        <rFont val="Times New Roman"/>
        <family val="1"/>
      </rPr>
      <t>Δ</t>
    </r>
    <r>
      <rPr>
        <sz val="12.1"/>
        <color theme="1"/>
        <rFont val="Calibri"/>
        <family val="2"/>
      </rPr>
      <t>C_m_w</t>
    </r>
  </si>
  <si>
    <t>cg distance from LE of mac: CG_i = 295in CG_f = 160in</t>
  </si>
  <si>
    <t>SL90F</t>
  </si>
  <si>
    <t>dε/da</t>
  </si>
  <si>
    <t>8.2.4.1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</si>
  <si>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C_m_w_TO</t>
    </r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</si>
  <si>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C_m_w_L</t>
    </r>
  </si>
  <si>
    <t>ΔC_m_TO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</si>
  <si>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ε_f</t>
    </r>
  </si>
  <si>
    <t>ΔC_m_L</t>
  </si>
  <si>
    <t>L LE Slat</t>
  </si>
  <si>
    <t>LE SLATS</t>
  </si>
  <si>
    <r>
      <t>c_l_</t>
    </r>
    <r>
      <rPr>
        <sz val="11"/>
        <color theme="1"/>
        <rFont val="Calibri"/>
        <family val="2"/>
      </rPr>
      <t>δ</t>
    </r>
  </si>
  <si>
    <r>
      <rPr>
        <sz val="11"/>
        <color theme="1"/>
        <rFont val="Calibri"/>
        <family val="2"/>
      </rPr>
      <t>δ</t>
    </r>
    <r>
      <rPr>
        <sz val="12.65"/>
        <color theme="1"/>
        <rFont val="Calibri"/>
        <family val="2"/>
      </rPr>
      <t>_f</t>
    </r>
  </si>
  <si>
    <t>(α_δ_C_L)/(α_δ_c_l)</t>
  </si>
  <si>
    <t>Climb</t>
  </si>
  <si>
    <t>alpha</t>
  </si>
  <si>
    <t>Cruise</t>
  </si>
  <si>
    <t>ratio</t>
  </si>
  <si>
    <t>Maneuver</t>
  </si>
  <si>
    <t>Max Speed</t>
  </si>
  <si>
    <t>M = 0.2</t>
  </si>
  <si>
    <t>M = 0.3</t>
  </si>
  <si>
    <t>M = 0.5</t>
  </si>
  <si>
    <t>M = 0.55</t>
  </si>
  <si>
    <t>dash</t>
  </si>
  <si>
    <t>M = 0.8</t>
  </si>
  <si>
    <t>M = 0.75</t>
  </si>
  <si>
    <t>dash combat</t>
  </si>
  <si>
    <t>M = 0.6</t>
  </si>
  <si>
    <t>lift and moment effects of control surface deflection</t>
  </si>
  <si>
    <t>p378</t>
  </si>
  <si>
    <t>control derivatives</t>
  </si>
  <si>
    <t>p467</t>
  </si>
  <si>
    <t>C_L_i_h</t>
  </si>
  <si>
    <t>α_δ_e</t>
  </si>
  <si>
    <t>p469</t>
  </si>
  <si>
    <t>p468</t>
  </si>
  <si>
    <r>
      <t>c_l_</t>
    </r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>/c_l_</t>
    </r>
    <r>
      <rPr>
        <sz val="11"/>
        <color theme="1"/>
        <rFont val="Calibri"/>
        <family val="2"/>
      </rPr>
      <t>δ_theory</t>
    </r>
  </si>
  <si>
    <t>p262</t>
  </si>
  <si>
    <t>p260</t>
  </si>
  <si>
    <t>C_L_δ_e</t>
  </si>
  <si>
    <t>δ_e</t>
  </si>
  <si>
    <t>ΔC_L_ctrl_h</t>
  </si>
  <si>
    <t>ΔC_D_trim_lift</t>
  </si>
  <si>
    <r>
      <rPr>
        <sz val="11"/>
        <color theme="1"/>
        <rFont val="Times New Roman"/>
        <family val="1"/>
      </rPr>
      <t>Δ</t>
    </r>
    <r>
      <rPr>
        <sz val="11"/>
        <color theme="1"/>
        <rFont val="Calibri"/>
        <family val="2"/>
      </rPr>
      <t>C_D_p_</t>
    </r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_c/4=0</t>
    </r>
  </si>
  <si>
    <t>ΔC_D_trim_prof</t>
  </si>
  <si>
    <t>ΔC_D_trim</t>
  </si>
  <si>
    <t>M = 0.7</t>
  </si>
  <si>
    <t>M = 0.65</t>
  </si>
  <si>
    <t>fig 8.52</t>
  </si>
  <si>
    <t>fig 8.26</t>
  </si>
  <si>
    <t>eqn 8.15</t>
  </si>
  <si>
    <t>landing</t>
  </si>
  <si>
    <t>takeoff</t>
  </si>
  <si>
    <t>to</t>
  </si>
  <si>
    <t>Airfoil</t>
  </si>
  <si>
    <t>Re number</t>
  </si>
  <si>
    <t>NACA 1410</t>
  </si>
  <si>
    <t>Sweep at max thickness line (deg)</t>
  </si>
  <si>
    <t>Twist angle (deg)</t>
  </si>
  <si>
    <t>Incidence angle (deg)</t>
  </si>
  <si>
    <r>
      <t>S (ft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</si>
  <si>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Proturberances</t>
  </si>
  <si>
    <t>External Stores</t>
  </si>
  <si>
    <t>Pylons</t>
  </si>
  <si>
    <t>Slats</t>
  </si>
  <si>
    <t>Dead Engine</t>
  </si>
  <si>
    <t>subtotal</t>
  </si>
  <si>
    <t>TOTAL</t>
  </si>
  <si>
    <t>Fuselage</t>
  </si>
  <si>
    <t>Engine Housing (Thrust Vectoring)</t>
  </si>
  <si>
    <t>Boundary Layer Diverter</t>
  </si>
  <si>
    <t>M = 0.15</t>
  </si>
  <si>
    <t>Sea Level</t>
  </si>
  <si>
    <t>Standard Atmosphere</t>
  </si>
  <si>
    <r>
      <rPr>
        <sz val="11"/>
        <color theme="1"/>
        <rFont val="Times New Roman"/>
        <family val="1"/>
      </rPr>
      <t>Δ</t>
    </r>
    <r>
      <rPr>
        <sz val="9.35"/>
        <color theme="1"/>
        <rFont val="Calibri"/>
        <family val="2"/>
      </rPr>
      <t>C_D_prof_flap</t>
    </r>
  </si>
  <si>
    <r>
      <rPr>
        <sz val="11"/>
        <color theme="1"/>
        <rFont val="Times New Roman"/>
        <family val="1"/>
      </rPr>
      <t>Δ</t>
    </r>
    <r>
      <rPr>
        <sz val="9.35"/>
        <color theme="1"/>
        <rFont val="Calibri"/>
        <family val="2"/>
      </rPr>
      <t>C_d_p_</t>
    </r>
    <r>
      <rPr>
        <sz val="9.35"/>
        <color theme="1"/>
        <rFont val="Times New Roman"/>
        <family val="1"/>
      </rPr>
      <t>Λ</t>
    </r>
    <r>
      <rPr>
        <sz val="7.95"/>
        <color theme="1"/>
        <rFont val="Calibri"/>
        <family val="2"/>
      </rPr>
      <t>_c/4 = 0</t>
    </r>
  </si>
  <si>
    <t>plain</t>
  </si>
  <si>
    <t>slats</t>
  </si>
  <si>
    <r>
      <t>cos(</t>
    </r>
    <r>
      <rPr>
        <sz val="11"/>
        <color theme="1"/>
        <rFont val="Times New Roman"/>
        <family val="1"/>
      </rPr>
      <t>Λ</t>
    </r>
    <r>
      <rPr>
        <sz val="9.35"/>
        <color theme="1"/>
        <rFont val="Calibri"/>
        <family val="2"/>
      </rPr>
      <t>_c/4)</t>
    </r>
  </si>
  <si>
    <r>
      <rPr>
        <sz val="11"/>
        <color theme="1"/>
        <rFont val="Times New Roman"/>
        <family val="1"/>
      </rPr>
      <t>Δ</t>
    </r>
    <r>
      <rPr>
        <sz val="9.35"/>
        <color theme="1"/>
        <rFont val="Calibri"/>
        <family val="2"/>
      </rPr>
      <t>C_D_i_flap</t>
    </r>
  </si>
  <si>
    <r>
      <rPr>
        <sz val="11"/>
        <color theme="1"/>
        <rFont val="Times New Roman"/>
        <family val="1"/>
      </rPr>
      <t>Δ</t>
    </r>
    <r>
      <rPr>
        <sz val="9.35"/>
        <color theme="1"/>
        <rFont val="Calibri"/>
        <family val="2"/>
      </rPr>
      <t>C_L_flap</t>
    </r>
  </si>
  <si>
    <r>
      <rPr>
        <sz val="11"/>
        <color theme="1"/>
        <rFont val="Times New Roman"/>
        <family val="1"/>
      </rPr>
      <t>Δ</t>
    </r>
    <r>
      <rPr>
        <sz val="9.35"/>
        <color theme="1"/>
        <rFont val="Calibri"/>
        <family val="2"/>
      </rPr>
      <t>C_D_int_flap</t>
    </r>
  </si>
  <si>
    <t>K_int</t>
  </si>
  <si>
    <t>C_D_flap</t>
  </si>
  <si>
    <t>Takeoff</t>
  </si>
  <si>
    <t>C_L @ ground attitude</t>
  </si>
  <si>
    <t>CONTRIBUTIONS</t>
  </si>
  <si>
    <t>body</t>
  </si>
  <si>
    <t>C_D @ ground attitude w/ Ground Effect</t>
  </si>
  <si>
    <t>h/b</t>
  </si>
  <si>
    <t>sigma</t>
  </si>
  <si>
    <t>SL90F Ground Effect</t>
  </si>
  <si>
    <r>
      <rPr>
        <sz val="11"/>
        <color theme="1"/>
        <rFont val="Times New Roman"/>
        <family val="1"/>
      </rPr>
      <t>Δ</t>
    </r>
    <r>
      <rPr>
        <sz val="9.9"/>
        <color theme="1"/>
        <rFont val="Calibri"/>
        <family val="2"/>
        <scheme val="minor"/>
      </rPr>
      <t>C_D_i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</si>
</sst>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0.000000"/>
    <numFmt numFmtId="166" formatCode="0.0000000"/>
    <numFmt numFmtId="167" formatCode="0.00000"/>
    <numFmt numFmtId="168" formatCode="0.00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3.2"/>
      <color theme="1"/>
      <name val="Calibri"/>
      <family val="2"/>
    </font>
    <font>
      <sz val="11"/>
      <name val="Calibri"/>
      <family val="2"/>
      <scheme val="minor"/>
    </font>
    <font>
      <sz val="12.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Times New Roman"/>
      <family val="1"/>
    </font>
    <font>
      <sz val="11"/>
      <color theme="1"/>
      <name val="Calibri"/>
      <family val="1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Times New Roman"/>
      <family val="1"/>
    </font>
    <font>
      <sz val="11"/>
      <name val="Calibri"/>
      <family val="1"/>
    </font>
    <font>
      <sz val="12.65"/>
      <color theme="1"/>
      <name val="Calibri"/>
      <family val="2"/>
    </font>
    <font>
      <sz val="12.65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1"/>
      <name val="Calibri"/>
      <family val="1"/>
      <scheme val="minor"/>
    </font>
    <font>
      <sz val="8.8000000000000007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9.35"/>
      <color theme="1"/>
      <name val="Calibri"/>
      <family val="2"/>
    </font>
    <font>
      <sz val="9.35"/>
      <color theme="1"/>
      <name val="Times New Roman"/>
      <family val="1"/>
    </font>
    <font>
      <sz val="7.95"/>
      <color theme="1"/>
      <name val="Calibri"/>
      <family val="2"/>
    </font>
    <font>
      <sz val="9.9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3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left" indent="1"/>
    </xf>
    <xf numFmtId="0" fontId="0" fillId="0" borderId="0" xfId="0" applyBorder="1"/>
    <xf numFmtId="0" fontId="0" fillId="0" borderId="5" xfId="0" applyBorder="1"/>
    <xf numFmtId="0" fontId="0" fillId="0" borderId="6" xfId="0" applyBorder="1" applyAlignment="1">
      <alignment horizontal="left" indent="1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0" fontId="0" fillId="0" borderId="0" xfId="0" applyFill="1" applyBorder="1"/>
    <xf numFmtId="0" fontId="0" fillId="0" borderId="1" xfId="0" applyFill="1" applyBorder="1"/>
    <xf numFmtId="0" fontId="0" fillId="0" borderId="3" xfId="0" applyFill="1" applyBorder="1"/>
    <xf numFmtId="0" fontId="0" fillId="0" borderId="4" xfId="0" applyBorder="1"/>
    <xf numFmtId="4" fontId="0" fillId="0" borderId="0" xfId="0" applyNumberFormat="1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Fill="1" applyBorder="1"/>
    <xf numFmtId="0" fontId="0" fillId="0" borderId="6" xfId="0" applyFill="1" applyBorder="1"/>
    <xf numFmtId="0" fontId="0" fillId="0" borderId="7" xfId="0" applyFill="1" applyBorder="1"/>
    <xf numFmtId="0" fontId="0" fillId="2" borderId="5" xfId="0" applyFill="1" applyBorder="1"/>
    <xf numFmtId="0" fontId="1" fillId="0" borderId="4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4" xfId="0" applyFill="1" applyBorder="1"/>
    <xf numFmtId="0" fontId="0" fillId="3" borderId="0" xfId="0" applyFill="1" applyBorder="1"/>
    <xf numFmtId="0" fontId="0" fillId="3" borderId="0" xfId="0" applyFill="1"/>
    <xf numFmtId="0" fontId="0" fillId="0" borderId="0" xfId="0" applyFill="1"/>
    <xf numFmtId="2" fontId="0" fillId="0" borderId="5" xfId="0" applyNumberFormat="1" applyBorder="1"/>
    <xf numFmtId="2" fontId="0" fillId="0" borderId="5" xfId="0" applyNumberFormat="1" applyFill="1" applyBorder="1"/>
    <xf numFmtId="0" fontId="0" fillId="4" borderId="5" xfId="0" applyFill="1" applyBorder="1"/>
    <xf numFmtId="0" fontId="0" fillId="4" borderId="0" xfId="0" applyFill="1" applyBorder="1"/>
    <xf numFmtId="0" fontId="1" fillId="0" borderId="5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4" xfId="0" applyFill="1" applyBorder="1" applyAlignment="1">
      <alignment horizontal="left" indent="1"/>
    </xf>
    <xf numFmtId="0" fontId="0" fillId="0" borderId="6" xfId="0" applyFill="1" applyBorder="1" applyAlignment="1">
      <alignment horizontal="left" indent="1"/>
    </xf>
    <xf numFmtId="0" fontId="0" fillId="0" borderId="9" xfId="0" applyBorder="1"/>
    <xf numFmtId="0" fontId="0" fillId="0" borderId="10" xfId="0" applyBorder="1"/>
    <xf numFmtId="2" fontId="0" fillId="0" borderId="0" xfId="0" applyNumberFormat="1" applyBorder="1"/>
    <xf numFmtId="0" fontId="0" fillId="5" borderId="8" xfId="0" applyFill="1" applyBorder="1"/>
    <xf numFmtId="0" fontId="1" fillId="0" borderId="4" xfId="0" applyFont="1" applyBorder="1" applyAlignment="1">
      <alignment horizontal="left"/>
    </xf>
    <xf numFmtId="0" fontId="1" fillId="0" borderId="0" xfId="0" applyFont="1" applyBorder="1"/>
    <xf numFmtId="0" fontId="1" fillId="0" borderId="5" xfId="0" applyFont="1" applyBorder="1"/>
    <xf numFmtId="0" fontId="0" fillId="0" borderId="4" xfId="0" applyBorder="1" applyAlignment="1">
      <alignment horizontal="left"/>
    </xf>
    <xf numFmtId="0" fontId="0" fillId="0" borderId="4" xfId="0" applyFill="1" applyBorder="1" applyAlignment="1">
      <alignment horizontal="left"/>
    </xf>
    <xf numFmtId="0" fontId="1" fillId="0" borderId="4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0" fillId="0" borderId="6" xfId="0" applyFill="1" applyBorder="1" applyAlignment="1">
      <alignment horizontal="left"/>
    </xf>
    <xf numFmtId="0" fontId="0" fillId="3" borderId="3" xfId="0" applyFill="1" applyBorder="1"/>
    <xf numFmtId="0" fontId="0" fillId="4" borderId="8" xfId="0" applyFill="1" applyBorder="1"/>
    <xf numFmtId="0" fontId="4" fillId="3" borderId="0" xfId="0" applyFont="1" applyFill="1" applyBorder="1"/>
    <xf numFmtId="0" fontId="2" fillId="0" borderId="4" xfId="0" applyFont="1" applyFill="1" applyBorder="1" applyAlignment="1">
      <alignment horizontal="left"/>
    </xf>
    <xf numFmtId="0" fontId="4" fillId="0" borderId="0" xfId="0" applyFont="1" applyFill="1" applyBorder="1"/>
    <xf numFmtId="0" fontId="0" fillId="0" borderId="4" xfId="0" applyFont="1" applyFill="1" applyBorder="1" applyAlignment="1">
      <alignment horizontal="left" indent="1"/>
    </xf>
    <xf numFmtId="0" fontId="6" fillId="0" borderId="4" xfId="0" applyFont="1" applyFill="1" applyBorder="1" applyAlignment="1">
      <alignment horizontal="left"/>
    </xf>
    <xf numFmtId="0" fontId="0" fillId="2" borderId="0" xfId="0" applyFill="1" applyBorder="1"/>
    <xf numFmtId="0" fontId="2" fillId="0" borderId="4" xfId="0" applyFont="1" applyFill="1" applyBorder="1" applyAlignment="1">
      <alignment horizontal="left" indent="1"/>
    </xf>
    <xf numFmtId="0" fontId="2" fillId="0" borderId="4" xfId="0" applyFont="1" applyBorder="1" applyAlignment="1">
      <alignment horizontal="left"/>
    </xf>
    <xf numFmtId="0" fontId="0" fillId="0" borderId="4" xfId="0" applyFill="1" applyBorder="1" applyAlignment="1">
      <alignment horizontal="left" indent="2"/>
    </xf>
    <xf numFmtId="0" fontId="0" fillId="0" borderId="4" xfId="0" applyBorder="1" applyAlignment="1"/>
    <xf numFmtId="0" fontId="0" fillId="6" borderId="0" xfId="0" applyFill="1" applyBorder="1"/>
    <xf numFmtId="0" fontId="2" fillId="0" borderId="4" xfId="0" applyFont="1" applyBorder="1" applyAlignment="1">
      <alignment horizontal="left" indent="1"/>
    </xf>
    <xf numFmtId="0" fontId="0" fillId="0" borderId="0" xfId="0" applyBorder="1" applyAlignment="1">
      <alignment horizontal="left"/>
    </xf>
    <xf numFmtId="0" fontId="0" fillId="0" borderId="4" xfId="0" applyBorder="1" applyAlignment="1">
      <alignment horizontal="left" indent="2"/>
    </xf>
    <xf numFmtId="0" fontId="0" fillId="0" borderId="2" xfId="0" applyFill="1" applyBorder="1" applyAlignment="1"/>
    <xf numFmtId="0" fontId="0" fillId="0" borderId="2" xfId="0" applyBorder="1" applyAlignment="1"/>
    <xf numFmtId="2" fontId="0" fillId="0" borderId="8" xfId="0" applyNumberFormat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4" xfId="0" applyBorder="1" applyAlignment="1">
      <alignment horizontal="left" indent="3"/>
    </xf>
    <xf numFmtId="0" fontId="0" fillId="0" borderId="0" xfId="0" applyFill="1" applyBorder="1" applyAlignment="1">
      <alignment horizontal="left" indent="2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left"/>
    </xf>
    <xf numFmtId="0" fontId="8" fillId="0" borderId="4" xfId="0" applyFont="1" applyBorder="1"/>
    <xf numFmtId="0" fontId="0" fillId="0" borderId="5" xfId="0" applyBorder="1" applyAlignment="1">
      <alignment wrapText="1"/>
    </xf>
    <xf numFmtId="0" fontId="0" fillId="0" borderId="5" xfId="0" applyBorder="1" applyAlignment="1">
      <alignment horizontal="left" indent="1"/>
    </xf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 indent="1"/>
    </xf>
    <xf numFmtId="0" fontId="0" fillId="0" borderId="5" xfId="0" applyFill="1" applyBorder="1" applyAlignment="1">
      <alignment horizontal="left"/>
    </xf>
    <xf numFmtId="0" fontId="0" fillId="0" borderId="5" xfId="0" applyBorder="1" applyAlignment="1">
      <alignment horizontal="left" wrapText="1" indent="1"/>
    </xf>
    <xf numFmtId="0" fontId="0" fillId="2" borderId="4" xfId="0" applyFill="1" applyBorder="1"/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8" fillId="0" borderId="0" xfId="0" applyFont="1"/>
    <xf numFmtId="0" fontId="0" fillId="6" borderId="5" xfId="0" applyFill="1" applyBorder="1"/>
    <xf numFmtId="0" fontId="0" fillId="6" borderId="8" xfId="0" applyFill="1" applyBorder="1"/>
    <xf numFmtId="0" fontId="0" fillId="6" borderId="1" xfId="0" applyFill="1" applyBorder="1"/>
    <xf numFmtId="0" fontId="0" fillId="7" borderId="4" xfId="0" applyFill="1" applyBorder="1"/>
    <xf numFmtId="0" fontId="0" fillId="7" borderId="0" xfId="0" applyFill="1" applyBorder="1"/>
    <xf numFmtId="0" fontId="0" fillId="7" borderId="5" xfId="0" applyFill="1" applyBorder="1"/>
    <xf numFmtId="0" fontId="0" fillId="3" borderId="5" xfId="0" applyFill="1" applyBorder="1"/>
    <xf numFmtId="0" fontId="0" fillId="3" borderId="7" xfId="0" applyFill="1" applyBorder="1"/>
    <xf numFmtId="0" fontId="0" fillId="0" borderId="0" xfId="0" applyAlignment="1"/>
    <xf numFmtId="0" fontId="0" fillId="6" borderId="0" xfId="0" applyFill="1"/>
    <xf numFmtId="0" fontId="0" fillId="7" borderId="0" xfId="0" applyFill="1"/>
    <xf numFmtId="0" fontId="0" fillId="4" borderId="0" xfId="0" applyFill="1"/>
    <xf numFmtId="0" fontId="0" fillId="2" borderId="0" xfId="0" applyFill="1"/>
    <xf numFmtId="0" fontId="2" fillId="0" borderId="0" xfId="0" applyFont="1" applyFill="1" applyBorder="1" applyAlignment="1">
      <alignment horizontal="left" indent="2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indent="2"/>
    </xf>
    <xf numFmtId="0" fontId="2" fillId="0" borderId="4" xfId="0" applyFont="1" applyBorder="1" applyAlignment="1">
      <alignment horizontal="left" indent="3"/>
    </xf>
    <xf numFmtId="0" fontId="0" fillId="0" borderId="6" xfId="0" applyBorder="1" applyAlignment="1">
      <alignment horizontal="left" indent="3"/>
    </xf>
    <xf numFmtId="0" fontId="0" fillId="2" borderId="11" xfId="0" applyFill="1" applyBorder="1"/>
    <xf numFmtId="0" fontId="0" fillId="4" borderId="2" xfId="0" applyFill="1" applyBorder="1"/>
    <xf numFmtId="0" fontId="0" fillId="3" borderId="2" xfId="0" applyFill="1" applyBorder="1"/>
    <xf numFmtId="0" fontId="2" fillId="0" borderId="0" xfId="0" applyFont="1" applyFill="1" applyBorder="1" applyAlignment="1">
      <alignment horizontal="left"/>
    </xf>
    <xf numFmtId="0" fontId="8" fillId="0" borderId="1" xfId="0" applyFont="1" applyBorder="1"/>
    <xf numFmtId="0" fontId="8" fillId="0" borderId="6" xfId="0" applyFont="1" applyBorder="1"/>
    <xf numFmtId="0" fontId="0" fillId="0" borderId="0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5" xfId="0" applyBorder="1" applyAlignment="1">
      <alignment vertical="center"/>
    </xf>
    <xf numFmtId="0" fontId="2" fillId="0" borderId="1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4" xfId="0" applyFont="1" applyBorder="1" applyAlignment="1">
      <alignment horizontal="left" indent="1"/>
    </xf>
    <xf numFmtId="0" fontId="8" fillId="0" borderId="4" xfId="0" applyFont="1" applyFill="1" applyBorder="1" applyAlignment="1">
      <alignment horizontal="left" indent="1"/>
    </xf>
    <xf numFmtId="11" fontId="0" fillId="0" borderId="0" xfId="0" applyNumberFormat="1" applyBorder="1"/>
    <xf numFmtId="0" fontId="0" fillId="0" borderId="12" xfId="0" applyBorder="1"/>
    <xf numFmtId="0" fontId="0" fillId="2" borderId="12" xfId="0" applyFill="1" applyBorder="1"/>
    <xf numFmtId="0" fontId="0" fillId="0" borderId="12" xfId="0" applyBorder="1" applyAlignment="1">
      <alignment horizontal="left"/>
    </xf>
    <xf numFmtId="0" fontId="0" fillId="0" borderId="5" xfId="0" applyFill="1" applyBorder="1"/>
    <xf numFmtId="0" fontId="0" fillId="8" borderId="0" xfId="0" applyFill="1" applyBorder="1"/>
    <xf numFmtId="0" fontId="0" fillId="8" borderId="5" xfId="0" applyFill="1" applyBorder="1"/>
    <xf numFmtId="0" fontId="0" fillId="9" borderId="0" xfId="0" applyFill="1"/>
    <xf numFmtId="0" fontId="2" fillId="8" borderId="12" xfId="0" applyFont="1" applyFill="1" applyBorder="1"/>
    <xf numFmtId="0" fontId="0" fillId="8" borderId="12" xfId="0" applyFill="1" applyBorder="1"/>
    <xf numFmtId="0" fontId="0" fillId="9" borderId="5" xfId="0" applyFill="1" applyBorder="1"/>
    <xf numFmtId="11" fontId="0" fillId="4" borderId="0" xfId="0" applyNumberFormat="1" applyFill="1"/>
    <xf numFmtId="11" fontId="0" fillId="0" borderId="0" xfId="0" applyNumberFormat="1"/>
    <xf numFmtId="0" fontId="4" fillId="3" borderId="0" xfId="0" applyFont="1" applyFill="1"/>
    <xf numFmtId="0" fontId="2" fillId="0" borderId="0" xfId="0" applyFont="1" applyFill="1" applyBorder="1" applyAlignment="1">
      <alignment horizontal="left" indent="1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>
      <alignment horizontal="left" indent="3"/>
    </xf>
    <xf numFmtId="0" fontId="0" fillId="0" borderId="0" xfId="0" applyFill="1" applyBorder="1" applyAlignment="1">
      <alignment horizontal="left" indent="3"/>
    </xf>
    <xf numFmtId="2" fontId="0" fillId="0" borderId="0" xfId="0" applyNumberFormat="1"/>
    <xf numFmtId="0" fontId="0" fillId="10" borderId="12" xfId="0" applyFill="1" applyBorder="1"/>
    <xf numFmtId="0" fontId="0" fillId="10" borderId="3" xfId="0" applyFill="1" applyBorder="1"/>
    <xf numFmtId="0" fontId="0" fillId="10" borderId="0" xfId="0" applyFill="1"/>
    <xf numFmtId="0" fontId="0" fillId="0" borderId="12" xfId="0" applyFill="1" applyBorder="1"/>
    <xf numFmtId="0" fontId="0" fillId="2" borderId="10" xfId="0" applyFill="1" applyBorder="1"/>
    <xf numFmtId="0" fontId="0" fillId="4" borderId="10" xfId="0" applyFill="1" applyBorder="1"/>
    <xf numFmtId="3" fontId="0" fillId="2" borderId="10" xfId="0" applyNumberFormat="1" applyFill="1" applyBorder="1"/>
    <xf numFmtId="0" fontId="2" fillId="0" borderId="12" xfId="0" applyFont="1" applyBorder="1"/>
    <xf numFmtId="0" fontId="0" fillId="0" borderId="12" xfId="0" applyFont="1" applyFill="1" applyBorder="1"/>
    <xf numFmtId="0" fontId="0" fillId="0" borderId="0" xfId="0" applyFont="1" applyFill="1" applyBorder="1"/>
    <xf numFmtId="0" fontId="10" fillId="0" borderId="0" xfId="1"/>
    <xf numFmtId="0" fontId="0" fillId="0" borderId="8" xfId="0" applyFill="1" applyBorder="1"/>
    <xf numFmtId="0" fontId="0" fillId="0" borderId="0" xfId="0" applyFill="1" applyBorder="1" applyAlignment="1">
      <alignment horizontal="left" indent="1"/>
    </xf>
    <xf numFmtId="0" fontId="0" fillId="0" borderId="1" xfId="0" applyFill="1" applyBorder="1" applyAlignment="1">
      <alignment horizontal="left" indent="1"/>
    </xf>
    <xf numFmtId="0" fontId="8" fillId="0" borderId="6" xfId="0" applyFont="1" applyFill="1" applyBorder="1" applyAlignment="1">
      <alignment horizontal="left" indent="1"/>
    </xf>
    <xf numFmtId="0" fontId="8" fillId="0" borderId="7" xfId="0" applyFont="1" applyFill="1" applyBorder="1" applyAlignment="1">
      <alignment horizontal="left" indent="1"/>
    </xf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horizontal="left" indent="1"/>
    </xf>
    <xf numFmtId="0" fontId="4" fillId="6" borderId="0" xfId="0" applyFont="1" applyFill="1" applyBorder="1"/>
    <xf numFmtId="0" fontId="4" fillId="6" borderId="0" xfId="0" applyFont="1" applyFill="1"/>
    <xf numFmtId="0" fontId="0" fillId="0" borderId="2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10" borderId="2" xfId="0" applyFill="1" applyBorder="1"/>
    <xf numFmtId="11" fontId="0" fillId="6" borderId="0" xfId="0" applyNumberForma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0" xfId="0" applyFont="1" applyBorder="1"/>
    <xf numFmtId="0" fontId="8" fillId="12" borderId="4" xfId="0" applyFont="1" applyFill="1" applyBorder="1"/>
    <xf numFmtId="0" fontId="0" fillId="12" borderId="0" xfId="0" applyFill="1" applyBorder="1"/>
    <xf numFmtId="0" fontId="0" fillId="11" borderId="0" xfId="0" applyFill="1" applyBorder="1"/>
    <xf numFmtId="0" fontId="8" fillId="12" borderId="4" xfId="0" applyFont="1" applyFill="1" applyBorder="1" applyAlignment="1">
      <alignment horizontal="left"/>
    </xf>
    <xf numFmtId="0" fontId="0" fillId="12" borderId="4" xfId="0" applyFill="1" applyBorder="1"/>
    <xf numFmtId="0" fontId="8" fillId="0" borderId="6" xfId="0" applyFont="1" applyBorder="1" applyAlignment="1">
      <alignment horizontal="left" indent="1"/>
    </xf>
    <xf numFmtId="0" fontId="8" fillId="5" borderId="0" xfId="0" applyFont="1" applyFill="1" applyBorder="1" applyAlignment="1"/>
    <xf numFmtId="0" fontId="0" fillId="5" borderId="0" xfId="0" applyFill="1" applyAlignment="1"/>
    <xf numFmtId="0" fontId="2" fillId="0" borderId="4" xfId="0" applyFont="1" applyBorder="1"/>
    <xf numFmtId="0" fontId="2" fillId="12" borderId="1" xfId="0" applyFont="1" applyFill="1" applyBorder="1"/>
    <xf numFmtId="0" fontId="0" fillId="12" borderId="2" xfId="0" applyFill="1" applyBorder="1"/>
    <xf numFmtId="0" fontId="2" fillId="12" borderId="4" xfId="0" applyFont="1" applyFill="1" applyBorder="1"/>
    <xf numFmtId="0" fontId="0" fillId="0" borderId="4" xfId="0" applyFont="1" applyBorder="1" applyAlignment="1">
      <alignment horizontal="left" indent="1"/>
    </xf>
    <xf numFmtId="0" fontId="0" fillId="11" borderId="7" xfId="0" applyFill="1" applyBorder="1"/>
    <xf numFmtId="0" fontId="7" fillId="0" borderId="4" xfId="0" applyFont="1" applyBorder="1" applyAlignment="1">
      <alignment horizontal="left" indent="1"/>
    </xf>
    <xf numFmtId="0" fontId="0" fillId="5" borderId="0" xfId="0" applyFill="1" applyBorder="1"/>
    <xf numFmtId="0" fontId="8" fillId="0" borderId="4" xfId="0" applyFont="1" applyFill="1" applyBorder="1" applyAlignment="1">
      <alignment horizontal="left" indent="2"/>
    </xf>
    <xf numFmtId="0" fontId="1" fillId="0" borderId="0" xfId="0" applyFont="1"/>
    <xf numFmtId="0" fontId="0" fillId="5" borderId="0" xfId="0" applyFill="1"/>
    <xf numFmtId="0" fontId="2" fillId="0" borderId="1" xfId="0" applyFont="1" applyBorder="1"/>
    <xf numFmtId="0" fontId="2" fillId="0" borderId="1" xfId="0" applyFont="1" applyFill="1" applyBorder="1"/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6" xfId="0" applyFont="1" applyBorder="1" applyAlignment="1">
      <alignment horizontal="left" indent="1"/>
    </xf>
    <xf numFmtId="0" fontId="2" fillId="12" borderId="1" xfId="0" applyFont="1" applyFill="1" applyBorder="1" applyAlignment="1">
      <alignment horizontal="left"/>
    </xf>
    <xf numFmtId="0" fontId="0" fillId="12" borderId="3" xfId="0" applyFill="1" applyBorder="1"/>
    <xf numFmtId="0" fontId="2" fillId="0" borderId="6" xfId="0" applyFont="1" applyFill="1" applyBorder="1" applyAlignment="1">
      <alignment horizontal="left" indent="1"/>
    </xf>
    <xf numFmtId="0" fontId="0" fillId="0" borderId="1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left" indent="1"/>
    </xf>
    <xf numFmtId="0" fontId="4" fillId="0" borderId="7" xfId="0" applyFont="1" applyFill="1" applyBorder="1"/>
    <xf numFmtId="0" fontId="0" fillId="12" borderId="1" xfId="0" applyFill="1" applyBorder="1" applyAlignment="1">
      <alignment horizontal="left"/>
    </xf>
    <xf numFmtId="0" fontId="0" fillId="0" borderId="6" xfId="0" applyFill="1" applyBorder="1" applyAlignment="1">
      <alignment horizontal="left" indent="2"/>
    </xf>
    <xf numFmtId="0" fontId="0" fillId="12" borderId="4" xfId="0" applyFont="1" applyFill="1" applyBorder="1" applyAlignment="1">
      <alignment horizontal="left"/>
    </xf>
    <xf numFmtId="0" fontId="0" fillId="12" borderId="6" xfId="0" applyFont="1" applyFill="1" applyBorder="1" applyAlignment="1">
      <alignment horizontal="left"/>
    </xf>
    <xf numFmtId="0" fontId="0" fillId="12" borderId="7" xfId="0" applyFill="1" applyBorder="1"/>
    <xf numFmtId="0" fontId="0" fillId="12" borderId="1" xfId="0" applyFill="1" applyBorder="1"/>
    <xf numFmtId="0" fontId="2" fillId="12" borderId="4" xfId="0" applyFont="1" applyFill="1" applyBorder="1" applyAlignment="1">
      <alignment horizontal="left"/>
    </xf>
    <xf numFmtId="0" fontId="0" fillId="12" borderId="4" xfId="0" applyFill="1" applyBorder="1" applyAlignment="1">
      <alignment horizontal="left"/>
    </xf>
    <xf numFmtId="0" fontId="0" fillId="0" borderId="4" xfId="0" applyFont="1" applyFill="1" applyBorder="1" applyAlignment="1">
      <alignment horizontal="left" indent="2"/>
    </xf>
    <xf numFmtId="0" fontId="0" fillId="0" borderId="6" xfId="0" applyFont="1" applyFill="1" applyBorder="1" applyAlignment="1">
      <alignment horizontal="left" indent="2"/>
    </xf>
    <xf numFmtId="0" fontId="7" fillId="0" borderId="4" xfId="0" applyFont="1" applyBorder="1"/>
    <xf numFmtId="0" fontId="7" fillId="0" borderId="6" xfId="0" applyFont="1" applyBorder="1"/>
    <xf numFmtId="0" fontId="2" fillId="0" borderId="0" xfId="0" applyFont="1" applyFill="1" applyBorder="1" applyAlignment="1"/>
    <xf numFmtId="0" fontId="8" fillId="0" borderId="4" xfId="0" applyFont="1" applyFill="1" applyBorder="1" applyAlignment="1"/>
    <xf numFmtId="0" fontId="0" fillId="0" borderId="5" xfId="0" applyBorder="1" applyAlignment="1"/>
    <xf numFmtId="0" fontId="2" fillId="0" borderId="5" xfId="0" applyFont="1" applyFill="1" applyBorder="1" applyAlignment="1"/>
    <xf numFmtId="0" fontId="0" fillId="9" borderId="5" xfId="0" applyFill="1" applyBorder="1" applyAlignment="1">
      <alignment horizontal="left"/>
    </xf>
    <xf numFmtId="0" fontId="0" fillId="0" borderId="4" xfId="0" applyBorder="1" applyAlignment="1">
      <alignment horizontal="right"/>
    </xf>
    <xf numFmtId="0" fontId="15" fillId="0" borderId="0" xfId="0" applyFont="1" applyBorder="1"/>
    <xf numFmtId="0" fontId="16" fillId="0" borderId="0" xfId="0" applyFont="1" applyBorder="1"/>
    <xf numFmtId="0" fontId="0" fillId="5" borderId="4" xfId="0" applyFill="1" applyBorder="1"/>
    <xf numFmtId="2" fontId="0" fillId="5" borderId="5" xfId="0" applyNumberFormat="1" applyFill="1" applyBorder="1"/>
    <xf numFmtId="0" fontId="2" fillId="0" borderId="0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0" xfId="0" applyFont="1"/>
    <xf numFmtId="0" fontId="0" fillId="0" borderId="4" xfId="0" applyFont="1" applyFill="1" applyBorder="1" applyAlignment="1">
      <alignment horizontal="left"/>
    </xf>
    <xf numFmtId="0" fontId="17" fillId="0" borderId="4" xfId="0" applyFont="1" applyFill="1" applyBorder="1" applyAlignment="1">
      <alignment horizontal="left" indent="1"/>
    </xf>
    <xf numFmtId="0" fontId="2" fillId="12" borderId="0" xfId="0" applyFont="1" applyFill="1" applyBorder="1" applyAlignment="1">
      <alignment horizontal="left"/>
    </xf>
    <xf numFmtId="0" fontId="8" fillId="12" borderId="0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9" borderId="8" xfId="0" applyFill="1" applyBorder="1"/>
    <xf numFmtId="0" fontId="2" fillId="0" borderId="0" xfId="0" applyFont="1" applyFill="1" applyBorder="1"/>
    <xf numFmtId="0" fontId="7" fillId="0" borderId="0" xfId="0" applyFont="1" applyBorder="1" applyAlignment="1">
      <alignment horizontal="left"/>
    </xf>
    <xf numFmtId="0" fontId="4" fillId="11" borderId="0" xfId="0" applyFont="1" applyFill="1" applyBorder="1"/>
    <xf numFmtId="11" fontId="0" fillId="3" borderId="4" xfId="0" applyNumberFormat="1" applyFill="1" applyBorder="1"/>
    <xf numFmtId="11" fontId="0" fillId="7" borderId="0" xfId="0" applyNumberFormat="1" applyFill="1"/>
    <xf numFmtId="0" fontId="0" fillId="3" borderId="0" xfId="0" applyNumberFormat="1" applyFill="1"/>
    <xf numFmtId="0" fontId="0" fillId="6" borderId="0" xfId="0" applyNumberFormat="1" applyFill="1"/>
    <xf numFmtId="0" fontId="0" fillId="0" borderId="0" xfId="0" applyNumberFormat="1"/>
    <xf numFmtId="0" fontId="4" fillId="0" borderId="0" xfId="0" applyNumberFormat="1" applyFont="1" applyFill="1"/>
    <xf numFmtId="0" fontId="0" fillId="7" borderId="0" xfId="0" applyNumberFormat="1" applyFill="1"/>
    <xf numFmtId="0" fontId="4" fillId="3" borderId="0" xfId="0" applyNumberFormat="1" applyFont="1" applyFill="1"/>
    <xf numFmtId="0" fontId="0" fillId="0" borderId="0" xfId="0" applyNumberFormat="1" applyFill="1"/>
    <xf numFmtId="0" fontId="7" fillId="0" borderId="4" xfId="0" applyFont="1" applyBorder="1" applyAlignment="1">
      <alignment horizontal="left"/>
    </xf>
    <xf numFmtId="0" fontId="8" fillId="0" borderId="4" xfId="0" applyFont="1" applyFill="1" applyBorder="1" applyAlignment="1">
      <alignment horizontal="left"/>
    </xf>
    <xf numFmtId="0" fontId="2" fillId="2" borderId="0" xfId="0" applyFont="1" applyFill="1" applyBorder="1"/>
    <xf numFmtId="0" fontId="0" fillId="0" borderId="0" xfId="0" applyFont="1" applyFill="1" applyBorder="1" applyAlignment="1">
      <alignment horizontal="left"/>
    </xf>
    <xf numFmtId="0" fontId="0" fillId="8" borderId="10" xfId="0" applyFill="1" applyBorder="1"/>
    <xf numFmtId="0" fontId="17" fillId="0" borderId="12" xfId="0" applyFont="1" applyBorder="1"/>
    <xf numFmtId="0" fontId="0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8" fillId="0" borderId="0" xfId="0" applyFont="1" applyFill="1" applyBorder="1"/>
    <xf numFmtId="0" fontId="8" fillId="12" borderId="0" xfId="0" applyFont="1" applyFill="1"/>
    <xf numFmtId="0" fontId="0" fillId="12" borderId="0" xfId="0" applyFill="1"/>
    <xf numFmtId="3" fontId="0" fillId="2" borderId="0" xfId="0" applyNumberFormat="1" applyFill="1"/>
    <xf numFmtId="164" fontId="0" fillId="0" borderId="12" xfId="0" applyNumberFormat="1" applyFill="1" applyBorder="1"/>
    <xf numFmtId="164" fontId="0" fillId="8" borderId="12" xfId="0" applyNumberFormat="1" applyFill="1" applyBorder="1"/>
    <xf numFmtId="165" fontId="0" fillId="8" borderId="12" xfId="0" applyNumberFormat="1" applyFill="1" applyBorder="1"/>
    <xf numFmtId="165" fontId="0" fillId="0" borderId="12" xfId="0" applyNumberFormat="1" applyFill="1" applyBorder="1"/>
    <xf numFmtId="166" fontId="0" fillId="8" borderId="12" xfId="0" applyNumberFormat="1" applyFill="1" applyBorder="1"/>
    <xf numFmtId="167" fontId="0" fillId="8" borderId="12" xfId="0" applyNumberFormat="1" applyFill="1" applyBorder="1"/>
    <xf numFmtId="168" fontId="0" fillId="8" borderId="12" xfId="0" applyNumberFormat="1" applyFill="1" applyBorder="1"/>
    <xf numFmtId="164" fontId="0" fillId="0" borderId="0" xfId="0" applyNumberFormat="1" applyFill="1" applyBorder="1"/>
    <xf numFmtId="0" fontId="0" fillId="8" borderId="13" xfId="0" applyFill="1" applyBorder="1"/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0" fillId="0" borderId="0" xfId="0" applyFill="1" applyAlignment="1">
      <alignment horizontal="right"/>
    </xf>
    <xf numFmtId="0" fontId="0" fillId="2" borderId="12" xfId="0" applyFill="1" applyBorder="1" applyAlignment="1">
      <alignment horizontal="right"/>
    </xf>
    <xf numFmtId="0" fontId="0" fillId="2" borderId="10" xfId="0" applyFill="1" applyBorder="1" applyAlignment="1">
      <alignment horizontal="right"/>
    </xf>
    <xf numFmtId="0" fontId="0" fillId="0" borderId="12" xfId="0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0" xfId="0" applyBorder="1" applyAlignment="1">
      <alignment horizontal="right"/>
    </xf>
    <xf numFmtId="3" fontId="0" fillId="2" borderId="10" xfId="0" applyNumberFormat="1" applyFill="1" applyBorder="1" applyAlignment="1">
      <alignment horizontal="right"/>
    </xf>
    <xf numFmtId="165" fontId="0" fillId="8" borderId="12" xfId="0" applyNumberFormat="1" applyFill="1" applyBorder="1" applyAlignment="1">
      <alignment horizontal="right"/>
    </xf>
    <xf numFmtId="0" fontId="0" fillId="13" borderId="12" xfId="0" applyFill="1" applyBorder="1"/>
    <xf numFmtId="3" fontId="0" fillId="0" borderId="0" xfId="0" applyNumberFormat="1" applyFill="1"/>
    <xf numFmtId="0" fontId="0" fillId="0" borderId="0" xfId="0" applyFill="1" applyBorder="1" applyAlignment="1"/>
    <xf numFmtId="0" fontId="0" fillId="2" borderId="0" xfId="0" applyFill="1" applyBorder="1" applyAlignment="1"/>
    <xf numFmtId="0" fontId="2" fillId="0" borderId="3" xfId="0" applyFont="1" applyFill="1" applyBorder="1" applyAlignment="1"/>
    <xf numFmtId="0" fontId="0" fillId="2" borderId="0" xfId="0" applyNumberFormat="1" applyFill="1"/>
    <xf numFmtId="0" fontId="2" fillId="2" borderId="0" xfId="0" applyFont="1" applyFill="1"/>
    <xf numFmtId="2" fontId="0" fillId="0" borderId="0" xfId="0" applyNumberFormat="1" applyFill="1" applyBorder="1"/>
    <xf numFmtId="2" fontId="0" fillId="3" borderId="0" xfId="0" applyNumberFormat="1" applyFill="1" applyBorder="1"/>
    <xf numFmtId="2" fontId="0" fillId="0" borderId="0" xfId="0" applyNumberFormat="1" applyFill="1"/>
    <xf numFmtId="11" fontId="0" fillId="0" borderId="0" xfId="0" applyNumberFormat="1" applyFill="1"/>
    <xf numFmtId="2" fontId="0" fillId="2" borderId="0" xfId="0" applyNumberFormat="1" applyFill="1"/>
    <xf numFmtId="11" fontId="0" fillId="2" borderId="0" xfId="0" applyNumberFormat="1" applyFill="1"/>
    <xf numFmtId="165" fontId="0" fillId="0" borderId="0" xfId="0" applyNumberFormat="1" applyBorder="1"/>
    <xf numFmtId="165" fontId="0" fillId="0" borderId="0" xfId="0" applyNumberFormat="1" applyFill="1" applyBorder="1"/>
    <xf numFmtId="165" fontId="0" fillId="3" borderId="0" xfId="0" applyNumberFormat="1" applyFill="1" applyBorder="1"/>
    <xf numFmtId="168" fontId="0" fillId="0" borderId="0" xfId="0" applyNumberFormat="1"/>
    <xf numFmtId="168" fontId="0" fillId="3" borderId="0" xfId="0" applyNumberFormat="1" applyFill="1"/>
    <xf numFmtId="0" fontId="4" fillId="2" borderId="0" xfId="0" applyFon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8" fillId="0" borderId="1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 indent="1"/>
    </xf>
    <xf numFmtId="167" fontId="0" fillId="8" borderId="12" xfId="0" applyNumberFormat="1" applyFill="1" applyBorder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Sizing Matching (avg C_L_max)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Take Off (1.9)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Sizing'!$B$22:$B$33</c:f>
              <c:numCache>
                <c:formatCode>General</c:formatCode>
                <c:ptCount val="12"/>
                <c:pt idx="0">
                  <c:v>0.16320591888866853</c:v>
                </c:pt>
                <c:pt idx="1">
                  <c:v>0.27422529877858404</c:v>
                </c:pt>
                <c:pt idx="2">
                  <c:v>0.3852446786684996</c:v>
                </c:pt>
                <c:pt idx="3">
                  <c:v>0.49626405855841504</c:v>
                </c:pt>
                <c:pt idx="4">
                  <c:v>0.60728343844833055</c:v>
                </c:pt>
                <c:pt idx="5">
                  <c:v>0.71830281833824605</c:v>
                </c:pt>
                <c:pt idx="6">
                  <c:v>0.82932219822816156</c:v>
                </c:pt>
                <c:pt idx="7">
                  <c:v>0.94034157811807706</c:v>
                </c:pt>
                <c:pt idx="8">
                  <c:v>1.0513609580079926</c:v>
                </c:pt>
                <c:pt idx="9">
                  <c:v>1.1623803378979078</c:v>
                </c:pt>
                <c:pt idx="10">
                  <c:v>1.2733997177878233</c:v>
                </c:pt>
                <c:pt idx="11">
                  <c:v>1.3844190976777389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B8-4F0F-96DF-57A9D6BF56E5}"/>
            </c:ext>
          </c:extLst>
        </c:ser>
        <c:ser>
          <c:idx val="1"/>
          <c:order val="1"/>
          <c:tx>
            <c:v>Landing (2.4)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'Wing Sizing'!$E$47:$E$56</c:f>
              <c:numCache>
                <c:formatCode>General</c:formatCode>
                <c:ptCount val="10"/>
                <c:pt idx="0">
                  <c:v>170.32417410650885</c:v>
                </c:pt>
                <c:pt idx="1">
                  <c:v>170.32417410650885</c:v>
                </c:pt>
                <c:pt idx="2">
                  <c:v>170.32417410650885</c:v>
                </c:pt>
                <c:pt idx="3">
                  <c:v>170.32417410650885</c:v>
                </c:pt>
                <c:pt idx="4">
                  <c:v>170.32417410650885</c:v>
                </c:pt>
                <c:pt idx="5">
                  <c:v>170.32417410650885</c:v>
                </c:pt>
                <c:pt idx="6">
                  <c:v>170.32417410650885</c:v>
                </c:pt>
                <c:pt idx="7">
                  <c:v>170.32417410650885</c:v>
                </c:pt>
                <c:pt idx="8">
                  <c:v>170.32417410650885</c:v>
                </c:pt>
                <c:pt idx="9">
                  <c:v>170.32417410650885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43-4ED5-BE83-935E23E56AB0}"/>
            </c:ext>
          </c:extLst>
        </c:ser>
        <c:ser>
          <c:idx val="2"/>
          <c:order val="2"/>
          <c:tx>
            <c:v>Operational Ceiling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Sizing'!$A$87:$A$98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Sizing'!$B$87:$B$98</c:f>
              <c:numCache>
                <c:formatCode>General</c:formatCode>
                <c:ptCount val="12"/>
                <c:pt idx="0">
                  <c:v>0.87435954686456541</c:v>
                </c:pt>
                <c:pt idx="1">
                  <c:v>0.64972208208169979</c:v>
                </c:pt>
                <c:pt idx="2">
                  <c:v>0.55020399145420429</c:v>
                </c:pt>
                <c:pt idx="3">
                  <c:v>0.49087940742518105</c:v>
                </c:pt>
                <c:pt idx="4">
                  <c:v>0.45039433190882133</c:v>
                </c:pt>
                <c:pt idx="5">
                  <c:v>0.42050949069174171</c:v>
                </c:pt>
                <c:pt idx="6">
                  <c:v>0.39728300561122043</c:v>
                </c:pt>
                <c:pt idx="7">
                  <c:v>0.37856067503374824</c:v>
                </c:pt>
                <c:pt idx="8">
                  <c:v>0.36305269427871961</c:v>
                </c:pt>
                <c:pt idx="9">
                  <c:v>0.34993340359928077</c:v>
                </c:pt>
                <c:pt idx="10">
                  <c:v>0.33864649290827081</c:v>
                </c:pt>
                <c:pt idx="11">
                  <c:v>0.32880162972000049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43-4ED5-BE83-935E23E56AB0}"/>
            </c:ext>
          </c:extLst>
        </c:ser>
        <c:ser>
          <c:idx val="3"/>
          <c:order val="3"/>
          <c:tx>
            <c:v>Maneuvering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Sizing'!$C$115:$C$129</c:f>
              <c:numCache>
                <c:formatCode>General</c:formatCode>
                <c:ptCount val="15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102.26935473385154</c:v>
                </c:pt>
                <c:pt idx="4">
                  <c:v>115.05302407558298</c:v>
                </c:pt>
                <c:pt idx="5">
                  <c:v>121.4448587464487</c:v>
                </c:pt>
                <c:pt idx="6">
                  <c:v>127.83669341731442</c:v>
                </c:pt>
                <c:pt idx="7">
                  <c:v>159.79586677164303</c:v>
                </c:pt>
                <c:pt idx="8">
                  <c:v>191.75504012597165</c:v>
                </c:pt>
                <c:pt idx="9">
                  <c:v>223.71421348030026</c:v>
                </c:pt>
                <c:pt idx="10">
                  <c:v>255.67338683462884</c:v>
                </c:pt>
                <c:pt idx="11">
                  <c:v>287.63256018895748</c:v>
                </c:pt>
                <c:pt idx="12">
                  <c:v>319.59173354328607</c:v>
                </c:pt>
                <c:pt idx="13">
                  <c:v>351.55090689761465</c:v>
                </c:pt>
                <c:pt idx="14">
                  <c:v>383.51008025194329</c:v>
                </c:pt>
              </c:numCache>
            </c:numRef>
          </c:xVal>
          <c:yVal>
            <c:numRef>
              <c:f>'Wing Sizing'!$D$115:$D$129</c:f>
              <c:numCache>
                <c:formatCode>General</c:formatCode>
                <c:ptCount val="15"/>
                <c:pt idx="0">
                  <c:v>0.82436148197490122</c:v>
                </c:pt>
                <c:pt idx="1">
                  <c:v>0.67154614649416844</c:v>
                </c:pt>
                <c:pt idx="2">
                  <c:v>0.73588121489246539</c:v>
                </c:pt>
                <c:pt idx="3">
                  <c:v>0.75689136871758833</c:v>
                </c:pt>
                <c:pt idx="4">
                  <c:v>0.80343564311531424</c:v>
                </c:pt>
                <c:pt idx="5">
                  <c:v>0.82849355666186653</c:v>
                </c:pt>
                <c:pt idx="6">
                  <c:v>0.85450388426051993</c:v>
                </c:pt>
                <c:pt idx="7">
                  <c:v>0.9948415940164772</c:v>
                </c:pt>
                <c:pt idx="8">
                  <c:v>1.1460368239663861</c:v>
                </c:pt>
                <c:pt idx="9">
                  <c:v>1.3034363511699816</c:v>
                </c:pt>
                <c:pt idx="10">
                  <c:v>1.4647135641571309</c:v>
                </c:pt>
                <c:pt idx="11">
                  <c:v>1.6285759009999834</c:v>
                </c:pt>
                <c:pt idx="12">
                  <c:v>1.7942478245418276</c:v>
                </c:pt>
                <c:pt idx="13">
                  <c:v>1.9612358111374841</c:v>
                </c:pt>
                <c:pt idx="14">
                  <c:v>2.1292108450234997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0B-45A5-A2AB-0752F3743C83}"/>
            </c:ext>
          </c:extLst>
        </c:ser>
        <c:ser>
          <c:idx val="4"/>
          <c:order val="4"/>
          <c:tx>
            <c:v>Max Speed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Sizing'!$C$145:$C$156</c:f>
              <c:numCache>
                <c:formatCode>General</c:formatCode>
                <c:ptCount val="12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127.83669341731442</c:v>
                </c:pt>
                <c:pt idx="4">
                  <c:v>159.79586677164303</c:v>
                </c:pt>
                <c:pt idx="5">
                  <c:v>191.75504012597165</c:v>
                </c:pt>
                <c:pt idx="6">
                  <c:v>223.71421348030026</c:v>
                </c:pt>
                <c:pt idx="7">
                  <c:v>255.67338683462884</c:v>
                </c:pt>
                <c:pt idx="8">
                  <c:v>287.63256018895748</c:v>
                </c:pt>
                <c:pt idx="9">
                  <c:v>319.59173354328607</c:v>
                </c:pt>
                <c:pt idx="10">
                  <c:v>351.55090689761465</c:v>
                </c:pt>
                <c:pt idx="11">
                  <c:v>383.51008025194329</c:v>
                </c:pt>
              </c:numCache>
            </c:numRef>
          </c:xVal>
          <c:yVal>
            <c:numRef>
              <c:f>'Wing Sizing'!$D$145:$D$156</c:f>
              <c:numCache>
                <c:formatCode>General</c:formatCode>
                <c:ptCount val="12"/>
                <c:pt idx="0">
                  <c:v>0.43259761691117288</c:v>
                </c:pt>
                <c:pt idx="1">
                  <c:v>0.23652712835373682</c:v>
                </c:pt>
                <c:pt idx="2">
                  <c:v>0.1801606632337695</c:v>
                </c:pt>
                <c:pt idx="3">
                  <c:v>0.15872020397316924</c:v>
                </c:pt>
                <c:pt idx="4">
                  <c:v>0.1512501470563159</c:v>
                </c:pt>
                <c:pt idx="5">
                  <c:v>0.15076529131133598</c:v>
                </c:pt>
                <c:pt idx="6">
                  <c:v>0.15427197909314086</c:v>
                </c:pt>
                <c:pt idx="7">
                  <c:v>0.16027338157918627</c:v>
                </c:pt>
                <c:pt idx="8">
                  <c:v>0.16793792720139203</c:v>
                </c:pt>
                <c:pt idx="9">
                  <c:v>0.17676667301891</c:v>
                </c:pt>
                <c:pt idx="10">
                  <c:v>0.18644210988756418</c:v>
                </c:pt>
                <c:pt idx="11">
                  <c:v>0.19675256504457045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0B-45A5-A2AB-0752F3743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7407"/>
        <c:axId val="190521151"/>
      </c:scatterChart>
      <c:valAx>
        <c:axId val="19051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(W/S)_TO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21151"/>
        <c:crosses val="autoZero"/>
        <c:crossBetween val="midCat"/>
      </c:valAx>
      <c:valAx>
        <c:axId val="19052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(T/W)_TO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1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C_L_max_TO Effect on Takeoff Wing Sizing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Sizing'!$C$22:$C$33</c:f>
              <c:numCache>
                <c:formatCode>General</c:formatCode>
                <c:ptCount val="12"/>
                <c:pt idx="0">
                  <c:v>0.1840220526180277</c:v>
                </c:pt>
                <c:pt idx="1">
                  <c:v>0.31585756623730238</c:v>
                </c:pt>
                <c:pt idx="2">
                  <c:v>0.44769307985657697</c:v>
                </c:pt>
                <c:pt idx="3">
                  <c:v>0.57952859347585162</c:v>
                </c:pt>
                <c:pt idx="4">
                  <c:v>0.71136410709512632</c:v>
                </c:pt>
                <c:pt idx="5">
                  <c:v>0.84319962071440091</c:v>
                </c:pt>
                <c:pt idx="6">
                  <c:v>0.97503513433367572</c:v>
                </c:pt>
                <c:pt idx="7">
                  <c:v>1.1068706479529502</c:v>
                </c:pt>
                <c:pt idx="8">
                  <c:v>1.2387061615722248</c:v>
                </c:pt>
                <c:pt idx="9">
                  <c:v>1.3705416751914994</c:v>
                </c:pt>
                <c:pt idx="10">
                  <c:v>1.502377188810774</c:v>
                </c:pt>
                <c:pt idx="11">
                  <c:v>1.6342127024300486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4-4EAF-AFAF-D8BA6D743230}"/>
            </c:ext>
          </c:extLst>
        </c:ser>
        <c:ser>
          <c:idx val="1"/>
          <c:order val="1"/>
          <c:tx>
            <c:v>1.8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Sizing'!$D$22:$D$33</c:f>
              <c:numCache>
                <c:formatCode>General</c:formatCode>
                <c:ptCount val="12"/>
                <c:pt idx="0">
                  <c:v>0.16937366221588607</c:v>
                </c:pt>
                <c:pt idx="1">
                  <c:v>0.28656078543301911</c:v>
                </c:pt>
                <c:pt idx="2">
                  <c:v>0.40374790865015209</c:v>
                </c:pt>
                <c:pt idx="3">
                  <c:v>0.52093503186728518</c:v>
                </c:pt>
                <c:pt idx="4">
                  <c:v>0.63812215508441816</c:v>
                </c:pt>
                <c:pt idx="5">
                  <c:v>0.75530927830155103</c:v>
                </c:pt>
                <c:pt idx="6">
                  <c:v>0.87249640151868413</c:v>
                </c:pt>
                <c:pt idx="7">
                  <c:v>0.98968352473581722</c:v>
                </c:pt>
                <c:pt idx="8">
                  <c:v>1.1068706479529502</c:v>
                </c:pt>
                <c:pt idx="9">
                  <c:v>1.2240577711700831</c:v>
                </c:pt>
                <c:pt idx="10">
                  <c:v>1.3412448943872159</c:v>
                </c:pt>
                <c:pt idx="11">
                  <c:v>1.458432017604349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94-4EAF-AFAF-D8BA6D743230}"/>
            </c:ext>
          </c:extLst>
        </c:ser>
        <c:ser>
          <c:idx val="2"/>
          <c:order val="2"/>
          <c:tx>
            <c:v>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Sizing'!$E$22:$E$33</c:f>
              <c:numCache>
                <c:formatCode>General</c:formatCode>
                <c:ptCount val="12"/>
                <c:pt idx="0">
                  <c:v>0.15765494989417278</c:v>
                </c:pt>
                <c:pt idx="1">
                  <c:v>0.26312336078959248</c:v>
                </c:pt>
                <c:pt idx="2">
                  <c:v>0.36859177168501223</c:v>
                </c:pt>
                <c:pt idx="3">
                  <c:v>0.47406018258043198</c:v>
                </c:pt>
                <c:pt idx="4">
                  <c:v>0.57952859347585162</c:v>
                </c:pt>
                <c:pt idx="5">
                  <c:v>0.68499700437127131</c:v>
                </c:pt>
                <c:pt idx="6">
                  <c:v>0.79046541526669112</c:v>
                </c:pt>
                <c:pt idx="7">
                  <c:v>0.89593382616211081</c:v>
                </c:pt>
                <c:pt idx="8">
                  <c:v>1.0014022370575306</c:v>
                </c:pt>
                <c:pt idx="9">
                  <c:v>1.1068706479529502</c:v>
                </c:pt>
                <c:pt idx="10">
                  <c:v>1.2123390588483698</c:v>
                </c:pt>
                <c:pt idx="11">
                  <c:v>1.3178074697437894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94-4EAF-AFAF-D8BA6D743230}"/>
            </c:ext>
          </c:extLst>
        </c:ser>
        <c:ser>
          <c:idx val="3"/>
          <c:order val="3"/>
          <c:tx>
            <c:v>2.2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Sizing'!$F$22:$F$33</c:f>
              <c:numCache>
                <c:formatCode>General</c:formatCode>
                <c:ptCount val="12"/>
                <c:pt idx="0">
                  <c:v>0.14806691254004367</c:v>
                </c:pt>
                <c:pt idx="1">
                  <c:v>0.24394728608133431</c:v>
                </c:pt>
                <c:pt idx="2">
                  <c:v>0.33982765962262501</c:v>
                </c:pt>
                <c:pt idx="3">
                  <c:v>0.43570803316391565</c:v>
                </c:pt>
                <c:pt idx="4">
                  <c:v>0.53158840670520624</c:v>
                </c:pt>
                <c:pt idx="5">
                  <c:v>0.62746878024649688</c:v>
                </c:pt>
                <c:pt idx="6">
                  <c:v>0.72334915378778752</c:v>
                </c:pt>
                <c:pt idx="7">
                  <c:v>0.81922952732907828</c:v>
                </c:pt>
                <c:pt idx="8">
                  <c:v>0.91510990087036892</c:v>
                </c:pt>
                <c:pt idx="9">
                  <c:v>1.0109902744116595</c:v>
                </c:pt>
                <c:pt idx="10">
                  <c:v>1.1068706479529502</c:v>
                </c:pt>
                <c:pt idx="11">
                  <c:v>1.2027510214942405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B94-4EAF-AFAF-D8BA6D743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868335"/>
        <c:axId val="607866671"/>
      </c:scatterChart>
      <c:valAx>
        <c:axId val="60786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(W/S)_TO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66671"/>
        <c:crosses val="autoZero"/>
        <c:crossBetween val="midCat"/>
      </c:valAx>
      <c:valAx>
        <c:axId val="6078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(T/W)_TO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68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C_L_max_L Effect on Landing Wing Sizing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1.8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Sizing'!$B$47:$B$56</c:f>
              <c:numCache>
                <c:formatCode>General</c:formatCode>
                <c:ptCount val="10"/>
                <c:pt idx="0">
                  <c:v>127.74313057988164</c:v>
                </c:pt>
                <c:pt idx="1">
                  <c:v>127.74313057988164</c:v>
                </c:pt>
                <c:pt idx="2">
                  <c:v>127.74313057988164</c:v>
                </c:pt>
                <c:pt idx="3">
                  <c:v>127.74313057988164</c:v>
                </c:pt>
                <c:pt idx="4">
                  <c:v>127.74313057988164</c:v>
                </c:pt>
                <c:pt idx="5">
                  <c:v>127.74313057988164</c:v>
                </c:pt>
                <c:pt idx="6">
                  <c:v>127.74313057988164</c:v>
                </c:pt>
                <c:pt idx="7">
                  <c:v>127.74313057988164</c:v>
                </c:pt>
                <c:pt idx="8">
                  <c:v>127.74313057988164</c:v>
                </c:pt>
                <c:pt idx="9">
                  <c:v>127.74313057988164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AD-49C6-AB52-C822D6DC5F10}"/>
            </c:ext>
          </c:extLst>
        </c:ser>
        <c:ser>
          <c:idx val="1"/>
          <c:order val="1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Sizing'!$C$47:$C$56</c:f>
              <c:numCache>
                <c:formatCode>General</c:formatCode>
                <c:ptCount val="10"/>
                <c:pt idx="0">
                  <c:v>141.93681175542403</c:v>
                </c:pt>
                <c:pt idx="1">
                  <c:v>141.93681175542403</c:v>
                </c:pt>
                <c:pt idx="2">
                  <c:v>141.93681175542403</c:v>
                </c:pt>
                <c:pt idx="3">
                  <c:v>141.93681175542403</c:v>
                </c:pt>
                <c:pt idx="4">
                  <c:v>141.93681175542403</c:v>
                </c:pt>
                <c:pt idx="5">
                  <c:v>141.93681175542403</c:v>
                </c:pt>
                <c:pt idx="6">
                  <c:v>141.93681175542403</c:v>
                </c:pt>
                <c:pt idx="7">
                  <c:v>141.93681175542403</c:v>
                </c:pt>
                <c:pt idx="8">
                  <c:v>141.93681175542403</c:v>
                </c:pt>
                <c:pt idx="9">
                  <c:v>141.93681175542403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AD-49C6-AB52-C822D6DC5F10}"/>
            </c:ext>
          </c:extLst>
        </c:ser>
        <c:ser>
          <c:idx val="2"/>
          <c:order val="2"/>
          <c:tx>
            <c:v>2.2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'Wing Sizing'!$D$47:$D$56</c:f>
              <c:numCache>
                <c:formatCode>General</c:formatCode>
                <c:ptCount val="10"/>
                <c:pt idx="0">
                  <c:v>156.13049293096645</c:v>
                </c:pt>
                <c:pt idx="1">
                  <c:v>156.13049293096645</c:v>
                </c:pt>
                <c:pt idx="2">
                  <c:v>156.13049293096645</c:v>
                </c:pt>
                <c:pt idx="3">
                  <c:v>156.13049293096645</c:v>
                </c:pt>
                <c:pt idx="4">
                  <c:v>156.13049293096645</c:v>
                </c:pt>
                <c:pt idx="5">
                  <c:v>156.13049293096645</c:v>
                </c:pt>
                <c:pt idx="6">
                  <c:v>156.13049293096645</c:v>
                </c:pt>
                <c:pt idx="7">
                  <c:v>156.13049293096645</c:v>
                </c:pt>
                <c:pt idx="8">
                  <c:v>156.13049293096645</c:v>
                </c:pt>
                <c:pt idx="9">
                  <c:v>156.13049293096645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AD-49C6-AB52-C822D6DC5F10}"/>
            </c:ext>
          </c:extLst>
        </c:ser>
        <c:ser>
          <c:idx val="3"/>
          <c:order val="3"/>
          <c:tx>
            <c:v>2.4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'Wing Sizing'!$E$47:$E$56</c:f>
              <c:numCache>
                <c:formatCode>General</c:formatCode>
                <c:ptCount val="10"/>
                <c:pt idx="0">
                  <c:v>170.32417410650885</c:v>
                </c:pt>
                <c:pt idx="1">
                  <c:v>170.32417410650885</c:v>
                </c:pt>
                <c:pt idx="2">
                  <c:v>170.32417410650885</c:v>
                </c:pt>
                <c:pt idx="3">
                  <c:v>170.32417410650885</c:v>
                </c:pt>
                <c:pt idx="4">
                  <c:v>170.32417410650885</c:v>
                </c:pt>
                <c:pt idx="5">
                  <c:v>170.32417410650885</c:v>
                </c:pt>
                <c:pt idx="6">
                  <c:v>170.32417410650885</c:v>
                </c:pt>
                <c:pt idx="7">
                  <c:v>170.32417410650885</c:v>
                </c:pt>
                <c:pt idx="8">
                  <c:v>170.32417410650885</c:v>
                </c:pt>
                <c:pt idx="9">
                  <c:v>170.32417410650885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AD-49C6-AB52-C822D6DC5F10}"/>
            </c:ext>
          </c:extLst>
        </c:ser>
        <c:ser>
          <c:idx val="4"/>
          <c:order val="4"/>
          <c:tx>
            <c:v>2.6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'Wing Sizing'!$F$47:$F$56</c:f>
              <c:numCache>
                <c:formatCode>General</c:formatCode>
                <c:ptCount val="10"/>
                <c:pt idx="0">
                  <c:v>184.51785528205124</c:v>
                </c:pt>
                <c:pt idx="1">
                  <c:v>184.51785528205124</c:v>
                </c:pt>
                <c:pt idx="2">
                  <c:v>184.51785528205124</c:v>
                </c:pt>
                <c:pt idx="3">
                  <c:v>184.51785528205124</c:v>
                </c:pt>
                <c:pt idx="4">
                  <c:v>184.51785528205124</c:v>
                </c:pt>
                <c:pt idx="5">
                  <c:v>184.51785528205124</c:v>
                </c:pt>
                <c:pt idx="6">
                  <c:v>184.51785528205124</c:v>
                </c:pt>
                <c:pt idx="7">
                  <c:v>184.51785528205124</c:v>
                </c:pt>
                <c:pt idx="8">
                  <c:v>184.51785528205124</c:v>
                </c:pt>
                <c:pt idx="9">
                  <c:v>184.51785528205124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0AD-49C6-AB52-C822D6DC5F10}"/>
            </c:ext>
          </c:extLst>
        </c:ser>
        <c:ser>
          <c:idx val="5"/>
          <c:order val="5"/>
          <c:tx>
            <c:v>2.8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'Wing Sizing'!$G$47:$G$56</c:f>
              <c:numCache>
                <c:formatCode>General</c:formatCode>
                <c:ptCount val="10"/>
                <c:pt idx="0">
                  <c:v>198.71153645759364</c:v>
                </c:pt>
                <c:pt idx="1">
                  <c:v>198.71153645759364</c:v>
                </c:pt>
                <c:pt idx="2">
                  <c:v>198.71153645759364</c:v>
                </c:pt>
                <c:pt idx="3">
                  <c:v>198.71153645759364</c:v>
                </c:pt>
                <c:pt idx="4">
                  <c:v>198.71153645759364</c:v>
                </c:pt>
                <c:pt idx="5">
                  <c:v>198.71153645759364</c:v>
                </c:pt>
                <c:pt idx="6">
                  <c:v>198.71153645759364</c:v>
                </c:pt>
                <c:pt idx="7">
                  <c:v>198.71153645759364</c:v>
                </c:pt>
                <c:pt idx="8">
                  <c:v>198.71153645759364</c:v>
                </c:pt>
                <c:pt idx="9">
                  <c:v>198.71153645759364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0AD-49C6-AB52-C822D6DC5F10}"/>
            </c:ext>
          </c:extLst>
        </c:ser>
        <c:ser>
          <c:idx val="6"/>
          <c:order val="6"/>
          <c:tx>
            <c:v>3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'Wing Sizing'!$H$47:$H$56</c:f>
              <c:numCache>
                <c:formatCode>General</c:formatCode>
                <c:ptCount val="10"/>
                <c:pt idx="0">
                  <c:v>212.90521763313609</c:v>
                </c:pt>
                <c:pt idx="1">
                  <c:v>212.90521763313609</c:v>
                </c:pt>
                <c:pt idx="2">
                  <c:v>212.90521763313609</c:v>
                </c:pt>
                <c:pt idx="3">
                  <c:v>212.90521763313609</c:v>
                </c:pt>
                <c:pt idx="4">
                  <c:v>212.90521763313609</c:v>
                </c:pt>
                <c:pt idx="5">
                  <c:v>212.90521763313609</c:v>
                </c:pt>
                <c:pt idx="6">
                  <c:v>212.90521763313609</c:v>
                </c:pt>
                <c:pt idx="7">
                  <c:v>212.90521763313609</c:v>
                </c:pt>
                <c:pt idx="8">
                  <c:v>212.90521763313609</c:v>
                </c:pt>
                <c:pt idx="9">
                  <c:v>212.90521763313609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AD-49C6-AB52-C822D6DC5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686080"/>
        <c:axId val="271678176"/>
      </c:scatterChart>
      <c:valAx>
        <c:axId val="27168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(W/S)_TO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78176"/>
        <c:crosses val="autoZero"/>
        <c:crossBetween val="midCat"/>
      </c:valAx>
      <c:valAx>
        <c:axId val="2716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(T/W)_TO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8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Sizing Matching (min C_L_max)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Take Off (1.6)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Sizing'!$C$22:$C$33</c:f>
              <c:numCache>
                <c:formatCode>General</c:formatCode>
                <c:ptCount val="12"/>
                <c:pt idx="0">
                  <c:v>0.1840220526180277</c:v>
                </c:pt>
                <c:pt idx="1">
                  <c:v>0.31585756623730238</c:v>
                </c:pt>
                <c:pt idx="2">
                  <c:v>0.44769307985657697</c:v>
                </c:pt>
                <c:pt idx="3">
                  <c:v>0.57952859347585162</c:v>
                </c:pt>
                <c:pt idx="4">
                  <c:v>0.71136410709512632</c:v>
                </c:pt>
                <c:pt idx="5">
                  <c:v>0.84319962071440091</c:v>
                </c:pt>
                <c:pt idx="6">
                  <c:v>0.97503513433367572</c:v>
                </c:pt>
                <c:pt idx="7">
                  <c:v>1.1068706479529502</c:v>
                </c:pt>
                <c:pt idx="8">
                  <c:v>1.2387061615722248</c:v>
                </c:pt>
                <c:pt idx="9">
                  <c:v>1.3705416751914994</c:v>
                </c:pt>
                <c:pt idx="10">
                  <c:v>1.502377188810774</c:v>
                </c:pt>
                <c:pt idx="11">
                  <c:v>1.6342127024300486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E9-42BD-A0AC-7033FB871CC3}"/>
            </c:ext>
          </c:extLst>
        </c:ser>
        <c:ser>
          <c:idx val="1"/>
          <c:order val="1"/>
          <c:tx>
            <c:v>Landing (1.8)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'Wing Sizing'!$B$47:$B$56</c:f>
              <c:numCache>
                <c:formatCode>General</c:formatCode>
                <c:ptCount val="10"/>
                <c:pt idx="0">
                  <c:v>127.74313057988164</c:v>
                </c:pt>
                <c:pt idx="1">
                  <c:v>127.74313057988164</c:v>
                </c:pt>
                <c:pt idx="2">
                  <c:v>127.74313057988164</c:v>
                </c:pt>
                <c:pt idx="3">
                  <c:v>127.74313057988164</c:v>
                </c:pt>
                <c:pt idx="4">
                  <c:v>127.74313057988164</c:v>
                </c:pt>
                <c:pt idx="5">
                  <c:v>127.74313057988164</c:v>
                </c:pt>
                <c:pt idx="6">
                  <c:v>127.74313057988164</c:v>
                </c:pt>
                <c:pt idx="7">
                  <c:v>127.74313057988164</c:v>
                </c:pt>
                <c:pt idx="8">
                  <c:v>127.74313057988164</c:v>
                </c:pt>
                <c:pt idx="9">
                  <c:v>127.74313057988164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E9-42BD-A0AC-7033FB871CC3}"/>
            </c:ext>
          </c:extLst>
        </c:ser>
        <c:ser>
          <c:idx val="2"/>
          <c:order val="2"/>
          <c:tx>
            <c:v>Operational Ceiling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Sizing'!$A$87:$A$98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Sizing'!$B$87:$B$98</c:f>
              <c:numCache>
                <c:formatCode>General</c:formatCode>
                <c:ptCount val="12"/>
                <c:pt idx="0">
                  <c:v>0.87435954686456541</c:v>
                </c:pt>
                <c:pt idx="1">
                  <c:v>0.64972208208169979</c:v>
                </c:pt>
                <c:pt idx="2">
                  <c:v>0.55020399145420429</c:v>
                </c:pt>
                <c:pt idx="3">
                  <c:v>0.49087940742518105</c:v>
                </c:pt>
                <c:pt idx="4">
                  <c:v>0.45039433190882133</c:v>
                </c:pt>
                <c:pt idx="5">
                  <c:v>0.42050949069174171</c:v>
                </c:pt>
                <c:pt idx="6">
                  <c:v>0.39728300561122043</c:v>
                </c:pt>
                <c:pt idx="7">
                  <c:v>0.37856067503374824</c:v>
                </c:pt>
                <c:pt idx="8">
                  <c:v>0.36305269427871961</c:v>
                </c:pt>
                <c:pt idx="9">
                  <c:v>0.34993340359928077</c:v>
                </c:pt>
                <c:pt idx="10">
                  <c:v>0.33864649290827081</c:v>
                </c:pt>
                <c:pt idx="11">
                  <c:v>0.32880162972000049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E9-42BD-A0AC-7033FB871CC3}"/>
            </c:ext>
          </c:extLst>
        </c:ser>
        <c:ser>
          <c:idx val="3"/>
          <c:order val="3"/>
          <c:tx>
            <c:v>Maneuvering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Sizing'!$C$115:$C$129</c:f>
              <c:numCache>
                <c:formatCode>General</c:formatCode>
                <c:ptCount val="15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102.26935473385154</c:v>
                </c:pt>
                <c:pt idx="4">
                  <c:v>115.05302407558298</c:v>
                </c:pt>
                <c:pt idx="5">
                  <c:v>121.4448587464487</c:v>
                </c:pt>
                <c:pt idx="6">
                  <c:v>127.83669341731442</c:v>
                </c:pt>
                <c:pt idx="7">
                  <c:v>159.79586677164303</c:v>
                </c:pt>
                <c:pt idx="8">
                  <c:v>191.75504012597165</c:v>
                </c:pt>
                <c:pt idx="9">
                  <c:v>223.71421348030026</c:v>
                </c:pt>
                <c:pt idx="10">
                  <c:v>255.67338683462884</c:v>
                </c:pt>
                <c:pt idx="11">
                  <c:v>287.63256018895748</c:v>
                </c:pt>
                <c:pt idx="12">
                  <c:v>319.59173354328607</c:v>
                </c:pt>
                <c:pt idx="13">
                  <c:v>351.55090689761465</c:v>
                </c:pt>
                <c:pt idx="14">
                  <c:v>383.51008025194329</c:v>
                </c:pt>
              </c:numCache>
            </c:numRef>
          </c:xVal>
          <c:yVal>
            <c:numRef>
              <c:f>'Wing Sizing'!$D$115:$D$129</c:f>
              <c:numCache>
                <c:formatCode>General</c:formatCode>
                <c:ptCount val="15"/>
                <c:pt idx="0">
                  <c:v>0.82436148197490122</c:v>
                </c:pt>
                <c:pt idx="1">
                  <c:v>0.67154614649416844</c:v>
                </c:pt>
                <c:pt idx="2">
                  <c:v>0.73588121489246539</c:v>
                </c:pt>
                <c:pt idx="3">
                  <c:v>0.75689136871758833</c:v>
                </c:pt>
                <c:pt idx="4">
                  <c:v>0.80343564311531424</c:v>
                </c:pt>
                <c:pt idx="5">
                  <c:v>0.82849355666186653</c:v>
                </c:pt>
                <c:pt idx="6">
                  <c:v>0.85450388426051993</c:v>
                </c:pt>
                <c:pt idx="7">
                  <c:v>0.9948415940164772</c:v>
                </c:pt>
                <c:pt idx="8">
                  <c:v>1.1460368239663861</c:v>
                </c:pt>
                <c:pt idx="9">
                  <c:v>1.3034363511699816</c:v>
                </c:pt>
                <c:pt idx="10">
                  <c:v>1.4647135641571309</c:v>
                </c:pt>
                <c:pt idx="11">
                  <c:v>1.6285759009999834</c:v>
                </c:pt>
                <c:pt idx="12">
                  <c:v>1.7942478245418276</c:v>
                </c:pt>
                <c:pt idx="13">
                  <c:v>1.9612358111374841</c:v>
                </c:pt>
                <c:pt idx="14">
                  <c:v>2.1292108450234997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7F-4E4C-9AAA-0C6E4680DC89}"/>
            </c:ext>
          </c:extLst>
        </c:ser>
        <c:ser>
          <c:idx val="4"/>
          <c:order val="4"/>
          <c:tx>
            <c:v>Max Speed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Sizing'!$C$145:$C$156</c:f>
              <c:numCache>
                <c:formatCode>General</c:formatCode>
                <c:ptCount val="12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127.83669341731442</c:v>
                </c:pt>
                <c:pt idx="4">
                  <c:v>159.79586677164303</c:v>
                </c:pt>
                <c:pt idx="5">
                  <c:v>191.75504012597165</c:v>
                </c:pt>
                <c:pt idx="6">
                  <c:v>223.71421348030026</c:v>
                </c:pt>
                <c:pt idx="7">
                  <c:v>255.67338683462884</c:v>
                </c:pt>
                <c:pt idx="8">
                  <c:v>287.63256018895748</c:v>
                </c:pt>
                <c:pt idx="9">
                  <c:v>319.59173354328607</c:v>
                </c:pt>
                <c:pt idx="10">
                  <c:v>351.55090689761465</c:v>
                </c:pt>
                <c:pt idx="11">
                  <c:v>383.51008025194329</c:v>
                </c:pt>
              </c:numCache>
            </c:numRef>
          </c:xVal>
          <c:yVal>
            <c:numRef>
              <c:f>'Wing Sizing'!$D$145:$D$156</c:f>
              <c:numCache>
                <c:formatCode>General</c:formatCode>
                <c:ptCount val="12"/>
                <c:pt idx="0">
                  <c:v>0.43259761691117288</c:v>
                </c:pt>
                <c:pt idx="1">
                  <c:v>0.23652712835373682</c:v>
                </c:pt>
                <c:pt idx="2">
                  <c:v>0.1801606632337695</c:v>
                </c:pt>
                <c:pt idx="3">
                  <c:v>0.15872020397316924</c:v>
                </c:pt>
                <c:pt idx="4">
                  <c:v>0.1512501470563159</c:v>
                </c:pt>
                <c:pt idx="5">
                  <c:v>0.15076529131133598</c:v>
                </c:pt>
                <c:pt idx="6">
                  <c:v>0.15427197909314086</c:v>
                </c:pt>
                <c:pt idx="7">
                  <c:v>0.16027338157918627</c:v>
                </c:pt>
                <c:pt idx="8">
                  <c:v>0.16793792720139203</c:v>
                </c:pt>
                <c:pt idx="9">
                  <c:v>0.17676667301891</c:v>
                </c:pt>
                <c:pt idx="10">
                  <c:v>0.18644210988756418</c:v>
                </c:pt>
                <c:pt idx="11">
                  <c:v>0.19675256504457045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7F-4E4C-9AAA-0C6E4680DC89}"/>
            </c:ext>
          </c:extLst>
        </c:ser>
        <c:ser>
          <c:idx val="5"/>
          <c:order val="5"/>
          <c:tx>
            <c:v>W/S = 95.88</c:v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Sizing'!$R$114:$R$115</c:f>
              <c:numCache>
                <c:formatCode>General</c:formatCode>
                <c:ptCount val="2"/>
                <c:pt idx="0">
                  <c:v>95.877520062985823</c:v>
                </c:pt>
                <c:pt idx="1">
                  <c:v>95.877520062985823</c:v>
                </c:pt>
              </c:numCache>
            </c:numRef>
          </c:xVal>
          <c:yVal>
            <c:numRef>
              <c:f>'Wing Sizing'!$S$114:$S$115</c:f>
              <c:numCache>
                <c:formatCode>General</c:formatCode>
                <c:ptCount val="2"/>
                <c:pt idx="0">
                  <c:v>0</c:v>
                </c:pt>
                <c:pt idx="1">
                  <c:v>0.73588121489246539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69-4200-A651-B176BF03F667}"/>
            </c:ext>
          </c:extLst>
        </c:ser>
        <c:ser>
          <c:idx val="6"/>
          <c:order val="6"/>
          <c:tx>
            <c:v>T/W = 1.04</c:v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Sizing'!$R$116:$R$117</c:f>
              <c:numCache>
                <c:formatCode>General</c:formatCode>
                <c:ptCount val="2"/>
                <c:pt idx="0">
                  <c:v>0</c:v>
                </c:pt>
                <c:pt idx="1">
                  <c:v>95.877520062985823</c:v>
                </c:pt>
              </c:numCache>
            </c:numRef>
          </c:xVal>
          <c:yVal>
            <c:numRef>
              <c:f>'Wing Sizing'!$S$116:$S$117</c:f>
              <c:numCache>
                <c:formatCode>General</c:formatCode>
                <c:ptCount val="2"/>
                <c:pt idx="0">
                  <c:v>0.73588121489246539</c:v>
                </c:pt>
                <c:pt idx="1">
                  <c:v>0.73588121489246539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69-4200-A651-B176BF03F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6176"/>
        <c:axId val="2134987424"/>
      </c:scatterChart>
      <c:valAx>
        <c:axId val="2134986176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(W/S)_TO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87424"/>
        <c:crosses val="autoZero"/>
        <c:crossBetween val="midCat"/>
      </c:valAx>
      <c:valAx>
        <c:axId val="213498742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(T/W)_TO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8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Sizing Matching (max C_L_max)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Take Off (2.2)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Sizing'!$F$22:$F$33</c:f>
              <c:numCache>
                <c:formatCode>General</c:formatCode>
                <c:ptCount val="12"/>
                <c:pt idx="0">
                  <c:v>0.14806691254004367</c:v>
                </c:pt>
                <c:pt idx="1">
                  <c:v>0.24394728608133431</c:v>
                </c:pt>
                <c:pt idx="2">
                  <c:v>0.33982765962262501</c:v>
                </c:pt>
                <c:pt idx="3">
                  <c:v>0.43570803316391565</c:v>
                </c:pt>
                <c:pt idx="4">
                  <c:v>0.53158840670520624</c:v>
                </c:pt>
                <c:pt idx="5">
                  <c:v>0.62746878024649688</c:v>
                </c:pt>
                <c:pt idx="6">
                  <c:v>0.72334915378778752</c:v>
                </c:pt>
                <c:pt idx="7">
                  <c:v>0.81922952732907828</c:v>
                </c:pt>
                <c:pt idx="8">
                  <c:v>0.91510990087036892</c:v>
                </c:pt>
                <c:pt idx="9">
                  <c:v>1.0109902744116595</c:v>
                </c:pt>
                <c:pt idx="10">
                  <c:v>1.1068706479529502</c:v>
                </c:pt>
                <c:pt idx="11">
                  <c:v>1.2027510214942405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17-469E-95CC-912CECDCAC05}"/>
            </c:ext>
          </c:extLst>
        </c:ser>
        <c:ser>
          <c:idx val="1"/>
          <c:order val="1"/>
          <c:tx>
            <c:v>Landing (3.0)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'Wing Sizing'!$H$47:$H$56</c:f>
              <c:numCache>
                <c:formatCode>General</c:formatCode>
                <c:ptCount val="10"/>
                <c:pt idx="0">
                  <c:v>212.90521763313609</c:v>
                </c:pt>
                <c:pt idx="1">
                  <c:v>212.90521763313609</c:v>
                </c:pt>
                <c:pt idx="2">
                  <c:v>212.90521763313609</c:v>
                </c:pt>
                <c:pt idx="3">
                  <c:v>212.90521763313609</c:v>
                </c:pt>
                <c:pt idx="4">
                  <c:v>212.90521763313609</c:v>
                </c:pt>
                <c:pt idx="5">
                  <c:v>212.90521763313609</c:v>
                </c:pt>
                <c:pt idx="6">
                  <c:v>212.90521763313609</c:v>
                </c:pt>
                <c:pt idx="7">
                  <c:v>212.90521763313609</c:v>
                </c:pt>
                <c:pt idx="8">
                  <c:v>212.90521763313609</c:v>
                </c:pt>
                <c:pt idx="9">
                  <c:v>212.90521763313609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17-469E-95CC-912CECDCAC05}"/>
            </c:ext>
          </c:extLst>
        </c:ser>
        <c:ser>
          <c:idx val="2"/>
          <c:order val="2"/>
          <c:tx>
            <c:v>Operational Ceiling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Sizing'!$A$87:$A$98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Sizing'!$B$87:$B$98</c:f>
              <c:numCache>
                <c:formatCode>General</c:formatCode>
                <c:ptCount val="12"/>
                <c:pt idx="0">
                  <c:v>0.87435954686456541</c:v>
                </c:pt>
                <c:pt idx="1">
                  <c:v>0.64972208208169979</c:v>
                </c:pt>
                <c:pt idx="2">
                  <c:v>0.55020399145420429</c:v>
                </c:pt>
                <c:pt idx="3">
                  <c:v>0.49087940742518105</c:v>
                </c:pt>
                <c:pt idx="4">
                  <c:v>0.45039433190882133</c:v>
                </c:pt>
                <c:pt idx="5">
                  <c:v>0.42050949069174171</c:v>
                </c:pt>
                <c:pt idx="6">
                  <c:v>0.39728300561122043</c:v>
                </c:pt>
                <c:pt idx="7">
                  <c:v>0.37856067503374824</c:v>
                </c:pt>
                <c:pt idx="8">
                  <c:v>0.36305269427871961</c:v>
                </c:pt>
                <c:pt idx="9">
                  <c:v>0.34993340359928077</c:v>
                </c:pt>
                <c:pt idx="10">
                  <c:v>0.33864649290827081</c:v>
                </c:pt>
                <c:pt idx="11">
                  <c:v>0.32880162972000049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17-469E-95CC-912CECDCAC05}"/>
            </c:ext>
          </c:extLst>
        </c:ser>
        <c:ser>
          <c:idx val="3"/>
          <c:order val="3"/>
          <c:tx>
            <c:v>Maneuvering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Sizing'!$C$115:$C$129</c:f>
              <c:numCache>
                <c:formatCode>General</c:formatCode>
                <c:ptCount val="15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102.26935473385154</c:v>
                </c:pt>
                <c:pt idx="4">
                  <c:v>115.05302407558298</c:v>
                </c:pt>
                <c:pt idx="5">
                  <c:v>121.4448587464487</c:v>
                </c:pt>
                <c:pt idx="6">
                  <c:v>127.83669341731442</c:v>
                </c:pt>
                <c:pt idx="7">
                  <c:v>159.79586677164303</c:v>
                </c:pt>
                <c:pt idx="8">
                  <c:v>191.75504012597165</c:v>
                </c:pt>
                <c:pt idx="9">
                  <c:v>223.71421348030026</c:v>
                </c:pt>
                <c:pt idx="10">
                  <c:v>255.67338683462884</c:v>
                </c:pt>
                <c:pt idx="11">
                  <c:v>287.63256018895748</c:v>
                </c:pt>
                <c:pt idx="12">
                  <c:v>319.59173354328607</c:v>
                </c:pt>
                <c:pt idx="13">
                  <c:v>351.55090689761465</c:v>
                </c:pt>
                <c:pt idx="14">
                  <c:v>383.51008025194329</c:v>
                </c:pt>
              </c:numCache>
            </c:numRef>
          </c:xVal>
          <c:yVal>
            <c:numRef>
              <c:f>'Wing Sizing'!$D$115:$D$129</c:f>
              <c:numCache>
                <c:formatCode>General</c:formatCode>
                <c:ptCount val="15"/>
                <c:pt idx="0">
                  <c:v>0.82436148197490122</c:v>
                </c:pt>
                <c:pt idx="1">
                  <c:v>0.67154614649416844</c:v>
                </c:pt>
                <c:pt idx="2">
                  <c:v>0.73588121489246539</c:v>
                </c:pt>
                <c:pt idx="3">
                  <c:v>0.75689136871758833</c:v>
                </c:pt>
                <c:pt idx="4">
                  <c:v>0.80343564311531424</c:v>
                </c:pt>
                <c:pt idx="5">
                  <c:v>0.82849355666186653</c:v>
                </c:pt>
                <c:pt idx="6">
                  <c:v>0.85450388426051993</c:v>
                </c:pt>
                <c:pt idx="7">
                  <c:v>0.9948415940164772</c:v>
                </c:pt>
                <c:pt idx="8">
                  <c:v>1.1460368239663861</c:v>
                </c:pt>
                <c:pt idx="9">
                  <c:v>1.3034363511699816</c:v>
                </c:pt>
                <c:pt idx="10">
                  <c:v>1.4647135641571309</c:v>
                </c:pt>
                <c:pt idx="11">
                  <c:v>1.6285759009999834</c:v>
                </c:pt>
                <c:pt idx="12">
                  <c:v>1.7942478245418276</c:v>
                </c:pt>
                <c:pt idx="13">
                  <c:v>1.9612358111374841</c:v>
                </c:pt>
                <c:pt idx="14">
                  <c:v>2.1292108450234997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A2-48BA-94C2-5362F319674E}"/>
            </c:ext>
          </c:extLst>
        </c:ser>
        <c:ser>
          <c:idx val="4"/>
          <c:order val="4"/>
          <c:tx>
            <c:v>Max Speed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Sizing'!$C$145:$C$156</c:f>
              <c:numCache>
                <c:formatCode>General</c:formatCode>
                <c:ptCount val="12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127.83669341731442</c:v>
                </c:pt>
                <c:pt idx="4">
                  <c:v>159.79586677164303</c:v>
                </c:pt>
                <c:pt idx="5">
                  <c:v>191.75504012597165</c:v>
                </c:pt>
                <c:pt idx="6">
                  <c:v>223.71421348030026</c:v>
                </c:pt>
                <c:pt idx="7">
                  <c:v>255.67338683462884</c:v>
                </c:pt>
                <c:pt idx="8">
                  <c:v>287.63256018895748</c:v>
                </c:pt>
                <c:pt idx="9">
                  <c:v>319.59173354328607</c:v>
                </c:pt>
                <c:pt idx="10">
                  <c:v>351.55090689761465</c:v>
                </c:pt>
                <c:pt idx="11">
                  <c:v>383.51008025194329</c:v>
                </c:pt>
              </c:numCache>
            </c:numRef>
          </c:xVal>
          <c:yVal>
            <c:numRef>
              <c:f>'Wing Sizing'!$D$145:$D$156</c:f>
              <c:numCache>
                <c:formatCode>General</c:formatCode>
                <c:ptCount val="12"/>
                <c:pt idx="0">
                  <c:v>0.43259761691117288</c:v>
                </c:pt>
                <c:pt idx="1">
                  <c:v>0.23652712835373682</c:v>
                </c:pt>
                <c:pt idx="2">
                  <c:v>0.1801606632337695</c:v>
                </c:pt>
                <c:pt idx="3">
                  <c:v>0.15872020397316924</c:v>
                </c:pt>
                <c:pt idx="4">
                  <c:v>0.1512501470563159</c:v>
                </c:pt>
                <c:pt idx="5">
                  <c:v>0.15076529131133598</c:v>
                </c:pt>
                <c:pt idx="6">
                  <c:v>0.15427197909314086</c:v>
                </c:pt>
                <c:pt idx="7">
                  <c:v>0.16027338157918627</c:v>
                </c:pt>
                <c:pt idx="8">
                  <c:v>0.16793792720139203</c:v>
                </c:pt>
                <c:pt idx="9">
                  <c:v>0.17676667301891</c:v>
                </c:pt>
                <c:pt idx="10">
                  <c:v>0.18644210988756418</c:v>
                </c:pt>
                <c:pt idx="11">
                  <c:v>0.19675256504457045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A2-48BA-94C2-5362F3196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60240"/>
        <c:axId val="1709160656"/>
      </c:scatterChart>
      <c:valAx>
        <c:axId val="170916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(W/S)_TO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60656"/>
        <c:crosses val="autoZero"/>
        <c:crossBetween val="midCat"/>
      </c:valAx>
      <c:valAx>
        <c:axId val="17091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(T/W)_TO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6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Drag Polar P1 - Clean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Drag Polar - 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Sizing'!$F$60:$F$75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xVal>
          <c:yVal>
            <c:numRef>
              <c:f>'Wing Sizing'!$G$60:$G$75</c:f>
              <c:numCache>
                <c:formatCode>General</c:formatCode>
                <c:ptCount val="16"/>
                <c:pt idx="0">
                  <c:v>2.9895544226705487E-2</c:v>
                </c:pt>
                <c:pt idx="1">
                  <c:v>3.3753845877418101E-2</c:v>
                </c:pt>
                <c:pt idx="2">
                  <c:v>4.5328750829555946E-2</c:v>
                </c:pt>
                <c:pt idx="3">
                  <c:v>6.4620259083119011E-2</c:v>
                </c:pt>
                <c:pt idx="4">
                  <c:v>9.1628370638107332E-2</c:v>
                </c:pt>
                <c:pt idx="5">
                  <c:v>0.12635308549452084</c:v>
                </c:pt>
                <c:pt idx="6">
                  <c:v>0.16879440365235959</c:v>
                </c:pt>
                <c:pt idx="7">
                  <c:v>0.21895232511162357</c:v>
                </c:pt>
                <c:pt idx="8">
                  <c:v>0.27682684987231287</c:v>
                </c:pt>
                <c:pt idx="9">
                  <c:v>0.34241797793442724</c:v>
                </c:pt>
                <c:pt idx="10">
                  <c:v>0.41572570929796693</c:v>
                </c:pt>
                <c:pt idx="11">
                  <c:v>0.49675004396293188</c:v>
                </c:pt>
                <c:pt idx="12">
                  <c:v>0.58549098192932192</c:v>
                </c:pt>
                <c:pt idx="13">
                  <c:v>0.68194852319713739</c:v>
                </c:pt>
                <c:pt idx="14">
                  <c:v>0.78612266776637785</c:v>
                </c:pt>
                <c:pt idx="15">
                  <c:v>0.89801341563704373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4B-4B4E-BCA3-078A3ABB9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069488"/>
        <c:axId val="2009069904"/>
      </c:scatterChart>
      <c:valAx>
        <c:axId val="200906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69904"/>
        <c:crosses val="autoZero"/>
        <c:crossBetween val="midCat"/>
      </c:valAx>
      <c:valAx>
        <c:axId val="20090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6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Drag Polar P1 - Take Off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Drag Polar - Take Off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Sizing'!$F$60:$F$75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xVal>
          <c:yVal>
            <c:numRef>
              <c:f>'Wing Sizing'!$H$60:$H$75</c:f>
              <c:numCache>
                <c:formatCode>General</c:formatCode>
                <c:ptCount val="16"/>
                <c:pt idx="0">
                  <c:v>4.4895544226705483E-2</c:v>
                </c:pt>
                <c:pt idx="1">
                  <c:v>4.9002768564560845E-2</c:v>
                </c:pt>
                <c:pt idx="2">
                  <c:v>6.1324441578126943E-2</c:v>
                </c:pt>
                <c:pt idx="3">
                  <c:v>8.1860563267403763E-2</c:v>
                </c:pt>
                <c:pt idx="4">
                  <c:v>0.11061113363239132</c:v>
                </c:pt>
                <c:pt idx="5">
                  <c:v>0.14757615267308957</c:v>
                </c:pt>
                <c:pt idx="6">
                  <c:v>0.19275562038949856</c:v>
                </c:pt>
                <c:pt idx="7">
                  <c:v>0.24614953678161827</c:v>
                </c:pt>
                <c:pt idx="8">
                  <c:v>0.30775790184944884</c:v>
                </c:pt>
                <c:pt idx="9">
                  <c:v>0.37758071559299</c:v>
                </c:pt>
                <c:pt idx="10">
                  <c:v>0.45561797801224185</c:v>
                </c:pt>
                <c:pt idx="11">
                  <c:v>0.54186968910720457</c:v>
                </c:pt>
                <c:pt idx="12">
                  <c:v>0.63633584887787786</c:v>
                </c:pt>
                <c:pt idx="13">
                  <c:v>0.73901645732426202</c:v>
                </c:pt>
                <c:pt idx="14">
                  <c:v>0.84991151444635671</c:v>
                </c:pt>
                <c:pt idx="15">
                  <c:v>0.96902102024416237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BE-4668-93F5-F2787EE3E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88"/>
        <c:axId val="105856"/>
      </c:scatterChart>
      <c:valAx>
        <c:axId val="9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6"/>
        <c:crosses val="autoZero"/>
        <c:crossBetween val="midCat"/>
      </c:valAx>
      <c:valAx>
        <c:axId val="1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Drag Polar P1 - Landing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Landing Flaps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Sizing'!$F$60:$F$75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xVal>
          <c:yVal>
            <c:numRef>
              <c:f>'Wing Sizing'!$I$60:$I$75</c:f>
              <c:numCache>
                <c:formatCode>General</c:formatCode>
                <c:ptCount val="16"/>
                <c:pt idx="0">
                  <c:v>9.4895544226705486E-2</c:v>
                </c:pt>
                <c:pt idx="1">
                  <c:v>9.9286025415447426E-2</c:v>
                </c:pt>
                <c:pt idx="2">
                  <c:v>0.11245746898167325</c:v>
                </c:pt>
                <c:pt idx="3">
                  <c:v>0.13440987492538295</c:v>
                </c:pt>
                <c:pt idx="4">
                  <c:v>0.16514324324657653</c:v>
                </c:pt>
                <c:pt idx="5">
                  <c:v>0.204657573945254</c:v>
                </c:pt>
                <c:pt idx="6">
                  <c:v>0.25295286702141534</c:v>
                </c:pt>
                <c:pt idx="7">
                  <c:v>0.31002912247506054</c:v>
                </c:pt>
                <c:pt idx="8">
                  <c:v>0.37588634030618973</c:v>
                </c:pt>
                <c:pt idx="9">
                  <c:v>0.45052452051480268</c:v>
                </c:pt>
                <c:pt idx="10">
                  <c:v>0.53394366310089958</c:v>
                </c:pt>
                <c:pt idx="11">
                  <c:v>0.62614376806448035</c:v>
                </c:pt>
                <c:pt idx="12">
                  <c:v>0.72712483540554484</c:v>
                </c:pt>
                <c:pt idx="13">
                  <c:v>0.83688686512409349</c:v>
                </c:pt>
                <c:pt idx="14">
                  <c:v>0.95542985722012563</c:v>
                </c:pt>
                <c:pt idx="15">
                  <c:v>1.0827538116936422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A-42E3-A79C-6F572A564669}"/>
            </c:ext>
          </c:extLst>
        </c:ser>
        <c:ser>
          <c:idx val="1"/>
          <c:order val="1"/>
          <c:tx>
            <c:v>Landing Gear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'Wing Sizing'!$F$60:$F$75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xVal>
          <c:yVal>
            <c:numRef>
              <c:f>'Wing Sizing'!$J$60:$J$75</c:f>
              <c:numCache>
                <c:formatCode>General</c:formatCode>
                <c:ptCount val="16"/>
                <c:pt idx="0">
                  <c:v>4.9895544226705488E-2</c:v>
                </c:pt>
                <c:pt idx="1">
                  <c:v>5.3078643088543397E-2</c:v>
                </c:pt>
                <c:pt idx="2">
                  <c:v>6.2627939674057123E-2</c:v>
                </c:pt>
                <c:pt idx="3">
                  <c:v>7.8543433983246647E-2</c:v>
                </c:pt>
                <c:pt idx="4">
                  <c:v>0.10082512601611202</c:v>
                </c:pt>
                <c:pt idx="5">
                  <c:v>0.12947301577265316</c:v>
                </c:pt>
                <c:pt idx="6">
                  <c:v>0.16448710325287014</c:v>
                </c:pt>
                <c:pt idx="7">
                  <c:v>0.20586738845676289</c:v>
                </c:pt>
                <c:pt idx="8">
                  <c:v>0.25361387138433156</c:v>
                </c:pt>
                <c:pt idx="9">
                  <c:v>0.30772655203557597</c:v>
                </c:pt>
                <c:pt idx="10">
                  <c:v>0.36820543041049619</c:v>
                </c:pt>
                <c:pt idx="11">
                  <c:v>0.43505050650909227</c:v>
                </c:pt>
                <c:pt idx="12">
                  <c:v>0.50826178033136404</c:v>
                </c:pt>
                <c:pt idx="13">
                  <c:v>0.58783925187731179</c:v>
                </c:pt>
                <c:pt idx="14">
                  <c:v>0.67378292114693517</c:v>
                </c:pt>
                <c:pt idx="15">
                  <c:v>0.76609278814023452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4A-42E3-A79C-6F572A564669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'Wing Sizing'!$F$60:$F$75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xVal>
          <c:yVal>
            <c:numRef>
              <c:f>'Wing Sizing'!$K$60:$K$75</c:f>
              <c:numCache>
                <c:formatCode>General</c:formatCode>
                <c:ptCount val="16"/>
                <c:pt idx="0">
                  <c:v>0.11489554422670549</c:v>
                </c:pt>
                <c:pt idx="1">
                  <c:v>0.11913967604248937</c:v>
                </c:pt>
                <c:pt idx="2">
                  <c:v>0.13187207148984101</c:v>
                </c:pt>
                <c:pt idx="3">
                  <c:v>0.15309273056876038</c:v>
                </c:pt>
                <c:pt idx="4">
                  <c:v>0.18280165327924752</c:v>
                </c:pt>
                <c:pt idx="5">
                  <c:v>0.2209988396213024</c:v>
                </c:pt>
                <c:pt idx="6">
                  <c:v>0.26768428959492502</c:v>
                </c:pt>
                <c:pt idx="7">
                  <c:v>0.32285800320011537</c:v>
                </c:pt>
                <c:pt idx="8">
                  <c:v>0.38651998043687363</c:v>
                </c:pt>
                <c:pt idx="9">
                  <c:v>0.45867022130519947</c:v>
                </c:pt>
                <c:pt idx="10">
                  <c:v>0.53930872580509304</c:v>
                </c:pt>
                <c:pt idx="11">
                  <c:v>0.62843549393655451</c:v>
                </c:pt>
                <c:pt idx="12">
                  <c:v>0.7260505256995835</c:v>
                </c:pt>
                <c:pt idx="13">
                  <c:v>0.83215382109418057</c:v>
                </c:pt>
                <c:pt idx="14">
                  <c:v>0.94674538012034504</c:v>
                </c:pt>
                <c:pt idx="15">
                  <c:v>1.0698252027780775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4A-42E3-A79C-6F572A564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45856"/>
        <c:axId val="2001550432"/>
      </c:scatterChart>
      <c:valAx>
        <c:axId val="200154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50432"/>
        <c:crosses val="autoZero"/>
        <c:crossBetween val="midCat"/>
      </c:valAx>
      <c:valAx>
        <c:axId val="200155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4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Wing Sizing Matching (min C_L_max)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541166744991064E-2"/>
          <c:y val="4.9163811390183915E-2"/>
          <c:w val="0.94696654963102467"/>
          <c:h val="0.74495224552691908"/>
        </c:manualLayout>
      </c:layout>
      <c:scatterChart>
        <c:scatterStyle val="smoothMarker"/>
        <c:varyColors val="0"/>
        <c:ser>
          <c:idx val="0"/>
          <c:order val="0"/>
          <c:tx>
            <c:v>Take Off (1.6)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Sizing'!$A$22:$A$33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Sizing'!$C$22:$C$33</c:f>
              <c:numCache>
                <c:formatCode>General</c:formatCode>
                <c:ptCount val="12"/>
                <c:pt idx="0">
                  <c:v>0.1840220526180277</c:v>
                </c:pt>
                <c:pt idx="1">
                  <c:v>0.31585756623730238</c:v>
                </c:pt>
                <c:pt idx="2">
                  <c:v>0.44769307985657697</c:v>
                </c:pt>
                <c:pt idx="3">
                  <c:v>0.57952859347585162</c:v>
                </c:pt>
                <c:pt idx="4">
                  <c:v>0.71136410709512632</c:v>
                </c:pt>
                <c:pt idx="5">
                  <c:v>0.84319962071440091</c:v>
                </c:pt>
                <c:pt idx="6">
                  <c:v>0.97503513433367572</c:v>
                </c:pt>
                <c:pt idx="7">
                  <c:v>1.1068706479529502</c:v>
                </c:pt>
                <c:pt idx="8">
                  <c:v>1.2387061615722248</c:v>
                </c:pt>
                <c:pt idx="9">
                  <c:v>1.3705416751914994</c:v>
                </c:pt>
                <c:pt idx="10">
                  <c:v>1.502377188810774</c:v>
                </c:pt>
                <c:pt idx="11">
                  <c:v>1.6342127024300486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5-4A1B-8866-B4ECFE8E0292}"/>
            </c:ext>
          </c:extLst>
        </c:ser>
        <c:ser>
          <c:idx val="1"/>
          <c:order val="1"/>
          <c:tx>
            <c:v>Landing (1.8)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'Wing Sizing'!$B$47:$B$56</c:f>
              <c:numCache>
                <c:formatCode>General</c:formatCode>
                <c:ptCount val="10"/>
                <c:pt idx="0">
                  <c:v>127.74313057988164</c:v>
                </c:pt>
                <c:pt idx="1">
                  <c:v>127.74313057988164</c:v>
                </c:pt>
                <c:pt idx="2">
                  <c:v>127.74313057988164</c:v>
                </c:pt>
                <c:pt idx="3">
                  <c:v>127.74313057988164</c:v>
                </c:pt>
                <c:pt idx="4">
                  <c:v>127.74313057988164</c:v>
                </c:pt>
                <c:pt idx="5">
                  <c:v>127.74313057988164</c:v>
                </c:pt>
                <c:pt idx="6">
                  <c:v>127.74313057988164</c:v>
                </c:pt>
                <c:pt idx="7">
                  <c:v>127.74313057988164</c:v>
                </c:pt>
                <c:pt idx="8">
                  <c:v>127.74313057988164</c:v>
                </c:pt>
                <c:pt idx="9">
                  <c:v>127.74313057988164</c:v>
                </c:pt>
              </c:numCache>
            </c:numRef>
          </c:xVal>
          <c:yVal>
            <c:numRef>
              <c:f>'Wing Sizing'!$A$47:$A$56</c:f>
              <c:numCache>
                <c:formatCode>General</c:formatCode>
                <c:ptCount val="10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25-4A1B-8866-B4ECFE8E0292}"/>
            </c:ext>
          </c:extLst>
        </c:ser>
        <c:ser>
          <c:idx val="2"/>
          <c:order val="2"/>
          <c:tx>
            <c:v>Operational Ceiling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'Wing Sizing'!$A$87:$A$98</c:f>
              <c:numCache>
                <c:formatCode>General</c:formatCode>
                <c:ptCount val="12"/>
                <c:pt idx="0">
                  <c:v>25</c:v>
                </c:pt>
                <c:pt idx="1">
                  <c:v>50</c:v>
                </c:pt>
                <c:pt idx="2">
                  <c:v>75</c:v>
                </c:pt>
                <c:pt idx="3">
                  <c:v>100</c:v>
                </c:pt>
                <c:pt idx="4">
                  <c:v>125</c:v>
                </c:pt>
                <c:pt idx="5">
                  <c:v>150</c:v>
                </c:pt>
                <c:pt idx="6">
                  <c:v>175</c:v>
                </c:pt>
                <c:pt idx="7">
                  <c:v>200</c:v>
                </c:pt>
                <c:pt idx="8">
                  <c:v>225</c:v>
                </c:pt>
                <c:pt idx="9">
                  <c:v>250</c:v>
                </c:pt>
                <c:pt idx="10">
                  <c:v>275</c:v>
                </c:pt>
                <c:pt idx="11">
                  <c:v>300</c:v>
                </c:pt>
              </c:numCache>
            </c:numRef>
          </c:xVal>
          <c:yVal>
            <c:numRef>
              <c:f>'Wing Sizing'!$B$87:$B$98</c:f>
              <c:numCache>
                <c:formatCode>General</c:formatCode>
                <c:ptCount val="12"/>
                <c:pt idx="0">
                  <c:v>0.87435954686456541</c:v>
                </c:pt>
                <c:pt idx="1">
                  <c:v>0.64972208208169979</c:v>
                </c:pt>
                <c:pt idx="2">
                  <c:v>0.55020399145420429</c:v>
                </c:pt>
                <c:pt idx="3">
                  <c:v>0.49087940742518105</c:v>
                </c:pt>
                <c:pt idx="4">
                  <c:v>0.45039433190882133</c:v>
                </c:pt>
                <c:pt idx="5">
                  <c:v>0.42050949069174171</c:v>
                </c:pt>
                <c:pt idx="6">
                  <c:v>0.39728300561122043</c:v>
                </c:pt>
                <c:pt idx="7">
                  <c:v>0.37856067503374824</c:v>
                </c:pt>
                <c:pt idx="8">
                  <c:v>0.36305269427871961</c:v>
                </c:pt>
                <c:pt idx="9">
                  <c:v>0.34993340359928077</c:v>
                </c:pt>
                <c:pt idx="10">
                  <c:v>0.33864649290827081</c:v>
                </c:pt>
                <c:pt idx="11">
                  <c:v>0.32880162972000049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25-4A1B-8866-B4ECFE8E0292}"/>
            </c:ext>
          </c:extLst>
        </c:ser>
        <c:ser>
          <c:idx val="3"/>
          <c:order val="3"/>
          <c:tx>
            <c:v>Maneuvering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Sizing'!$C$115:$C$129</c:f>
              <c:numCache>
                <c:formatCode>General</c:formatCode>
                <c:ptCount val="15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102.26935473385154</c:v>
                </c:pt>
                <c:pt idx="4">
                  <c:v>115.05302407558298</c:v>
                </c:pt>
                <c:pt idx="5">
                  <c:v>121.4448587464487</c:v>
                </c:pt>
                <c:pt idx="6">
                  <c:v>127.83669341731442</c:v>
                </c:pt>
                <c:pt idx="7">
                  <c:v>159.79586677164303</c:v>
                </c:pt>
                <c:pt idx="8">
                  <c:v>191.75504012597165</c:v>
                </c:pt>
                <c:pt idx="9">
                  <c:v>223.71421348030026</c:v>
                </c:pt>
                <c:pt idx="10">
                  <c:v>255.67338683462884</c:v>
                </c:pt>
                <c:pt idx="11">
                  <c:v>287.63256018895748</c:v>
                </c:pt>
                <c:pt idx="12">
                  <c:v>319.59173354328607</c:v>
                </c:pt>
                <c:pt idx="13">
                  <c:v>351.55090689761465</c:v>
                </c:pt>
                <c:pt idx="14">
                  <c:v>383.51008025194329</c:v>
                </c:pt>
              </c:numCache>
            </c:numRef>
          </c:xVal>
          <c:yVal>
            <c:numRef>
              <c:f>'Wing Sizing'!$D$115:$D$129</c:f>
              <c:numCache>
                <c:formatCode>General</c:formatCode>
                <c:ptCount val="15"/>
                <c:pt idx="0">
                  <c:v>0.82436148197490122</c:v>
                </c:pt>
                <c:pt idx="1">
                  <c:v>0.67154614649416844</c:v>
                </c:pt>
                <c:pt idx="2">
                  <c:v>0.73588121489246539</c:v>
                </c:pt>
                <c:pt idx="3">
                  <c:v>0.75689136871758833</c:v>
                </c:pt>
                <c:pt idx="4">
                  <c:v>0.80343564311531424</c:v>
                </c:pt>
                <c:pt idx="5">
                  <c:v>0.82849355666186653</c:v>
                </c:pt>
                <c:pt idx="6">
                  <c:v>0.85450388426051993</c:v>
                </c:pt>
                <c:pt idx="7">
                  <c:v>0.9948415940164772</c:v>
                </c:pt>
                <c:pt idx="8">
                  <c:v>1.1460368239663861</c:v>
                </c:pt>
                <c:pt idx="9">
                  <c:v>1.3034363511699816</c:v>
                </c:pt>
                <c:pt idx="10">
                  <c:v>1.4647135641571309</c:v>
                </c:pt>
                <c:pt idx="11">
                  <c:v>1.6285759009999834</c:v>
                </c:pt>
                <c:pt idx="12">
                  <c:v>1.7942478245418276</c:v>
                </c:pt>
                <c:pt idx="13">
                  <c:v>1.9612358111374841</c:v>
                </c:pt>
                <c:pt idx="14">
                  <c:v>2.1292108450234997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25-4A1B-8866-B4ECFE8E0292}"/>
            </c:ext>
          </c:extLst>
        </c:ser>
        <c:ser>
          <c:idx val="4"/>
          <c:order val="4"/>
          <c:tx>
            <c:v>Max Speed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'Wing Sizing'!$C$145:$C$156</c:f>
              <c:numCache>
                <c:formatCode>General</c:formatCode>
                <c:ptCount val="12"/>
                <c:pt idx="0">
                  <c:v>31.959173354328605</c:v>
                </c:pt>
                <c:pt idx="1">
                  <c:v>63.918346708657211</c:v>
                </c:pt>
                <c:pt idx="2">
                  <c:v>95.877520062985823</c:v>
                </c:pt>
                <c:pt idx="3">
                  <c:v>127.83669341731442</c:v>
                </c:pt>
                <c:pt idx="4">
                  <c:v>159.79586677164303</c:v>
                </c:pt>
                <c:pt idx="5">
                  <c:v>191.75504012597165</c:v>
                </c:pt>
                <c:pt idx="6">
                  <c:v>223.71421348030026</c:v>
                </c:pt>
                <c:pt idx="7">
                  <c:v>255.67338683462884</c:v>
                </c:pt>
                <c:pt idx="8">
                  <c:v>287.63256018895748</c:v>
                </c:pt>
                <c:pt idx="9">
                  <c:v>319.59173354328607</c:v>
                </c:pt>
                <c:pt idx="10">
                  <c:v>351.55090689761465</c:v>
                </c:pt>
                <c:pt idx="11">
                  <c:v>383.51008025194329</c:v>
                </c:pt>
              </c:numCache>
            </c:numRef>
          </c:xVal>
          <c:yVal>
            <c:numRef>
              <c:f>'Wing Sizing'!$D$145:$D$156</c:f>
              <c:numCache>
                <c:formatCode>General</c:formatCode>
                <c:ptCount val="12"/>
                <c:pt idx="0">
                  <c:v>0.43259761691117288</c:v>
                </c:pt>
                <c:pt idx="1">
                  <c:v>0.23652712835373682</c:v>
                </c:pt>
                <c:pt idx="2">
                  <c:v>0.1801606632337695</c:v>
                </c:pt>
                <c:pt idx="3">
                  <c:v>0.15872020397316924</c:v>
                </c:pt>
                <c:pt idx="4">
                  <c:v>0.1512501470563159</c:v>
                </c:pt>
                <c:pt idx="5">
                  <c:v>0.15076529131133598</c:v>
                </c:pt>
                <c:pt idx="6">
                  <c:v>0.15427197909314086</c:v>
                </c:pt>
                <c:pt idx="7">
                  <c:v>0.16027338157918627</c:v>
                </c:pt>
                <c:pt idx="8">
                  <c:v>0.16793792720139203</c:v>
                </c:pt>
                <c:pt idx="9">
                  <c:v>0.17676667301891</c:v>
                </c:pt>
                <c:pt idx="10">
                  <c:v>0.18644210988756418</c:v>
                </c:pt>
                <c:pt idx="11">
                  <c:v>0.19675256504457045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25-4A1B-8866-B4ECFE8E0292}"/>
            </c:ext>
          </c:extLst>
        </c:ser>
        <c:ser>
          <c:idx val="5"/>
          <c:order val="5"/>
          <c:tx>
            <c:v>W/S = 95.88</c:v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Sizing'!$R$114:$R$115</c:f>
              <c:numCache>
                <c:formatCode>General</c:formatCode>
                <c:ptCount val="2"/>
                <c:pt idx="0">
                  <c:v>95.877520062985823</c:v>
                </c:pt>
                <c:pt idx="1">
                  <c:v>95.877520062985823</c:v>
                </c:pt>
              </c:numCache>
            </c:numRef>
          </c:xVal>
          <c:yVal>
            <c:numRef>
              <c:f>'Wing Sizing'!$S$114:$S$115</c:f>
              <c:numCache>
                <c:formatCode>General</c:formatCode>
                <c:ptCount val="2"/>
                <c:pt idx="0">
                  <c:v>0</c:v>
                </c:pt>
                <c:pt idx="1">
                  <c:v>0.73588121489246539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25-4A1B-8866-B4ECFE8E0292}"/>
            </c:ext>
          </c:extLst>
        </c:ser>
        <c:ser>
          <c:idx val="6"/>
          <c:order val="6"/>
          <c:tx>
            <c:v>T/W = 0.73</c:v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'Wing Sizing'!$R$116:$R$117</c:f>
              <c:numCache>
                <c:formatCode>General</c:formatCode>
                <c:ptCount val="2"/>
                <c:pt idx="0">
                  <c:v>0</c:v>
                </c:pt>
                <c:pt idx="1">
                  <c:v>95.877520062985823</c:v>
                </c:pt>
              </c:numCache>
            </c:numRef>
          </c:xVal>
          <c:yVal>
            <c:numRef>
              <c:f>'Wing Sizing'!$S$116:$S$117</c:f>
              <c:numCache>
                <c:formatCode>General</c:formatCode>
                <c:ptCount val="2"/>
                <c:pt idx="0">
                  <c:v>0.73588121489246539</c:v>
                </c:pt>
                <c:pt idx="1">
                  <c:v>0.73588121489246539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025-4A1B-8866-B4ECFE8E0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86176"/>
        <c:axId val="2134987424"/>
      </c:scatterChart>
      <c:valAx>
        <c:axId val="2134986176"/>
        <c:scaling>
          <c:orientation val="minMax"/>
          <c:max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(W/S)_TO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87424"/>
        <c:crosses val="autoZero"/>
        <c:crossBetween val="midCat"/>
      </c:valAx>
      <c:valAx>
        <c:axId val="213498742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(T/W)_TO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8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616093606509885"/>
          <c:y val="0.86231068441885339"/>
          <c:w val="0.54767806390541351"/>
          <c:h val="0.129736151161057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Drag Polar P2 - 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 Drag'!$G$3:$G$18</c:f>
              <c:numCache>
                <c:formatCode>General</c:formatCode>
                <c:ptCount val="16"/>
                <c:pt idx="0">
                  <c:v>3.2719836400817996E-3</c:v>
                </c:pt>
                <c:pt idx="1">
                  <c:v>5.8441847405568768E-3</c:v>
                </c:pt>
                <c:pt idx="2">
                  <c:v>1.3560788041982106E-2</c:v>
                </c:pt>
                <c:pt idx="3">
                  <c:v>2.6421793544357485E-2</c:v>
                </c:pt>
                <c:pt idx="4">
                  <c:v>4.4427201247683026E-2</c:v>
                </c:pt>
                <c:pt idx="5">
                  <c:v>6.7577011151958702E-2</c:v>
                </c:pt>
                <c:pt idx="6">
                  <c:v>9.5871223257184543E-2</c:v>
                </c:pt>
                <c:pt idx="7">
                  <c:v>0.12930983756336054</c:v>
                </c:pt>
                <c:pt idx="8">
                  <c:v>0.16789285407048671</c:v>
                </c:pt>
                <c:pt idx="9">
                  <c:v>0.21162027277856299</c:v>
                </c:pt>
                <c:pt idx="10">
                  <c:v>0.26049209368758941</c:v>
                </c:pt>
                <c:pt idx="11">
                  <c:v>0.31450831679756608</c:v>
                </c:pt>
                <c:pt idx="12">
                  <c:v>0.37366894210849277</c:v>
                </c:pt>
                <c:pt idx="13">
                  <c:v>0.43797396962036977</c:v>
                </c:pt>
                <c:pt idx="14">
                  <c:v>0.5074233993331968</c:v>
                </c:pt>
                <c:pt idx="15">
                  <c:v>0.58201723124697402</c:v>
                </c:pt>
              </c:numCache>
            </c:numRef>
          </c:xVal>
          <c:yVal>
            <c:numRef>
              <c:f>'C1 Drag'!$F$3:$F$18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3BD-49D5-9ABE-AB906BFCE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560624"/>
        <c:axId val="1466561040"/>
      </c:scatterChart>
      <c:valAx>
        <c:axId val="146656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1040"/>
        <c:crosses val="autoZero"/>
        <c:crossBetween val="midCat"/>
      </c:valAx>
      <c:valAx>
        <c:axId val="14665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Drag Polar P2 - Take Off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 Drag'!$I$3:$I$18</c:f>
              <c:numCache>
                <c:formatCode>General</c:formatCode>
                <c:ptCount val="16"/>
                <c:pt idx="0">
                  <c:v>1.8271983640081799E-2</c:v>
                </c:pt>
                <c:pt idx="1">
                  <c:v>2.101013319865204E-2</c:v>
                </c:pt>
                <c:pt idx="2">
                  <c:v>2.9224581874362769E-2</c:v>
                </c:pt>
                <c:pt idx="3">
                  <c:v>4.2915329667213981E-2</c:v>
                </c:pt>
                <c:pt idx="4">
                  <c:v>6.2082376577205681E-2</c:v>
                </c:pt>
                <c:pt idx="5">
                  <c:v>8.6725722604337849E-2</c:v>
                </c:pt>
                <c:pt idx="6">
                  <c:v>0.11684536774861051</c:v>
                </c:pt>
                <c:pt idx="7">
                  <c:v>0.15244131201002364</c:v>
                </c:pt>
                <c:pt idx="8">
                  <c:v>0.19351355538857734</c:v>
                </c:pt>
                <c:pt idx="9">
                  <c:v>0.24006209788427146</c:v>
                </c:pt>
                <c:pt idx="10">
                  <c:v>0.29208693949710601</c:v>
                </c:pt>
                <c:pt idx="11">
                  <c:v>0.34958808022708115</c:v>
                </c:pt>
                <c:pt idx="12">
                  <c:v>0.41256552007419667</c:v>
                </c:pt>
                <c:pt idx="13">
                  <c:v>0.48101925903845283</c:v>
                </c:pt>
                <c:pt idx="14">
                  <c:v>0.55494929711984919</c:v>
                </c:pt>
                <c:pt idx="15">
                  <c:v>0.63435563431838626</c:v>
                </c:pt>
              </c:numCache>
            </c:numRef>
          </c:xVal>
          <c:yVal>
            <c:numRef>
              <c:f>'C1 Drag'!$F$3:$F$18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89-4AA1-AC5D-1EE872BA6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30816"/>
        <c:axId val="2013929984"/>
      </c:scatterChart>
      <c:valAx>
        <c:axId val="201393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29984"/>
        <c:crosses val="autoZero"/>
        <c:crossBetween val="midCat"/>
      </c:valAx>
      <c:valAx>
        <c:axId val="20139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3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Drag Polar P2 - Landing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Landing Flaps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 Drag'!$K$3:$K$18</c:f>
              <c:numCache>
                <c:formatCode>General</c:formatCode>
                <c:ptCount val="16"/>
                <c:pt idx="0">
                  <c:v>6.8271983640081801E-2</c:v>
                </c:pt>
                <c:pt idx="1">
                  <c:v>7.11989710992431E-2</c:v>
                </c:pt>
                <c:pt idx="2">
                  <c:v>7.997993347672698E-2</c:v>
                </c:pt>
                <c:pt idx="3">
                  <c:v>9.4614870772533444E-2</c:v>
                </c:pt>
                <c:pt idx="4">
                  <c:v>0.11510378298666252</c:v>
                </c:pt>
                <c:pt idx="5">
                  <c:v>0.14144667011911416</c:v>
                </c:pt>
                <c:pt idx="6">
                  <c:v>0.17364353216988837</c:v>
                </c:pt>
                <c:pt idx="7">
                  <c:v>0.21169436913898518</c:v>
                </c:pt>
                <c:pt idx="8">
                  <c:v>0.25559918102640466</c:v>
                </c:pt>
                <c:pt idx="9">
                  <c:v>0.30535796783214664</c:v>
                </c:pt>
                <c:pt idx="10">
                  <c:v>0.36097072955621118</c:v>
                </c:pt>
                <c:pt idx="11">
                  <c:v>0.4224374661985984</c:v>
                </c:pt>
                <c:pt idx="12">
                  <c:v>0.48975817775930808</c:v>
                </c:pt>
                <c:pt idx="13">
                  <c:v>0.56293286423834044</c:v>
                </c:pt>
                <c:pt idx="14">
                  <c:v>0.64196152563569531</c:v>
                </c:pt>
                <c:pt idx="15">
                  <c:v>0.72684416195137291</c:v>
                </c:pt>
              </c:numCache>
            </c:numRef>
          </c:xVal>
          <c:yVal>
            <c:numRef>
              <c:f>'C1 Drag'!$F$3:$F$18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2A-4D92-A99D-E907E0C11F57}"/>
            </c:ext>
          </c:extLst>
        </c:ser>
        <c:ser>
          <c:idx val="1"/>
          <c:order val="1"/>
          <c:tx>
            <c:v>Landing Gear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 Drag'!$M$3:$M$18</c:f>
              <c:numCache>
                <c:formatCode>General</c:formatCode>
                <c:ptCount val="16"/>
                <c:pt idx="0">
                  <c:v>2.32719836400818E-2</c:v>
                </c:pt>
                <c:pt idx="1">
                  <c:v>2.5394049547973738E-2</c:v>
                </c:pt>
                <c:pt idx="2">
                  <c:v>3.1760247271649555E-2</c:v>
                </c:pt>
                <c:pt idx="3">
                  <c:v>4.2370576811109242E-2</c:v>
                </c:pt>
                <c:pt idx="4">
                  <c:v>5.7225038166352812E-2</c:v>
                </c:pt>
                <c:pt idx="5">
                  <c:v>7.6323631337380252E-2</c:v>
                </c:pt>
                <c:pt idx="6">
                  <c:v>9.966635632419156E-2</c:v>
                </c:pt>
                <c:pt idx="7">
                  <c:v>0.12725321312678675</c:v>
                </c:pt>
                <c:pt idx="8">
                  <c:v>0.15908420174516585</c:v>
                </c:pt>
                <c:pt idx="9">
                  <c:v>0.19515932217932877</c:v>
                </c:pt>
                <c:pt idx="10">
                  <c:v>0.23547857442927558</c:v>
                </c:pt>
                <c:pt idx="11">
                  <c:v>0.28004195849500635</c:v>
                </c:pt>
                <c:pt idx="12">
                  <c:v>0.32884947437652085</c:v>
                </c:pt>
                <c:pt idx="13">
                  <c:v>0.38190112207381938</c:v>
                </c:pt>
                <c:pt idx="14">
                  <c:v>0.43919690158690161</c:v>
                </c:pt>
                <c:pt idx="15">
                  <c:v>0.50073681291576777</c:v>
                </c:pt>
              </c:numCache>
            </c:numRef>
          </c:xVal>
          <c:yVal>
            <c:numRef>
              <c:f>'C1 Drag'!$F$3:$F$18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2A-4D92-A99D-E907E0C11F57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'C1 Drag'!$O$3:$O$18</c:f>
              <c:numCache>
                <c:formatCode>General</c:formatCode>
                <c:ptCount val="16"/>
                <c:pt idx="0">
                  <c:v>8.8271983640081805E-2</c:v>
                </c:pt>
                <c:pt idx="1">
                  <c:v>9.1101404850604389E-2</c:v>
                </c:pt>
                <c:pt idx="2">
                  <c:v>9.9589668482172142E-2</c:v>
                </c:pt>
                <c:pt idx="3">
                  <c:v>0.11373677453478506</c:v>
                </c:pt>
                <c:pt idx="4">
                  <c:v>0.13354272300844316</c:v>
                </c:pt>
                <c:pt idx="5">
                  <c:v>0.15900751390314641</c:v>
                </c:pt>
                <c:pt idx="6">
                  <c:v>0.19013114721889482</c:v>
                </c:pt>
                <c:pt idx="7">
                  <c:v>0.2269136229556884</c:v>
                </c:pt>
                <c:pt idx="8">
                  <c:v>0.2693549411135272</c:v>
                </c:pt>
                <c:pt idx="9">
                  <c:v>0.31745510169241109</c:v>
                </c:pt>
                <c:pt idx="10">
                  <c:v>0.37121410469234023</c:v>
                </c:pt>
                <c:pt idx="11">
                  <c:v>0.43063195011331451</c:v>
                </c:pt>
                <c:pt idx="12">
                  <c:v>0.49570863795533388</c:v>
                </c:pt>
                <c:pt idx="13">
                  <c:v>0.56644416821839849</c:v>
                </c:pt>
                <c:pt idx="14">
                  <c:v>0.64283854090250814</c:v>
                </c:pt>
                <c:pt idx="15">
                  <c:v>0.7248917560076632</c:v>
                </c:pt>
              </c:numCache>
            </c:numRef>
          </c:xVal>
          <c:yVal>
            <c:numRef>
              <c:f>'C1 Drag'!$F$3:$F$18</c:f>
              <c:numCache>
                <c:formatCode>General</c:formatCode>
                <c:ptCount val="1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F2A-4D92-A99D-E907E0C11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87904"/>
        <c:axId val="89888320"/>
      </c:scatterChart>
      <c:valAx>
        <c:axId val="8988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88320"/>
        <c:crosses val="autoZero"/>
        <c:crossBetween val="midCat"/>
      </c:valAx>
      <c:valAx>
        <c:axId val="8988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8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- NACA 1410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Airfoil!$A$15:$A$18</c:f>
              <c:numCache>
                <c:formatCode>General</c:formatCode>
                <c:ptCount val="4"/>
                <c:pt idx="0">
                  <c:v>-1</c:v>
                </c:pt>
                <c:pt idx="1">
                  <c:v>11</c:v>
                </c:pt>
                <c:pt idx="2">
                  <c:v>14.3</c:v>
                </c:pt>
                <c:pt idx="3">
                  <c:v>16</c:v>
                </c:pt>
              </c:numCache>
            </c:numRef>
          </c:xVal>
          <c:yVal>
            <c:numRef>
              <c:f>Airfoil!$B$15:$B$18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1.5</c:v>
                </c:pt>
                <c:pt idx="3">
                  <c:v>1.296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80-4783-B812-09B9F6581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697855"/>
        <c:axId val="144872489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Flaps - TO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Airfoil!$G$22:$G$25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-9.84</c:v>
                      </c:pt>
                      <c:pt idx="1">
                        <c:v>1.1599999999999999</c:v>
                      </c:pt>
                      <c:pt idx="2">
                        <c:v>13.6</c:v>
                      </c:pt>
                      <c:pt idx="3">
                        <c:v>16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Airfoil!$H$22:$H$25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0</c:v>
                      </c:pt>
                      <c:pt idx="1">
                        <c:v>1.296</c:v>
                      </c:pt>
                      <c:pt idx="2">
                        <c:v>1.8</c:v>
                      </c:pt>
                      <c:pt idx="3">
                        <c:v>1.8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8322-45E8-B8B9-8D2A66819324}"/>
                  </c:ext>
                </c:extLst>
              </c15:ser>
            </c15:filteredScatterSeries>
          </c:ext>
        </c:extLst>
      </c:scatterChart>
      <c:valAx>
        <c:axId val="1448697855"/>
        <c:scaling>
          <c:orientation val="minMax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24895"/>
        <c:crosses val="autoZero"/>
        <c:crossBetween val="midCat"/>
      </c:valAx>
      <c:valAx>
        <c:axId val="144872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697855"/>
        <c:crossesAt val="-1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Tail - NACA 0009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Airfoil!$C$15:$C$18</c:f>
              <c:numCache>
                <c:formatCode>General</c:formatCode>
                <c:ptCount val="4"/>
                <c:pt idx="0">
                  <c:v>0</c:v>
                </c:pt>
                <c:pt idx="1">
                  <c:v>11.4</c:v>
                </c:pt>
                <c:pt idx="2">
                  <c:v>13.4</c:v>
                </c:pt>
                <c:pt idx="3">
                  <c:v>15</c:v>
                </c:pt>
              </c:numCache>
            </c:numRef>
          </c:xVal>
          <c:yVal>
            <c:numRef>
              <c:f>Airfoil!$D$15:$D$18</c:f>
              <c:numCache>
                <c:formatCode>General</c:formatCode>
                <c:ptCount val="4"/>
                <c:pt idx="0">
                  <c:v>0</c:v>
                </c:pt>
                <c:pt idx="1">
                  <c:v>1.2430000000000001</c:v>
                </c:pt>
                <c:pt idx="2">
                  <c:v>1.32</c:v>
                </c:pt>
                <c:pt idx="3">
                  <c:v>1.2430000000000001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F-4CD2-A9D5-F0A4FB4D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281903"/>
        <c:axId val="1452283567"/>
      </c:scatterChart>
      <c:valAx>
        <c:axId val="1452281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283567"/>
        <c:crosses val="autoZero"/>
        <c:crossBetween val="midCat"/>
      </c:valAx>
      <c:valAx>
        <c:axId val="14522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281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(C_L_</a:t>
            </a:r>
            <a:r>
              <a:rPr lang="el-GR"/>
              <a:t>α)_</a:t>
            </a:r>
            <a:r>
              <a:rPr lang="en-US"/>
              <a:t>WB vs. Mach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(C_L_α)_WB vs.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'Sub C_L_α'!$A$8:$A$27</c:f>
              <c:numCache>
                <c:formatCode>General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C_L_α'!$I$8:$I$27</c:f>
              <c:numCache>
                <c:formatCode>General</c:formatCode>
                <c:ptCount val="20"/>
                <c:pt idx="0">
                  <c:v>5.5303252445915607</c:v>
                </c:pt>
                <c:pt idx="1">
                  <c:v>5.5336972929212722</c:v>
                </c:pt>
                <c:pt idx="2">
                  <c:v>5.543855739334254</c:v>
                </c:pt>
                <c:pt idx="3">
                  <c:v>5.5609290540808285</c:v>
                </c:pt>
                <c:pt idx="4">
                  <c:v>5.5851366925624495</c:v>
                </c:pt>
                <c:pt idx="5">
                  <c:v>5.6167975324803905</c:v>
                </c:pt>
                <c:pt idx="6">
                  <c:v>5.6563426033729902</c:v>
                </c:pt>
                <c:pt idx="7">
                  <c:v>5.7043331739241374</c:v>
                </c:pt>
                <c:pt idx="8">
                  <c:v>5.7614858127512933</c:v>
                </c:pt>
                <c:pt idx="9">
                  <c:v>5.8287068453616708</c:v>
                </c:pt>
                <c:pt idx="10">
                  <c:v>5.9071398589503197</c:v>
                </c:pt>
                <c:pt idx="11">
                  <c:v>5.9982318418121867</c:v>
                </c:pt>
                <c:pt idx="12">
                  <c:v>6.1038266920659847</c:v>
                </c:pt>
                <c:pt idx="13">
                  <c:v>6.2263001307136703</c:v>
                </c:pt>
                <c:pt idx="14">
                  <c:v>6.3687593254675159</c:v>
                </c:pt>
                <c:pt idx="15">
                  <c:v>6.5353474713176354</c:v>
                </c:pt>
                <c:pt idx="16">
                  <c:v>6.7317261378837543</c:v>
                </c:pt>
                <c:pt idx="17">
                  <c:v>6.9658747028557348</c:v>
                </c:pt>
                <c:pt idx="18">
                  <c:v>7.2494924283707061</c:v>
                </c:pt>
                <c:pt idx="19">
                  <c:v>7.6006413481986232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A0-41DD-8145-5AB82B5D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23199"/>
        <c:axId val="218800735"/>
      </c:scatterChart>
      <c:valAx>
        <c:axId val="21882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00735"/>
        <c:crosses val="autoZero"/>
        <c:crossBetween val="midCat"/>
      </c:valAx>
      <c:valAx>
        <c:axId val="21880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(C_L_</a:t>
                </a:r>
                <a:r>
                  <a:rPr lang="el-GR"/>
                  <a:t>α</a:t>
                </a:r>
                <a:r>
                  <a:rPr lang="en-US"/>
                  <a:t>)_WB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2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 vs.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Subsonic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'Sub C_L_α'!$A$8:$A$23</c:f>
              <c:numCache>
                <c:formatCode>General</c:formatCode>
                <c:ptCount val="1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</c:numCache>
            </c:numRef>
          </c:xVal>
          <c:yVal>
            <c:numRef>
              <c:f>'Sub C_L_α'!$J$8:$J$23</c:f>
              <c:numCache>
                <c:formatCode>General</c:formatCode>
                <c:ptCount val="16"/>
                <c:pt idx="0">
                  <c:v>0.18131319766155801</c:v>
                </c:pt>
                <c:pt idx="1">
                  <c:v>0.18131319766155771</c:v>
                </c:pt>
                <c:pt idx="2">
                  <c:v>0.18131319766155801</c:v>
                </c:pt>
                <c:pt idx="3">
                  <c:v>0.18131319766155771</c:v>
                </c:pt>
                <c:pt idx="4">
                  <c:v>0.18131319766155771</c:v>
                </c:pt>
                <c:pt idx="5">
                  <c:v>0.18131319766155771</c:v>
                </c:pt>
                <c:pt idx="6">
                  <c:v>0.18131319766155771</c:v>
                </c:pt>
                <c:pt idx="7">
                  <c:v>0.18131319766155771</c:v>
                </c:pt>
                <c:pt idx="8">
                  <c:v>0.18131319766155771</c:v>
                </c:pt>
                <c:pt idx="9">
                  <c:v>0.18131319766155771</c:v>
                </c:pt>
                <c:pt idx="10">
                  <c:v>0.18131319766155771</c:v>
                </c:pt>
                <c:pt idx="11">
                  <c:v>0.18131319766155771</c:v>
                </c:pt>
                <c:pt idx="12">
                  <c:v>0.18131319766155771</c:v>
                </c:pt>
                <c:pt idx="13">
                  <c:v>0.18131319766155771</c:v>
                </c:pt>
                <c:pt idx="14">
                  <c:v>0.18131319766155771</c:v>
                </c:pt>
                <c:pt idx="15">
                  <c:v>0.18131319766155771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FB-4EF4-92F5-7A1FBEE044F3}"/>
            </c:ext>
          </c:extLst>
        </c:ser>
        <c:ser>
          <c:idx val="2"/>
          <c:order val="1"/>
          <c:tx>
            <c:v>Transonic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'Sub C_L_α'!$A$23:$A$33</c:f>
              <c:numCache>
                <c:formatCode>General</c:formatCode>
                <c:ptCount val="11"/>
                <c:pt idx="0">
                  <c:v>0.75</c:v>
                </c:pt>
                <c:pt idx="1">
                  <c:v>0.8</c:v>
                </c:pt>
                <c:pt idx="2">
                  <c:v>0.85</c:v>
                </c:pt>
                <c:pt idx="3">
                  <c:v>0.9</c:v>
                </c:pt>
                <c:pt idx="4">
                  <c:v>0.95</c:v>
                </c:pt>
                <c:pt idx="5">
                  <c:v>1</c:v>
                </c:pt>
                <c:pt idx="6">
                  <c:v>1.05</c:v>
                </c:pt>
                <c:pt idx="7">
                  <c:v>1.1000000000000001</c:v>
                </c:pt>
                <c:pt idx="8">
                  <c:v>1.1499999999999999</c:v>
                </c:pt>
                <c:pt idx="9">
                  <c:v>1.2</c:v>
                </c:pt>
                <c:pt idx="10">
                  <c:v>1.25</c:v>
                </c:pt>
              </c:numCache>
            </c:numRef>
          </c:xVal>
          <c:yVal>
            <c:numRef>
              <c:f>'Sub C_L_α'!$J$23:$J$33</c:f>
              <c:numCache>
                <c:formatCode>General</c:formatCode>
                <c:ptCount val="11"/>
                <c:pt idx="0">
                  <c:v>0.18131319766155771</c:v>
                </c:pt>
                <c:pt idx="1">
                  <c:v>0.17</c:v>
                </c:pt>
                <c:pt idx="2">
                  <c:v>0.14000000000000001</c:v>
                </c:pt>
                <c:pt idx="3">
                  <c:v>0.11</c:v>
                </c:pt>
                <c:pt idx="4">
                  <c:v>0.09</c:v>
                </c:pt>
                <c:pt idx="5">
                  <c:v>0.08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0.12</c:v>
                </c:pt>
                <c:pt idx="10">
                  <c:v>0.15982112368430693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C4-488D-BDFA-F38FFDD6C683}"/>
            </c:ext>
          </c:extLst>
        </c:ser>
        <c:ser>
          <c:idx val="1"/>
          <c:order val="2"/>
          <c:tx>
            <c:v>Supersonic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'Sub C_L_α'!$A$33:$A$42</c:f>
              <c:numCache>
                <c:formatCode>General</c:formatCode>
                <c:ptCount val="10"/>
                <c:pt idx="0">
                  <c:v>1.25</c:v>
                </c:pt>
                <c:pt idx="1">
                  <c:v>1.3</c:v>
                </c:pt>
                <c:pt idx="2">
                  <c:v>1.35</c:v>
                </c:pt>
                <c:pt idx="3">
                  <c:v>1.4</c:v>
                </c:pt>
                <c:pt idx="4">
                  <c:v>1.45</c:v>
                </c:pt>
                <c:pt idx="5">
                  <c:v>1.5</c:v>
                </c:pt>
                <c:pt idx="6">
                  <c:v>1.55</c:v>
                </c:pt>
                <c:pt idx="7">
                  <c:v>1.6</c:v>
                </c:pt>
                <c:pt idx="8">
                  <c:v>1.65</c:v>
                </c:pt>
                <c:pt idx="9">
                  <c:v>1.7</c:v>
                </c:pt>
              </c:numCache>
            </c:numRef>
          </c:xVal>
          <c:yVal>
            <c:numRef>
              <c:f>'Sub C_L_α'!$J$33:$J$42</c:f>
              <c:numCache>
                <c:formatCode>General</c:formatCode>
                <c:ptCount val="10"/>
                <c:pt idx="0">
                  <c:v>0.15982112368430693</c:v>
                </c:pt>
                <c:pt idx="1">
                  <c:v>0.16634376762394426</c:v>
                </c:pt>
                <c:pt idx="2">
                  <c:v>0.17274616477671437</c:v>
                </c:pt>
                <c:pt idx="3">
                  <c:v>0.17904664738674494</c:v>
                </c:pt>
                <c:pt idx="4">
                  <c:v>0.18525978670954174</c:v>
                </c:pt>
                <c:pt idx="5">
                  <c:v>0.19139735107071598</c:v>
                </c:pt>
                <c:pt idx="6">
                  <c:v>0.19746897632914434</c:v>
                </c:pt>
                <c:pt idx="7">
                  <c:v>0.20348264690590401</c:v>
                </c:pt>
                <c:pt idx="8">
                  <c:v>0.20944504839920899</c:v>
                </c:pt>
                <c:pt idx="9">
                  <c:v>0.21536183095696088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FB-4EF4-92F5-7A1FBEE04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948511"/>
        <c:axId val="1501323487"/>
      </c:scatterChart>
      <c:valAx>
        <c:axId val="173794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23487"/>
        <c:crosses val="autoZero"/>
        <c:crossBetween val="midCat"/>
      </c:valAx>
      <c:valAx>
        <c:axId val="150132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48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Component C_D_0</a:t>
            </a:r>
            <a:r>
              <a:rPr lang="en-US" baseline="0"/>
              <a:t> vs. Mach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C_D_0'!$F$10:$F$27</c:f>
              <c:numCache>
                <c:formatCode>General</c:formatCode>
                <c:ptCount val="18"/>
                <c:pt idx="0">
                  <c:v>0</c:v>
                </c:pt>
                <c:pt idx="1">
                  <c:v>5.991432792410753E-3</c:v>
                </c:pt>
                <c:pt idx="2">
                  <c:v>5.3400457763006929E-3</c:v>
                </c:pt>
                <c:pt idx="3">
                  <c:v>5.0038774839456486E-3</c:v>
                </c:pt>
                <c:pt idx="4">
                  <c:v>4.782932744973145E-3</c:v>
                </c:pt>
                <c:pt idx="5">
                  <c:v>4.6207732954284481E-3</c:v>
                </c:pt>
                <c:pt idx="6">
                  <c:v>4.8754458521831183E-3</c:v>
                </c:pt>
                <c:pt idx="7">
                  <c:v>4.7631173490149436E-3</c:v>
                </c:pt>
                <c:pt idx="8">
                  <c:v>4.6686961927166646E-3</c:v>
                </c:pt>
                <c:pt idx="9">
                  <c:v>4.5875531535829756E-3</c:v>
                </c:pt>
                <c:pt idx="10">
                  <c:v>4.5166171076214462E-3</c:v>
                </c:pt>
                <c:pt idx="11">
                  <c:v>4.4537521193004333E-3</c:v>
                </c:pt>
                <c:pt idx="12">
                  <c:v>4.3974161073805709E-3</c:v>
                </c:pt>
                <c:pt idx="13">
                  <c:v>4.7244146107680096E-3</c:v>
                </c:pt>
                <c:pt idx="14">
                  <c:v>4.6739264215611776E-3</c:v>
                </c:pt>
                <c:pt idx="15">
                  <c:v>4.6275935043221016E-3</c:v>
                </c:pt>
                <c:pt idx="16">
                  <c:v>4.5848268947219616E-3</c:v>
                </c:pt>
                <c:pt idx="17">
                  <c:v>4.9087639081257673E-3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FE-4920-9F6B-6B4F707B6CA2}"/>
            </c:ext>
          </c:extLst>
        </c:ser>
        <c:ser>
          <c:idx val="1"/>
          <c:order val="1"/>
          <c:tx>
            <c:v>Body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C_D_0'!$BB$10:$BB$27</c:f>
              <c:numCache>
                <c:formatCode>General</c:formatCode>
                <c:ptCount val="18"/>
                <c:pt idx="0">
                  <c:v>0</c:v>
                </c:pt>
                <c:pt idx="1">
                  <c:v>5.0118327321785061E-3</c:v>
                </c:pt>
                <c:pt idx="2">
                  <c:v>4.5095360128012763E-3</c:v>
                </c:pt>
                <c:pt idx="3">
                  <c:v>4.2476432322917706E-3</c:v>
                </c:pt>
                <c:pt idx="4">
                  <c:v>4.0744682941910859E-3</c:v>
                </c:pt>
                <c:pt idx="5">
                  <c:v>3.9468206207811602E-3</c:v>
                </c:pt>
                <c:pt idx="6">
                  <c:v>3.846608307730222E-3</c:v>
                </c:pt>
                <c:pt idx="7">
                  <c:v>3.7646139593711173E-3</c:v>
                </c:pt>
                <c:pt idx="8">
                  <c:v>3.6955347392290663E-3</c:v>
                </c:pt>
                <c:pt idx="9">
                  <c:v>3.6360540401456946E-3</c:v>
                </c:pt>
                <c:pt idx="10">
                  <c:v>3.5839665316997355E-3</c:v>
                </c:pt>
                <c:pt idx="11">
                  <c:v>3.537735379616028E-3</c:v>
                </c:pt>
                <c:pt idx="12">
                  <c:v>3.4962490848020164E-3</c:v>
                </c:pt>
                <c:pt idx="13">
                  <c:v>3.4586791574458325E-3</c:v>
                </c:pt>
                <c:pt idx="14">
                  <c:v>3.4243924335772913E-3</c:v>
                </c:pt>
                <c:pt idx="15">
                  <c:v>3.392894732004863E-3</c:v>
                </c:pt>
                <c:pt idx="16">
                  <c:v>3.3637933499726363E-3</c:v>
                </c:pt>
                <c:pt idx="17">
                  <c:v>3.3367713385781084E-3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FE-4920-9F6B-6B4F707B6CA2}"/>
            </c:ext>
          </c:extLst>
        </c:ser>
        <c:ser>
          <c:idx val="2"/>
          <c:order val="2"/>
          <c:tx>
            <c:v>Tail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C_D_0'!$BC$10:$BC$27</c:f>
              <c:numCache>
                <c:formatCode>General</c:formatCode>
                <c:ptCount val="18"/>
                <c:pt idx="0">
                  <c:v>0</c:v>
                </c:pt>
                <c:pt idx="1">
                  <c:v>1.7023628229358965E-3</c:v>
                </c:pt>
                <c:pt idx="2">
                  <c:v>1.5172823792441081E-3</c:v>
                </c:pt>
                <c:pt idx="3">
                  <c:v>1.4217659271727487E-3</c:v>
                </c:pt>
                <c:pt idx="4">
                  <c:v>1.3589882707119266E-3</c:v>
                </c:pt>
                <c:pt idx="5">
                  <c:v>1.3129134455645405E-3</c:v>
                </c:pt>
                <c:pt idx="6">
                  <c:v>1.3852742827236166E-3</c:v>
                </c:pt>
                <c:pt idx="7">
                  <c:v>1.3533580659562754E-3</c:v>
                </c:pt>
                <c:pt idx="8">
                  <c:v>1.3265299145357311E-3</c:v>
                </c:pt>
                <c:pt idx="9">
                  <c:v>1.3034745122726535E-3</c:v>
                </c:pt>
                <c:pt idx="10">
                  <c:v>1.2833192519810012E-3</c:v>
                </c:pt>
                <c:pt idx="11">
                  <c:v>1.2654572442292744E-3</c:v>
                </c:pt>
                <c:pt idx="12">
                  <c:v>1.2494503330933724E-3</c:v>
                </c:pt>
                <c:pt idx="13">
                  <c:v>1.3423613469709843E-3</c:v>
                </c:pt>
                <c:pt idx="14">
                  <c:v>1.3280159943181206E-3</c:v>
                </c:pt>
                <c:pt idx="15">
                  <c:v>1.3148512908959476E-3</c:v>
                </c:pt>
                <c:pt idx="16">
                  <c:v>1.3026998925962769E-3</c:v>
                </c:pt>
                <c:pt idx="17">
                  <c:v>1.3947410366261404E-3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FE-4920-9F6B-6B4F707B6CA2}"/>
            </c:ext>
          </c:extLst>
        </c:ser>
        <c:ser>
          <c:idx val="3"/>
          <c:order val="3"/>
          <c:tx>
            <c:v>Sidewinders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C_D_0'!$BD$10:$BD$27</c:f>
              <c:numCache>
                <c:formatCode>General</c:formatCode>
                <c:ptCount val="18"/>
                <c:pt idx="0">
                  <c:v>0</c:v>
                </c:pt>
                <c:pt idx="1">
                  <c:v>9.0819567117896634E-4</c:v>
                </c:pt>
                <c:pt idx="2">
                  <c:v>8.1620837541999524E-4</c:v>
                </c:pt>
                <c:pt idx="3">
                  <c:v>7.6905706795093922E-4</c:v>
                </c:pt>
                <c:pt idx="4">
                  <c:v>7.3820496844040828E-4</c:v>
                </c:pt>
                <c:pt idx="5">
                  <c:v>7.1563799283146979E-4</c:v>
                </c:pt>
                <c:pt idx="6">
                  <c:v>6.9802865668597324E-4</c:v>
                </c:pt>
                <c:pt idx="7">
                  <c:v>6.8369286209015627E-4</c:v>
                </c:pt>
                <c:pt idx="8">
                  <c:v>6.7166687884053378E-4</c:v>
                </c:pt>
                <c:pt idx="9">
                  <c:v>6.6135063745277947E-4</c:v>
                </c:pt>
                <c:pt idx="10">
                  <c:v>6.5234666461273729E-4</c:v>
                </c:pt>
                <c:pt idx="11">
                  <c:v>6.4437890949704314E-4</c:v>
                </c:pt>
                <c:pt idx="12">
                  <c:v>6.3724832495688538E-4</c:v>
                </c:pt>
                <c:pt idx="13">
                  <c:v>6.3080695066970282E-4</c:v>
                </c:pt>
                <c:pt idx="14">
                  <c:v>6.2494199172474362E-4</c:v>
                </c:pt>
                <c:pt idx="15">
                  <c:v>6.1956561429797738E-4</c:v>
                </c:pt>
                <c:pt idx="16">
                  <c:v>6.1460816924618791E-4</c:v>
                </c:pt>
                <c:pt idx="17">
                  <c:v>6.1001355422656662E-4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FE-4920-9F6B-6B4F707B6CA2}"/>
            </c:ext>
          </c:extLst>
        </c:ser>
        <c:ser>
          <c:idx val="4"/>
          <c:order val="4"/>
          <c:tx>
            <c:v>Bombs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C_D_0'!$BE$10:$BE$27</c:f>
              <c:numCache>
                <c:formatCode>General</c:formatCode>
                <c:ptCount val="18"/>
                <c:pt idx="0">
                  <c:v>0</c:v>
                </c:pt>
                <c:pt idx="1">
                  <c:v>2.4922401463433302E-2</c:v>
                </c:pt>
                <c:pt idx="2">
                  <c:v>2.2121816446345373E-2</c:v>
                </c:pt>
                <c:pt idx="3">
                  <c:v>2.0682869737267091E-2</c:v>
                </c:pt>
                <c:pt idx="4">
                  <c:v>1.9739597415563997E-2</c:v>
                </c:pt>
                <c:pt idx="5">
                  <c:v>1.9048574379118166E-2</c:v>
                </c:pt>
                <c:pt idx="6">
                  <c:v>1.8508643432101474E-2</c:v>
                </c:pt>
                <c:pt idx="7">
                  <c:v>1.8068568153401351E-2</c:v>
                </c:pt>
                <c:pt idx="8">
                  <c:v>1.7699008054289575E-2</c:v>
                </c:pt>
                <c:pt idx="9">
                  <c:v>1.7381682575797499E-2</c:v>
                </c:pt>
                <c:pt idx="10">
                  <c:v>1.7104475924514376E-2</c:v>
                </c:pt>
                <c:pt idx="11">
                  <c:v>1.6858968878312935E-2</c:v>
                </c:pt>
                <c:pt idx="12">
                  <c:v>1.6639087595779319E-2</c:v>
                </c:pt>
                <c:pt idx="13">
                  <c:v>1.6440314924169575E-2</c:v>
                </c:pt>
                <c:pt idx="14">
                  <c:v>1.6259205698467828E-2</c:v>
                </c:pt>
                <c:pt idx="15">
                  <c:v>1.6093075973807301E-2</c:v>
                </c:pt>
                <c:pt idx="16">
                  <c:v>1.5939796581075184E-2</c:v>
                </c:pt>
                <c:pt idx="17">
                  <c:v>1.5797651785561143E-2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4FE-4920-9F6B-6B4F707B6CA2}"/>
            </c:ext>
          </c:extLst>
        </c:ser>
        <c:ser>
          <c:idx val="5"/>
          <c:order val="5"/>
          <c:tx>
            <c:v>Combined - WCB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C_D_0'!$AW$10:$AW$27</c:f>
              <c:numCache>
                <c:formatCode>General</c:formatCode>
                <c:ptCount val="18"/>
                <c:pt idx="0">
                  <c:v>0</c:v>
                </c:pt>
                <c:pt idx="1">
                  <c:v>3.8536225482137428E-2</c:v>
                </c:pt>
                <c:pt idx="2">
                  <c:v>3.4304888990111443E-2</c:v>
                </c:pt>
                <c:pt idx="3">
                  <c:v>3.2125213448628197E-2</c:v>
                </c:pt>
                <c:pt idx="4">
                  <c:v>3.0694191693880567E-2</c:v>
                </c:pt>
                <c:pt idx="5">
                  <c:v>2.9644719733723783E-2</c:v>
                </c:pt>
                <c:pt idx="6">
                  <c:v>2.9314000531424404E-2</c:v>
                </c:pt>
                <c:pt idx="7">
                  <c:v>2.8633350389833841E-2</c:v>
                </c:pt>
                <c:pt idx="8">
                  <c:v>2.8061435779611572E-2</c:v>
                </c:pt>
                <c:pt idx="9">
                  <c:v>2.7570114919251602E-2</c:v>
                </c:pt>
                <c:pt idx="10">
                  <c:v>2.7140725480429298E-2</c:v>
                </c:pt>
                <c:pt idx="11">
                  <c:v>2.6760292530955715E-2</c:v>
                </c:pt>
                <c:pt idx="12">
                  <c:v>2.6419451446012161E-2</c:v>
                </c:pt>
                <c:pt idx="13">
                  <c:v>2.6596576990024101E-2</c:v>
                </c:pt>
                <c:pt idx="14">
                  <c:v>2.6310482539649162E-2</c:v>
                </c:pt>
                <c:pt idx="15">
                  <c:v>2.6047981115328189E-2</c:v>
                </c:pt>
                <c:pt idx="16">
                  <c:v>2.5805724887612246E-2</c:v>
                </c:pt>
                <c:pt idx="17">
                  <c:v>2.6047941623117729E-2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4FE-4920-9F6B-6B4F707B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536192"/>
        <c:axId val="1219537024"/>
      </c:scatterChart>
      <c:valAx>
        <c:axId val="121953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537024"/>
        <c:crosses val="autoZero"/>
        <c:crossBetween val="midCat"/>
      </c:valAx>
      <c:valAx>
        <c:axId val="121953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C_D_0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536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Configuration C_D_0 vs. Mach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C_D_0'!$AV$10:$AV$27</c:f>
              <c:numCache>
                <c:formatCode>General</c:formatCode>
                <c:ptCount val="18"/>
                <c:pt idx="0">
                  <c:v>0</c:v>
                </c:pt>
                <c:pt idx="1">
                  <c:v>1.2705628347525156E-2</c:v>
                </c:pt>
                <c:pt idx="2">
                  <c:v>1.1366864168346077E-2</c:v>
                </c:pt>
                <c:pt idx="3">
                  <c:v>1.0673286643410168E-2</c:v>
                </c:pt>
                <c:pt idx="4">
                  <c:v>1.0216389309876159E-2</c:v>
                </c:pt>
                <c:pt idx="5">
                  <c:v>9.880507361774149E-3</c:v>
                </c:pt>
                <c:pt idx="6">
                  <c:v>1.0107328442636955E-2</c:v>
                </c:pt>
                <c:pt idx="7">
                  <c:v>9.8810893743423358E-3</c:v>
                </c:pt>
                <c:pt idx="8">
                  <c:v>9.6907608464814627E-3</c:v>
                </c:pt>
                <c:pt idx="9">
                  <c:v>9.5270817060013231E-3</c:v>
                </c:pt>
                <c:pt idx="10">
                  <c:v>9.3839028913021826E-3</c:v>
                </c:pt>
                <c:pt idx="11">
                  <c:v>9.2569447431457372E-3</c:v>
                </c:pt>
                <c:pt idx="12">
                  <c:v>9.1431155252759584E-3</c:v>
                </c:pt>
                <c:pt idx="13">
                  <c:v>9.5254551151848256E-3</c:v>
                </c:pt>
                <c:pt idx="14">
                  <c:v>9.4263348494565899E-3</c:v>
                </c:pt>
                <c:pt idx="15">
                  <c:v>9.3353395272229127E-3</c:v>
                </c:pt>
                <c:pt idx="16">
                  <c:v>9.2513201372908752E-3</c:v>
                </c:pt>
                <c:pt idx="17">
                  <c:v>9.6402762833300171E-3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E5-4B79-BC36-37D202A1D1E6}"/>
            </c:ext>
          </c:extLst>
        </c:ser>
        <c:ser>
          <c:idx val="1"/>
          <c:order val="1"/>
          <c:tx>
            <c:v>WCB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C_D_0'!$AW$10:$AW$27</c:f>
              <c:numCache>
                <c:formatCode>General</c:formatCode>
                <c:ptCount val="18"/>
                <c:pt idx="0">
                  <c:v>0</c:v>
                </c:pt>
                <c:pt idx="1">
                  <c:v>3.8536225482137428E-2</c:v>
                </c:pt>
                <c:pt idx="2">
                  <c:v>3.4304888990111443E-2</c:v>
                </c:pt>
                <c:pt idx="3">
                  <c:v>3.2125213448628197E-2</c:v>
                </c:pt>
                <c:pt idx="4">
                  <c:v>3.0694191693880567E-2</c:v>
                </c:pt>
                <c:pt idx="5">
                  <c:v>2.9644719733723783E-2</c:v>
                </c:pt>
                <c:pt idx="6">
                  <c:v>2.9314000531424404E-2</c:v>
                </c:pt>
                <c:pt idx="7">
                  <c:v>2.8633350389833841E-2</c:v>
                </c:pt>
                <c:pt idx="8">
                  <c:v>2.8061435779611572E-2</c:v>
                </c:pt>
                <c:pt idx="9">
                  <c:v>2.7570114919251602E-2</c:v>
                </c:pt>
                <c:pt idx="10">
                  <c:v>2.7140725480429298E-2</c:v>
                </c:pt>
                <c:pt idx="11">
                  <c:v>2.6760292530955715E-2</c:v>
                </c:pt>
                <c:pt idx="12">
                  <c:v>2.6419451446012161E-2</c:v>
                </c:pt>
                <c:pt idx="13">
                  <c:v>2.6596576990024101E-2</c:v>
                </c:pt>
                <c:pt idx="14">
                  <c:v>2.6310482539649162E-2</c:v>
                </c:pt>
                <c:pt idx="15">
                  <c:v>2.6047981115328189E-2</c:v>
                </c:pt>
                <c:pt idx="16">
                  <c:v>2.5805724887612246E-2</c:v>
                </c:pt>
                <c:pt idx="17">
                  <c:v>2.6047941623117729E-2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E5-4B79-BC36-37D202A1D1E6}"/>
            </c:ext>
          </c:extLst>
        </c:ser>
        <c:ser>
          <c:idx val="2"/>
          <c:order val="2"/>
          <c:tx>
            <c:v>WCR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C_D_0'!$AX$10:$AX$27</c:f>
              <c:numCache>
                <c:formatCode>General</c:formatCode>
                <c:ptCount val="18"/>
                <c:pt idx="0">
                  <c:v>0</c:v>
                </c:pt>
                <c:pt idx="1">
                  <c:v>1.3613824018704123E-2</c:v>
                </c:pt>
                <c:pt idx="2">
                  <c:v>1.2183072543766073E-2</c:v>
                </c:pt>
                <c:pt idx="3">
                  <c:v>1.1442343711361106E-2</c:v>
                </c:pt>
                <c:pt idx="4">
                  <c:v>1.0954594278316567E-2</c:v>
                </c:pt>
                <c:pt idx="5">
                  <c:v>1.0596145354605619E-2</c:v>
                </c:pt>
                <c:pt idx="6">
                  <c:v>1.0805357099322928E-2</c:v>
                </c:pt>
                <c:pt idx="7">
                  <c:v>1.0564782236432492E-2</c:v>
                </c:pt>
                <c:pt idx="8">
                  <c:v>1.0362427725321997E-2</c:v>
                </c:pt>
                <c:pt idx="9">
                  <c:v>1.0188432343454103E-2</c:v>
                </c:pt>
                <c:pt idx="10">
                  <c:v>1.0036249555914921E-2</c:v>
                </c:pt>
                <c:pt idx="11">
                  <c:v>9.9013236526427802E-3</c:v>
                </c:pt>
                <c:pt idx="12">
                  <c:v>9.7803638502328444E-3</c:v>
                </c:pt>
                <c:pt idx="13">
                  <c:v>1.0156262065854528E-2</c:v>
                </c:pt>
                <c:pt idx="14">
                  <c:v>1.0051276841181334E-2</c:v>
                </c:pt>
                <c:pt idx="15">
                  <c:v>9.9549051415208905E-3</c:v>
                </c:pt>
                <c:pt idx="16">
                  <c:v>9.8659283065370626E-3</c:v>
                </c:pt>
                <c:pt idx="17">
                  <c:v>1.0250289837556584E-2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E5-4B79-BC36-37D202A1D1E6}"/>
            </c:ext>
          </c:extLst>
        </c:ser>
        <c:ser>
          <c:idx val="3"/>
          <c:order val="3"/>
          <c:tx>
            <c:v>WTO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C_D_0'!$AY$10:$AY$27</c:f>
              <c:numCache>
                <c:formatCode>General</c:formatCode>
                <c:ptCount val="18"/>
                <c:pt idx="0">
                  <c:v>0</c:v>
                </c:pt>
                <c:pt idx="1">
                  <c:v>5.8955930279185401E-2</c:v>
                </c:pt>
                <c:pt idx="2">
                  <c:v>5.4724593787159409E-2</c:v>
                </c:pt>
                <c:pt idx="3">
                  <c:v>5.254491824567617E-2</c:v>
                </c:pt>
                <c:pt idx="4">
                  <c:v>5.111389649092854E-2</c:v>
                </c:pt>
                <c:pt idx="5">
                  <c:v>5.0064424530771756E-2</c:v>
                </c:pt>
                <c:pt idx="6">
                  <c:v>4.9733705328472377E-2</c:v>
                </c:pt>
                <c:pt idx="7">
                  <c:v>4.9053055186881814E-2</c:v>
                </c:pt>
                <c:pt idx="8">
                  <c:v>4.8481140576659545E-2</c:v>
                </c:pt>
                <c:pt idx="9">
                  <c:v>4.7989819716299571E-2</c:v>
                </c:pt>
                <c:pt idx="10">
                  <c:v>4.7560430277477264E-2</c:v>
                </c:pt>
                <c:pt idx="11">
                  <c:v>4.7179997328003681E-2</c:v>
                </c:pt>
                <c:pt idx="12">
                  <c:v>4.6839156243060134E-2</c:v>
                </c:pt>
                <c:pt idx="13">
                  <c:v>4.7016281787072067E-2</c:v>
                </c:pt>
                <c:pt idx="14">
                  <c:v>4.6730187336697135E-2</c:v>
                </c:pt>
                <c:pt idx="15">
                  <c:v>4.6467685912376155E-2</c:v>
                </c:pt>
                <c:pt idx="16">
                  <c:v>4.6225429684660216E-2</c:v>
                </c:pt>
                <c:pt idx="17">
                  <c:v>4.6467646420165695E-2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0E5-4B79-BC36-37D202A1D1E6}"/>
            </c:ext>
          </c:extLst>
        </c:ser>
        <c:ser>
          <c:idx val="4"/>
          <c:order val="4"/>
          <c:tx>
            <c:v>WL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C_D_0'!$AZ$10:$AZ$27</c:f>
              <c:numCache>
                <c:formatCode>General</c:formatCode>
                <c:ptCount val="18"/>
                <c:pt idx="0">
                  <c:v>0</c:v>
                </c:pt>
                <c:pt idx="1">
                  <c:v>6.0665782677709383E-2</c:v>
                </c:pt>
                <c:pt idx="2">
                  <c:v>5.6434446185683398E-2</c:v>
                </c:pt>
                <c:pt idx="3">
                  <c:v>5.4254770644200152E-2</c:v>
                </c:pt>
                <c:pt idx="4">
                  <c:v>5.2823748889452522E-2</c:v>
                </c:pt>
                <c:pt idx="5">
                  <c:v>5.1774276929295739E-2</c:v>
                </c:pt>
                <c:pt idx="6">
                  <c:v>5.144355772699636E-2</c:v>
                </c:pt>
                <c:pt idx="7">
                  <c:v>5.0762907585405796E-2</c:v>
                </c:pt>
                <c:pt idx="8">
                  <c:v>5.0190992975183528E-2</c:v>
                </c:pt>
                <c:pt idx="9">
                  <c:v>4.9699672114823554E-2</c:v>
                </c:pt>
                <c:pt idx="10">
                  <c:v>4.9270282676001254E-2</c:v>
                </c:pt>
                <c:pt idx="11">
                  <c:v>4.888984972652767E-2</c:v>
                </c:pt>
                <c:pt idx="12">
                  <c:v>4.8549008641584117E-2</c:v>
                </c:pt>
                <c:pt idx="13">
                  <c:v>4.8726134185596057E-2</c:v>
                </c:pt>
                <c:pt idx="14">
                  <c:v>4.8440039735221117E-2</c:v>
                </c:pt>
                <c:pt idx="15">
                  <c:v>4.8177538310900145E-2</c:v>
                </c:pt>
                <c:pt idx="16">
                  <c:v>4.7935282083184198E-2</c:v>
                </c:pt>
                <c:pt idx="17">
                  <c:v>4.8177498818689685E-2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0E5-4B79-BC36-37D202A1D1E6}"/>
            </c:ext>
          </c:extLst>
        </c:ser>
        <c:ser>
          <c:idx val="5"/>
          <c:order val="5"/>
          <c:tx>
            <c:v>FC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C_D_0'!$A$10:$A$27</c:f>
              <c:numCache>
                <c:formatCode>0.00</c:formatCode>
                <c:ptCount val="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</c:numCache>
            </c:numRef>
          </c:xVal>
          <c:yVal>
            <c:numRef>
              <c:f>'Sub C_D_0'!$BA$10:$BA$27</c:f>
              <c:numCache>
                <c:formatCode>General</c:formatCode>
                <c:ptCount val="18"/>
                <c:pt idx="0">
                  <c:v>0</c:v>
                </c:pt>
                <c:pt idx="1">
                  <c:v>1.9713824018704126E-2</c:v>
                </c:pt>
                <c:pt idx="2">
                  <c:v>1.8283072543766071E-2</c:v>
                </c:pt>
                <c:pt idx="3">
                  <c:v>1.7542343711361104E-2</c:v>
                </c:pt>
                <c:pt idx="4">
                  <c:v>1.7054594278316567E-2</c:v>
                </c:pt>
                <c:pt idx="5">
                  <c:v>1.6696145354605618E-2</c:v>
                </c:pt>
                <c:pt idx="6">
                  <c:v>1.6905357099322928E-2</c:v>
                </c:pt>
                <c:pt idx="7">
                  <c:v>1.6664782236432491E-2</c:v>
                </c:pt>
                <c:pt idx="8">
                  <c:v>1.6462427725321999E-2</c:v>
                </c:pt>
                <c:pt idx="9">
                  <c:v>1.6288432343454104E-2</c:v>
                </c:pt>
                <c:pt idx="10">
                  <c:v>1.613624955591492E-2</c:v>
                </c:pt>
                <c:pt idx="11">
                  <c:v>1.6001323652642778E-2</c:v>
                </c:pt>
                <c:pt idx="12">
                  <c:v>1.5880363850232844E-2</c:v>
                </c:pt>
                <c:pt idx="13">
                  <c:v>1.6256262065854527E-2</c:v>
                </c:pt>
                <c:pt idx="14">
                  <c:v>1.6151276841181332E-2</c:v>
                </c:pt>
                <c:pt idx="15">
                  <c:v>1.605490514152089E-2</c:v>
                </c:pt>
                <c:pt idx="16">
                  <c:v>1.6065928306537063E-2</c:v>
                </c:pt>
                <c:pt idx="17">
                  <c:v>1.6700289837556587E-2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0E5-4B79-BC36-37D202A1D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040288"/>
        <c:axId val="1527039456"/>
      </c:scatterChart>
      <c:valAx>
        <c:axId val="152704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39456"/>
        <c:crosses val="autoZero"/>
        <c:crossBetween val="midCat"/>
      </c:valAx>
      <c:valAx>
        <c:axId val="15270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C_D_0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4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C_D_0 vs.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C_D_0'!$F$10:$F$29</c:f>
              <c:numCache>
                <c:formatCode>General</c:formatCode>
                <c:ptCount val="20"/>
                <c:pt idx="0">
                  <c:v>0</c:v>
                </c:pt>
                <c:pt idx="1">
                  <c:v>5.991432792410753E-3</c:v>
                </c:pt>
                <c:pt idx="2">
                  <c:v>5.3400457763006929E-3</c:v>
                </c:pt>
                <c:pt idx="3">
                  <c:v>5.0038774839456486E-3</c:v>
                </c:pt>
                <c:pt idx="4">
                  <c:v>4.782932744973145E-3</c:v>
                </c:pt>
                <c:pt idx="5">
                  <c:v>4.6207732954284481E-3</c:v>
                </c:pt>
                <c:pt idx="6">
                  <c:v>4.8754458521831183E-3</c:v>
                </c:pt>
                <c:pt idx="7">
                  <c:v>4.7631173490149436E-3</c:v>
                </c:pt>
                <c:pt idx="8">
                  <c:v>4.6686961927166646E-3</c:v>
                </c:pt>
                <c:pt idx="9">
                  <c:v>4.5875531535829756E-3</c:v>
                </c:pt>
                <c:pt idx="10">
                  <c:v>4.5166171076214462E-3</c:v>
                </c:pt>
                <c:pt idx="11">
                  <c:v>4.4537521193004333E-3</c:v>
                </c:pt>
                <c:pt idx="12">
                  <c:v>4.3974161073805709E-3</c:v>
                </c:pt>
                <c:pt idx="13">
                  <c:v>4.7244146107680096E-3</c:v>
                </c:pt>
                <c:pt idx="14">
                  <c:v>4.6739264215611776E-3</c:v>
                </c:pt>
                <c:pt idx="15">
                  <c:v>4.6275935043221016E-3</c:v>
                </c:pt>
                <c:pt idx="16">
                  <c:v>4.5848268947219616E-3</c:v>
                </c:pt>
                <c:pt idx="17">
                  <c:v>4.9087639081257673E-3</c:v>
                </c:pt>
                <c:pt idx="18">
                  <c:v>4.8688344602771938E-3</c:v>
                </c:pt>
                <c:pt idx="19">
                  <c:v>4.8314780342310947E-3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3A-4E6F-BA85-E6BCA333B99B}"/>
            </c:ext>
          </c:extLst>
        </c:ser>
        <c:ser>
          <c:idx val="1"/>
          <c:order val="1"/>
          <c:tx>
            <c:v>TO Flaps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C_D_0'!$L$10:$L$29</c:f>
              <c:numCache>
                <c:formatCode>General</c:formatCode>
                <c:ptCount val="20"/>
                <c:pt idx="0">
                  <c:v>5.4197047970479702E-3</c:v>
                </c:pt>
                <c:pt idx="1">
                  <c:v>5.4197047970479702E-3</c:v>
                </c:pt>
                <c:pt idx="2">
                  <c:v>5.4197047970479702E-3</c:v>
                </c:pt>
                <c:pt idx="3">
                  <c:v>5.4197047970479702E-3</c:v>
                </c:pt>
                <c:pt idx="4">
                  <c:v>5.4197047970479702E-3</c:v>
                </c:pt>
                <c:pt idx="5">
                  <c:v>5.4197047970479702E-3</c:v>
                </c:pt>
                <c:pt idx="6">
                  <c:v>5.4197047970479702E-3</c:v>
                </c:pt>
                <c:pt idx="7">
                  <c:v>5.4197047970479702E-3</c:v>
                </c:pt>
                <c:pt idx="8">
                  <c:v>5.4197047970479702E-3</c:v>
                </c:pt>
                <c:pt idx="9">
                  <c:v>5.4197047970479702E-3</c:v>
                </c:pt>
                <c:pt idx="10">
                  <c:v>5.4197047970479702E-3</c:v>
                </c:pt>
                <c:pt idx="11">
                  <c:v>5.4197047970479702E-3</c:v>
                </c:pt>
                <c:pt idx="12">
                  <c:v>5.4197047970479702E-3</c:v>
                </c:pt>
                <c:pt idx="13">
                  <c:v>5.4197047970479702E-3</c:v>
                </c:pt>
                <c:pt idx="14">
                  <c:v>5.4197047970479702E-3</c:v>
                </c:pt>
                <c:pt idx="15">
                  <c:v>5.4197047970479702E-3</c:v>
                </c:pt>
                <c:pt idx="16">
                  <c:v>5.4197047970479702E-3</c:v>
                </c:pt>
                <c:pt idx="17">
                  <c:v>5.4197047970479702E-3</c:v>
                </c:pt>
                <c:pt idx="18">
                  <c:v>5.4197047970479702E-3</c:v>
                </c:pt>
                <c:pt idx="19">
                  <c:v>5.4197047970479702E-3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3A-4E6F-BA85-E6BCA333B99B}"/>
            </c:ext>
          </c:extLst>
        </c:ser>
        <c:ser>
          <c:idx val="2"/>
          <c:order val="2"/>
          <c:tx>
            <c:v>L Flaps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C_D_0'!$M$10:$M$29</c:f>
              <c:numCache>
                <c:formatCode>General</c:formatCode>
                <c:ptCount val="20"/>
                <c:pt idx="0">
                  <c:v>8.1295571955719553E-3</c:v>
                </c:pt>
                <c:pt idx="1">
                  <c:v>8.1295571955719553E-3</c:v>
                </c:pt>
                <c:pt idx="2">
                  <c:v>8.1295571955719553E-3</c:v>
                </c:pt>
                <c:pt idx="3">
                  <c:v>8.1295571955719553E-3</c:v>
                </c:pt>
                <c:pt idx="4">
                  <c:v>8.1295571955719553E-3</c:v>
                </c:pt>
                <c:pt idx="5">
                  <c:v>8.1295571955719553E-3</c:v>
                </c:pt>
                <c:pt idx="6">
                  <c:v>8.1295571955719553E-3</c:v>
                </c:pt>
                <c:pt idx="7">
                  <c:v>8.1295571955719553E-3</c:v>
                </c:pt>
                <c:pt idx="8">
                  <c:v>8.1295571955719553E-3</c:v>
                </c:pt>
                <c:pt idx="9">
                  <c:v>8.1295571955719553E-3</c:v>
                </c:pt>
                <c:pt idx="10">
                  <c:v>8.1295571955719553E-3</c:v>
                </c:pt>
                <c:pt idx="11">
                  <c:v>8.1295571955719553E-3</c:v>
                </c:pt>
                <c:pt idx="12">
                  <c:v>8.1295571955719553E-3</c:v>
                </c:pt>
                <c:pt idx="13">
                  <c:v>8.1295571955719553E-3</c:v>
                </c:pt>
                <c:pt idx="14">
                  <c:v>8.1295571955719553E-3</c:v>
                </c:pt>
                <c:pt idx="15">
                  <c:v>8.1295571955719553E-3</c:v>
                </c:pt>
                <c:pt idx="16">
                  <c:v>8.1295571955719553E-3</c:v>
                </c:pt>
                <c:pt idx="17">
                  <c:v>8.1295571955719553E-3</c:v>
                </c:pt>
                <c:pt idx="18">
                  <c:v>8.1295571955719553E-3</c:v>
                </c:pt>
                <c:pt idx="19">
                  <c:v>8.1295571955719553E-3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3A-4E6F-BA85-E6BCA333B99B}"/>
            </c:ext>
          </c:extLst>
        </c:ser>
        <c:ser>
          <c:idx val="3"/>
          <c:order val="3"/>
          <c:tx>
            <c:v>TO Landing Gear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C_D_0'!$U$10:$U$29</c:f>
              <c:numCache>
                <c:formatCode>General</c:formatCode>
                <c:ptCount val="20"/>
                <c:pt idx="0">
                  <c:v>1.4999999999999999E-2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1.4999999999999999E-2</c:v>
                </c:pt>
                <c:pt idx="6">
                  <c:v>1.4999999999999999E-2</c:v>
                </c:pt>
                <c:pt idx="7">
                  <c:v>1.4999999999999999E-2</c:v>
                </c:pt>
                <c:pt idx="8">
                  <c:v>1.4999999999999999E-2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1.4999999999999999E-2</c:v>
                </c:pt>
                <c:pt idx="15">
                  <c:v>1.4999999999999999E-2</c:v>
                </c:pt>
                <c:pt idx="16">
                  <c:v>1.4999999999999999E-2</c:v>
                </c:pt>
                <c:pt idx="17">
                  <c:v>1.4999999999999999E-2</c:v>
                </c:pt>
                <c:pt idx="18">
                  <c:v>1.4999999999999999E-2</c:v>
                </c:pt>
                <c:pt idx="19">
                  <c:v>1.4999999999999999E-2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3A-4E6F-BA85-E6BCA333B99B}"/>
            </c:ext>
          </c:extLst>
        </c:ser>
        <c:ser>
          <c:idx val="4"/>
          <c:order val="4"/>
          <c:tx>
            <c:v>L Landing Gear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C_D_0'!$V$10:$V$29</c:f>
              <c:numCache>
                <c:formatCode>General</c:formatCode>
                <c:ptCount val="20"/>
                <c:pt idx="0">
                  <c:v>1.4E-2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  <c:pt idx="16">
                  <c:v>1.4E-2</c:v>
                </c:pt>
                <c:pt idx="17">
                  <c:v>1.4E-2</c:v>
                </c:pt>
                <c:pt idx="18">
                  <c:v>1.4E-2</c:v>
                </c:pt>
                <c:pt idx="19">
                  <c:v>1.4E-2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3A-4E6F-BA85-E6BCA333B99B}"/>
            </c:ext>
          </c:extLst>
        </c:ser>
        <c:ser>
          <c:idx val="5"/>
          <c:order val="5"/>
          <c:tx>
            <c:v>600 gal Tank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'Sub C_D_0'!$AH$10:$AH$29</c:f>
              <c:numCache>
                <c:formatCode>General</c:formatCode>
                <c:ptCount val="20"/>
                <c:pt idx="0">
                  <c:v>2.3999999999999998E-3</c:v>
                </c:pt>
                <c:pt idx="1">
                  <c:v>2.3999999999999998E-3</c:v>
                </c:pt>
                <c:pt idx="2">
                  <c:v>2.3999999999999998E-3</c:v>
                </c:pt>
                <c:pt idx="3">
                  <c:v>2.3999999999999998E-3</c:v>
                </c:pt>
                <c:pt idx="4">
                  <c:v>2.3999999999999998E-3</c:v>
                </c:pt>
                <c:pt idx="5">
                  <c:v>2.3999999999999998E-3</c:v>
                </c:pt>
                <c:pt idx="6">
                  <c:v>2.3999999999999998E-3</c:v>
                </c:pt>
                <c:pt idx="7">
                  <c:v>2.3999999999999998E-3</c:v>
                </c:pt>
                <c:pt idx="8">
                  <c:v>2.3999999999999998E-3</c:v>
                </c:pt>
                <c:pt idx="9">
                  <c:v>2.3999999999999998E-3</c:v>
                </c:pt>
                <c:pt idx="10">
                  <c:v>2.3999999999999998E-3</c:v>
                </c:pt>
                <c:pt idx="11">
                  <c:v>2.3999999999999998E-3</c:v>
                </c:pt>
                <c:pt idx="12">
                  <c:v>2.3999999999999998E-3</c:v>
                </c:pt>
                <c:pt idx="13">
                  <c:v>2.3999999999999998E-3</c:v>
                </c:pt>
                <c:pt idx="14">
                  <c:v>2.3999999999999998E-3</c:v>
                </c:pt>
                <c:pt idx="15">
                  <c:v>2.3999999999999998E-3</c:v>
                </c:pt>
                <c:pt idx="16">
                  <c:v>2.5000000000000001E-3</c:v>
                </c:pt>
                <c:pt idx="17">
                  <c:v>2.7499999999999998E-3</c:v>
                </c:pt>
                <c:pt idx="18">
                  <c:v>3.2499999999999999E-3</c:v>
                </c:pt>
                <c:pt idx="19">
                  <c:v>3.7499999999999999E-3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3A-4E6F-BA85-E6BCA333B99B}"/>
            </c:ext>
          </c:extLst>
        </c:ser>
        <c:ser>
          <c:idx val="6"/>
          <c:order val="6"/>
          <c:tx>
            <c:v>370 gal Tank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C_D_0'!$AI$10:$AI$29</c:f>
              <c:numCache>
                <c:formatCode>General</c:formatCode>
                <c:ptCount val="20"/>
                <c:pt idx="0">
                  <c:v>3.7000000000000002E-3</c:v>
                </c:pt>
                <c:pt idx="1">
                  <c:v>3.7000000000000002E-3</c:v>
                </c:pt>
                <c:pt idx="2">
                  <c:v>3.7000000000000002E-3</c:v>
                </c:pt>
                <c:pt idx="3">
                  <c:v>3.7000000000000002E-3</c:v>
                </c:pt>
                <c:pt idx="4">
                  <c:v>3.7000000000000002E-3</c:v>
                </c:pt>
                <c:pt idx="5">
                  <c:v>3.7000000000000002E-3</c:v>
                </c:pt>
                <c:pt idx="6">
                  <c:v>3.7000000000000002E-3</c:v>
                </c:pt>
                <c:pt idx="7">
                  <c:v>3.7000000000000002E-3</c:v>
                </c:pt>
                <c:pt idx="8">
                  <c:v>3.7000000000000002E-3</c:v>
                </c:pt>
                <c:pt idx="9">
                  <c:v>3.7000000000000002E-3</c:v>
                </c:pt>
                <c:pt idx="10">
                  <c:v>3.7000000000000002E-3</c:v>
                </c:pt>
                <c:pt idx="11">
                  <c:v>3.7000000000000002E-3</c:v>
                </c:pt>
                <c:pt idx="12">
                  <c:v>3.7000000000000002E-3</c:v>
                </c:pt>
                <c:pt idx="13">
                  <c:v>3.7000000000000002E-3</c:v>
                </c:pt>
                <c:pt idx="14">
                  <c:v>3.7000000000000002E-3</c:v>
                </c:pt>
                <c:pt idx="15">
                  <c:v>3.7000000000000002E-3</c:v>
                </c:pt>
                <c:pt idx="16">
                  <c:v>3.7000000000000002E-3</c:v>
                </c:pt>
                <c:pt idx="17">
                  <c:v>3.7000000000000002E-3</c:v>
                </c:pt>
                <c:pt idx="18">
                  <c:v>3.7000000000000002E-3</c:v>
                </c:pt>
                <c:pt idx="19">
                  <c:v>3.7000000000000002E-3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13A-4E6F-BA85-E6BCA333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998160"/>
        <c:axId val="1617991088"/>
      </c:scatterChart>
      <c:valAx>
        <c:axId val="161799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991088"/>
        <c:crosses val="autoZero"/>
        <c:crossBetween val="midCat"/>
      </c:valAx>
      <c:valAx>
        <c:axId val="16179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C_D_0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998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C_D_0</a:t>
            </a:r>
            <a:r>
              <a:rPr lang="en-US" baseline="0"/>
              <a:t> vs. 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Body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C_D_0'!$K$10:$K$29</c:f>
              <c:numCache>
                <c:formatCode>General</c:formatCode>
                <c:ptCount val="20"/>
                <c:pt idx="0">
                  <c:v>0</c:v>
                </c:pt>
                <c:pt idx="1">
                  <c:v>9.6772830097639845E-2</c:v>
                </c:pt>
                <c:pt idx="2">
                  <c:v>8.7074047699974774E-2</c:v>
                </c:pt>
                <c:pt idx="3">
                  <c:v>8.2017193868975408E-2</c:v>
                </c:pt>
                <c:pt idx="4">
                  <c:v>7.8673381384095784E-2</c:v>
                </c:pt>
                <c:pt idx="5">
                  <c:v>7.6208648965564271E-2</c:v>
                </c:pt>
                <c:pt idx="6">
                  <c:v>7.4273662372275756E-2</c:v>
                </c:pt>
                <c:pt idx="7">
                  <c:v>7.2690444103282709E-2</c:v>
                </c:pt>
                <c:pt idx="8">
                  <c:v>7.1356602374854083E-2</c:v>
                </c:pt>
                <c:pt idx="9">
                  <c:v>7.0208097248270984E-2</c:v>
                </c:pt>
                <c:pt idx="10">
                  <c:v>6.9202346283621541E-2</c:v>
                </c:pt>
                <c:pt idx="11">
                  <c:v>6.8309674946629401E-2</c:v>
                </c:pt>
                <c:pt idx="12">
                  <c:v>6.750862144505497E-2</c:v>
                </c:pt>
                <c:pt idx="13">
                  <c:v>6.6783188576260824E-2</c:v>
                </c:pt>
                <c:pt idx="14">
                  <c:v>6.6121150659027142E-2</c:v>
                </c:pt>
                <c:pt idx="15">
                  <c:v>6.5512965612633978E-2</c:v>
                </c:pt>
                <c:pt idx="16">
                  <c:v>6.4951050790351586E-2</c:v>
                </c:pt>
                <c:pt idx="17">
                  <c:v>6.4429286266809216E-2</c:v>
                </c:pt>
                <c:pt idx="18">
                  <c:v>6.3942665223509096E-2</c:v>
                </c:pt>
                <c:pt idx="19">
                  <c:v>6.3487042274731162E-2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FA-4CD4-9355-F4C3F22C48FD}"/>
            </c:ext>
          </c:extLst>
        </c:ser>
        <c:ser>
          <c:idx val="1"/>
          <c:order val="1"/>
          <c:tx>
            <c:v>Sidewinder Missiles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C_D_0'!$AC$10:$AC$29</c:f>
              <c:numCache>
                <c:formatCode>General</c:formatCode>
                <c:ptCount val="20"/>
                <c:pt idx="0">
                  <c:v>0</c:v>
                </c:pt>
                <c:pt idx="1">
                  <c:v>1.7580073349249989</c:v>
                </c:pt>
                <c:pt idx="2">
                  <c:v>1.5799462124201336</c:v>
                </c:pt>
                <c:pt idx="3">
                  <c:v>1.4886747529621751</c:v>
                </c:pt>
                <c:pt idx="4">
                  <c:v>1.4289539031953618</c:v>
                </c:pt>
                <c:pt idx="5">
                  <c:v>1.3852706861237736</c:v>
                </c:pt>
                <c:pt idx="6">
                  <c:v>1.351184042584991</c:v>
                </c:pt>
                <c:pt idx="7">
                  <c:v>1.3234340401888025</c:v>
                </c:pt>
                <c:pt idx="8">
                  <c:v>1.3001551726127474</c:v>
                </c:pt>
                <c:pt idx="9">
                  <c:v>1.2801858767835945</c:v>
                </c:pt>
                <c:pt idx="10">
                  <c:v>1.2627567579289414</c:v>
                </c:pt>
                <c:pt idx="11">
                  <c:v>1.2473334605264192</c:v>
                </c:pt>
                <c:pt idx="12">
                  <c:v>1.2335306861665423</c:v>
                </c:pt>
                <c:pt idx="13">
                  <c:v>1.2210620259392104</c:v>
                </c:pt>
                <c:pt idx="14">
                  <c:v>1.209709141124325</c:v>
                </c:pt>
                <c:pt idx="15">
                  <c:v>1.1993020105339418</c:v>
                </c:pt>
                <c:pt idx="16">
                  <c:v>1.1897058133265495</c:v>
                </c:pt>
                <c:pt idx="17">
                  <c:v>1.1808119513957109</c:v>
                </c:pt>
                <c:pt idx="18">
                  <c:v>1.1725317431931923</c:v>
                </c:pt>
                <c:pt idx="19">
                  <c:v>1.1647918927196841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FA-4CD4-9355-F4C3F22C48FD}"/>
            </c:ext>
          </c:extLst>
        </c:ser>
        <c:ser>
          <c:idx val="2"/>
          <c:order val="2"/>
          <c:tx>
            <c:v>Bombs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'Sub C_D_0'!$A$10:$A$29</c:f>
              <c:numCache>
                <c:formatCode>0.00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'Sub C_D_0'!$AG$10:$AG$29</c:f>
              <c:numCache>
                <c:formatCode>General</c:formatCode>
                <c:ptCount val="20"/>
                <c:pt idx="0">
                  <c:v>0</c:v>
                </c:pt>
                <c:pt idx="1">
                  <c:v>1.705548180957178</c:v>
                </c:pt>
                <c:pt idx="2">
                  <c:v>1.5138919840807061</c:v>
                </c:pt>
                <c:pt idx="3">
                  <c:v>1.4154186108079245</c:v>
                </c:pt>
                <c:pt idx="4">
                  <c:v>1.3508663887923846</c:v>
                </c:pt>
                <c:pt idx="5">
                  <c:v>1.3035766809952078</c:v>
                </c:pt>
                <c:pt idx="6">
                  <c:v>1.2666268611362372</c:v>
                </c:pt>
                <c:pt idx="7">
                  <c:v>1.2365105983767086</c:v>
                </c:pt>
                <c:pt idx="8">
                  <c:v>1.2112199956344634</c:v>
                </c:pt>
                <c:pt idx="9">
                  <c:v>1.1895040348588692</c:v>
                </c:pt>
                <c:pt idx="10">
                  <c:v>1.1705335796826757</c:v>
                </c:pt>
                <c:pt idx="11">
                  <c:v>1.1537324661673751</c:v>
                </c:pt>
                <c:pt idx="12">
                  <c:v>1.1386850349636857</c:v>
                </c:pt>
                <c:pt idx="13">
                  <c:v>1.1250821576893826</c:v>
                </c:pt>
                <c:pt idx="14">
                  <c:v>1.1126880667385812</c:v>
                </c:pt>
                <c:pt idx="15">
                  <c:v>1.1013190881065096</c:v>
                </c:pt>
                <c:pt idx="16">
                  <c:v>1.0908295135028725</c:v>
                </c:pt>
                <c:pt idx="17">
                  <c:v>1.0811019277492599</c:v>
                </c:pt>
                <c:pt idx="18">
                  <c:v>1.072040412221243</c:v>
                </c:pt>
                <c:pt idx="19">
                  <c:v>1.0635656599787418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FA-4CD4-9355-F4C3F22C4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181920"/>
        <c:axId val="1699188992"/>
      </c:scatterChart>
      <c:valAx>
        <c:axId val="169918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188992"/>
        <c:crosses val="autoZero"/>
        <c:crossBetween val="midCat"/>
      </c:valAx>
      <c:valAx>
        <c:axId val="16991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C_D_0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181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C_D_0 vs.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L&amp;D'!$A$188:$A$207</c:f>
              <c:numCache>
                <c:formatCode>General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'CC L&amp;D'!$B$188:$B$207</c:f>
              <c:numCache>
                <c:formatCode>0.00000000</c:formatCode>
                <c:ptCount val="20"/>
                <c:pt idx="0" formatCode="General">
                  <c:v>0</c:v>
                </c:pt>
                <c:pt idx="1">
                  <c:v>1.1827443637661294E-2</c:v>
                </c:pt>
                <c:pt idx="2">
                  <c:v>1.0613032734532693E-2</c:v>
                </c:pt>
                <c:pt idx="3">
                  <c:v>9.9818287214992456E-3</c:v>
                </c:pt>
                <c:pt idx="4">
                  <c:v>9.56521807548898E-3</c:v>
                </c:pt>
                <c:pt idx="5">
                  <c:v>9.2585334205619544E-3</c:v>
                </c:pt>
                <c:pt idx="6">
                  <c:v>9.4765254701882923E-3</c:v>
                </c:pt>
                <c:pt idx="7">
                  <c:v>9.2695844475614783E-3</c:v>
                </c:pt>
                <c:pt idx="8">
                  <c:v>9.0953652133902718E-3</c:v>
                </c:pt>
                <c:pt idx="9">
                  <c:v>8.9454468006833852E-3</c:v>
                </c:pt>
                <c:pt idx="10">
                  <c:v>8.8142339328776444E-3</c:v>
                </c:pt>
                <c:pt idx="11">
                  <c:v>8.697829912046472E-3</c:v>
                </c:pt>
                <c:pt idx="12">
                  <c:v>8.5934180871183857E-3</c:v>
                </c:pt>
                <c:pt idx="13">
                  <c:v>8.9543867380573981E-3</c:v>
                </c:pt>
                <c:pt idx="14">
                  <c:v>8.8634093530528396E-3</c:v>
                </c:pt>
                <c:pt idx="15">
                  <c:v>8.7798616496101538E-3</c:v>
                </c:pt>
                <c:pt idx="16">
                  <c:v>8.7026951583076325E-3</c:v>
                </c:pt>
                <c:pt idx="17">
                  <c:v>9.069676939808308E-3</c:v>
                </c:pt>
                <c:pt idx="18">
                  <c:v>8.9994064457703457E-3</c:v>
                </c:pt>
                <c:pt idx="19">
                  <c:v>8.9336304421488762E-3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CB-4E5C-AA7F-69E283145D8B}"/>
            </c:ext>
          </c:extLst>
        </c:ser>
        <c:ser>
          <c:idx val="1"/>
          <c:order val="1"/>
          <c:tx>
            <c:v>WC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L&amp;D'!$A$187:$A$206</c:f>
              <c:numCache>
                <c:formatCode>General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'WCB L&amp;D'!$B$187:$B$206</c:f>
              <c:numCache>
                <c:formatCode>0.000000</c:formatCode>
                <c:ptCount val="20"/>
                <c:pt idx="0" formatCode="General">
                  <c:v>0</c:v>
                </c:pt>
                <c:pt idx="1">
                  <c:v>3.0234871675608385E-2</c:v>
                </c:pt>
                <c:pt idx="2">
                  <c:v>2.7015524615018827E-2</c:v>
                </c:pt>
                <c:pt idx="3">
                  <c:v>2.5350477917563022E-2</c:v>
                </c:pt>
                <c:pt idx="4">
                  <c:v>2.4254726226465614E-2</c:v>
                </c:pt>
                <c:pt idx="5">
                  <c:v>2.3449778779430653E-2</c:v>
                </c:pt>
                <c:pt idx="6">
                  <c:v>2.327801036685577E-2</c:v>
                </c:pt>
                <c:pt idx="7">
                  <c:v>2.2753099878724835E-2</c:v>
                </c:pt>
                <c:pt idx="8">
                  <c:v>2.2311655639304272E-2</c:v>
                </c:pt>
                <c:pt idx="9">
                  <c:v>2.1932131408963912E-2</c:v>
                </c:pt>
                <c:pt idx="10">
                  <c:v>2.1600225979357117E-2</c:v>
                </c:pt>
                <c:pt idx="11">
                  <c:v>2.1305988763756854E-2</c:v>
                </c:pt>
                <c:pt idx="12">
                  <c:v>2.1042233026892364E-2</c:v>
                </c:pt>
                <c:pt idx="13">
                  <c:v>2.1259095225080224E-2</c:v>
                </c:pt>
                <c:pt idx="14">
                  <c:v>2.1036767512428275E-2</c:v>
                </c:pt>
                <c:pt idx="15">
                  <c:v>2.0832691667171242E-2</c:v>
                </c:pt>
                <c:pt idx="16">
                  <c:v>2.0644284399959242E-2</c:v>
                </c:pt>
                <c:pt idx="17">
                  <c:v>2.0908075509179141E-2</c:v>
                </c:pt>
                <c:pt idx="18">
                  <c:v>2.0741653349011662E-2</c:v>
                </c:pt>
                <c:pt idx="19">
                  <c:v>2.0585928421149879E-2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CB-4E5C-AA7F-69E283145D8B}"/>
            </c:ext>
          </c:extLst>
        </c:ser>
        <c:ser>
          <c:idx val="2"/>
          <c:order val="2"/>
          <c:tx>
            <c:v>FC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'FC L&amp;D'!$A$188:$A$207</c:f>
              <c:numCache>
                <c:formatCode>General</c:formatCode>
                <c:ptCount val="2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</c:numCache>
            </c:numRef>
          </c:xVal>
          <c:yVal>
            <c:numRef>
              <c:f>'FC L&amp;D'!$B$188:$B$207</c:f>
              <c:numCache>
                <c:formatCode>0.0000000</c:formatCode>
                <c:ptCount val="20"/>
                <c:pt idx="0" formatCode="General">
                  <c:v>0</c:v>
                </c:pt>
                <c:pt idx="1">
                  <c:v>1.8579533520607084E-2</c:v>
                </c:pt>
                <c:pt idx="2">
                  <c:v>1.7301477792534783E-2</c:v>
                </c:pt>
                <c:pt idx="3">
                  <c:v>1.6637547959771043E-2</c:v>
                </c:pt>
                <c:pt idx="4">
                  <c:v>1.6199485105935496E-2</c:v>
                </c:pt>
                <c:pt idx="5">
                  <c:v>1.5877089103875849E-2</c:v>
                </c:pt>
                <c:pt idx="6">
                  <c:v>1.60828094463824E-2</c:v>
                </c:pt>
                <c:pt idx="7">
                  <c:v>1.5865870195464156E-2</c:v>
                </c:pt>
                <c:pt idx="8">
                  <c:v>1.56832582095211E-2</c:v>
                </c:pt>
                <c:pt idx="9">
                  <c:v>1.5526136248318684E-2</c:v>
                </c:pt>
                <c:pt idx="10">
                  <c:v>1.5388633113990566E-2</c:v>
                </c:pt>
                <c:pt idx="11">
                  <c:v>1.5266660362600883E-2</c:v>
                </c:pt>
                <c:pt idx="12">
                  <c:v>1.5157263011233966E-2</c:v>
                </c:pt>
                <c:pt idx="13">
                  <c:v>1.5513726463480064E-2</c:v>
                </c:pt>
                <c:pt idx="14">
                  <c:v>1.5418645748321453E-2</c:v>
                </c:pt>
                <c:pt idx="15">
                  <c:v>1.533133546323749E-2</c:v>
                </c:pt>
                <c:pt idx="16">
                  <c:v>1.5350698655661516E-2</c:v>
                </c:pt>
                <c:pt idx="17">
                  <c:v>1.5964463320407511E-2</c:v>
                </c:pt>
                <c:pt idx="18">
                  <c:v>1.6391196998223369E-2</c:v>
                </c:pt>
                <c:pt idx="19">
                  <c:v>1.6822620073041583E-2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CB-4E5C-AA7F-69E28314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021871"/>
        <c:axId val="1057022287"/>
      </c:scatterChart>
      <c:valAx>
        <c:axId val="105702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22287"/>
        <c:crosses val="autoZero"/>
        <c:crossBetween val="midCat"/>
      </c:valAx>
      <c:valAx>
        <c:axId val="10570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C_D_0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2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 vs.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Subsonic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'Sub C_L_α'!$A$8:$A$23</c:f>
              <c:numCache>
                <c:formatCode>General</c:formatCode>
                <c:ptCount val="1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</c:numCache>
            </c:numRef>
          </c:xVal>
          <c:yVal>
            <c:numRef>
              <c:f>'Sub C_L_α'!$J$8:$J$23</c:f>
              <c:numCache>
                <c:formatCode>General</c:formatCode>
                <c:ptCount val="16"/>
                <c:pt idx="0">
                  <c:v>0.18131319766155801</c:v>
                </c:pt>
                <c:pt idx="1">
                  <c:v>0.18131319766155771</c:v>
                </c:pt>
                <c:pt idx="2">
                  <c:v>0.18131319766155801</c:v>
                </c:pt>
                <c:pt idx="3">
                  <c:v>0.18131319766155771</c:v>
                </c:pt>
                <c:pt idx="4">
                  <c:v>0.18131319766155771</c:v>
                </c:pt>
                <c:pt idx="5">
                  <c:v>0.18131319766155771</c:v>
                </c:pt>
                <c:pt idx="6">
                  <c:v>0.18131319766155771</c:v>
                </c:pt>
                <c:pt idx="7">
                  <c:v>0.18131319766155771</c:v>
                </c:pt>
                <c:pt idx="8">
                  <c:v>0.18131319766155771</c:v>
                </c:pt>
                <c:pt idx="9">
                  <c:v>0.18131319766155771</c:v>
                </c:pt>
                <c:pt idx="10">
                  <c:v>0.18131319766155771</c:v>
                </c:pt>
                <c:pt idx="11">
                  <c:v>0.18131319766155771</c:v>
                </c:pt>
                <c:pt idx="12">
                  <c:v>0.18131319766155771</c:v>
                </c:pt>
                <c:pt idx="13">
                  <c:v>0.18131319766155771</c:v>
                </c:pt>
                <c:pt idx="14">
                  <c:v>0.18131319766155771</c:v>
                </c:pt>
                <c:pt idx="15">
                  <c:v>0.18131319766155771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7B-4DCE-8B74-2243AA53789C}"/>
            </c:ext>
          </c:extLst>
        </c:ser>
        <c:ser>
          <c:idx val="2"/>
          <c:order val="1"/>
          <c:tx>
            <c:v>Transonic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'Sub C_L_α'!$A$23:$A$33</c:f>
              <c:numCache>
                <c:formatCode>General</c:formatCode>
                <c:ptCount val="11"/>
                <c:pt idx="0">
                  <c:v>0.75</c:v>
                </c:pt>
                <c:pt idx="1">
                  <c:v>0.8</c:v>
                </c:pt>
                <c:pt idx="2">
                  <c:v>0.85</c:v>
                </c:pt>
                <c:pt idx="3">
                  <c:v>0.9</c:v>
                </c:pt>
                <c:pt idx="4">
                  <c:v>0.95</c:v>
                </c:pt>
                <c:pt idx="5">
                  <c:v>1</c:v>
                </c:pt>
                <c:pt idx="6">
                  <c:v>1.05</c:v>
                </c:pt>
                <c:pt idx="7">
                  <c:v>1.1000000000000001</c:v>
                </c:pt>
                <c:pt idx="8">
                  <c:v>1.1499999999999999</c:v>
                </c:pt>
                <c:pt idx="9">
                  <c:v>1.2</c:v>
                </c:pt>
                <c:pt idx="10">
                  <c:v>1.25</c:v>
                </c:pt>
              </c:numCache>
            </c:numRef>
          </c:xVal>
          <c:yVal>
            <c:numRef>
              <c:f>'Sub C_L_α'!$J$23:$J$33</c:f>
              <c:numCache>
                <c:formatCode>General</c:formatCode>
                <c:ptCount val="11"/>
                <c:pt idx="0">
                  <c:v>0.18131319766155771</c:v>
                </c:pt>
                <c:pt idx="1">
                  <c:v>0.17</c:v>
                </c:pt>
                <c:pt idx="2">
                  <c:v>0.14000000000000001</c:v>
                </c:pt>
                <c:pt idx="3">
                  <c:v>0.11</c:v>
                </c:pt>
                <c:pt idx="4">
                  <c:v>0.09</c:v>
                </c:pt>
                <c:pt idx="5">
                  <c:v>0.08</c:v>
                </c:pt>
                <c:pt idx="6">
                  <c:v>0.08</c:v>
                </c:pt>
                <c:pt idx="7">
                  <c:v>0.09</c:v>
                </c:pt>
                <c:pt idx="8">
                  <c:v>0.1</c:v>
                </c:pt>
                <c:pt idx="9">
                  <c:v>0.12</c:v>
                </c:pt>
                <c:pt idx="10">
                  <c:v>0.15982112368430693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7B-4DCE-8B74-2243AA53789C}"/>
            </c:ext>
          </c:extLst>
        </c:ser>
        <c:ser>
          <c:idx val="1"/>
          <c:order val="2"/>
          <c:tx>
            <c:v>Supersonic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'Sub C_L_α'!$A$33:$A$42</c:f>
              <c:numCache>
                <c:formatCode>General</c:formatCode>
                <c:ptCount val="10"/>
                <c:pt idx="0">
                  <c:v>1.25</c:v>
                </c:pt>
                <c:pt idx="1">
                  <c:v>1.3</c:v>
                </c:pt>
                <c:pt idx="2">
                  <c:v>1.35</c:v>
                </c:pt>
                <c:pt idx="3">
                  <c:v>1.4</c:v>
                </c:pt>
                <c:pt idx="4">
                  <c:v>1.45</c:v>
                </c:pt>
                <c:pt idx="5">
                  <c:v>1.5</c:v>
                </c:pt>
                <c:pt idx="6">
                  <c:v>1.55</c:v>
                </c:pt>
                <c:pt idx="7">
                  <c:v>1.6</c:v>
                </c:pt>
                <c:pt idx="8">
                  <c:v>1.65</c:v>
                </c:pt>
                <c:pt idx="9">
                  <c:v>1.7</c:v>
                </c:pt>
              </c:numCache>
            </c:numRef>
          </c:xVal>
          <c:yVal>
            <c:numRef>
              <c:f>'Sub C_L_α'!$J$33:$J$42</c:f>
              <c:numCache>
                <c:formatCode>General</c:formatCode>
                <c:ptCount val="10"/>
                <c:pt idx="0">
                  <c:v>0.15982112368430693</c:v>
                </c:pt>
                <c:pt idx="1">
                  <c:v>0.16634376762394426</c:v>
                </c:pt>
                <c:pt idx="2">
                  <c:v>0.17274616477671437</c:v>
                </c:pt>
                <c:pt idx="3">
                  <c:v>0.17904664738674494</c:v>
                </c:pt>
                <c:pt idx="4">
                  <c:v>0.18525978670954174</c:v>
                </c:pt>
                <c:pt idx="5">
                  <c:v>0.19139735107071598</c:v>
                </c:pt>
                <c:pt idx="6">
                  <c:v>0.19746897632914434</c:v>
                </c:pt>
                <c:pt idx="7">
                  <c:v>0.20348264690590401</c:v>
                </c:pt>
                <c:pt idx="8">
                  <c:v>0.20944504839920899</c:v>
                </c:pt>
                <c:pt idx="9">
                  <c:v>0.21536183095696088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7B-4DCE-8B74-2243AA537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948511"/>
        <c:axId val="1501323487"/>
      </c:scatterChart>
      <c:valAx>
        <c:axId val="173794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23487"/>
        <c:crosses val="autoZero"/>
        <c:crossBetween val="midCat"/>
      </c:valAx>
      <c:valAx>
        <c:axId val="150132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48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NACA 1410 c_l vs. </a:t>
            </a:r>
            <a:r>
              <a:rPr lang="el-GR" baseline="0"/>
              <a:t>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α'!$F$7:$F$10</c:f>
              <c:numCache>
                <c:formatCode>General</c:formatCode>
                <c:ptCount val="4"/>
                <c:pt idx="0">
                  <c:v>-1</c:v>
                </c:pt>
                <c:pt idx="1">
                  <c:v>11</c:v>
                </c:pt>
                <c:pt idx="2">
                  <c:v>14.3</c:v>
                </c:pt>
                <c:pt idx="3">
                  <c:v>16.5</c:v>
                </c:pt>
              </c:numCache>
            </c:numRef>
          </c:xVal>
          <c:yVal>
            <c:numRef>
              <c:f>'C_L vs. α'!$G$7:$G$10</c:f>
              <c:numCache>
                <c:formatCode>General</c:formatCode>
                <c:ptCount val="4"/>
                <c:pt idx="0">
                  <c:v>0</c:v>
                </c:pt>
                <c:pt idx="1">
                  <c:v>1.1879999999999999</c:v>
                </c:pt>
                <c:pt idx="2">
                  <c:v>1.5</c:v>
                </c:pt>
                <c:pt idx="3">
                  <c:v>1.35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16-495D-8E88-4B6D10882C95}"/>
            </c:ext>
          </c:extLst>
        </c:ser>
        <c:ser>
          <c:idx val="1"/>
          <c:order val="1"/>
          <c:tx>
            <c:v>TO Flaps Down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α'!$H$7:$H$10</c:f>
              <c:numCache>
                <c:formatCode>General</c:formatCode>
                <c:ptCount val="4"/>
                <c:pt idx="0">
                  <c:v>-1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</c:numCache>
            </c:numRef>
          </c:xVal>
          <c:yVal>
            <c:numRef>
              <c:f>'C_L vs. α'!$I$7:$I$10</c:f>
              <c:numCache>
                <c:formatCode>General</c:formatCode>
                <c:ptCount val="4"/>
                <c:pt idx="0">
                  <c:v>0.515221195188726</c:v>
                </c:pt>
                <c:pt idx="1">
                  <c:v>1.5952211951887261</c:v>
                </c:pt>
                <c:pt idx="2">
                  <c:v>1.8854</c:v>
                </c:pt>
                <c:pt idx="3">
                  <c:v>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16-495D-8E88-4B6D10882C95}"/>
            </c:ext>
          </c:extLst>
        </c:ser>
        <c:ser>
          <c:idx val="2"/>
          <c:order val="2"/>
          <c:tx>
            <c:v>L Flaps Down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α'!$J$7:$J$10</c:f>
              <c:numCache>
                <c:formatCode>General</c:formatCode>
                <c:ptCount val="4"/>
                <c:pt idx="0">
                  <c:v>-1</c:v>
                </c:pt>
                <c:pt idx="1">
                  <c:v>8</c:v>
                </c:pt>
                <c:pt idx="2">
                  <c:v>11</c:v>
                </c:pt>
                <c:pt idx="3">
                  <c:v>13</c:v>
                </c:pt>
              </c:numCache>
            </c:numRef>
          </c:xVal>
          <c:yVal>
            <c:numRef>
              <c:f>'C_L vs. α'!$K$7:$K$10</c:f>
              <c:numCache>
                <c:formatCode>General</c:formatCode>
                <c:ptCount val="4"/>
                <c:pt idx="0">
                  <c:v>0.74707073302365268</c:v>
                </c:pt>
                <c:pt idx="1">
                  <c:v>1.7190707330236528</c:v>
                </c:pt>
                <c:pt idx="2">
                  <c:v>1.9838</c:v>
                </c:pt>
                <c:pt idx="3">
                  <c:v>1.95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16-495D-8E88-4B6D1088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53664"/>
        <c:axId val="1627464560"/>
      </c:scatterChart>
      <c:valAx>
        <c:axId val="1690353664"/>
        <c:scaling>
          <c:orientation val="minMax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64560"/>
        <c:crosses val="autoZero"/>
        <c:crossBetween val="midCat"/>
      </c:valAx>
      <c:valAx>
        <c:axId val="16274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53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NACA 0009 c_l vs. </a:t>
            </a:r>
            <a:r>
              <a:rPr lang="el-GR"/>
              <a:t>α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NACA 0009 c_l vs. 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α'!$G$49:$G$52</c:f>
              <c:numCache>
                <c:formatCode>General</c:formatCode>
                <c:ptCount val="4"/>
                <c:pt idx="0">
                  <c:v>0</c:v>
                </c:pt>
                <c:pt idx="1">
                  <c:v>11.4</c:v>
                </c:pt>
                <c:pt idx="2">
                  <c:v>13.4</c:v>
                </c:pt>
                <c:pt idx="3">
                  <c:v>15.5</c:v>
                </c:pt>
              </c:numCache>
            </c:numRef>
          </c:xVal>
          <c:yVal>
            <c:numRef>
              <c:f>'C_L vs. α'!$H$49:$H$52</c:f>
              <c:numCache>
                <c:formatCode>General</c:formatCode>
                <c:ptCount val="4"/>
                <c:pt idx="0">
                  <c:v>0</c:v>
                </c:pt>
                <c:pt idx="1">
                  <c:v>1.2425999999999999</c:v>
                </c:pt>
                <c:pt idx="2">
                  <c:v>1.32</c:v>
                </c:pt>
                <c:pt idx="3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71-4468-9477-510700568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64800"/>
        <c:axId val="1923287680"/>
      </c:scatterChart>
      <c:valAx>
        <c:axId val="19232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87680"/>
        <c:crosses val="autoZero"/>
        <c:crossBetween val="midCat"/>
      </c:valAx>
      <c:valAx>
        <c:axId val="192328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6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Conditions C_L vs. </a:t>
            </a:r>
            <a:r>
              <a:rPr lang="el-GR"/>
              <a:t>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WCR M = 0.85, 35,000 ft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'WCR L&amp;D'!$D$164:$D$174</c:f>
              <c:numCache>
                <c:formatCode>General</c:formatCod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</c:numCache>
            </c:numRef>
          </c:xVal>
          <c:yVal>
            <c:numRef>
              <c:f>'WCR L&amp;D'!$AK$164:$AK$175</c:f>
              <c:numCache>
                <c:formatCode>General</c:formatCode>
                <c:ptCount val="12"/>
                <c:pt idx="0">
                  <c:v>-1.2922260063787632</c:v>
                </c:pt>
                <c:pt idx="1">
                  <c:v>-0.77533560382725797</c:v>
                </c:pt>
                <c:pt idx="2">
                  <c:v>-0.25844520127575266</c:v>
                </c:pt>
                <c:pt idx="3">
                  <c:v>0.25844520127575266</c:v>
                </c:pt>
                <c:pt idx="4">
                  <c:v>0.77533560382725797</c:v>
                </c:pt>
                <c:pt idx="5">
                  <c:v>1.2922260063787632</c:v>
                </c:pt>
                <c:pt idx="6">
                  <c:v>1.8091164089302687</c:v>
                </c:pt>
                <c:pt idx="7">
                  <c:v>2.3260068114817738</c:v>
                </c:pt>
                <c:pt idx="8">
                  <c:v>2.8428972140332793</c:v>
                </c:pt>
                <c:pt idx="9">
                  <c:v>3.3597876165847844</c:v>
                </c:pt>
                <c:pt idx="10">
                  <c:v>3.87667801913629</c:v>
                </c:pt>
                <c:pt idx="11">
                  <c:v>4.393568421687795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5-48C0-ACDF-CC32E88586C6}"/>
            </c:ext>
          </c:extLst>
        </c:ser>
        <c:ser>
          <c:idx val="1"/>
          <c:order val="1"/>
          <c:tx>
            <c:v>WTO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'WTO L&amp;D'!$E$66:$E$76</c:f>
              <c:numCache>
                <c:formatCode>General</c:formatCod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</c:numCache>
            </c:numRef>
          </c:xVal>
          <c:yVal>
            <c:numRef>
              <c:f>'WTO L&amp;D'!$L$66:$L$76</c:f>
              <c:numCache>
                <c:formatCode>General</c:formatCode>
                <c:ptCount val="11"/>
                <c:pt idx="0">
                  <c:v>-0.16122745933952709</c:v>
                </c:pt>
                <c:pt idx="1">
                  <c:v>5.8807582435771666E-2</c:v>
                </c:pt>
                <c:pt idx="2">
                  <c:v>0.27884262421107053</c:v>
                </c:pt>
                <c:pt idx="3">
                  <c:v>0.49887766598636929</c:v>
                </c:pt>
                <c:pt idx="4">
                  <c:v>0.71891270776166816</c:v>
                </c:pt>
                <c:pt idx="5">
                  <c:v>0.93894774953696691</c:v>
                </c:pt>
                <c:pt idx="6">
                  <c:v>1.1589827913122659</c:v>
                </c:pt>
                <c:pt idx="7">
                  <c:v>1.3790178330875644</c:v>
                </c:pt>
                <c:pt idx="8">
                  <c:v>1.5990528748628634</c:v>
                </c:pt>
                <c:pt idx="9">
                  <c:v>1.8190879166381622</c:v>
                </c:pt>
                <c:pt idx="10">
                  <c:v>2.0391229584134609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55-48C0-ACDF-CC32E88586C6}"/>
            </c:ext>
          </c:extLst>
        </c:ser>
        <c:ser>
          <c:idx val="2"/>
          <c:order val="2"/>
          <c:tx>
            <c:v>WL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'WL L&amp;D'!$E$42:$E$52</c:f>
              <c:numCache>
                <c:formatCode>General</c:formatCod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</c:numCache>
            </c:numRef>
          </c:xVal>
          <c:yVal>
            <c:numRef>
              <c:f>'WL L&amp;D'!$L$42:$L$52</c:f>
              <c:numCache>
                <c:formatCode>General</c:formatCode>
                <c:ptCount val="11"/>
                <c:pt idx="0">
                  <c:v>0.18649267511660694</c:v>
                </c:pt>
                <c:pt idx="1">
                  <c:v>0.40648218455642393</c:v>
                </c:pt>
                <c:pt idx="2">
                  <c:v>0.62647169399624092</c:v>
                </c:pt>
                <c:pt idx="3">
                  <c:v>0.84646120343605791</c:v>
                </c:pt>
                <c:pt idx="4">
                  <c:v>1.0664507128758749</c:v>
                </c:pt>
                <c:pt idx="5">
                  <c:v>1.2864402223156919</c:v>
                </c:pt>
                <c:pt idx="6">
                  <c:v>1.5064297317555089</c:v>
                </c:pt>
                <c:pt idx="7">
                  <c:v>1.7264192411953259</c:v>
                </c:pt>
                <c:pt idx="8">
                  <c:v>1.9464087506351428</c:v>
                </c:pt>
                <c:pt idx="9">
                  <c:v>2.1663982600749598</c:v>
                </c:pt>
                <c:pt idx="10">
                  <c:v>2.3863877695147768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55-48C0-ACDF-CC32E885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057552"/>
        <c:axId val="2011068368"/>
      </c:scatterChart>
      <c:valAx>
        <c:axId val="201105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68368"/>
        <c:crossesAt val="-1"/>
        <c:crossBetween val="midCat"/>
      </c:valAx>
      <c:valAx>
        <c:axId val="201106836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57552"/>
        <c:crossesAt val="-1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NACA 1410 c_l vs. </a:t>
            </a:r>
            <a:r>
              <a:rPr lang="el-GR" baseline="0"/>
              <a:t>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α'!$F$7:$F$10</c:f>
              <c:numCache>
                <c:formatCode>General</c:formatCode>
                <c:ptCount val="4"/>
                <c:pt idx="0">
                  <c:v>-1</c:v>
                </c:pt>
                <c:pt idx="1">
                  <c:v>11</c:v>
                </c:pt>
                <c:pt idx="2">
                  <c:v>14.3</c:v>
                </c:pt>
                <c:pt idx="3">
                  <c:v>16.5</c:v>
                </c:pt>
              </c:numCache>
            </c:numRef>
          </c:xVal>
          <c:yVal>
            <c:numRef>
              <c:f>'C_L vs. α'!$G$7:$G$10</c:f>
              <c:numCache>
                <c:formatCode>General</c:formatCode>
                <c:ptCount val="4"/>
                <c:pt idx="0">
                  <c:v>0</c:v>
                </c:pt>
                <c:pt idx="1">
                  <c:v>1.1879999999999999</c:v>
                </c:pt>
                <c:pt idx="2">
                  <c:v>1.5</c:v>
                </c:pt>
                <c:pt idx="3">
                  <c:v>1.35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0-4D38-9F6E-CF66069E40F8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α'!$H$7:$H$10</c:f>
              <c:numCache>
                <c:formatCode>General</c:formatCode>
                <c:ptCount val="4"/>
                <c:pt idx="0">
                  <c:v>-1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</c:numCache>
            </c:numRef>
          </c:xVal>
          <c:yVal>
            <c:numRef>
              <c:f>'C_L vs. α'!$I$7:$I$10</c:f>
              <c:numCache>
                <c:formatCode>General</c:formatCode>
                <c:ptCount val="4"/>
                <c:pt idx="0">
                  <c:v>0.515221195188726</c:v>
                </c:pt>
                <c:pt idx="1">
                  <c:v>1.5952211951887261</c:v>
                </c:pt>
                <c:pt idx="2">
                  <c:v>1.8854</c:v>
                </c:pt>
                <c:pt idx="3">
                  <c:v>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0-4D38-9F6E-CF66069E40F8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α'!$J$7:$J$10</c:f>
              <c:numCache>
                <c:formatCode>General</c:formatCode>
                <c:ptCount val="4"/>
                <c:pt idx="0">
                  <c:v>-1</c:v>
                </c:pt>
                <c:pt idx="1">
                  <c:v>8</c:v>
                </c:pt>
                <c:pt idx="2">
                  <c:v>11</c:v>
                </c:pt>
                <c:pt idx="3">
                  <c:v>13</c:v>
                </c:pt>
              </c:numCache>
            </c:numRef>
          </c:xVal>
          <c:yVal>
            <c:numRef>
              <c:f>'C_L vs. α'!$K$7:$K$10</c:f>
              <c:numCache>
                <c:formatCode>General</c:formatCode>
                <c:ptCount val="4"/>
                <c:pt idx="0">
                  <c:v>0.74707073302365268</c:v>
                </c:pt>
                <c:pt idx="1">
                  <c:v>1.7190707330236528</c:v>
                </c:pt>
                <c:pt idx="2">
                  <c:v>1.9838</c:v>
                </c:pt>
                <c:pt idx="3">
                  <c:v>1.95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0-4D38-9F6E-CF66069E4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53664"/>
        <c:axId val="1627464560"/>
      </c:scatterChart>
      <c:valAx>
        <c:axId val="1690353664"/>
        <c:scaling>
          <c:orientation val="minMax"/>
          <c:max val="20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64560"/>
        <c:crosses val="autoZero"/>
        <c:crossBetween val="midCat"/>
      </c:valAx>
      <c:valAx>
        <c:axId val="16274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53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C_L</a:t>
            </a:r>
            <a:r>
              <a:rPr lang="en-US" baseline="0"/>
              <a:t> vs. </a:t>
            </a:r>
            <a:r>
              <a:rPr lang="el-GR" baseline="0"/>
              <a:t>α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α'!$G$66:$G$69</c:f>
              <c:numCache>
                <c:formatCode>General</c:formatCode>
                <c:ptCount val="4"/>
                <c:pt idx="0">
                  <c:v>-0.9</c:v>
                </c:pt>
                <c:pt idx="1">
                  <c:v>11</c:v>
                </c:pt>
                <c:pt idx="2">
                  <c:v>14</c:v>
                </c:pt>
                <c:pt idx="3">
                  <c:v>16.5</c:v>
                </c:pt>
              </c:numCache>
            </c:numRef>
          </c:xVal>
          <c:yVal>
            <c:numRef>
              <c:f>'C_L vs. α'!$H$66:$H$69</c:f>
              <c:numCache>
                <c:formatCode>General</c:formatCode>
                <c:ptCount val="4"/>
                <c:pt idx="0">
                  <c:v>0</c:v>
                </c:pt>
                <c:pt idx="1">
                  <c:v>0.71174782406584458</c:v>
                </c:pt>
                <c:pt idx="2">
                  <c:v>0.9</c:v>
                </c:pt>
                <c:pt idx="3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D3-44CE-8F7E-0312E494B0A9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α'!$I$66:$I$69</c:f>
              <c:numCache>
                <c:formatCode>General</c:formatCode>
                <c:ptCount val="4"/>
                <c:pt idx="0">
                  <c:v>-1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</c:numCache>
            </c:numRef>
          </c:xVal>
          <c:yVal>
            <c:numRef>
              <c:f>'C_L vs. α'!$J$66:$J$69</c:f>
              <c:numCache>
                <c:formatCode>General</c:formatCode>
                <c:ptCount val="4"/>
                <c:pt idx="0">
                  <c:v>0.515221195188726</c:v>
                </c:pt>
                <c:pt idx="1">
                  <c:v>1.1622646716122211</c:v>
                </c:pt>
                <c:pt idx="2">
                  <c:v>1.35</c:v>
                </c:pt>
                <c:pt idx="3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D3-44CE-8F7E-0312E494B0A9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α'!$K$66:$K$69</c:f>
              <c:numCache>
                <c:formatCode>General</c:formatCode>
                <c:ptCount val="4"/>
                <c:pt idx="0">
                  <c:v>-1</c:v>
                </c:pt>
                <c:pt idx="1">
                  <c:v>8</c:v>
                </c:pt>
                <c:pt idx="2">
                  <c:v>11</c:v>
                </c:pt>
                <c:pt idx="3">
                  <c:v>13</c:v>
                </c:pt>
              </c:numCache>
            </c:numRef>
          </c:xVal>
          <c:yVal>
            <c:numRef>
              <c:f>'C_L vs. α'!$L$66:$L$69</c:f>
              <c:numCache>
                <c:formatCode>General</c:formatCode>
                <c:ptCount val="4"/>
                <c:pt idx="0">
                  <c:v>0.74707073302365268</c:v>
                </c:pt>
                <c:pt idx="1">
                  <c:v>1.3294098618047983</c:v>
                </c:pt>
                <c:pt idx="2">
                  <c:v>1.52</c:v>
                </c:pt>
                <c:pt idx="3">
                  <c:v>1.37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D3-44CE-8F7E-0312E494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700848"/>
        <c:axId val="1861690448"/>
      </c:scatterChart>
      <c:valAx>
        <c:axId val="186170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690448"/>
        <c:crosses val="autoZero"/>
        <c:crossBetween val="midCat"/>
      </c:valAx>
      <c:valAx>
        <c:axId val="1861690448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70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WTO Drag Polar V = 100KTAS,</a:t>
            </a:r>
            <a:r>
              <a:rPr lang="en-US" baseline="0"/>
              <a:t> </a:t>
            </a:r>
            <a:r>
              <a:rPr lang="en-US"/>
              <a:t>SL, 90F, Gear 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WTO Drag Polar SL, 90F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'WTO L&amp;D'!$K$18:$K$28</c:f>
              <c:numCache>
                <c:formatCode>General</c:formatCode>
                <c:ptCount val="11"/>
                <c:pt idx="0">
                  <c:v>6.2942686622901395E-2</c:v>
                </c:pt>
                <c:pt idx="1">
                  <c:v>5.6597479220295122E-2</c:v>
                </c:pt>
                <c:pt idx="2">
                  <c:v>5.9713141664615187E-2</c:v>
                </c:pt>
                <c:pt idx="3">
                  <c:v>7.2289673955861597E-2</c:v>
                </c:pt>
                <c:pt idx="4">
                  <c:v>9.4327076094034359E-2</c:v>
                </c:pt>
                <c:pt idx="5">
                  <c:v>0.12582534807913343</c:v>
                </c:pt>
                <c:pt idx="6">
                  <c:v>0.16678448991115885</c:v>
                </c:pt>
                <c:pt idx="7">
                  <c:v>0.21720450159011065</c:v>
                </c:pt>
                <c:pt idx="8">
                  <c:v>0.27708538311598874</c:v>
                </c:pt>
                <c:pt idx="9">
                  <c:v>0.34642713448879325</c:v>
                </c:pt>
                <c:pt idx="10">
                  <c:v>0.42522975570852412</c:v>
                </c:pt>
              </c:numCache>
            </c:numRef>
          </c:xVal>
          <c:yVal>
            <c:numRef>
              <c:f>'WTO L&amp;D'!$J$18:$J$28</c:f>
              <c:numCache>
                <c:formatCode>General</c:formatCode>
                <c:ptCount val="11"/>
                <c:pt idx="0">
                  <c:v>-0.15554669618373879</c:v>
                </c:pt>
                <c:pt idx="1">
                  <c:v>6.1005235881231967E-2</c:v>
                </c:pt>
                <c:pt idx="2">
                  <c:v>0.27755716794620272</c:v>
                </c:pt>
                <c:pt idx="3">
                  <c:v>0.49410910001117342</c:v>
                </c:pt>
                <c:pt idx="4">
                  <c:v>0.71066103207614417</c:v>
                </c:pt>
                <c:pt idx="5">
                  <c:v>0.92721296414111487</c:v>
                </c:pt>
                <c:pt idx="6">
                  <c:v>1.1437648962060856</c:v>
                </c:pt>
                <c:pt idx="7">
                  <c:v>1.3603168282710563</c:v>
                </c:pt>
                <c:pt idx="8">
                  <c:v>1.576868760336027</c:v>
                </c:pt>
                <c:pt idx="9">
                  <c:v>1.7934206924009977</c:v>
                </c:pt>
                <c:pt idx="10">
                  <c:v>2.0099726244659686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CE-4D68-9DC5-830122542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699759"/>
        <c:axId val="527700591"/>
      </c:scatterChart>
      <c:valAx>
        <c:axId val="52769975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00591"/>
        <c:crosses val="autoZero"/>
        <c:crossBetween val="midCat"/>
      </c:valAx>
      <c:valAx>
        <c:axId val="527700591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99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WL Drag Polar V = 100KTAS,</a:t>
            </a:r>
            <a:r>
              <a:rPr lang="en-US" baseline="0"/>
              <a:t> </a:t>
            </a:r>
            <a:r>
              <a:rPr lang="en-US"/>
              <a:t>SL, 90F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Gear Down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'WL L&amp;D'!$K$18:$K$28</c:f>
              <c:numCache>
                <c:formatCode>General</c:formatCode>
                <c:ptCount val="11"/>
                <c:pt idx="0">
                  <c:v>7.9595528506041749E-2</c:v>
                </c:pt>
                <c:pt idx="1">
                  <c:v>8.5331014126128063E-2</c:v>
                </c:pt>
                <c:pt idx="2">
                  <c:v>0.10052736959314072</c:v>
                </c:pt>
                <c:pt idx="3">
                  <c:v>0.12518459490707973</c:v>
                </c:pt>
                <c:pt idx="4">
                  <c:v>0.15930269006794504</c:v>
                </c:pt>
                <c:pt idx="5">
                  <c:v>0.20288165507573674</c:v>
                </c:pt>
                <c:pt idx="6">
                  <c:v>0.25592148993045477</c:v>
                </c:pt>
                <c:pt idx="7">
                  <c:v>0.31842219463209914</c:v>
                </c:pt>
                <c:pt idx="8">
                  <c:v>0.3903837691806698</c:v>
                </c:pt>
                <c:pt idx="9">
                  <c:v>0.47180621357616681</c:v>
                </c:pt>
                <c:pt idx="10">
                  <c:v>0.56268952781859016</c:v>
                </c:pt>
              </c:numCache>
            </c:numRef>
          </c:xVal>
          <c:yVal>
            <c:numRef>
              <c:f>'WL L&amp;D'!$J$18:$J$28</c:f>
              <c:numCache>
                <c:formatCode>General</c:formatCode>
                <c:ptCount val="11"/>
                <c:pt idx="0">
                  <c:v>0.18935372934434302</c:v>
                </c:pt>
                <c:pt idx="1">
                  <c:v>0.40590566140931378</c:v>
                </c:pt>
                <c:pt idx="2">
                  <c:v>0.62245759347428453</c:v>
                </c:pt>
                <c:pt idx="3">
                  <c:v>0.83900952553925523</c:v>
                </c:pt>
                <c:pt idx="4">
                  <c:v>1.055561457604226</c:v>
                </c:pt>
                <c:pt idx="5">
                  <c:v>1.2721133896691967</c:v>
                </c:pt>
                <c:pt idx="6">
                  <c:v>1.4886653217341674</c:v>
                </c:pt>
                <c:pt idx="7">
                  <c:v>1.7052172537991381</c:v>
                </c:pt>
                <c:pt idx="8">
                  <c:v>1.9217691858641088</c:v>
                </c:pt>
                <c:pt idx="9">
                  <c:v>2.1383211179290793</c:v>
                </c:pt>
                <c:pt idx="10">
                  <c:v>2.3548730499940502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C0-4041-A036-C85792F7D78A}"/>
            </c:ext>
          </c:extLst>
        </c:ser>
        <c:ser>
          <c:idx val="1"/>
          <c:order val="1"/>
          <c:tx>
            <c:v>Gear Up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'WL L&amp;D'!$K$42:$K$52</c:f>
              <c:numCache>
                <c:formatCode>General</c:formatCode>
                <c:ptCount val="11"/>
                <c:pt idx="0">
                  <c:v>6.559552850604175E-2</c:v>
                </c:pt>
                <c:pt idx="1">
                  <c:v>7.1331014126128064E-2</c:v>
                </c:pt>
                <c:pt idx="2">
                  <c:v>8.6527369593140724E-2</c:v>
                </c:pt>
                <c:pt idx="3">
                  <c:v>0.11118459490707971</c:v>
                </c:pt>
                <c:pt idx="4">
                  <c:v>0.14530269006794505</c:v>
                </c:pt>
                <c:pt idx="5">
                  <c:v>0.18888165507573673</c:v>
                </c:pt>
                <c:pt idx="6">
                  <c:v>0.24192148993045476</c:v>
                </c:pt>
                <c:pt idx="7">
                  <c:v>0.30442219463209913</c:v>
                </c:pt>
                <c:pt idx="8">
                  <c:v>0.37638376918066979</c:v>
                </c:pt>
                <c:pt idx="9">
                  <c:v>0.4578062135761668</c:v>
                </c:pt>
                <c:pt idx="10">
                  <c:v>0.54868952781859015</c:v>
                </c:pt>
              </c:numCache>
            </c:numRef>
          </c:xVal>
          <c:yVal>
            <c:numRef>
              <c:f>'WL L&amp;D'!$J$42:$J$52</c:f>
              <c:numCache>
                <c:formatCode>General</c:formatCode>
                <c:ptCount val="11"/>
                <c:pt idx="0">
                  <c:v>0.18935372934434302</c:v>
                </c:pt>
                <c:pt idx="1">
                  <c:v>0.40590566140931378</c:v>
                </c:pt>
                <c:pt idx="2">
                  <c:v>0.62245759347428453</c:v>
                </c:pt>
                <c:pt idx="3">
                  <c:v>0.83900952553925523</c:v>
                </c:pt>
                <c:pt idx="4">
                  <c:v>1.055561457604226</c:v>
                </c:pt>
                <c:pt idx="5">
                  <c:v>1.2721133896691967</c:v>
                </c:pt>
                <c:pt idx="6">
                  <c:v>1.4886653217341674</c:v>
                </c:pt>
                <c:pt idx="7">
                  <c:v>1.7052172537991381</c:v>
                </c:pt>
                <c:pt idx="8">
                  <c:v>1.9217691858641088</c:v>
                </c:pt>
                <c:pt idx="9">
                  <c:v>2.1383211179290793</c:v>
                </c:pt>
                <c:pt idx="10">
                  <c:v>2.3548730499940502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C0-4041-A036-C85792F7D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928719"/>
        <c:axId val="317386383"/>
      </c:scatterChart>
      <c:valAx>
        <c:axId val="53392871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86383"/>
        <c:crosses val="autoZero"/>
        <c:crossBetween val="midCat"/>
      </c:valAx>
      <c:valAx>
        <c:axId val="31738638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28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 40k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0.70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L&amp;D'!$AF$188:$AF$198</c:f>
              <c:numCache>
                <c:formatCode>General</c:formatCode>
                <c:ptCount val="11"/>
                <c:pt idx="0">
                  <c:v>9.8251638144281436E-2</c:v>
                </c:pt>
                <c:pt idx="1">
                  <c:v>4.300259548475089E-2</c:v>
                </c:pt>
                <c:pt idx="2">
                  <c:v>1.4088979571527882E-2</c:v>
                </c:pt>
                <c:pt idx="3">
                  <c:v>1.1510790404612416E-2</c:v>
                </c:pt>
                <c:pt idx="4">
                  <c:v>3.5268027984004496E-2</c:v>
                </c:pt>
                <c:pt idx="5">
                  <c:v>8.5360692309704098E-2</c:v>
                </c:pt>
                <c:pt idx="6">
                  <c:v>0.16178878338171121</c:v>
                </c:pt>
                <c:pt idx="7">
                  <c:v>0.26455230120002599</c:v>
                </c:pt>
                <c:pt idx="8">
                  <c:v>0.39365124576464822</c:v>
                </c:pt>
                <c:pt idx="9">
                  <c:v>0.54908561707557813</c:v>
                </c:pt>
                <c:pt idx="10">
                  <c:v>0.73085541513281527</c:v>
                </c:pt>
              </c:numCache>
            </c:numRef>
          </c:xVal>
          <c:yVal>
            <c:numRef>
              <c:f>'CC L&amp;D'!$AE$188:$AE$198</c:f>
              <c:numCache>
                <c:formatCode>General</c:formatCode>
                <c:ptCount val="11"/>
                <c:pt idx="0">
                  <c:v>-0.89759908347829942</c:v>
                </c:pt>
                <c:pt idx="1">
                  <c:v>-0.5385594500869797</c:v>
                </c:pt>
                <c:pt idx="2">
                  <c:v>-0.17951981669565989</c:v>
                </c:pt>
                <c:pt idx="3">
                  <c:v>0.17951981669565989</c:v>
                </c:pt>
                <c:pt idx="4">
                  <c:v>0.5385594500869797</c:v>
                </c:pt>
                <c:pt idx="5">
                  <c:v>0.89759908347829942</c:v>
                </c:pt>
                <c:pt idx="6">
                  <c:v>1.2566387168696191</c:v>
                </c:pt>
                <c:pt idx="7">
                  <c:v>1.6156783502609391</c:v>
                </c:pt>
                <c:pt idx="8">
                  <c:v>1.9747179836522588</c:v>
                </c:pt>
                <c:pt idx="9">
                  <c:v>2.3337576170435788</c:v>
                </c:pt>
                <c:pt idx="10">
                  <c:v>2.6927972504348983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87-4AA6-9075-6415E41574C8}"/>
            </c:ext>
          </c:extLst>
        </c:ser>
        <c:ser>
          <c:idx val="1"/>
          <c:order val="1"/>
          <c:tx>
            <c:v>M = 0.75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L&amp;D'!$AH$188:$AH$198</c:f>
              <c:numCache>
                <c:formatCode>General</c:formatCode>
                <c:ptCount val="11"/>
                <c:pt idx="0">
                  <c:v>0.11871042415658384</c:v>
                </c:pt>
                <c:pt idx="1">
                  <c:v>5.0764583639717496E-2</c:v>
                </c:pt>
                <c:pt idx="2">
                  <c:v>1.5206321613128525E-2</c:v>
                </c:pt>
                <c:pt idx="3">
                  <c:v>1.2035638076816926E-2</c:v>
                </c:pt>
                <c:pt idx="4">
                  <c:v>4.1252533030782697E-2</c:v>
                </c:pt>
                <c:pt idx="5">
                  <c:v>0.10285700647502584</c:v>
                </c:pt>
                <c:pt idx="6">
                  <c:v>0.19684905840954631</c:v>
                </c:pt>
                <c:pt idx="7">
                  <c:v>0.32322868883434425</c:v>
                </c:pt>
                <c:pt idx="8">
                  <c:v>0.48199589774941942</c:v>
                </c:pt>
                <c:pt idx="9">
                  <c:v>0.67315068515477228</c:v>
                </c:pt>
                <c:pt idx="10">
                  <c:v>0.89669305105040209</c:v>
                </c:pt>
              </c:numCache>
            </c:numRef>
          </c:xVal>
          <c:yVal>
            <c:numRef>
              <c:f>'CC L&amp;D'!$AG$188:$AG$198</c:f>
              <c:numCache>
                <c:formatCode>General</c:formatCode>
                <c:ptCount val="11"/>
                <c:pt idx="0">
                  <c:v>-0.9954087628192626</c:v>
                </c:pt>
                <c:pt idx="1">
                  <c:v>-0.59724525769155756</c:v>
                </c:pt>
                <c:pt idx="2">
                  <c:v>-0.19908175256385252</c:v>
                </c:pt>
                <c:pt idx="3">
                  <c:v>0.19908175256385252</c:v>
                </c:pt>
                <c:pt idx="4">
                  <c:v>0.59724525769155756</c:v>
                </c:pt>
                <c:pt idx="5">
                  <c:v>0.9954087628192626</c:v>
                </c:pt>
                <c:pt idx="6">
                  <c:v>1.3935722679469675</c:v>
                </c:pt>
                <c:pt idx="7">
                  <c:v>1.7917357730746728</c:v>
                </c:pt>
                <c:pt idx="8">
                  <c:v>2.1898992782023776</c:v>
                </c:pt>
                <c:pt idx="9">
                  <c:v>2.5880627833300829</c:v>
                </c:pt>
                <c:pt idx="10">
                  <c:v>2.9862262884577877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87-4AA6-9075-6415E41574C8}"/>
            </c:ext>
          </c:extLst>
        </c:ser>
        <c:ser>
          <c:idx val="2"/>
          <c:order val="2"/>
          <c:tx>
            <c:v>M = 0.80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L&amp;D'!$AJ$188:$AJ$198</c:f>
              <c:numCache>
                <c:formatCode>General</c:formatCode>
                <c:ptCount val="11"/>
                <c:pt idx="0">
                  <c:v>0.13739195383896208</c:v>
                </c:pt>
                <c:pt idx="1">
                  <c:v>5.5030828283343249E-2</c:v>
                </c:pt>
                <c:pt idx="2">
                  <c:v>1.385026550553381E-2</c:v>
                </c:pt>
                <c:pt idx="3">
                  <c:v>1.385026550553381E-2</c:v>
                </c:pt>
                <c:pt idx="4">
                  <c:v>5.5030828283343249E-2</c:v>
                </c:pt>
                <c:pt idx="5">
                  <c:v>0.13739195383896208</c:v>
                </c:pt>
                <c:pt idx="6">
                  <c:v>0.2609336421723904</c:v>
                </c:pt>
                <c:pt idx="7">
                  <c:v>0.42565589328362813</c:v>
                </c:pt>
                <c:pt idx="8">
                  <c:v>0.63155870717267537</c:v>
                </c:pt>
                <c:pt idx="9">
                  <c:v>0.87864208383953191</c:v>
                </c:pt>
                <c:pt idx="10">
                  <c:v>1.1669060232841977</c:v>
                </c:pt>
              </c:numCache>
            </c:numRef>
          </c:xVal>
          <c:yVal>
            <c:numRef>
              <c:f>'CC L&amp;D'!$AI$188:$AI$198</c:f>
              <c:numCache>
                <c:formatCode>General</c:formatCode>
                <c:ptCount val="11"/>
                <c:pt idx="0">
                  <c:v>-1.1224276564227389</c:v>
                </c:pt>
                <c:pt idx="1">
                  <c:v>-0.67345659385364343</c:v>
                </c:pt>
                <c:pt idx="2">
                  <c:v>-0.22448553128454779</c:v>
                </c:pt>
                <c:pt idx="3">
                  <c:v>0.22448553128454779</c:v>
                </c:pt>
                <c:pt idx="4">
                  <c:v>0.67345659385364343</c:v>
                </c:pt>
                <c:pt idx="5">
                  <c:v>1.1224276564227389</c:v>
                </c:pt>
                <c:pt idx="6">
                  <c:v>1.5713987189918346</c:v>
                </c:pt>
                <c:pt idx="7">
                  <c:v>2.0203697815609303</c:v>
                </c:pt>
                <c:pt idx="8">
                  <c:v>2.4693408441300257</c:v>
                </c:pt>
                <c:pt idx="9">
                  <c:v>2.9183119066991212</c:v>
                </c:pt>
                <c:pt idx="10">
                  <c:v>3.3672829692682167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87-4AA6-9075-6415E41574C8}"/>
            </c:ext>
          </c:extLst>
        </c:ser>
        <c:ser>
          <c:idx val="3"/>
          <c:order val="3"/>
          <c:tx>
            <c:v>M = 0.85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L&amp;D'!$AL$188:$AL$198</c:f>
              <c:numCache>
                <c:formatCode>General</c:formatCode>
                <c:ptCount val="11"/>
                <c:pt idx="0">
                  <c:v>0.17936049294009096</c:v>
                </c:pt>
                <c:pt idx="1">
                  <c:v>7.037437069991008E-2</c:v>
                </c:pt>
                <c:pt idx="2">
                  <c:v>1.5881309579819616E-2</c:v>
                </c:pt>
                <c:pt idx="3">
                  <c:v>1.5881309579819616E-2</c:v>
                </c:pt>
                <c:pt idx="4">
                  <c:v>7.037437069991008E-2</c:v>
                </c:pt>
                <c:pt idx="5">
                  <c:v>0.17936049294009096</c:v>
                </c:pt>
                <c:pt idx="6">
                  <c:v>0.34283967630036238</c:v>
                </c:pt>
                <c:pt idx="7">
                  <c:v>0.56081192078072428</c:v>
                </c:pt>
                <c:pt idx="8">
                  <c:v>0.83327722638117652</c:v>
                </c:pt>
                <c:pt idx="9">
                  <c:v>1.160235593101719</c:v>
                </c:pt>
                <c:pt idx="10">
                  <c:v>1.5416870209423521</c:v>
                </c:pt>
              </c:numCache>
            </c:numRef>
          </c:xVal>
          <c:yVal>
            <c:numRef>
              <c:f>'CC L&amp;D'!$AK$188:$AK$198</c:f>
              <c:numCache>
                <c:formatCode>General</c:formatCode>
                <c:ptCount val="11"/>
                <c:pt idx="0">
                  <c:v>-1.2911682043819241</c:v>
                </c:pt>
                <c:pt idx="1">
                  <c:v>-0.77470092262915458</c:v>
                </c:pt>
                <c:pt idx="2">
                  <c:v>-0.25823364087638484</c:v>
                </c:pt>
                <c:pt idx="3">
                  <c:v>0.25823364087638484</c:v>
                </c:pt>
                <c:pt idx="4">
                  <c:v>0.77470092262915458</c:v>
                </c:pt>
                <c:pt idx="5">
                  <c:v>1.2911682043819241</c:v>
                </c:pt>
                <c:pt idx="6">
                  <c:v>1.8076354861346939</c:v>
                </c:pt>
                <c:pt idx="7">
                  <c:v>2.3241027678874637</c:v>
                </c:pt>
                <c:pt idx="8">
                  <c:v>2.8405700496402333</c:v>
                </c:pt>
                <c:pt idx="9">
                  <c:v>3.3570373313930029</c:v>
                </c:pt>
                <c:pt idx="10">
                  <c:v>3.8735046131457724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87-4AA6-9075-6415E4157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65088"/>
        <c:axId val="665252608"/>
      </c:scatterChart>
      <c:valAx>
        <c:axId val="665265088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52608"/>
        <c:crosses val="autoZero"/>
        <c:crossBetween val="midCat"/>
      </c:valAx>
      <c:valAx>
        <c:axId val="66525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65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WCB 30K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L&amp;D'!$AB$139:$AB$150</c:f>
              <c:numCache>
                <c:formatCode>General</c:formatCode>
                <c:ptCount val="12"/>
                <c:pt idx="0">
                  <c:v>8.4917065928419924E-2</c:v>
                </c:pt>
                <c:pt idx="1">
                  <c:v>4.5695043963395958E-2</c:v>
                </c:pt>
                <c:pt idx="2">
                  <c:v>2.5157879734696464E-2</c:v>
                </c:pt>
                <c:pt idx="3">
                  <c:v>2.3305573242321413E-2</c:v>
                </c:pt>
                <c:pt idx="4">
                  <c:v>4.0138124486270806E-2</c:v>
                </c:pt>
                <c:pt idx="5">
                  <c:v>7.5655533466544675E-2</c:v>
                </c:pt>
                <c:pt idx="6">
                  <c:v>0.129857800183143</c:v>
                </c:pt>
                <c:pt idx="7">
                  <c:v>0.20274492463606572</c:v>
                </c:pt>
                <c:pt idx="8">
                  <c:v>0.29431690682531297</c:v>
                </c:pt>
                <c:pt idx="9">
                  <c:v>0.4045737467508847</c:v>
                </c:pt>
                <c:pt idx="10">
                  <c:v>0.53351544441278076</c:v>
                </c:pt>
                <c:pt idx="11">
                  <c:v>0.68114199981100132</c:v>
                </c:pt>
              </c:numCache>
            </c:numRef>
          </c:xVal>
          <c:yVal>
            <c:numRef>
              <c:f>'WCB L&amp;D'!$AA$139:$AA$150</c:f>
              <c:numCache>
                <c:formatCode>General</c:formatCode>
                <c:ptCount val="12"/>
                <c:pt idx="0">
                  <c:v>-0.7608191499083099</c:v>
                </c:pt>
                <c:pt idx="1">
                  <c:v>-0.4564914899449859</c:v>
                </c:pt>
                <c:pt idx="2">
                  <c:v>-0.15216382998166197</c:v>
                </c:pt>
                <c:pt idx="3">
                  <c:v>0.15216382998166197</c:v>
                </c:pt>
                <c:pt idx="4">
                  <c:v>0.4564914899449859</c:v>
                </c:pt>
                <c:pt idx="5">
                  <c:v>0.7608191499083099</c:v>
                </c:pt>
                <c:pt idx="6">
                  <c:v>1.0651468098716339</c:v>
                </c:pt>
                <c:pt idx="7">
                  <c:v>1.3694744698349577</c:v>
                </c:pt>
                <c:pt idx="8">
                  <c:v>1.6738021297982817</c:v>
                </c:pt>
                <c:pt idx="9">
                  <c:v>1.9781297897616057</c:v>
                </c:pt>
                <c:pt idx="10">
                  <c:v>2.2824574497249297</c:v>
                </c:pt>
                <c:pt idx="11">
                  <c:v>2.5867851096882535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81-411D-903F-2E819E0E94D2}"/>
            </c:ext>
          </c:extLst>
        </c:ser>
        <c:ser>
          <c:idx val="1"/>
          <c:order val="1"/>
          <c:tx>
            <c:v>M = 0.65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L&amp;D'!$AD$139:$AD$150</c:f>
              <c:numCache>
                <c:formatCode>General</c:formatCode>
                <c:ptCount val="12"/>
                <c:pt idx="0">
                  <c:v>9.5633582956228952E-2</c:v>
                </c:pt>
                <c:pt idx="1">
                  <c:v>4.992597082254227E-2</c:v>
                </c:pt>
                <c:pt idx="2">
                  <c:v>2.5992866666710971E-2</c:v>
                </c:pt>
                <c:pt idx="3">
                  <c:v>2.3834270488735047E-2</c:v>
                </c:pt>
                <c:pt idx="4">
                  <c:v>4.3450182288614497E-2</c:v>
                </c:pt>
                <c:pt idx="5">
                  <c:v>8.484060206634933E-2</c:v>
                </c:pt>
                <c:pt idx="6">
                  <c:v>0.14800552982193954</c:v>
                </c:pt>
                <c:pt idx="7">
                  <c:v>0.23294496555538508</c:v>
                </c:pt>
                <c:pt idx="8">
                  <c:v>0.33965890926668607</c:v>
                </c:pt>
                <c:pt idx="9">
                  <c:v>0.46814736095584236</c:v>
                </c:pt>
                <c:pt idx="10">
                  <c:v>0.61841032062285417</c:v>
                </c:pt>
                <c:pt idx="11">
                  <c:v>0.79044778826772122</c:v>
                </c:pt>
              </c:numCache>
            </c:numRef>
          </c:xVal>
          <c:yVal>
            <c:numRef>
              <c:f>'WCB L&amp;D'!$AC$139:$AC$150</c:f>
              <c:numCache>
                <c:formatCode>General</c:formatCode>
                <c:ptCount val="12"/>
                <c:pt idx="0">
                  <c:v>-0.82131681196568496</c:v>
                </c:pt>
                <c:pt idx="1">
                  <c:v>-0.49279008717941097</c:v>
                </c:pt>
                <c:pt idx="2">
                  <c:v>-0.16426336239313699</c:v>
                </c:pt>
                <c:pt idx="3">
                  <c:v>0.16426336239313699</c:v>
                </c:pt>
                <c:pt idx="4">
                  <c:v>0.49279008717941097</c:v>
                </c:pt>
                <c:pt idx="5">
                  <c:v>0.82131681196568496</c:v>
                </c:pt>
                <c:pt idx="6">
                  <c:v>1.149843536751959</c:v>
                </c:pt>
                <c:pt idx="7">
                  <c:v>1.4783702615382328</c:v>
                </c:pt>
                <c:pt idx="8">
                  <c:v>1.806896986324507</c:v>
                </c:pt>
                <c:pt idx="9">
                  <c:v>2.1354237111107808</c:v>
                </c:pt>
                <c:pt idx="10">
                  <c:v>2.463950435897055</c:v>
                </c:pt>
                <c:pt idx="11">
                  <c:v>2.7924771606833287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1-411D-903F-2E819E0E94D2}"/>
            </c:ext>
          </c:extLst>
        </c:ser>
        <c:ser>
          <c:idx val="2"/>
          <c:order val="2"/>
          <c:tx>
            <c:v>M = 0.70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L&amp;D'!$AF$139:$AF$149</c:f>
              <c:numCache>
                <c:formatCode>General</c:formatCode>
                <c:ptCount val="11"/>
                <c:pt idx="0">
                  <c:v>0.1098131092227627</c:v>
                </c:pt>
                <c:pt idx="1">
                  <c:v>5.5204120975079485E-2</c:v>
                </c:pt>
                <c:pt idx="2">
                  <c:v>2.6610139741631213E-2</c:v>
                </c:pt>
                <c:pt idx="3">
                  <c:v>2.4031165522417866E-2</c:v>
                </c:pt>
                <c:pt idx="4">
                  <c:v>4.7467198317439445E-2</c:v>
                </c:pt>
                <c:pt idx="5">
                  <c:v>9.6918238126695963E-2</c:v>
                </c:pt>
                <c:pt idx="6">
                  <c:v>0.17238428495018743</c:v>
                </c:pt>
                <c:pt idx="7">
                  <c:v>0.27386533878791375</c:v>
                </c:pt>
                <c:pt idx="8">
                  <c:v>0.4013613996398751</c:v>
                </c:pt>
                <c:pt idx="9">
                  <c:v>0.55487246750607122</c:v>
                </c:pt>
                <c:pt idx="10">
                  <c:v>0.73439854238650248</c:v>
                </c:pt>
              </c:numCache>
            </c:numRef>
          </c:xVal>
          <c:yVal>
            <c:numRef>
              <c:f>'WCB L&amp;D'!$AE$139:$AE$149</c:f>
              <c:numCache>
                <c:formatCode>General</c:formatCode>
                <c:ptCount val="11"/>
                <c:pt idx="0">
                  <c:v>-0.89773573144003305</c:v>
                </c:pt>
                <c:pt idx="1">
                  <c:v>-0.53864143886401983</c:v>
                </c:pt>
                <c:pt idx="2">
                  <c:v>-0.17954714628800661</c:v>
                </c:pt>
                <c:pt idx="3">
                  <c:v>0.17954714628800661</c:v>
                </c:pt>
                <c:pt idx="4">
                  <c:v>0.53864143886401983</c:v>
                </c:pt>
                <c:pt idx="5">
                  <c:v>0.89773573144003305</c:v>
                </c:pt>
                <c:pt idx="6">
                  <c:v>1.2568300240160464</c:v>
                </c:pt>
                <c:pt idx="7">
                  <c:v>1.6159243165920594</c:v>
                </c:pt>
                <c:pt idx="8">
                  <c:v>1.9750186091680728</c:v>
                </c:pt>
                <c:pt idx="9">
                  <c:v>2.3341129017440858</c:v>
                </c:pt>
                <c:pt idx="10">
                  <c:v>2.6932071943200993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1-411D-903F-2E819E0E94D2}"/>
            </c:ext>
          </c:extLst>
        </c:ser>
        <c:ser>
          <c:idx val="3"/>
          <c:order val="3"/>
          <c:tx>
            <c:v>M = 0.75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L&amp;D'!$AH$139:$AH$149</c:f>
              <c:numCache>
                <c:formatCode>General</c:formatCode>
                <c:ptCount val="11"/>
                <c:pt idx="0">
                  <c:v>0.12994662634897206</c:v>
                </c:pt>
                <c:pt idx="1">
                  <c:v>6.2769317991120871E-2</c:v>
                </c:pt>
                <c:pt idx="2">
                  <c:v>2.7594399792934741E-2</c:v>
                </c:pt>
                <c:pt idx="3">
                  <c:v>2.4421871754413654E-2</c:v>
                </c:pt>
                <c:pt idx="4">
                  <c:v>5.3251733875557615E-2</c:v>
                </c:pt>
                <c:pt idx="5">
                  <c:v>0.11408398615636661</c:v>
                </c:pt>
                <c:pt idx="6">
                  <c:v>0.20691862859684065</c:v>
                </c:pt>
                <c:pt idx="7">
                  <c:v>0.33175566119697969</c:v>
                </c:pt>
                <c:pt idx="8">
                  <c:v>0.48859508395678397</c:v>
                </c:pt>
                <c:pt idx="9">
                  <c:v>0.67743689687625297</c:v>
                </c:pt>
                <c:pt idx="10">
                  <c:v>0.89828109995538719</c:v>
                </c:pt>
              </c:numCache>
            </c:numRef>
          </c:xVal>
          <c:yVal>
            <c:numRef>
              <c:f>'WCB L&amp;D'!$AG$139:$AG$149</c:f>
              <c:numCache>
                <c:formatCode>General</c:formatCode>
                <c:ptCount val="11"/>
                <c:pt idx="0">
                  <c:v>-0.99569825350747698</c:v>
                </c:pt>
                <c:pt idx="1">
                  <c:v>-0.59741895210448615</c:v>
                </c:pt>
                <c:pt idx="2">
                  <c:v>-0.19913965070149539</c:v>
                </c:pt>
                <c:pt idx="3">
                  <c:v>0.19913965070149539</c:v>
                </c:pt>
                <c:pt idx="4">
                  <c:v>0.59741895210448615</c:v>
                </c:pt>
                <c:pt idx="5">
                  <c:v>0.99569825350747698</c:v>
                </c:pt>
                <c:pt idx="6">
                  <c:v>1.3939775549104678</c:v>
                </c:pt>
                <c:pt idx="7">
                  <c:v>1.7922568563134584</c:v>
                </c:pt>
                <c:pt idx="8">
                  <c:v>2.1905361577164495</c:v>
                </c:pt>
                <c:pt idx="9">
                  <c:v>2.5888154591194401</c:v>
                </c:pt>
                <c:pt idx="10">
                  <c:v>2.9870947605224307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1-411D-903F-2E819E0E94D2}"/>
            </c:ext>
          </c:extLst>
        </c:ser>
        <c:ser>
          <c:idx val="4"/>
          <c:order val="4"/>
          <c:tx>
            <c:v>M = 0.80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L&amp;D'!$AJ$139:$AJ$149</c:f>
              <c:numCache>
                <c:formatCode>General</c:formatCode>
                <c:ptCount val="11"/>
                <c:pt idx="0">
                  <c:v>0.1482352229371974</c:v>
                </c:pt>
                <c:pt idx="1">
                  <c:v>6.6818418934789195E-2</c:v>
                </c:pt>
                <c:pt idx="2">
                  <c:v>2.6110016933585084E-2</c:v>
                </c:pt>
                <c:pt idx="3">
                  <c:v>2.6110016933585084E-2</c:v>
                </c:pt>
                <c:pt idx="4">
                  <c:v>6.6818418934789195E-2</c:v>
                </c:pt>
                <c:pt idx="5">
                  <c:v>0.1482352229371974</c:v>
                </c:pt>
                <c:pt idx="6">
                  <c:v>0.27036042894080969</c:v>
                </c:pt>
                <c:pt idx="7">
                  <c:v>0.43319403694562608</c:v>
                </c:pt>
                <c:pt idx="8">
                  <c:v>0.63673604695164665</c:v>
                </c:pt>
                <c:pt idx="9">
                  <c:v>0.8809864589588714</c:v>
                </c:pt>
                <c:pt idx="10">
                  <c:v>1.1659452729673001</c:v>
                </c:pt>
              </c:numCache>
            </c:numRef>
          </c:xVal>
          <c:yVal>
            <c:numRef>
              <c:f>'WCB L&amp;D'!$AI$139:$AI$149</c:f>
              <c:numCache>
                <c:formatCode>General</c:formatCode>
                <c:ptCount val="11"/>
                <c:pt idx="0">
                  <c:v>-1.1229969191984597</c:v>
                </c:pt>
                <c:pt idx="1">
                  <c:v>-0.67379815151907585</c:v>
                </c:pt>
                <c:pt idx="2">
                  <c:v>-0.22459938383969194</c:v>
                </c:pt>
                <c:pt idx="3">
                  <c:v>0.22459938383969194</c:v>
                </c:pt>
                <c:pt idx="4">
                  <c:v>0.67379815151907585</c:v>
                </c:pt>
                <c:pt idx="5">
                  <c:v>1.1229969191984597</c:v>
                </c:pt>
                <c:pt idx="6">
                  <c:v>1.5721956868778435</c:v>
                </c:pt>
                <c:pt idx="7">
                  <c:v>2.0213944545572273</c:v>
                </c:pt>
                <c:pt idx="8">
                  <c:v>2.4705932222366114</c:v>
                </c:pt>
                <c:pt idx="9">
                  <c:v>2.9197919899159954</c:v>
                </c:pt>
                <c:pt idx="10">
                  <c:v>3.368990757595379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81-411D-903F-2E819E0E94D2}"/>
            </c:ext>
          </c:extLst>
        </c:ser>
        <c:ser>
          <c:idx val="5"/>
          <c:order val="5"/>
          <c:tx>
            <c:v>M = 0.85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L&amp;D'!$AL$139:$AL$149</c:f>
              <c:numCache>
                <c:formatCode>General</c:formatCode>
                <c:ptCount val="11"/>
                <c:pt idx="0">
                  <c:v>0.18977873331150799</c:v>
                </c:pt>
                <c:pt idx="1">
                  <c:v>8.1945147975540505E-2</c:v>
                </c:pt>
                <c:pt idx="2">
                  <c:v>2.8028355307556766E-2</c:v>
                </c:pt>
                <c:pt idx="3">
                  <c:v>2.8028355307556766E-2</c:v>
                </c:pt>
                <c:pt idx="4">
                  <c:v>8.1945147975540505E-2</c:v>
                </c:pt>
                <c:pt idx="5">
                  <c:v>0.18977873331150799</c:v>
                </c:pt>
                <c:pt idx="6">
                  <c:v>0.35152911131545922</c:v>
                </c:pt>
                <c:pt idx="7">
                  <c:v>0.56719628198739414</c:v>
                </c:pt>
                <c:pt idx="8">
                  <c:v>0.83678024532731299</c:v>
                </c:pt>
                <c:pt idx="9">
                  <c:v>1.1602810013352154</c:v>
                </c:pt>
                <c:pt idx="10">
                  <c:v>1.5376985500111016</c:v>
                </c:pt>
              </c:numCache>
            </c:numRef>
          </c:xVal>
          <c:yVal>
            <c:numRef>
              <c:f>'WCB L&amp;D'!$AK$139:$AK$149</c:f>
              <c:numCache>
                <c:formatCode>General</c:formatCode>
                <c:ptCount val="11"/>
                <c:pt idx="0">
                  <c:v>-1.2924047999753883</c:v>
                </c:pt>
                <c:pt idx="1">
                  <c:v>-0.77544287998523287</c:v>
                </c:pt>
                <c:pt idx="2">
                  <c:v>-0.25848095999507764</c:v>
                </c:pt>
                <c:pt idx="3">
                  <c:v>0.25848095999507764</c:v>
                </c:pt>
                <c:pt idx="4">
                  <c:v>0.77544287998523287</c:v>
                </c:pt>
                <c:pt idx="5">
                  <c:v>1.2924047999753883</c:v>
                </c:pt>
                <c:pt idx="6">
                  <c:v>1.8093667199655434</c:v>
                </c:pt>
                <c:pt idx="7">
                  <c:v>2.3263286399556988</c:v>
                </c:pt>
                <c:pt idx="8">
                  <c:v>2.8432905599458542</c:v>
                </c:pt>
                <c:pt idx="9">
                  <c:v>3.3602524799360092</c:v>
                </c:pt>
                <c:pt idx="10">
                  <c:v>3.8772143999261646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A81-411D-903F-2E819E0E9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431871"/>
        <c:axId val="1504434367"/>
      </c:scatterChart>
      <c:valAx>
        <c:axId val="1504431871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34367"/>
        <c:crosses val="autoZero"/>
        <c:crossBetween val="midCat"/>
      </c:valAx>
      <c:valAx>
        <c:axId val="15044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3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WCR 30K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L&amp;D'!$AB$140:$AB$150</c:f>
              <c:numCache>
                <c:formatCode>General</c:formatCode>
                <c:ptCount val="11"/>
                <c:pt idx="0">
                  <c:v>7.2703361092143967E-2</c:v>
                </c:pt>
                <c:pt idx="1">
                  <c:v>3.3481339127119994E-2</c:v>
                </c:pt>
                <c:pt idx="2">
                  <c:v>1.2944174898420494E-2</c:v>
                </c:pt>
                <c:pt idx="3">
                  <c:v>1.1091868406045443E-2</c:v>
                </c:pt>
                <c:pt idx="4">
                  <c:v>2.7924419649994842E-2</c:v>
                </c:pt>
                <c:pt idx="5">
                  <c:v>6.3441828630268718E-2</c:v>
                </c:pt>
                <c:pt idx="6">
                  <c:v>0.11764409534686703</c:v>
                </c:pt>
                <c:pt idx="7">
                  <c:v>0.19053121979978976</c:v>
                </c:pt>
                <c:pt idx="8">
                  <c:v>0.28210320198903699</c:v>
                </c:pt>
                <c:pt idx="9">
                  <c:v>0.39236004191460871</c:v>
                </c:pt>
                <c:pt idx="10">
                  <c:v>0.52130173957650483</c:v>
                </c:pt>
              </c:numCache>
            </c:numRef>
          </c:xVal>
          <c:yVal>
            <c:numRef>
              <c:f>'WCR L&amp;D'!$AA$140:$AA$150</c:f>
              <c:numCache>
                <c:formatCode>General</c:formatCode>
                <c:ptCount val="11"/>
                <c:pt idx="0">
                  <c:v>-0.7608191499083099</c:v>
                </c:pt>
                <c:pt idx="1">
                  <c:v>-0.4564914899449859</c:v>
                </c:pt>
                <c:pt idx="2">
                  <c:v>-0.15216382998166197</c:v>
                </c:pt>
                <c:pt idx="3">
                  <c:v>0.15216382998166197</c:v>
                </c:pt>
                <c:pt idx="4">
                  <c:v>0.4564914899449859</c:v>
                </c:pt>
                <c:pt idx="5">
                  <c:v>0.7608191499083099</c:v>
                </c:pt>
                <c:pt idx="6">
                  <c:v>1.0651468098716339</c:v>
                </c:pt>
                <c:pt idx="7">
                  <c:v>1.3694744698349577</c:v>
                </c:pt>
                <c:pt idx="8">
                  <c:v>1.6738021297982817</c:v>
                </c:pt>
                <c:pt idx="9">
                  <c:v>1.9781297897616057</c:v>
                </c:pt>
                <c:pt idx="10">
                  <c:v>2.2824574497249297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59-4188-BD6C-4D912C6EA773}"/>
            </c:ext>
          </c:extLst>
        </c:ser>
        <c:ser>
          <c:idx val="1"/>
          <c:order val="1"/>
          <c:tx>
            <c:v>M = 0.65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L&amp;D'!$AD$140:$AD$150</c:f>
              <c:numCache>
                <c:formatCode>General</c:formatCode>
                <c:ptCount val="11"/>
                <c:pt idx="0">
                  <c:v>8.3563181444844703E-2</c:v>
                </c:pt>
                <c:pt idx="1">
                  <c:v>3.7855569311158022E-2</c:v>
                </c:pt>
                <c:pt idx="2">
                  <c:v>1.3922465155326722E-2</c:v>
                </c:pt>
                <c:pt idx="3">
                  <c:v>1.1763868977350798E-2</c:v>
                </c:pt>
                <c:pt idx="4">
                  <c:v>3.1379780777230248E-2</c:v>
                </c:pt>
                <c:pt idx="5">
                  <c:v>7.2770200554965081E-2</c:v>
                </c:pt>
                <c:pt idx="6">
                  <c:v>0.13593512831055529</c:v>
                </c:pt>
                <c:pt idx="7">
                  <c:v>0.22087456404400083</c:v>
                </c:pt>
                <c:pt idx="8">
                  <c:v>0.32758850775530185</c:v>
                </c:pt>
                <c:pt idx="9">
                  <c:v>0.45607695944445814</c:v>
                </c:pt>
                <c:pt idx="10">
                  <c:v>0.60633991911146978</c:v>
                </c:pt>
              </c:numCache>
            </c:numRef>
          </c:xVal>
          <c:yVal>
            <c:numRef>
              <c:f>'WCR L&amp;D'!$AC$140:$AC$150</c:f>
              <c:numCache>
                <c:formatCode>General</c:formatCode>
                <c:ptCount val="11"/>
                <c:pt idx="0">
                  <c:v>-0.82131681196568496</c:v>
                </c:pt>
                <c:pt idx="1">
                  <c:v>-0.49279008717941097</c:v>
                </c:pt>
                <c:pt idx="2">
                  <c:v>-0.16426336239313699</c:v>
                </c:pt>
                <c:pt idx="3">
                  <c:v>0.16426336239313699</c:v>
                </c:pt>
                <c:pt idx="4">
                  <c:v>0.49279008717941097</c:v>
                </c:pt>
                <c:pt idx="5">
                  <c:v>0.82131681196568496</c:v>
                </c:pt>
                <c:pt idx="6">
                  <c:v>1.149843536751959</c:v>
                </c:pt>
                <c:pt idx="7">
                  <c:v>1.4783702615382328</c:v>
                </c:pt>
                <c:pt idx="8">
                  <c:v>1.806896986324507</c:v>
                </c:pt>
                <c:pt idx="9">
                  <c:v>2.1354237111107808</c:v>
                </c:pt>
                <c:pt idx="10">
                  <c:v>2.463950435897055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59-4188-BD6C-4D912C6EA773}"/>
            </c:ext>
          </c:extLst>
        </c:ser>
        <c:ser>
          <c:idx val="2"/>
          <c:order val="2"/>
          <c:tx>
            <c:v>M = 0.70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L&amp;D'!$AF$140:$AF$150</c:f>
              <c:numCache>
                <c:formatCode>General</c:formatCode>
                <c:ptCount val="11"/>
                <c:pt idx="0">
                  <c:v>9.7873314216066473E-2</c:v>
                </c:pt>
                <c:pt idx="1">
                  <c:v>4.3264325968383255E-2</c:v>
                </c:pt>
                <c:pt idx="2">
                  <c:v>1.4670344734934979E-2</c:v>
                </c:pt>
                <c:pt idx="3">
                  <c:v>1.2091370515721633E-2</c:v>
                </c:pt>
                <c:pt idx="4">
                  <c:v>3.5527403310743215E-2</c:v>
                </c:pt>
                <c:pt idx="5">
                  <c:v>8.4978443119999733E-2</c:v>
                </c:pt>
                <c:pt idx="6">
                  <c:v>0.1604444899434912</c:v>
                </c:pt>
                <c:pt idx="7">
                  <c:v>0.26192554378121752</c:v>
                </c:pt>
                <c:pt idx="8">
                  <c:v>0.38942160463317887</c:v>
                </c:pt>
                <c:pt idx="9">
                  <c:v>0.54293267249937505</c:v>
                </c:pt>
                <c:pt idx="10">
                  <c:v>0.7224587473798062</c:v>
                </c:pt>
              </c:numCache>
            </c:numRef>
          </c:xVal>
          <c:yVal>
            <c:numRef>
              <c:f>'WCR L&amp;D'!$AE$140:$AE$150</c:f>
              <c:numCache>
                <c:formatCode>General</c:formatCode>
                <c:ptCount val="11"/>
                <c:pt idx="0">
                  <c:v>-0.89773573144003305</c:v>
                </c:pt>
                <c:pt idx="1">
                  <c:v>-0.53864143886401983</c:v>
                </c:pt>
                <c:pt idx="2">
                  <c:v>-0.17954714628800661</c:v>
                </c:pt>
                <c:pt idx="3">
                  <c:v>0.17954714628800661</c:v>
                </c:pt>
                <c:pt idx="4">
                  <c:v>0.53864143886401983</c:v>
                </c:pt>
                <c:pt idx="5">
                  <c:v>0.89773573144003305</c:v>
                </c:pt>
                <c:pt idx="6">
                  <c:v>1.2568300240160464</c:v>
                </c:pt>
                <c:pt idx="7">
                  <c:v>1.6159243165920594</c:v>
                </c:pt>
                <c:pt idx="8">
                  <c:v>1.9750186091680728</c:v>
                </c:pt>
                <c:pt idx="9">
                  <c:v>2.3341129017440858</c:v>
                </c:pt>
                <c:pt idx="10">
                  <c:v>2.6932071943200993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59-4188-BD6C-4D912C6EA773}"/>
            </c:ext>
          </c:extLst>
        </c:ser>
        <c:ser>
          <c:idx val="3"/>
          <c:order val="3"/>
          <c:tx>
            <c:v>M = 0.75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L&amp;D'!$AH$140:$AH$150</c:f>
              <c:numCache>
                <c:formatCode>General</c:formatCode>
                <c:ptCount val="11"/>
                <c:pt idx="0">
                  <c:v>0.11812666706432286</c:v>
                </c:pt>
                <c:pt idx="1">
                  <c:v>5.0949358706471673E-2</c:v>
                </c:pt>
                <c:pt idx="2">
                  <c:v>1.577444050828555E-2</c:v>
                </c:pt>
                <c:pt idx="3">
                  <c:v>1.2601912469764462E-2</c:v>
                </c:pt>
                <c:pt idx="4">
                  <c:v>4.1431774590908417E-2</c:v>
                </c:pt>
                <c:pt idx="5">
                  <c:v>0.10226402687171741</c:v>
                </c:pt>
                <c:pt idx="6">
                  <c:v>0.19509866931219147</c:v>
                </c:pt>
                <c:pt idx="7">
                  <c:v>0.31993570191233051</c:v>
                </c:pt>
                <c:pt idx="8">
                  <c:v>0.47677512467213479</c:v>
                </c:pt>
                <c:pt idx="9">
                  <c:v>0.6656169375916039</c:v>
                </c:pt>
                <c:pt idx="10">
                  <c:v>0.88646114067073789</c:v>
                </c:pt>
              </c:numCache>
            </c:numRef>
          </c:xVal>
          <c:yVal>
            <c:numRef>
              <c:f>'WCR L&amp;D'!$AG$140:$AG$150</c:f>
              <c:numCache>
                <c:formatCode>General</c:formatCode>
                <c:ptCount val="11"/>
                <c:pt idx="0">
                  <c:v>-0.99569825350747698</c:v>
                </c:pt>
                <c:pt idx="1">
                  <c:v>-0.59741895210448615</c:v>
                </c:pt>
                <c:pt idx="2">
                  <c:v>-0.19913965070149539</c:v>
                </c:pt>
                <c:pt idx="3">
                  <c:v>0.19913965070149539</c:v>
                </c:pt>
                <c:pt idx="4">
                  <c:v>0.59741895210448615</c:v>
                </c:pt>
                <c:pt idx="5">
                  <c:v>0.99569825350747698</c:v>
                </c:pt>
                <c:pt idx="6">
                  <c:v>1.3939775549104678</c:v>
                </c:pt>
                <c:pt idx="7">
                  <c:v>1.7922568563134584</c:v>
                </c:pt>
                <c:pt idx="8">
                  <c:v>2.1905361577164495</c:v>
                </c:pt>
                <c:pt idx="9">
                  <c:v>2.5888154591194401</c:v>
                </c:pt>
                <c:pt idx="10">
                  <c:v>2.9870947605224307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59-4188-BD6C-4D912C6EA773}"/>
            </c:ext>
          </c:extLst>
        </c:ser>
        <c:ser>
          <c:idx val="4"/>
          <c:order val="4"/>
          <c:tx>
            <c:v>M = 0.80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L&amp;D'!$AJ$140:$AJ$150</c:f>
              <c:numCache>
                <c:formatCode>General</c:formatCode>
                <c:ptCount val="11"/>
                <c:pt idx="0">
                  <c:v>0.13652585697950603</c:v>
                </c:pt>
                <c:pt idx="1">
                  <c:v>5.5109052977097825E-2</c:v>
                </c:pt>
                <c:pt idx="2">
                  <c:v>1.4400650975893714E-2</c:v>
                </c:pt>
                <c:pt idx="3">
                  <c:v>1.4400650975893714E-2</c:v>
                </c:pt>
                <c:pt idx="4">
                  <c:v>5.5109052977097825E-2</c:v>
                </c:pt>
                <c:pt idx="5">
                  <c:v>0.13652585697950603</c:v>
                </c:pt>
                <c:pt idx="6">
                  <c:v>0.2586510629831183</c:v>
                </c:pt>
                <c:pt idx="7">
                  <c:v>0.42148467098793468</c:v>
                </c:pt>
                <c:pt idx="8">
                  <c:v>0.62502668099395531</c:v>
                </c:pt>
                <c:pt idx="9">
                  <c:v>0.86927709300118006</c:v>
                </c:pt>
                <c:pt idx="10">
                  <c:v>1.1542359070096089</c:v>
                </c:pt>
              </c:numCache>
            </c:numRef>
          </c:xVal>
          <c:yVal>
            <c:numRef>
              <c:f>'WCR L&amp;D'!$AI$140:$AI$150</c:f>
              <c:numCache>
                <c:formatCode>General</c:formatCode>
                <c:ptCount val="11"/>
                <c:pt idx="0">
                  <c:v>-1.1229969191984597</c:v>
                </c:pt>
                <c:pt idx="1">
                  <c:v>-0.67379815151907585</c:v>
                </c:pt>
                <c:pt idx="2">
                  <c:v>-0.22459938383969194</c:v>
                </c:pt>
                <c:pt idx="3">
                  <c:v>0.22459938383969194</c:v>
                </c:pt>
                <c:pt idx="4">
                  <c:v>0.67379815151907585</c:v>
                </c:pt>
                <c:pt idx="5">
                  <c:v>1.1229969191984597</c:v>
                </c:pt>
                <c:pt idx="6">
                  <c:v>1.5721956868778435</c:v>
                </c:pt>
                <c:pt idx="7">
                  <c:v>2.0213944545572273</c:v>
                </c:pt>
                <c:pt idx="8">
                  <c:v>2.4705932222366114</c:v>
                </c:pt>
                <c:pt idx="9">
                  <c:v>2.9197919899159954</c:v>
                </c:pt>
                <c:pt idx="10">
                  <c:v>3.368990757595379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259-4188-BD6C-4D912C6EA773}"/>
            </c:ext>
          </c:extLst>
        </c:ser>
        <c:ser>
          <c:idx val="5"/>
          <c:order val="5"/>
          <c:tx>
            <c:v>M = 0.85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L&amp;D'!$AL$140:$AL$150</c:f>
              <c:numCache>
                <c:formatCode>General</c:formatCode>
                <c:ptCount val="11"/>
                <c:pt idx="0">
                  <c:v>0.17817195024294372</c:v>
                </c:pt>
                <c:pt idx="1">
                  <c:v>7.0338364906976231E-2</c:v>
                </c:pt>
                <c:pt idx="2">
                  <c:v>1.6421572238992484E-2</c:v>
                </c:pt>
                <c:pt idx="3">
                  <c:v>1.6421572238992484E-2</c:v>
                </c:pt>
                <c:pt idx="4">
                  <c:v>7.0338364906976231E-2</c:v>
                </c:pt>
                <c:pt idx="5">
                  <c:v>0.17817195024294372</c:v>
                </c:pt>
                <c:pt idx="6">
                  <c:v>0.33992232824689494</c:v>
                </c:pt>
                <c:pt idx="7">
                  <c:v>0.55558949891882992</c:v>
                </c:pt>
                <c:pt idx="8">
                  <c:v>0.82517346225874877</c:v>
                </c:pt>
                <c:pt idx="9">
                  <c:v>1.1486742182666509</c:v>
                </c:pt>
                <c:pt idx="10">
                  <c:v>1.5260917669425371</c:v>
                </c:pt>
              </c:numCache>
            </c:numRef>
          </c:xVal>
          <c:yVal>
            <c:numRef>
              <c:f>'WCR L&amp;D'!$AK$140:$AK$150</c:f>
              <c:numCache>
                <c:formatCode>General</c:formatCode>
                <c:ptCount val="11"/>
                <c:pt idx="0">
                  <c:v>-1.2924047999753883</c:v>
                </c:pt>
                <c:pt idx="1">
                  <c:v>-0.77544287998523287</c:v>
                </c:pt>
                <c:pt idx="2">
                  <c:v>-0.25848095999507764</c:v>
                </c:pt>
                <c:pt idx="3">
                  <c:v>0.25848095999507764</c:v>
                </c:pt>
                <c:pt idx="4">
                  <c:v>0.77544287998523287</c:v>
                </c:pt>
                <c:pt idx="5">
                  <c:v>1.2924047999753883</c:v>
                </c:pt>
                <c:pt idx="6">
                  <c:v>1.8093667199655434</c:v>
                </c:pt>
                <c:pt idx="7">
                  <c:v>2.3263286399556988</c:v>
                </c:pt>
                <c:pt idx="8">
                  <c:v>2.8432905599458542</c:v>
                </c:pt>
                <c:pt idx="9">
                  <c:v>3.3602524799360092</c:v>
                </c:pt>
                <c:pt idx="10">
                  <c:v>3.8772143999261646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259-4188-BD6C-4D912C6EA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903136"/>
        <c:axId val="625891072"/>
      </c:scatterChart>
      <c:valAx>
        <c:axId val="62590313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91072"/>
        <c:crosses val="autoZero"/>
        <c:crossBetween val="midCat"/>
      </c:valAx>
      <c:valAx>
        <c:axId val="6258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03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FC 30K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'FC L&amp;D'!$AB$140:$AB$150</c:f>
              <c:numCache>
                <c:formatCode>General</c:formatCode>
                <c:ptCount val="11"/>
                <c:pt idx="0">
                  <c:v>7.8803361092143961E-2</c:v>
                </c:pt>
                <c:pt idx="1">
                  <c:v>3.9581339127119995E-2</c:v>
                </c:pt>
                <c:pt idx="2">
                  <c:v>1.9044174898420495E-2</c:v>
                </c:pt>
                <c:pt idx="3">
                  <c:v>1.7191868406045443E-2</c:v>
                </c:pt>
                <c:pt idx="4">
                  <c:v>3.4024419649994843E-2</c:v>
                </c:pt>
                <c:pt idx="5">
                  <c:v>6.9541828630268712E-2</c:v>
                </c:pt>
                <c:pt idx="6">
                  <c:v>0.12374409534686703</c:v>
                </c:pt>
                <c:pt idx="7">
                  <c:v>0.19663121979978976</c:v>
                </c:pt>
                <c:pt idx="8">
                  <c:v>0.28820320198903698</c:v>
                </c:pt>
                <c:pt idx="9">
                  <c:v>0.39846004191460871</c:v>
                </c:pt>
                <c:pt idx="10">
                  <c:v>0.52740173957650482</c:v>
                </c:pt>
              </c:numCache>
            </c:numRef>
          </c:xVal>
          <c:yVal>
            <c:numRef>
              <c:f>'FC L&amp;D'!$AA$140:$AA$150</c:f>
              <c:numCache>
                <c:formatCode>General</c:formatCode>
                <c:ptCount val="11"/>
                <c:pt idx="0">
                  <c:v>-0.7608191499083099</c:v>
                </c:pt>
                <c:pt idx="1">
                  <c:v>-0.4564914899449859</c:v>
                </c:pt>
                <c:pt idx="2">
                  <c:v>-0.15216382998166197</c:v>
                </c:pt>
                <c:pt idx="3">
                  <c:v>0.15216382998166197</c:v>
                </c:pt>
                <c:pt idx="4">
                  <c:v>0.4564914899449859</c:v>
                </c:pt>
                <c:pt idx="5">
                  <c:v>0.7608191499083099</c:v>
                </c:pt>
                <c:pt idx="6">
                  <c:v>1.0651468098716339</c:v>
                </c:pt>
                <c:pt idx="7">
                  <c:v>1.3694744698349577</c:v>
                </c:pt>
                <c:pt idx="8">
                  <c:v>1.6738021297982817</c:v>
                </c:pt>
                <c:pt idx="9">
                  <c:v>1.9781297897616057</c:v>
                </c:pt>
                <c:pt idx="10">
                  <c:v>2.2824574497249297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D7-4F93-890B-CA5762AC5A30}"/>
            </c:ext>
          </c:extLst>
        </c:ser>
        <c:ser>
          <c:idx val="1"/>
          <c:order val="1"/>
          <c:tx>
            <c:v>M = 0.65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'FC L&amp;D'!$AD$140:$AD$150</c:f>
              <c:numCache>
                <c:formatCode>General</c:formatCode>
                <c:ptCount val="11"/>
                <c:pt idx="0">
                  <c:v>8.9663181444844697E-2</c:v>
                </c:pt>
                <c:pt idx="1">
                  <c:v>4.3955569311158023E-2</c:v>
                </c:pt>
                <c:pt idx="2">
                  <c:v>2.0022465155326723E-2</c:v>
                </c:pt>
                <c:pt idx="3">
                  <c:v>1.7863868977350799E-2</c:v>
                </c:pt>
                <c:pt idx="4">
                  <c:v>3.747978077723025E-2</c:v>
                </c:pt>
                <c:pt idx="5">
                  <c:v>7.8870200554965075E-2</c:v>
                </c:pt>
                <c:pt idx="6">
                  <c:v>0.14203512831055531</c:v>
                </c:pt>
                <c:pt idx="7">
                  <c:v>0.22697456404400085</c:v>
                </c:pt>
                <c:pt idx="8">
                  <c:v>0.33368850775530184</c:v>
                </c:pt>
                <c:pt idx="9">
                  <c:v>0.46217695944445814</c:v>
                </c:pt>
                <c:pt idx="10">
                  <c:v>0.61243991911146978</c:v>
                </c:pt>
              </c:numCache>
            </c:numRef>
          </c:xVal>
          <c:yVal>
            <c:numRef>
              <c:f>'FC L&amp;D'!$AC$140:$AC$150</c:f>
              <c:numCache>
                <c:formatCode>General</c:formatCode>
                <c:ptCount val="11"/>
                <c:pt idx="0">
                  <c:v>-0.82131681196568496</c:v>
                </c:pt>
                <c:pt idx="1">
                  <c:v>-0.49279008717941097</c:v>
                </c:pt>
                <c:pt idx="2">
                  <c:v>-0.16426336239313699</c:v>
                </c:pt>
                <c:pt idx="3">
                  <c:v>0.16426336239313699</c:v>
                </c:pt>
                <c:pt idx="4">
                  <c:v>0.49279008717941097</c:v>
                </c:pt>
                <c:pt idx="5">
                  <c:v>0.82131681196568496</c:v>
                </c:pt>
                <c:pt idx="6">
                  <c:v>1.149843536751959</c:v>
                </c:pt>
                <c:pt idx="7">
                  <c:v>1.4783702615382328</c:v>
                </c:pt>
                <c:pt idx="8">
                  <c:v>1.806896986324507</c:v>
                </c:pt>
                <c:pt idx="9">
                  <c:v>2.1354237111107808</c:v>
                </c:pt>
                <c:pt idx="10">
                  <c:v>2.463950435897055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D7-4F93-890B-CA5762AC5A30}"/>
            </c:ext>
          </c:extLst>
        </c:ser>
        <c:ser>
          <c:idx val="2"/>
          <c:order val="2"/>
          <c:tx>
            <c:v>M = 0.70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'FC L&amp;D'!$AF$140:$AF$150</c:f>
              <c:numCache>
                <c:formatCode>General</c:formatCode>
                <c:ptCount val="11"/>
                <c:pt idx="0">
                  <c:v>0.10397331421606647</c:v>
                </c:pt>
                <c:pt idx="1">
                  <c:v>4.9364325968383249E-2</c:v>
                </c:pt>
                <c:pt idx="2">
                  <c:v>2.0770344734934977E-2</c:v>
                </c:pt>
                <c:pt idx="3">
                  <c:v>1.819137051572163E-2</c:v>
                </c:pt>
                <c:pt idx="4">
                  <c:v>4.1627403310743209E-2</c:v>
                </c:pt>
                <c:pt idx="5">
                  <c:v>9.1078443119999727E-2</c:v>
                </c:pt>
                <c:pt idx="6">
                  <c:v>0.16654448994349119</c:v>
                </c:pt>
                <c:pt idx="7">
                  <c:v>0.26802554378121751</c:v>
                </c:pt>
                <c:pt idx="8">
                  <c:v>0.39552160463317887</c:v>
                </c:pt>
                <c:pt idx="9">
                  <c:v>0.54903267249937504</c:v>
                </c:pt>
                <c:pt idx="10">
                  <c:v>0.7285587473798063</c:v>
                </c:pt>
              </c:numCache>
            </c:numRef>
          </c:xVal>
          <c:yVal>
            <c:numRef>
              <c:f>'FC L&amp;D'!$AE$140:$AE$150</c:f>
              <c:numCache>
                <c:formatCode>General</c:formatCode>
                <c:ptCount val="11"/>
                <c:pt idx="0">
                  <c:v>-0.89773573144003305</c:v>
                </c:pt>
                <c:pt idx="1">
                  <c:v>-0.53864143886401983</c:v>
                </c:pt>
                <c:pt idx="2">
                  <c:v>-0.17954714628800661</c:v>
                </c:pt>
                <c:pt idx="3">
                  <c:v>0.17954714628800661</c:v>
                </c:pt>
                <c:pt idx="4">
                  <c:v>0.53864143886401983</c:v>
                </c:pt>
                <c:pt idx="5">
                  <c:v>0.89773573144003305</c:v>
                </c:pt>
                <c:pt idx="6">
                  <c:v>1.2568300240160464</c:v>
                </c:pt>
                <c:pt idx="7">
                  <c:v>1.6159243165920594</c:v>
                </c:pt>
                <c:pt idx="8">
                  <c:v>1.9750186091680728</c:v>
                </c:pt>
                <c:pt idx="9">
                  <c:v>2.3341129017440858</c:v>
                </c:pt>
                <c:pt idx="10">
                  <c:v>2.6932071943200993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D7-4F93-890B-CA5762AC5A30}"/>
            </c:ext>
          </c:extLst>
        </c:ser>
        <c:ser>
          <c:idx val="3"/>
          <c:order val="3"/>
          <c:tx>
            <c:v>M = 0.75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'FC L&amp;D'!$AH$140:$AH$150</c:f>
              <c:numCache>
                <c:formatCode>General</c:formatCode>
                <c:ptCount val="11"/>
                <c:pt idx="0">
                  <c:v>0.12422666706432285</c:v>
                </c:pt>
                <c:pt idx="1">
                  <c:v>5.7049358706471681E-2</c:v>
                </c:pt>
                <c:pt idx="2">
                  <c:v>2.1874440508285548E-2</c:v>
                </c:pt>
                <c:pt idx="3">
                  <c:v>1.8701912469764461E-2</c:v>
                </c:pt>
                <c:pt idx="4">
                  <c:v>4.7531774590908418E-2</c:v>
                </c:pt>
                <c:pt idx="5">
                  <c:v>0.10836402687171741</c:v>
                </c:pt>
                <c:pt idx="6">
                  <c:v>0.20119866931219146</c:v>
                </c:pt>
                <c:pt idx="7">
                  <c:v>0.3260357019123305</c:v>
                </c:pt>
                <c:pt idx="8">
                  <c:v>0.48287512467213478</c:v>
                </c:pt>
                <c:pt idx="9">
                  <c:v>0.67171693759160389</c:v>
                </c:pt>
                <c:pt idx="10">
                  <c:v>0.892561140670738</c:v>
                </c:pt>
              </c:numCache>
            </c:numRef>
          </c:xVal>
          <c:yVal>
            <c:numRef>
              <c:f>'FC L&amp;D'!$AG$140:$AG$150</c:f>
              <c:numCache>
                <c:formatCode>General</c:formatCode>
                <c:ptCount val="11"/>
                <c:pt idx="0">
                  <c:v>-0.99569825350747698</c:v>
                </c:pt>
                <c:pt idx="1">
                  <c:v>-0.59741895210448615</c:v>
                </c:pt>
                <c:pt idx="2">
                  <c:v>-0.19913965070149539</c:v>
                </c:pt>
                <c:pt idx="3">
                  <c:v>0.19913965070149539</c:v>
                </c:pt>
                <c:pt idx="4">
                  <c:v>0.59741895210448615</c:v>
                </c:pt>
                <c:pt idx="5">
                  <c:v>0.99569825350747698</c:v>
                </c:pt>
                <c:pt idx="6">
                  <c:v>1.3939775549104678</c:v>
                </c:pt>
                <c:pt idx="7">
                  <c:v>1.7922568563134584</c:v>
                </c:pt>
                <c:pt idx="8">
                  <c:v>2.1905361577164495</c:v>
                </c:pt>
                <c:pt idx="9">
                  <c:v>2.5888154591194401</c:v>
                </c:pt>
                <c:pt idx="10">
                  <c:v>2.9870947605224307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D7-4F93-890B-CA5762AC5A30}"/>
            </c:ext>
          </c:extLst>
        </c:ser>
        <c:ser>
          <c:idx val="4"/>
          <c:order val="4"/>
          <c:tx>
            <c:v>M = 0.80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'FC L&amp;D'!$AJ$140:$AJ$150</c:f>
              <c:numCache>
                <c:formatCode>General</c:formatCode>
                <c:ptCount val="11"/>
                <c:pt idx="0">
                  <c:v>0.14272585697950602</c:v>
                </c:pt>
                <c:pt idx="1">
                  <c:v>6.1309052977097829E-2</c:v>
                </c:pt>
                <c:pt idx="2">
                  <c:v>2.0600650975893715E-2</c:v>
                </c:pt>
                <c:pt idx="3">
                  <c:v>2.0600650975893715E-2</c:v>
                </c:pt>
                <c:pt idx="4">
                  <c:v>6.1309052977097829E-2</c:v>
                </c:pt>
                <c:pt idx="5">
                  <c:v>0.14272585697950602</c:v>
                </c:pt>
                <c:pt idx="6">
                  <c:v>0.26485106298311833</c:v>
                </c:pt>
                <c:pt idx="7">
                  <c:v>0.42768467098793472</c:v>
                </c:pt>
                <c:pt idx="8">
                  <c:v>0.63122668099395529</c:v>
                </c:pt>
                <c:pt idx="9">
                  <c:v>0.87547709300118004</c:v>
                </c:pt>
                <c:pt idx="10">
                  <c:v>1.1604359070096089</c:v>
                </c:pt>
              </c:numCache>
            </c:numRef>
          </c:xVal>
          <c:yVal>
            <c:numRef>
              <c:f>'FC L&amp;D'!$AI$140:$AI$150</c:f>
              <c:numCache>
                <c:formatCode>General</c:formatCode>
                <c:ptCount val="11"/>
                <c:pt idx="0">
                  <c:v>-1.1229969191984597</c:v>
                </c:pt>
                <c:pt idx="1">
                  <c:v>-0.67379815151907585</c:v>
                </c:pt>
                <c:pt idx="2">
                  <c:v>-0.22459938383969194</c:v>
                </c:pt>
                <c:pt idx="3">
                  <c:v>0.22459938383969194</c:v>
                </c:pt>
                <c:pt idx="4">
                  <c:v>0.67379815151907585</c:v>
                </c:pt>
                <c:pt idx="5">
                  <c:v>1.1229969191984597</c:v>
                </c:pt>
                <c:pt idx="6">
                  <c:v>1.5721956868778435</c:v>
                </c:pt>
                <c:pt idx="7">
                  <c:v>2.0213944545572273</c:v>
                </c:pt>
                <c:pt idx="8">
                  <c:v>2.4705932222366114</c:v>
                </c:pt>
                <c:pt idx="9">
                  <c:v>2.9197919899159954</c:v>
                </c:pt>
                <c:pt idx="10">
                  <c:v>3.368990757595379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D7-4F93-890B-CA5762AC5A30}"/>
            </c:ext>
          </c:extLst>
        </c:ser>
        <c:ser>
          <c:idx val="5"/>
          <c:order val="5"/>
          <c:tx>
            <c:v>M = 0.85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'FC L&amp;D'!$AL$140:$AL$150</c:f>
              <c:numCache>
                <c:formatCode>General</c:formatCode>
                <c:ptCount val="11"/>
                <c:pt idx="0">
                  <c:v>0.1846219502429437</c:v>
                </c:pt>
                <c:pt idx="1">
                  <c:v>7.6788364906976214E-2</c:v>
                </c:pt>
                <c:pt idx="2">
                  <c:v>2.2871572238992482E-2</c:v>
                </c:pt>
                <c:pt idx="3">
                  <c:v>2.2871572238992482E-2</c:v>
                </c:pt>
                <c:pt idx="4">
                  <c:v>7.6788364906976214E-2</c:v>
                </c:pt>
                <c:pt idx="5">
                  <c:v>0.1846219502429437</c:v>
                </c:pt>
                <c:pt idx="6">
                  <c:v>0.34637232824689496</c:v>
                </c:pt>
                <c:pt idx="7">
                  <c:v>0.56203949891882987</c:v>
                </c:pt>
                <c:pt idx="8">
                  <c:v>0.83162346225874872</c:v>
                </c:pt>
                <c:pt idx="9">
                  <c:v>1.155124218266651</c:v>
                </c:pt>
                <c:pt idx="10">
                  <c:v>1.5325417669425372</c:v>
                </c:pt>
              </c:numCache>
            </c:numRef>
          </c:xVal>
          <c:yVal>
            <c:numRef>
              <c:f>'FC L&amp;D'!$AK$140:$AK$150</c:f>
              <c:numCache>
                <c:formatCode>General</c:formatCode>
                <c:ptCount val="11"/>
                <c:pt idx="0">
                  <c:v>-1.2924047999753883</c:v>
                </c:pt>
                <c:pt idx="1">
                  <c:v>-0.77544287998523287</c:v>
                </c:pt>
                <c:pt idx="2">
                  <c:v>-0.25848095999507764</c:v>
                </c:pt>
                <c:pt idx="3">
                  <c:v>0.25848095999507764</c:v>
                </c:pt>
                <c:pt idx="4">
                  <c:v>0.77544287998523287</c:v>
                </c:pt>
                <c:pt idx="5">
                  <c:v>1.2924047999753883</c:v>
                </c:pt>
                <c:pt idx="6">
                  <c:v>1.8093667199655434</c:v>
                </c:pt>
                <c:pt idx="7">
                  <c:v>2.3263286399556988</c:v>
                </c:pt>
                <c:pt idx="8">
                  <c:v>2.8432905599458542</c:v>
                </c:pt>
                <c:pt idx="9">
                  <c:v>3.3602524799360092</c:v>
                </c:pt>
                <c:pt idx="10">
                  <c:v>3.8772143999261646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D7-4F93-890B-CA5762AC5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669695"/>
        <c:axId val="1033660543"/>
      </c:scatterChart>
      <c:valAx>
        <c:axId val="1033669695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60543"/>
        <c:crosses val="autoZero"/>
        <c:crossBetween val="midCat"/>
      </c:valAx>
      <c:valAx>
        <c:axId val="10336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69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 C_L vs. </a:t>
            </a:r>
            <a:r>
              <a:rPr lang="el-GR"/>
              <a:t>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α'!$Z$303:$Z$305</c:f>
              <c:numCache>
                <c:formatCode>General</c:formatCode>
                <c:ptCount val="3"/>
                <c:pt idx="0">
                  <c:v>-1</c:v>
                </c:pt>
                <c:pt idx="1">
                  <c:v>14</c:v>
                </c:pt>
                <c:pt idx="2">
                  <c:v>16</c:v>
                </c:pt>
              </c:numCache>
            </c:numRef>
          </c:xVal>
          <c:yVal>
            <c:numRef>
              <c:f>'C_L vs. α'!$AA$303:$AA$305</c:f>
              <c:numCache>
                <c:formatCode>General</c:formatCode>
                <c:ptCount val="3"/>
                <c:pt idx="0">
                  <c:v>0</c:v>
                </c:pt>
                <c:pt idx="1">
                  <c:v>1.6241394904872803</c:v>
                </c:pt>
                <c:pt idx="2">
                  <c:v>1.55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15-4372-AFCC-016FD5D04E86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α'!$V$303:$V$305</c:f>
              <c:numCache>
                <c:formatCode>General</c:formatCode>
                <c:ptCount val="3"/>
                <c:pt idx="0">
                  <c:v>-1</c:v>
                </c:pt>
                <c:pt idx="1">
                  <c:v>13</c:v>
                </c:pt>
                <c:pt idx="2">
                  <c:v>15</c:v>
                </c:pt>
              </c:numCache>
            </c:numRef>
          </c:xVal>
          <c:yVal>
            <c:numRef>
              <c:f>'C_L vs. α'!$W$303:$W$305</c:f>
              <c:numCache>
                <c:formatCode>General</c:formatCode>
                <c:ptCount val="3"/>
                <c:pt idx="0">
                  <c:v>0.38583313397868807</c:v>
                </c:pt>
                <c:pt idx="1">
                  <c:v>2.0099726244659686</c:v>
                </c:pt>
                <c:pt idx="2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15-4372-AFCC-016FD5D04E86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α'!$X$303:$X$305</c:f>
              <c:numCache>
                <c:formatCode>General</c:formatCode>
                <c:ptCount val="3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</c:numCache>
            </c:numRef>
          </c:xVal>
          <c:yVal>
            <c:numRef>
              <c:f>'C_L vs. α'!$Y$303:$Y$305</c:f>
              <c:numCache>
                <c:formatCode>General</c:formatCode>
                <c:ptCount val="3"/>
                <c:pt idx="0">
                  <c:v>0.55945804426909762</c:v>
                </c:pt>
                <c:pt idx="1">
                  <c:v>2.3548730499940502</c:v>
                </c:pt>
                <c:pt idx="2">
                  <c:v>2.2999999999999998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15-4372-AFCC-016FD5D0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99696"/>
        <c:axId val="636382640"/>
      </c:scatterChart>
      <c:valAx>
        <c:axId val="6363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82640"/>
        <c:crosses val="autoZero"/>
        <c:crossBetween val="midCat"/>
      </c:valAx>
      <c:valAx>
        <c:axId val="63638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NACA 1410 c_m</a:t>
            </a:r>
            <a:r>
              <a:rPr lang="en-US" baseline="0"/>
              <a:t> vs. c_l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C_m'!$L$23:$L$26</c:f>
              <c:numCache>
                <c:formatCode>General</c:formatCode>
                <c:ptCount val="4"/>
                <c:pt idx="0">
                  <c:v>-0.02</c:v>
                </c:pt>
                <c:pt idx="1">
                  <c:v>-2.9714400000000003</c:v>
                </c:pt>
                <c:pt idx="2">
                  <c:v>-3.4391666666666669</c:v>
                </c:pt>
                <c:pt idx="3">
                  <c:v>-3.7</c:v>
                </c:pt>
              </c:numCache>
            </c:numRef>
          </c:xVal>
          <c:yVal>
            <c:numRef>
              <c:f>'C_L vs. C_m'!$M$23:$M$26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1.5</c:v>
                </c:pt>
                <c:pt idx="3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DE-4D6E-A55F-9101D61A97E8}"/>
            </c:ext>
          </c:extLst>
        </c:ser>
        <c:ser>
          <c:idx val="1"/>
          <c:order val="1"/>
          <c:tx>
            <c:v>Take 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C_m'!$N$23:$N$26</c:f>
              <c:numCache>
                <c:formatCode>General</c:formatCode>
                <c:ptCount val="4"/>
                <c:pt idx="0">
                  <c:v>-0.18</c:v>
                </c:pt>
                <c:pt idx="1">
                  <c:v>-3.1314400000000004</c:v>
                </c:pt>
                <c:pt idx="2">
                  <c:v>-4.3228032222222224</c:v>
                </c:pt>
                <c:pt idx="3">
                  <c:v>-4.7</c:v>
                </c:pt>
              </c:numCache>
            </c:numRef>
          </c:xVal>
          <c:yVal>
            <c:numRef>
              <c:f>'C_L vs. C_m'!$O$23:$O$26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1.8854</c:v>
                </c:pt>
                <c:pt idx="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DE-4D6E-A55F-9101D61A97E8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C_m'!$P$23:$P$26</c:f>
              <c:numCache>
                <c:formatCode>General</c:formatCode>
                <c:ptCount val="4"/>
                <c:pt idx="0">
                  <c:v>-0.22</c:v>
                </c:pt>
                <c:pt idx="1">
                  <c:v>-3.1714400000000005</c:v>
                </c:pt>
                <c:pt idx="2">
                  <c:v>-4.7484125555555554</c:v>
                </c:pt>
                <c:pt idx="3">
                  <c:v>-4.9000000000000004</c:v>
                </c:pt>
              </c:numCache>
            </c:numRef>
          </c:xVal>
          <c:yVal>
            <c:numRef>
              <c:f>'C_L vs. C_m'!$Q$23:$Q$26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1.9838</c:v>
                </c:pt>
                <c:pt idx="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DE-4D6E-A55F-9101D61A9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17872"/>
        <c:axId val="627118288"/>
      </c:scatterChart>
      <c:valAx>
        <c:axId val="62711787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8288"/>
        <c:crosses val="autoZero"/>
        <c:crossBetween val="midCat"/>
      </c:valAx>
      <c:valAx>
        <c:axId val="627118288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 40k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0.70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L&amp;D'!$AF$188:$AF$198</c:f>
              <c:numCache>
                <c:formatCode>General</c:formatCode>
                <c:ptCount val="11"/>
                <c:pt idx="0">
                  <c:v>9.8251638144281436E-2</c:v>
                </c:pt>
                <c:pt idx="1">
                  <c:v>4.300259548475089E-2</c:v>
                </c:pt>
                <c:pt idx="2">
                  <c:v>1.4088979571527882E-2</c:v>
                </c:pt>
                <c:pt idx="3">
                  <c:v>1.1510790404612416E-2</c:v>
                </c:pt>
                <c:pt idx="4">
                  <c:v>3.5268027984004496E-2</c:v>
                </c:pt>
                <c:pt idx="5">
                  <c:v>8.5360692309704098E-2</c:v>
                </c:pt>
                <c:pt idx="6">
                  <c:v>0.16178878338171121</c:v>
                </c:pt>
                <c:pt idx="7">
                  <c:v>0.26455230120002599</c:v>
                </c:pt>
                <c:pt idx="8">
                  <c:v>0.39365124576464822</c:v>
                </c:pt>
                <c:pt idx="9">
                  <c:v>0.54908561707557813</c:v>
                </c:pt>
                <c:pt idx="10">
                  <c:v>0.73085541513281527</c:v>
                </c:pt>
              </c:numCache>
            </c:numRef>
          </c:xVal>
          <c:yVal>
            <c:numRef>
              <c:f>'CC L&amp;D'!$AE$188:$AE$198</c:f>
              <c:numCache>
                <c:formatCode>General</c:formatCode>
                <c:ptCount val="11"/>
                <c:pt idx="0">
                  <c:v>-0.89759908347829942</c:v>
                </c:pt>
                <c:pt idx="1">
                  <c:v>-0.5385594500869797</c:v>
                </c:pt>
                <c:pt idx="2">
                  <c:v>-0.17951981669565989</c:v>
                </c:pt>
                <c:pt idx="3">
                  <c:v>0.17951981669565989</c:v>
                </c:pt>
                <c:pt idx="4">
                  <c:v>0.5385594500869797</c:v>
                </c:pt>
                <c:pt idx="5">
                  <c:v>0.89759908347829942</c:v>
                </c:pt>
                <c:pt idx="6">
                  <c:v>1.2566387168696191</c:v>
                </c:pt>
                <c:pt idx="7">
                  <c:v>1.6156783502609391</c:v>
                </c:pt>
                <c:pt idx="8">
                  <c:v>1.9747179836522588</c:v>
                </c:pt>
                <c:pt idx="9">
                  <c:v>2.3337576170435788</c:v>
                </c:pt>
                <c:pt idx="10">
                  <c:v>2.6927972504348983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48-4B1E-9688-3FB257DEC679}"/>
            </c:ext>
          </c:extLst>
        </c:ser>
        <c:ser>
          <c:idx val="1"/>
          <c:order val="1"/>
          <c:tx>
            <c:v>M = 0.75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L&amp;D'!$AH$188:$AH$198</c:f>
              <c:numCache>
                <c:formatCode>General</c:formatCode>
                <c:ptCount val="11"/>
                <c:pt idx="0">
                  <c:v>0.11871042415658384</c:v>
                </c:pt>
                <c:pt idx="1">
                  <c:v>5.0764583639717496E-2</c:v>
                </c:pt>
                <c:pt idx="2">
                  <c:v>1.5206321613128525E-2</c:v>
                </c:pt>
                <c:pt idx="3">
                  <c:v>1.2035638076816926E-2</c:v>
                </c:pt>
                <c:pt idx="4">
                  <c:v>4.1252533030782697E-2</c:v>
                </c:pt>
                <c:pt idx="5">
                  <c:v>0.10285700647502584</c:v>
                </c:pt>
                <c:pt idx="6">
                  <c:v>0.19684905840954631</c:v>
                </c:pt>
                <c:pt idx="7">
                  <c:v>0.32322868883434425</c:v>
                </c:pt>
                <c:pt idx="8">
                  <c:v>0.48199589774941942</c:v>
                </c:pt>
                <c:pt idx="9">
                  <c:v>0.67315068515477228</c:v>
                </c:pt>
                <c:pt idx="10">
                  <c:v>0.89669305105040209</c:v>
                </c:pt>
              </c:numCache>
            </c:numRef>
          </c:xVal>
          <c:yVal>
            <c:numRef>
              <c:f>'CC L&amp;D'!$AG$188:$AG$198</c:f>
              <c:numCache>
                <c:formatCode>General</c:formatCode>
                <c:ptCount val="11"/>
                <c:pt idx="0">
                  <c:v>-0.9954087628192626</c:v>
                </c:pt>
                <c:pt idx="1">
                  <c:v>-0.59724525769155756</c:v>
                </c:pt>
                <c:pt idx="2">
                  <c:v>-0.19908175256385252</c:v>
                </c:pt>
                <c:pt idx="3">
                  <c:v>0.19908175256385252</c:v>
                </c:pt>
                <c:pt idx="4">
                  <c:v>0.59724525769155756</c:v>
                </c:pt>
                <c:pt idx="5">
                  <c:v>0.9954087628192626</c:v>
                </c:pt>
                <c:pt idx="6">
                  <c:v>1.3935722679469675</c:v>
                </c:pt>
                <c:pt idx="7">
                  <c:v>1.7917357730746728</c:v>
                </c:pt>
                <c:pt idx="8">
                  <c:v>2.1898992782023776</c:v>
                </c:pt>
                <c:pt idx="9">
                  <c:v>2.5880627833300829</c:v>
                </c:pt>
                <c:pt idx="10">
                  <c:v>2.9862262884577877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48-4B1E-9688-3FB257DEC679}"/>
            </c:ext>
          </c:extLst>
        </c:ser>
        <c:ser>
          <c:idx val="2"/>
          <c:order val="2"/>
          <c:tx>
            <c:v>M = 0.80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L&amp;D'!$AJ$188:$AJ$198</c:f>
              <c:numCache>
                <c:formatCode>General</c:formatCode>
                <c:ptCount val="11"/>
                <c:pt idx="0">
                  <c:v>0.13739195383896208</c:v>
                </c:pt>
                <c:pt idx="1">
                  <c:v>5.5030828283343249E-2</c:v>
                </c:pt>
                <c:pt idx="2">
                  <c:v>1.385026550553381E-2</c:v>
                </c:pt>
                <c:pt idx="3">
                  <c:v>1.385026550553381E-2</c:v>
                </c:pt>
                <c:pt idx="4">
                  <c:v>5.5030828283343249E-2</c:v>
                </c:pt>
                <c:pt idx="5">
                  <c:v>0.13739195383896208</c:v>
                </c:pt>
                <c:pt idx="6">
                  <c:v>0.2609336421723904</c:v>
                </c:pt>
                <c:pt idx="7">
                  <c:v>0.42565589328362813</c:v>
                </c:pt>
                <c:pt idx="8">
                  <c:v>0.63155870717267537</c:v>
                </c:pt>
                <c:pt idx="9">
                  <c:v>0.87864208383953191</c:v>
                </c:pt>
                <c:pt idx="10">
                  <c:v>1.1669060232841977</c:v>
                </c:pt>
              </c:numCache>
            </c:numRef>
          </c:xVal>
          <c:yVal>
            <c:numRef>
              <c:f>'CC L&amp;D'!$AI$188:$AI$198</c:f>
              <c:numCache>
                <c:formatCode>General</c:formatCode>
                <c:ptCount val="11"/>
                <c:pt idx="0">
                  <c:v>-1.1224276564227389</c:v>
                </c:pt>
                <c:pt idx="1">
                  <c:v>-0.67345659385364343</c:v>
                </c:pt>
                <c:pt idx="2">
                  <c:v>-0.22448553128454779</c:v>
                </c:pt>
                <c:pt idx="3">
                  <c:v>0.22448553128454779</c:v>
                </c:pt>
                <c:pt idx="4">
                  <c:v>0.67345659385364343</c:v>
                </c:pt>
                <c:pt idx="5">
                  <c:v>1.1224276564227389</c:v>
                </c:pt>
                <c:pt idx="6">
                  <c:v>1.5713987189918346</c:v>
                </c:pt>
                <c:pt idx="7">
                  <c:v>2.0203697815609303</c:v>
                </c:pt>
                <c:pt idx="8">
                  <c:v>2.4693408441300257</c:v>
                </c:pt>
                <c:pt idx="9">
                  <c:v>2.9183119066991212</c:v>
                </c:pt>
                <c:pt idx="10">
                  <c:v>3.3672829692682167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48-4B1E-9688-3FB257DEC679}"/>
            </c:ext>
          </c:extLst>
        </c:ser>
        <c:ser>
          <c:idx val="3"/>
          <c:order val="3"/>
          <c:tx>
            <c:v>M = 0.85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L&amp;D'!$AL$188:$AL$198</c:f>
              <c:numCache>
                <c:formatCode>General</c:formatCode>
                <c:ptCount val="11"/>
                <c:pt idx="0">
                  <c:v>0.17936049294009096</c:v>
                </c:pt>
                <c:pt idx="1">
                  <c:v>7.037437069991008E-2</c:v>
                </c:pt>
                <c:pt idx="2">
                  <c:v>1.5881309579819616E-2</c:v>
                </c:pt>
                <c:pt idx="3">
                  <c:v>1.5881309579819616E-2</c:v>
                </c:pt>
                <c:pt idx="4">
                  <c:v>7.037437069991008E-2</c:v>
                </c:pt>
                <c:pt idx="5">
                  <c:v>0.17936049294009096</c:v>
                </c:pt>
                <c:pt idx="6">
                  <c:v>0.34283967630036238</c:v>
                </c:pt>
                <c:pt idx="7">
                  <c:v>0.56081192078072428</c:v>
                </c:pt>
                <c:pt idx="8">
                  <c:v>0.83327722638117652</c:v>
                </c:pt>
                <c:pt idx="9">
                  <c:v>1.160235593101719</c:v>
                </c:pt>
                <c:pt idx="10">
                  <c:v>1.5416870209423521</c:v>
                </c:pt>
              </c:numCache>
            </c:numRef>
          </c:xVal>
          <c:yVal>
            <c:numRef>
              <c:f>'CC L&amp;D'!$AK$188:$AK$198</c:f>
              <c:numCache>
                <c:formatCode>General</c:formatCode>
                <c:ptCount val="11"/>
                <c:pt idx="0">
                  <c:v>-1.2911682043819241</c:v>
                </c:pt>
                <c:pt idx="1">
                  <c:v>-0.77470092262915458</c:v>
                </c:pt>
                <c:pt idx="2">
                  <c:v>-0.25823364087638484</c:v>
                </c:pt>
                <c:pt idx="3">
                  <c:v>0.25823364087638484</c:v>
                </c:pt>
                <c:pt idx="4">
                  <c:v>0.77470092262915458</c:v>
                </c:pt>
                <c:pt idx="5">
                  <c:v>1.2911682043819241</c:v>
                </c:pt>
                <c:pt idx="6">
                  <c:v>1.8076354861346939</c:v>
                </c:pt>
                <c:pt idx="7">
                  <c:v>2.3241027678874637</c:v>
                </c:pt>
                <c:pt idx="8">
                  <c:v>2.8405700496402333</c:v>
                </c:pt>
                <c:pt idx="9">
                  <c:v>3.3570373313930029</c:v>
                </c:pt>
                <c:pt idx="10">
                  <c:v>3.8735046131457724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48-4B1E-9688-3FB257DEC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65088"/>
        <c:axId val="665252608"/>
      </c:scatterChart>
      <c:valAx>
        <c:axId val="66526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52608"/>
        <c:crosses val="autoZero"/>
        <c:crossBetween val="midCat"/>
      </c:valAx>
      <c:valAx>
        <c:axId val="66525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65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WCB, 30K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L&amp;D'!$AB$139:$AB$150</c:f>
              <c:numCache>
                <c:formatCode>General</c:formatCode>
                <c:ptCount val="12"/>
                <c:pt idx="0">
                  <c:v>8.4917065928419924E-2</c:v>
                </c:pt>
                <c:pt idx="1">
                  <c:v>4.5695043963395958E-2</c:v>
                </c:pt>
                <c:pt idx="2">
                  <c:v>2.5157879734696464E-2</c:v>
                </c:pt>
                <c:pt idx="3">
                  <c:v>2.3305573242321413E-2</c:v>
                </c:pt>
                <c:pt idx="4">
                  <c:v>4.0138124486270806E-2</c:v>
                </c:pt>
                <c:pt idx="5">
                  <c:v>7.5655533466544675E-2</c:v>
                </c:pt>
                <c:pt idx="6">
                  <c:v>0.129857800183143</c:v>
                </c:pt>
                <c:pt idx="7">
                  <c:v>0.20274492463606572</c:v>
                </c:pt>
                <c:pt idx="8">
                  <c:v>0.29431690682531297</c:v>
                </c:pt>
                <c:pt idx="9">
                  <c:v>0.4045737467508847</c:v>
                </c:pt>
                <c:pt idx="10">
                  <c:v>0.53351544441278076</c:v>
                </c:pt>
                <c:pt idx="11">
                  <c:v>0.68114199981100132</c:v>
                </c:pt>
              </c:numCache>
            </c:numRef>
          </c:xVal>
          <c:yVal>
            <c:numRef>
              <c:f>'WCB L&amp;D'!$AA$139:$AA$150</c:f>
              <c:numCache>
                <c:formatCode>General</c:formatCode>
                <c:ptCount val="12"/>
                <c:pt idx="0">
                  <c:v>-0.7608191499083099</c:v>
                </c:pt>
                <c:pt idx="1">
                  <c:v>-0.4564914899449859</c:v>
                </c:pt>
                <c:pt idx="2">
                  <c:v>-0.15216382998166197</c:v>
                </c:pt>
                <c:pt idx="3">
                  <c:v>0.15216382998166197</c:v>
                </c:pt>
                <c:pt idx="4">
                  <c:v>0.4564914899449859</c:v>
                </c:pt>
                <c:pt idx="5">
                  <c:v>0.7608191499083099</c:v>
                </c:pt>
                <c:pt idx="6">
                  <c:v>1.0651468098716339</c:v>
                </c:pt>
                <c:pt idx="7">
                  <c:v>1.3694744698349577</c:v>
                </c:pt>
                <c:pt idx="8">
                  <c:v>1.6738021297982817</c:v>
                </c:pt>
                <c:pt idx="9">
                  <c:v>1.9781297897616057</c:v>
                </c:pt>
                <c:pt idx="10">
                  <c:v>2.2824574497249297</c:v>
                </c:pt>
                <c:pt idx="11">
                  <c:v>2.5867851096882535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BF-4F68-9345-77376A501DD2}"/>
            </c:ext>
          </c:extLst>
        </c:ser>
        <c:ser>
          <c:idx val="1"/>
          <c:order val="1"/>
          <c:tx>
            <c:v>M = 0.65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L&amp;D'!$AD$139:$AD$150</c:f>
              <c:numCache>
                <c:formatCode>General</c:formatCode>
                <c:ptCount val="12"/>
                <c:pt idx="0">
                  <c:v>9.5633582956228952E-2</c:v>
                </c:pt>
                <c:pt idx="1">
                  <c:v>4.992597082254227E-2</c:v>
                </c:pt>
                <c:pt idx="2">
                  <c:v>2.5992866666710971E-2</c:v>
                </c:pt>
                <c:pt idx="3">
                  <c:v>2.3834270488735047E-2</c:v>
                </c:pt>
                <c:pt idx="4">
                  <c:v>4.3450182288614497E-2</c:v>
                </c:pt>
                <c:pt idx="5">
                  <c:v>8.484060206634933E-2</c:v>
                </c:pt>
                <c:pt idx="6">
                  <c:v>0.14800552982193954</c:v>
                </c:pt>
                <c:pt idx="7">
                  <c:v>0.23294496555538508</c:v>
                </c:pt>
                <c:pt idx="8">
                  <c:v>0.33965890926668607</c:v>
                </c:pt>
                <c:pt idx="9">
                  <c:v>0.46814736095584236</c:v>
                </c:pt>
                <c:pt idx="10">
                  <c:v>0.61841032062285417</c:v>
                </c:pt>
                <c:pt idx="11">
                  <c:v>0.79044778826772122</c:v>
                </c:pt>
              </c:numCache>
            </c:numRef>
          </c:xVal>
          <c:yVal>
            <c:numRef>
              <c:f>'WCB L&amp;D'!$AC$139:$AC$150</c:f>
              <c:numCache>
                <c:formatCode>General</c:formatCode>
                <c:ptCount val="12"/>
                <c:pt idx="0">
                  <c:v>-0.82131681196568496</c:v>
                </c:pt>
                <c:pt idx="1">
                  <c:v>-0.49279008717941097</c:v>
                </c:pt>
                <c:pt idx="2">
                  <c:v>-0.16426336239313699</c:v>
                </c:pt>
                <c:pt idx="3">
                  <c:v>0.16426336239313699</c:v>
                </c:pt>
                <c:pt idx="4">
                  <c:v>0.49279008717941097</c:v>
                </c:pt>
                <c:pt idx="5">
                  <c:v>0.82131681196568496</c:v>
                </c:pt>
                <c:pt idx="6">
                  <c:v>1.149843536751959</c:v>
                </c:pt>
                <c:pt idx="7">
                  <c:v>1.4783702615382328</c:v>
                </c:pt>
                <c:pt idx="8">
                  <c:v>1.806896986324507</c:v>
                </c:pt>
                <c:pt idx="9">
                  <c:v>2.1354237111107808</c:v>
                </c:pt>
                <c:pt idx="10">
                  <c:v>2.463950435897055</c:v>
                </c:pt>
                <c:pt idx="11">
                  <c:v>2.7924771606833287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BF-4F68-9345-77376A501DD2}"/>
            </c:ext>
          </c:extLst>
        </c:ser>
        <c:ser>
          <c:idx val="2"/>
          <c:order val="2"/>
          <c:tx>
            <c:v>M = 0.70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L&amp;D'!$AF$139:$AF$149</c:f>
              <c:numCache>
                <c:formatCode>General</c:formatCode>
                <c:ptCount val="11"/>
                <c:pt idx="0">
                  <c:v>0.1098131092227627</c:v>
                </c:pt>
                <c:pt idx="1">
                  <c:v>5.5204120975079485E-2</c:v>
                </c:pt>
                <c:pt idx="2">
                  <c:v>2.6610139741631213E-2</c:v>
                </c:pt>
                <c:pt idx="3">
                  <c:v>2.4031165522417866E-2</c:v>
                </c:pt>
                <c:pt idx="4">
                  <c:v>4.7467198317439445E-2</c:v>
                </c:pt>
                <c:pt idx="5">
                  <c:v>9.6918238126695963E-2</c:v>
                </c:pt>
                <c:pt idx="6">
                  <c:v>0.17238428495018743</c:v>
                </c:pt>
                <c:pt idx="7">
                  <c:v>0.27386533878791375</c:v>
                </c:pt>
                <c:pt idx="8">
                  <c:v>0.4013613996398751</c:v>
                </c:pt>
                <c:pt idx="9">
                  <c:v>0.55487246750607122</c:v>
                </c:pt>
                <c:pt idx="10">
                  <c:v>0.73439854238650248</c:v>
                </c:pt>
              </c:numCache>
            </c:numRef>
          </c:xVal>
          <c:yVal>
            <c:numRef>
              <c:f>'WCB L&amp;D'!$AE$139:$AE$149</c:f>
              <c:numCache>
                <c:formatCode>General</c:formatCode>
                <c:ptCount val="11"/>
                <c:pt idx="0">
                  <c:v>-0.89773573144003305</c:v>
                </c:pt>
                <c:pt idx="1">
                  <c:v>-0.53864143886401983</c:v>
                </c:pt>
                <c:pt idx="2">
                  <c:v>-0.17954714628800661</c:v>
                </c:pt>
                <c:pt idx="3">
                  <c:v>0.17954714628800661</c:v>
                </c:pt>
                <c:pt idx="4">
                  <c:v>0.53864143886401983</c:v>
                </c:pt>
                <c:pt idx="5">
                  <c:v>0.89773573144003305</c:v>
                </c:pt>
                <c:pt idx="6">
                  <c:v>1.2568300240160464</c:v>
                </c:pt>
                <c:pt idx="7">
                  <c:v>1.6159243165920594</c:v>
                </c:pt>
                <c:pt idx="8">
                  <c:v>1.9750186091680728</c:v>
                </c:pt>
                <c:pt idx="9">
                  <c:v>2.3341129017440858</c:v>
                </c:pt>
                <c:pt idx="10">
                  <c:v>2.6932071943200993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8BF-4F68-9345-77376A501DD2}"/>
            </c:ext>
          </c:extLst>
        </c:ser>
        <c:ser>
          <c:idx val="3"/>
          <c:order val="3"/>
          <c:tx>
            <c:v>M = 0.75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L&amp;D'!$AH$139:$AH$149</c:f>
              <c:numCache>
                <c:formatCode>General</c:formatCode>
                <c:ptCount val="11"/>
                <c:pt idx="0">
                  <c:v>0.12994662634897206</c:v>
                </c:pt>
                <c:pt idx="1">
                  <c:v>6.2769317991120871E-2</c:v>
                </c:pt>
                <c:pt idx="2">
                  <c:v>2.7594399792934741E-2</c:v>
                </c:pt>
                <c:pt idx="3">
                  <c:v>2.4421871754413654E-2</c:v>
                </c:pt>
                <c:pt idx="4">
                  <c:v>5.3251733875557615E-2</c:v>
                </c:pt>
                <c:pt idx="5">
                  <c:v>0.11408398615636661</c:v>
                </c:pt>
                <c:pt idx="6">
                  <c:v>0.20691862859684065</c:v>
                </c:pt>
                <c:pt idx="7">
                  <c:v>0.33175566119697969</c:v>
                </c:pt>
                <c:pt idx="8">
                  <c:v>0.48859508395678397</c:v>
                </c:pt>
                <c:pt idx="9">
                  <c:v>0.67743689687625297</c:v>
                </c:pt>
                <c:pt idx="10">
                  <c:v>0.89828109995538719</c:v>
                </c:pt>
              </c:numCache>
            </c:numRef>
          </c:xVal>
          <c:yVal>
            <c:numRef>
              <c:f>'WCB L&amp;D'!$AG$139:$AG$149</c:f>
              <c:numCache>
                <c:formatCode>General</c:formatCode>
                <c:ptCount val="11"/>
                <c:pt idx="0">
                  <c:v>-0.99569825350747698</c:v>
                </c:pt>
                <c:pt idx="1">
                  <c:v>-0.59741895210448615</c:v>
                </c:pt>
                <c:pt idx="2">
                  <c:v>-0.19913965070149539</c:v>
                </c:pt>
                <c:pt idx="3">
                  <c:v>0.19913965070149539</c:v>
                </c:pt>
                <c:pt idx="4">
                  <c:v>0.59741895210448615</c:v>
                </c:pt>
                <c:pt idx="5">
                  <c:v>0.99569825350747698</c:v>
                </c:pt>
                <c:pt idx="6">
                  <c:v>1.3939775549104678</c:v>
                </c:pt>
                <c:pt idx="7">
                  <c:v>1.7922568563134584</c:v>
                </c:pt>
                <c:pt idx="8">
                  <c:v>2.1905361577164495</c:v>
                </c:pt>
                <c:pt idx="9">
                  <c:v>2.5888154591194401</c:v>
                </c:pt>
                <c:pt idx="10">
                  <c:v>2.9870947605224307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8BF-4F68-9345-77376A501DD2}"/>
            </c:ext>
          </c:extLst>
        </c:ser>
        <c:ser>
          <c:idx val="4"/>
          <c:order val="4"/>
          <c:tx>
            <c:v>M = 0.80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L&amp;D'!$AJ$139:$AJ$149</c:f>
              <c:numCache>
                <c:formatCode>General</c:formatCode>
                <c:ptCount val="11"/>
                <c:pt idx="0">
                  <c:v>0.1482352229371974</c:v>
                </c:pt>
                <c:pt idx="1">
                  <c:v>6.6818418934789195E-2</c:v>
                </c:pt>
                <c:pt idx="2">
                  <c:v>2.6110016933585084E-2</c:v>
                </c:pt>
                <c:pt idx="3">
                  <c:v>2.6110016933585084E-2</c:v>
                </c:pt>
                <c:pt idx="4">
                  <c:v>6.6818418934789195E-2</c:v>
                </c:pt>
                <c:pt idx="5">
                  <c:v>0.1482352229371974</c:v>
                </c:pt>
                <c:pt idx="6">
                  <c:v>0.27036042894080969</c:v>
                </c:pt>
                <c:pt idx="7">
                  <c:v>0.43319403694562608</c:v>
                </c:pt>
                <c:pt idx="8">
                  <c:v>0.63673604695164665</c:v>
                </c:pt>
                <c:pt idx="9">
                  <c:v>0.8809864589588714</c:v>
                </c:pt>
                <c:pt idx="10">
                  <c:v>1.1659452729673001</c:v>
                </c:pt>
              </c:numCache>
            </c:numRef>
          </c:xVal>
          <c:yVal>
            <c:numRef>
              <c:f>'WCB L&amp;D'!$AI$139:$AI$149</c:f>
              <c:numCache>
                <c:formatCode>General</c:formatCode>
                <c:ptCount val="11"/>
                <c:pt idx="0">
                  <c:v>-1.1229969191984597</c:v>
                </c:pt>
                <c:pt idx="1">
                  <c:v>-0.67379815151907585</c:v>
                </c:pt>
                <c:pt idx="2">
                  <c:v>-0.22459938383969194</c:v>
                </c:pt>
                <c:pt idx="3">
                  <c:v>0.22459938383969194</c:v>
                </c:pt>
                <c:pt idx="4">
                  <c:v>0.67379815151907585</c:v>
                </c:pt>
                <c:pt idx="5">
                  <c:v>1.1229969191984597</c:v>
                </c:pt>
                <c:pt idx="6">
                  <c:v>1.5721956868778435</c:v>
                </c:pt>
                <c:pt idx="7">
                  <c:v>2.0213944545572273</c:v>
                </c:pt>
                <c:pt idx="8">
                  <c:v>2.4705932222366114</c:v>
                </c:pt>
                <c:pt idx="9">
                  <c:v>2.9197919899159954</c:v>
                </c:pt>
                <c:pt idx="10">
                  <c:v>3.368990757595379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8BF-4F68-9345-77376A501DD2}"/>
            </c:ext>
          </c:extLst>
        </c:ser>
        <c:ser>
          <c:idx val="5"/>
          <c:order val="5"/>
          <c:tx>
            <c:v>M = 0.85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L&amp;D'!$AL$139:$AL$149</c:f>
              <c:numCache>
                <c:formatCode>General</c:formatCode>
                <c:ptCount val="11"/>
                <c:pt idx="0">
                  <c:v>0.18977873331150799</c:v>
                </c:pt>
                <c:pt idx="1">
                  <c:v>8.1945147975540505E-2</c:v>
                </c:pt>
                <c:pt idx="2">
                  <c:v>2.8028355307556766E-2</c:v>
                </c:pt>
                <c:pt idx="3">
                  <c:v>2.8028355307556766E-2</c:v>
                </c:pt>
                <c:pt idx="4">
                  <c:v>8.1945147975540505E-2</c:v>
                </c:pt>
                <c:pt idx="5">
                  <c:v>0.18977873331150799</c:v>
                </c:pt>
                <c:pt idx="6">
                  <c:v>0.35152911131545922</c:v>
                </c:pt>
                <c:pt idx="7">
                  <c:v>0.56719628198739414</c:v>
                </c:pt>
                <c:pt idx="8">
                  <c:v>0.83678024532731299</c:v>
                </c:pt>
                <c:pt idx="9">
                  <c:v>1.1602810013352154</c:v>
                </c:pt>
                <c:pt idx="10">
                  <c:v>1.5376985500111016</c:v>
                </c:pt>
              </c:numCache>
            </c:numRef>
          </c:xVal>
          <c:yVal>
            <c:numRef>
              <c:f>'WCB L&amp;D'!$AK$139:$AK$149</c:f>
              <c:numCache>
                <c:formatCode>General</c:formatCode>
                <c:ptCount val="11"/>
                <c:pt idx="0">
                  <c:v>-1.2924047999753883</c:v>
                </c:pt>
                <c:pt idx="1">
                  <c:v>-0.77544287998523287</c:v>
                </c:pt>
                <c:pt idx="2">
                  <c:v>-0.25848095999507764</c:v>
                </c:pt>
                <c:pt idx="3">
                  <c:v>0.25848095999507764</c:v>
                </c:pt>
                <c:pt idx="4">
                  <c:v>0.77544287998523287</c:v>
                </c:pt>
                <c:pt idx="5">
                  <c:v>1.2924047999753883</c:v>
                </c:pt>
                <c:pt idx="6">
                  <c:v>1.8093667199655434</c:v>
                </c:pt>
                <c:pt idx="7">
                  <c:v>2.3263286399556988</c:v>
                </c:pt>
                <c:pt idx="8">
                  <c:v>2.8432905599458542</c:v>
                </c:pt>
                <c:pt idx="9">
                  <c:v>3.3602524799360092</c:v>
                </c:pt>
                <c:pt idx="10">
                  <c:v>3.8772143999261646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BF-4F68-9345-77376A50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431871"/>
        <c:axId val="1504434367"/>
      </c:scatterChart>
      <c:valAx>
        <c:axId val="150443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34367"/>
        <c:crosses val="autoZero"/>
        <c:crossBetween val="midCat"/>
      </c:valAx>
      <c:valAx>
        <c:axId val="15044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3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C_D_0 vs.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L&amp;D'!$A$68:$A$85</c:f>
              <c:numCache>
                <c:formatCode>General</c:formatCode>
                <c:ptCount val="18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</c:numCache>
            </c:numRef>
          </c:xVal>
          <c:yVal>
            <c:numRef>
              <c:f>'WCB L&amp;D'!$B$68:$B$85</c:f>
              <c:numCache>
                <c:formatCode>0.0000000</c:formatCode>
                <c:ptCount val="18"/>
                <c:pt idx="0">
                  <c:v>2.8193340127687039E-2</c:v>
                </c:pt>
                <c:pt idx="1">
                  <c:v>2.6427528405106003E-2</c:v>
                </c:pt>
                <c:pt idx="2">
                  <c:v>2.526690211376352E-2</c:v>
                </c:pt>
                <c:pt idx="3">
                  <c:v>2.4415044606376321E-2</c:v>
                </c:pt>
                <c:pt idx="4">
                  <c:v>2.4225582018633493E-2</c:v>
                </c:pt>
                <c:pt idx="5">
                  <c:v>2.3670766826330847E-2</c:v>
                </c:pt>
                <c:pt idx="6">
                  <c:v>2.320438764612312E-2</c:v>
                </c:pt>
                <c:pt idx="7">
                  <c:v>2.2803584569208939E-2</c:v>
                </c:pt>
                <c:pt idx="8">
                  <c:v>2.2453191505440354E-2</c:v>
                </c:pt>
                <c:pt idx="9">
                  <c:v>2.2142660365622478E-2</c:v>
                </c:pt>
                <c:pt idx="10">
                  <c:v>2.1864375598388285E-2</c:v>
                </c:pt>
                <c:pt idx="11">
                  <c:v>2.2085814374865963E-2</c:v>
                </c:pt>
                <c:pt idx="12">
                  <c:v>2.1851354622717648E-2</c:v>
                </c:pt>
                <c:pt idx="13">
                  <c:v>2.163618810196891E-2</c:v>
                </c:pt>
                <c:pt idx="14">
                  <c:v>2.143758047240259E-2</c:v>
                </c:pt>
                <c:pt idx="15">
                  <c:v>2.1708690725908513E-2</c:v>
                </c:pt>
                <c:pt idx="16">
                  <c:v>2.1533321791763739E-2</c:v>
                </c:pt>
                <c:pt idx="17">
                  <c:v>2.1369251309039092E-2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DC-4E8C-A081-DD4ECE47B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495536"/>
        <c:axId val="1743493040"/>
      </c:scatterChart>
      <c:valAx>
        <c:axId val="174349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93040"/>
        <c:crosses val="autoZero"/>
        <c:crossBetween val="midCat"/>
      </c:valAx>
      <c:valAx>
        <c:axId val="1743493040"/>
        <c:scaling>
          <c:orientation val="minMax"/>
          <c:max val="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C_D_0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9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WCB,</a:t>
            </a:r>
            <a:r>
              <a:rPr lang="en-US" baseline="0"/>
              <a:t> </a:t>
            </a:r>
            <a:r>
              <a:rPr lang="en-US"/>
              <a:t>5K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'WCB L&amp;D'!$H$66:$H$77</c:f>
              <c:numCache>
                <c:formatCode>General</c:formatCode>
                <c:ptCount val="12"/>
                <c:pt idx="0">
                  <c:v>5.9624958379171256E-2</c:v>
                </c:pt>
                <c:pt idx="1">
                  <c:v>4.0205582883791245E-2</c:v>
                </c:pt>
                <c:pt idx="2">
                  <c:v>3.0037418045282725E-2</c:v>
                </c:pt>
                <c:pt idx="3">
                  <c:v>2.9120463863645672E-2</c:v>
                </c:pt>
                <c:pt idx="4">
                  <c:v>3.7454720338880088E-2</c:v>
                </c:pt>
                <c:pt idx="5">
                  <c:v>5.5040187470985984E-2</c:v>
                </c:pt>
                <c:pt idx="6">
                  <c:v>8.187686525996335E-2</c:v>
                </c:pt>
                <c:pt idx="7">
                  <c:v>0.11796475370581219</c:v>
                </c:pt>
                <c:pt idx="8">
                  <c:v>0.16330385280853252</c:v>
                </c:pt>
                <c:pt idx="9">
                  <c:v>0.21789416256812433</c:v>
                </c:pt>
                <c:pt idx="10">
                  <c:v>0.28173568298458751</c:v>
                </c:pt>
                <c:pt idx="11">
                  <c:v>0.35482841405792231</c:v>
                </c:pt>
              </c:numCache>
            </c:numRef>
          </c:xVal>
          <c:yVal>
            <c:numRef>
              <c:f>'WCB L&amp;D'!$G$66:$G$77</c:f>
              <c:numCache>
                <c:formatCode>General</c:formatCode>
                <c:ptCount val="12"/>
                <c:pt idx="0">
                  <c:v>-0.53534755393543543</c:v>
                </c:pt>
                <c:pt idx="1">
                  <c:v>-0.32120853236126123</c:v>
                </c:pt>
                <c:pt idx="2">
                  <c:v>-0.10706951078708708</c:v>
                </c:pt>
                <c:pt idx="3">
                  <c:v>0.10706951078708708</c:v>
                </c:pt>
                <c:pt idx="4">
                  <c:v>0.32120853236126123</c:v>
                </c:pt>
                <c:pt idx="5">
                  <c:v>0.53534755393543543</c:v>
                </c:pt>
                <c:pt idx="6">
                  <c:v>0.74948657550960962</c:v>
                </c:pt>
                <c:pt idx="7">
                  <c:v>0.9636255970837837</c:v>
                </c:pt>
                <c:pt idx="8">
                  <c:v>1.177764618657958</c:v>
                </c:pt>
                <c:pt idx="9">
                  <c:v>1.3919036402321321</c:v>
                </c:pt>
                <c:pt idx="10">
                  <c:v>1.6060426618063062</c:v>
                </c:pt>
                <c:pt idx="11">
                  <c:v>1.8201816833804805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FB-4A42-9087-0D05532DDF69}"/>
            </c:ext>
          </c:extLst>
        </c:ser>
        <c:ser>
          <c:idx val="1"/>
          <c:order val="1"/>
          <c:tx>
            <c:v>M = 0.2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'WCB L&amp;D'!$L$66:$L$77</c:f>
              <c:numCache>
                <c:formatCode>General</c:formatCode>
                <c:ptCount val="12"/>
                <c:pt idx="0">
                  <c:v>5.8463153147994856E-2</c:v>
                </c:pt>
                <c:pt idx="1">
                  <c:v>3.7953553433869136E-2</c:v>
                </c:pt>
                <c:pt idx="2">
                  <c:v>2.7214527239278485E-2</c:v>
                </c:pt>
                <c:pt idx="3">
                  <c:v>2.6246074564222902E-2</c:v>
                </c:pt>
                <c:pt idx="4">
                  <c:v>3.5048195408702389E-2</c:v>
                </c:pt>
                <c:pt idx="5">
                  <c:v>5.3620889772716937E-2</c:v>
                </c:pt>
                <c:pt idx="6">
                  <c:v>8.1964157656266592E-2</c:v>
                </c:pt>
                <c:pt idx="7">
                  <c:v>0.12007799905935126</c:v>
                </c:pt>
                <c:pt idx="8">
                  <c:v>0.16796241398197106</c:v>
                </c:pt>
                <c:pt idx="9">
                  <c:v>0.22561740242412587</c:v>
                </c:pt>
                <c:pt idx="10">
                  <c:v>0.29304296438581579</c:v>
                </c:pt>
                <c:pt idx="11">
                  <c:v>0.37023909986704079</c:v>
                </c:pt>
              </c:numCache>
            </c:numRef>
          </c:xVal>
          <c:yVal>
            <c:numRef>
              <c:f>'WCB L&amp;D'!$K$66:$K$77</c:f>
              <c:numCache>
                <c:formatCode>General</c:formatCode>
                <c:ptCount val="12"/>
                <c:pt idx="0">
                  <c:v>-0.55016957028858915</c:v>
                </c:pt>
                <c:pt idx="1">
                  <c:v>-0.33010174217315352</c:v>
                </c:pt>
                <c:pt idx="2">
                  <c:v>-0.11003391405771784</c:v>
                </c:pt>
                <c:pt idx="3">
                  <c:v>0.11003391405771784</c:v>
                </c:pt>
                <c:pt idx="4">
                  <c:v>0.33010174217315352</c:v>
                </c:pt>
                <c:pt idx="5">
                  <c:v>0.55016957028858915</c:v>
                </c:pt>
                <c:pt idx="6">
                  <c:v>0.77023739840402494</c:v>
                </c:pt>
                <c:pt idx="7">
                  <c:v>0.99030522651946051</c:v>
                </c:pt>
                <c:pt idx="8">
                  <c:v>1.2103730546348963</c:v>
                </c:pt>
                <c:pt idx="9">
                  <c:v>1.4304408827503319</c:v>
                </c:pt>
                <c:pt idx="10">
                  <c:v>1.6505087108657677</c:v>
                </c:pt>
                <c:pt idx="11">
                  <c:v>1.8705765389812032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FB-4A42-9087-0D05532DDF69}"/>
            </c:ext>
          </c:extLst>
        </c:ser>
        <c:ser>
          <c:idx val="2"/>
          <c:order val="2"/>
          <c:tx>
            <c:v>M = 0.3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'WCB L&amp;D'!$P$66:$P$77</c:f>
              <c:numCache>
                <c:formatCode>General</c:formatCode>
                <c:ptCount val="12"/>
                <c:pt idx="0">
                  <c:v>6.0491841537006902E-2</c:v>
                </c:pt>
                <c:pt idx="1">
                  <c:v>3.80855170027374E-2</c:v>
                </c:pt>
                <c:pt idx="2">
                  <c:v>2.6353338945686155E-2</c:v>
                </c:pt>
                <c:pt idx="3">
                  <c:v>2.5295307365853184E-2</c:v>
                </c:pt>
                <c:pt idx="4">
                  <c:v>3.4911422263238484E-2</c:v>
                </c:pt>
                <c:pt idx="5">
                  <c:v>5.5201683637842044E-2</c:v>
                </c:pt>
                <c:pt idx="6">
                  <c:v>8.6166091489663907E-2</c:v>
                </c:pt>
                <c:pt idx="7">
                  <c:v>0.12780464581870402</c:v>
                </c:pt>
                <c:pt idx="8">
                  <c:v>0.18011734662496245</c:v>
                </c:pt>
                <c:pt idx="9">
                  <c:v>0.24310419390843901</c:v>
                </c:pt>
                <c:pt idx="10">
                  <c:v>0.31676518766913397</c:v>
                </c:pt>
                <c:pt idx="11">
                  <c:v>0.40110032790704719</c:v>
                </c:pt>
              </c:numCache>
            </c:numRef>
          </c:xVal>
          <c:yVal>
            <c:numRef>
              <c:f>'WCB L&amp;D'!$O$66:$O$77</c:f>
              <c:numCache>
                <c:formatCode>General</c:formatCode>
                <c:ptCount val="12"/>
                <c:pt idx="0">
                  <c:v>-0.57504670145380987</c:v>
                </c:pt>
                <c:pt idx="1">
                  <c:v>-0.34502802087228596</c:v>
                </c:pt>
                <c:pt idx="2">
                  <c:v>-0.11500934029076199</c:v>
                </c:pt>
                <c:pt idx="3">
                  <c:v>0.11500934029076199</c:v>
                </c:pt>
                <c:pt idx="4">
                  <c:v>0.34502802087228596</c:v>
                </c:pt>
                <c:pt idx="5">
                  <c:v>0.57504670145380987</c:v>
                </c:pt>
                <c:pt idx="6">
                  <c:v>0.80506538203533395</c:v>
                </c:pt>
                <c:pt idx="7">
                  <c:v>1.0350840626168578</c:v>
                </c:pt>
                <c:pt idx="8">
                  <c:v>1.2651027431983819</c:v>
                </c:pt>
                <c:pt idx="9">
                  <c:v>1.4951214237799058</c:v>
                </c:pt>
                <c:pt idx="10">
                  <c:v>1.7251401043614298</c:v>
                </c:pt>
                <c:pt idx="11">
                  <c:v>1.9551587849429537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FB-4A42-9087-0D05532DDF69}"/>
            </c:ext>
          </c:extLst>
        </c:ser>
        <c:ser>
          <c:idx val="3"/>
          <c:order val="3"/>
          <c:tx>
            <c:v>M = 0.4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'WCB L&amp;D'!$T$66:$T$77</c:f>
              <c:numCache>
                <c:formatCode>General</c:formatCode>
                <c:ptCount val="12"/>
                <c:pt idx="0">
                  <c:v>6.4595721297335457E-2</c:v>
                </c:pt>
                <c:pt idx="1">
                  <c:v>3.9023010053538899E-2</c:v>
                </c:pt>
                <c:pt idx="2">
                  <c:v>2.5632863400903046E-2</c:v>
                </c:pt>
                <c:pt idx="3">
                  <c:v>2.4425281339427892E-2</c:v>
                </c:pt>
                <c:pt idx="4">
                  <c:v>3.5400263869113435E-2</c:v>
                </c:pt>
                <c:pt idx="5">
                  <c:v>5.8557810989959672E-2</c:v>
                </c:pt>
                <c:pt idx="6">
                  <c:v>9.3897922701966605E-2</c:v>
                </c:pt>
                <c:pt idx="7">
                  <c:v>0.14142059900513426</c:v>
                </c:pt>
                <c:pt idx="8">
                  <c:v>0.20112583989946259</c:v>
                </c:pt>
                <c:pt idx="9">
                  <c:v>0.2730136453849516</c:v>
                </c:pt>
                <c:pt idx="10">
                  <c:v>0.35708401546160129</c:v>
                </c:pt>
                <c:pt idx="11">
                  <c:v>0.45333695012941166</c:v>
                </c:pt>
              </c:numCache>
            </c:numRef>
          </c:xVal>
          <c:yVal>
            <c:numRef>
              <c:f>'WCB L&amp;D'!$S$66:$S$77</c:f>
              <c:numCache>
                <c:formatCode>General</c:formatCode>
                <c:ptCount val="12"/>
                <c:pt idx="0">
                  <c:v>-0.61433590552046735</c:v>
                </c:pt>
                <c:pt idx="1">
                  <c:v>-0.36860154331228046</c:v>
                </c:pt>
                <c:pt idx="2">
                  <c:v>-0.12286718110409348</c:v>
                </c:pt>
                <c:pt idx="3">
                  <c:v>0.12286718110409348</c:v>
                </c:pt>
                <c:pt idx="4">
                  <c:v>0.36860154331228046</c:v>
                </c:pt>
                <c:pt idx="5">
                  <c:v>0.61433590552046735</c:v>
                </c:pt>
                <c:pt idx="6">
                  <c:v>0.86007026772865436</c:v>
                </c:pt>
                <c:pt idx="7">
                  <c:v>1.1058046299368414</c:v>
                </c:pt>
                <c:pt idx="8">
                  <c:v>1.3515389921450283</c:v>
                </c:pt>
                <c:pt idx="9">
                  <c:v>1.5972733543532152</c:v>
                </c:pt>
                <c:pt idx="10">
                  <c:v>1.8430077165614021</c:v>
                </c:pt>
                <c:pt idx="11">
                  <c:v>2.088742078769589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FB-4A42-9087-0D05532DDF69}"/>
            </c:ext>
          </c:extLst>
        </c:ser>
        <c:ser>
          <c:idx val="4"/>
          <c:order val="4"/>
          <c:tx>
            <c:v>M = 0.5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'WCB L&amp;D'!$X$66:$X$77</c:f>
              <c:numCache>
                <c:formatCode>General</c:formatCode>
                <c:ptCount val="12"/>
                <c:pt idx="0">
                  <c:v>7.2116525059701772E-2</c:v>
                </c:pt>
                <c:pt idx="1">
                  <c:v>4.1433191041886967E-2</c:v>
                </c:pt>
                <c:pt idx="2">
                  <c:v>2.5367040737135978E-2</c:v>
                </c:pt>
                <c:pt idx="3">
                  <c:v>2.39180741454488E-2</c:v>
                </c:pt>
                <c:pt idx="4">
                  <c:v>3.708629126682543E-2</c:v>
                </c:pt>
                <c:pt idx="5">
                  <c:v>6.4871692101265893E-2</c:v>
                </c:pt>
                <c:pt idx="6">
                  <c:v>0.10727427664877015</c:v>
                </c:pt>
                <c:pt idx="7">
                  <c:v>0.16429404490933824</c:v>
                </c:pt>
                <c:pt idx="8">
                  <c:v>0.23593099688297009</c:v>
                </c:pt>
                <c:pt idx="9">
                  <c:v>0.32218513256966586</c:v>
                </c:pt>
                <c:pt idx="10">
                  <c:v>0.42305645196942532</c:v>
                </c:pt>
                <c:pt idx="11">
                  <c:v>0.53854495508224864</c:v>
                </c:pt>
              </c:numCache>
            </c:numRef>
          </c:xVal>
          <c:yVal>
            <c:numRef>
              <c:f>'WCB L&amp;D'!$W$66:$W$77</c:f>
              <c:numCache>
                <c:formatCode>General</c:formatCode>
                <c:ptCount val="12"/>
                <c:pt idx="0">
                  <c:v>-0.67292767597279368</c:v>
                </c:pt>
                <c:pt idx="1">
                  <c:v>-0.40375660558367621</c:v>
                </c:pt>
                <c:pt idx="2">
                  <c:v>-0.13458553519455874</c:v>
                </c:pt>
                <c:pt idx="3">
                  <c:v>0.13458553519455874</c:v>
                </c:pt>
                <c:pt idx="4">
                  <c:v>0.40375660558367621</c:v>
                </c:pt>
                <c:pt idx="5">
                  <c:v>0.67292767597279368</c:v>
                </c:pt>
                <c:pt idx="6">
                  <c:v>0.94209874636191115</c:v>
                </c:pt>
                <c:pt idx="7">
                  <c:v>1.2112698167510287</c:v>
                </c:pt>
                <c:pt idx="8">
                  <c:v>1.480440887140146</c:v>
                </c:pt>
                <c:pt idx="9">
                  <c:v>1.7496119575292637</c:v>
                </c:pt>
                <c:pt idx="10">
                  <c:v>2.0187830279183809</c:v>
                </c:pt>
                <c:pt idx="11">
                  <c:v>2.2879540983074986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BFB-4A42-9087-0D05532DDF69}"/>
            </c:ext>
          </c:extLst>
        </c:ser>
        <c:ser>
          <c:idx val="5"/>
          <c:order val="5"/>
          <c:tx>
            <c:v>M = 0.6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'WCB L&amp;D'!$AB$66:$AB$77</c:f>
              <c:numCache>
                <c:formatCode>General</c:formatCode>
                <c:ptCount val="12"/>
                <c:pt idx="0">
                  <c:v>8.5346253112346018E-2</c:v>
                </c:pt>
                <c:pt idx="1">
                  <c:v>4.6125542466848454E-2</c:v>
                </c:pt>
                <c:pt idx="2">
                  <c:v>2.558907289355598E-2</c:v>
                </c:pt>
                <c:pt idx="3">
                  <c:v>2.3736844392468624E-2</c:v>
                </c:pt>
                <c:pt idx="4">
                  <c:v>4.0568856963586385E-2</c:v>
                </c:pt>
                <c:pt idx="5">
                  <c:v>7.6085110606909229E-2</c:v>
                </c:pt>
                <c:pt idx="6">
                  <c:v>0.13028560532243721</c:v>
                </c:pt>
                <c:pt idx="7">
                  <c:v>0.20317034111017035</c:v>
                </c:pt>
                <c:pt idx="8">
                  <c:v>0.29473931797010855</c:v>
                </c:pt>
                <c:pt idx="9">
                  <c:v>0.40499253590225182</c:v>
                </c:pt>
                <c:pt idx="10">
                  <c:v>0.53392999490660031</c:v>
                </c:pt>
                <c:pt idx="11">
                  <c:v>0.68155169498315371</c:v>
                </c:pt>
              </c:numCache>
            </c:numRef>
          </c:xVal>
          <c:yVal>
            <c:numRef>
              <c:f>'WCB L&amp;D'!$AA$66:$AA$77</c:f>
              <c:numCache>
                <c:formatCode>General</c:formatCode>
                <c:ptCount val="12"/>
                <c:pt idx="0">
                  <c:v>-0.76080659498954106</c:v>
                </c:pt>
                <c:pt idx="1">
                  <c:v>-0.45648395699372468</c:v>
                </c:pt>
                <c:pt idx="2">
                  <c:v>-0.15216131899790822</c:v>
                </c:pt>
                <c:pt idx="3">
                  <c:v>0.15216131899790822</c:v>
                </c:pt>
                <c:pt idx="4">
                  <c:v>0.45648395699372468</c:v>
                </c:pt>
                <c:pt idx="5">
                  <c:v>0.76080659498954106</c:v>
                </c:pt>
                <c:pt idx="6">
                  <c:v>1.0651292329853574</c:v>
                </c:pt>
                <c:pt idx="7">
                  <c:v>1.369451870981174</c:v>
                </c:pt>
                <c:pt idx="8">
                  <c:v>1.6737745089769904</c:v>
                </c:pt>
                <c:pt idx="9">
                  <c:v>1.9780971469728068</c:v>
                </c:pt>
                <c:pt idx="10">
                  <c:v>2.2824197849686234</c:v>
                </c:pt>
                <c:pt idx="11">
                  <c:v>2.5867424229644396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BFB-4A42-9087-0D05532DDF69}"/>
            </c:ext>
          </c:extLst>
        </c:ser>
        <c:ser>
          <c:idx val="6"/>
          <c:order val="6"/>
          <c:tx>
            <c:v>M = 0.7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'WCB L&amp;D'!$AF$66:$AF$77</c:f>
              <c:numCache>
                <c:formatCode>General</c:formatCode>
                <c:ptCount val="12"/>
                <c:pt idx="0">
                  <c:v>0.11027079415584475</c:v>
                </c:pt>
                <c:pt idx="1">
                  <c:v>5.5643249193920483E-2</c:v>
                </c:pt>
                <c:pt idx="2">
                  <c:v>2.7039438324362293E-2</c:v>
                </c:pt>
                <c:pt idx="3">
                  <c:v>2.4459361547170159E-2</c:v>
                </c:pt>
                <c:pt idx="4">
                  <c:v>4.7903018862344084E-2</c:v>
                </c:pt>
                <c:pt idx="5">
                  <c:v>9.7370410269884078E-2</c:v>
                </c:pt>
                <c:pt idx="6">
                  <c:v>0.17286153576979016</c:v>
                </c:pt>
                <c:pt idx="7">
                  <c:v>0.27437639536206221</c:v>
                </c:pt>
                <c:pt idx="8">
                  <c:v>0.40191498904670042</c:v>
                </c:pt>
                <c:pt idx="9">
                  <c:v>0.55547731682370471</c:v>
                </c:pt>
                <c:pt idx="10">
                  <c:v>0.73506337869307492</c:v>
                </c:pt>
                <c:pt idx="11">
                  <c:v>0.94067317465481159</c:v>
                </c:pt>
              </c:numCache>
            </c:numRef>
          </c:xVal>
          <c:yVal>
            <c:numRef>
              <c:f>'WCB L&amp;D'!$AE$66:$AE$77</c:f>
              <c:numCache>
                <c:formatCode>General</c:formatCode>
                <c:ptCount val="12"/>
                <c:pt idx="0">
                  <c:v>-0.89788629747523374</c:v>
                </c:pt>
                <c:pt idx="1">
                  <c:v>-0.5387317784851402</c:v>
                </c:pt>
                <c:pt idx="2">
                  <c:v>-0.17957725949504674</c:v>
                </c:pt>
                <c:pt idx="3">
                  <c:v>0.17957725949504674</c:v>
                </c:pt>
                <c:pt idx="4">
                  <c:v>0.5387317784851402</c:v>
                </c:pt>
                <c:pt idx="5">
                  <c:v>0.89788629747523374</c:v>
                </c:pt>
                <c:pt idx="6">
                  <c:v>1.2570408164653273</c:v>
                </c:pt>
                <c:pt idx="7">
                  <c:v>1.6161953354554206</c:v>
                </c:pt>
                <c:pt idx="8">
                  <c:v>1.9753498544455141</c:v>
                </c:pt>
                <c:pt idx="9">
                  <c:v>2.3345043734356077</c:v>
                </c:pt>
                <c:pt idx="10">
                  <c:v>2.693658892425701</c:v>
                </c:pt>
                <c:pt idx="11">
                  <c:v>3.0528134114157948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BFB-4A42-9087-0D05532DDF69}"/>
            </c:ext>
          </c:extLst>
        </c:ser>
        <c:ser>
          <c:idx val="7"/>
          <c:order val="7"/>
          <c:tx>
            <c:v>M = 0.8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'WCB L&amp;D'!$AJ$66:$AJ$77</c:f>
              <c:numCache>
                <c:formatCode>General</c:formatCode>
                <c:ptCount val="12"/>
                <c:pt idx="0">
                  <c:v>0.14902260775513071</c:v>
                </c:pt>
                <c:pt idx="1">
                  <c:v>6.7514674797125335E-2</c:v>
                </c:pt>
                <c:pt idx="2">
                  <c:v>2.6760708318122627E-2</c:v>
                </c:pt>
                <c:pt idx="3">
                  <c:v>2.6760708318122627E-2</c:v>
                </c:pt>
                <c:pt idx="4">
                  <c:v>6.7514674797125335E-2</c:v>
                </c:pt>
                <c:pt idx="5">
                  <c:v>0.14902260775513071</c:v>
                </c:pt>
                <c:pt idx="6">
                  <c:v>0.27128450719213881</c:v>
                </c:pt>
                <c:pt idx="7">
                  <c:v>0.43430037310814962</c:v>
                </c:pt>
                <c:pt idx="8">
                  <c:v>0.63807020550316318</c:v>
                </c:pt>
                <c:pt idx="9">
                  <c:v>0.88259400437717928</c:v>
                </c:pt>
                <c:pt idx="10">
                  <c:v>1.1678717697301979</c:v>
                </c:pt>
                <c:pt idx="11">
                  <c:v>1.4939035015622197</c:v>
                </c:pt>
              </c:numCache>
            </c:numRef>
          </c:xVal>
          <c:yVal>
            <c:numRef>
              <c:f>'WCB L&amp;D'!$AI$66:$AI$77</c:f>
              <c:numCache>
                <c:formatCode>General</c:formatCode>
                <c:ptCount val="12"/>
                <c:pt idx="0">
                  <c:v>-1.1236252226385615</c:v>
                </c:pt>
                <c:pt idx="1">
                  <c:v>-0.67417513358313697</c:v>
                </c:pt>
                <c:pt idx="2">
                  <c:v>-0.2247250445277123</c:v>
                </c:pt>
                <c:pt idx="3">
                  <c:v>0.2247250445277123</c:v>
                </c:pt>
                <c:pt idx="4">
                  <c:v>0.67417513358313697</c:v>
                </c:pt>
                <c:pt idx="5">
                  <c:v>1.1236252226385615</c:v>
                </c:pt>
                <c:pt idx="6">
                  <c:v>1.5730753116939862</c:v>
                </c:pt>
                <c:pt idx="7">
                  <c:v>2.0225254007494109</c:v>
                </c:pt>
                <c:pt idx="8">
                  <c:v>2.4719754898048354</c:v>
                </c:pt>
                <c:pt idx="9">
                  <c:v>2.9214255788602599</c:v>
                </c:pt>
                <c:pt idx="10">
                  <c:v>3.3708756679156844</c:v>
                </c:pt>
                <c:pt idx="11">
                  <c:v>3.8203257569711093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BFB-4A42-9087-0D05532DDF69}"/>
            </c:ext>
          </c:extLst>
        </c:ser>
        <c:ser>
          <c:idx val="8"/>
          <c:order val="8"/>
          <c:tx>
            <c:v>M = 0.9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'WCB L&amp;D'!$AN$66:$AN$77</c:f>
              <c:numCache>
                <c:formatCode>General</c:formatCode>
                <c:ptCount val="12"/>
                <c:pt idx="0">
                  <c:v>0.24420617459032451</c:v>
                </c:pt>
                <c:pt idx="1">
                  <c:v>0.10184170008120202</c:v>
                </c:pt>
                <c:pt idx="2">
                  <c:v>3.0659462826640775E-2</c:v>
                </c:pt>
                <c:pt idx="3">
                  <c:v>3.0659462826640775E-2</c:v>
                </c:pt>
                <c:pt idx="4">
                  <c:v>0.10184170008120202</c:v>
                </c:pt>
                <c:pt idx="5">
                  <c:v>0.24420617459032451</c:v>
                </c:pt>
                <c:pt idx="6">
                  <c:v>0.45775288635400813</c:v>
                </c:pt>
                <c:pt idx="7">
                  <c:v>0.74248183537225343</c:v>
                </c:pt>
                <c:pt idx="8">
                  <c:v>1.0983930216450595</c:v>
                </c:pt>
                <c:pt idx="9">
                  <c:v>1.5254864451724273</c:v>
                </c:pt>
                <c:pt idx="10">
                  <c:v>2.0237621059543551</c:v>
                </c:pt>
                <c:pt idx="11">
                  <c:v>2.5932200039908455</c:v>
                </c:pt>
              </c:numCache>
            </c:numRef>
          </c:xVal>
          <c:yVal>
            <c:numRef>
              <c:f>'WCB L&amp;D'!$AM$66:$AM$77</c:f>
              <c:numCache>
                <c:formatCode>General</c:formatCode>
                <c:ptCount val="12"/>
                <c:pt idx="0">
                  <c:v>-1.4849859833541401</c:v>
                </c:pt>
                <c:pt idx="1">
                  <c:v>-0.89099159001248407</c:v>
                </c:pt>
                <c:pt idx="2">
                  <c:v>-0.29699719667082802</c:v>
                </c:pt>
                <c:pt idx="3">
                  <c:v>0.29699719667082802</c:v>
                </c:pt>
                <c:pt idx="4">
                  <c:v>0.89099159001248407</c:v>
                </c:pt>
                <c:pt idx="5">
                  <c:v>1.4849859833541401</c:v>
                </c:pt>
                <c:pt idx="6">
                  <c:v>2.0789803766957959</c:v>
                </c:pt>
                <c:pt idx="7">
                  <c:v>2.6729747700374524</c:v>
                </c:pt>
                <c:pt idx="8">
                  <c:v>3.266969163379108</c:v>
                </c:pt>
                <c:pt idx="9">
                  <c:v>3.8609635567207645</c:v>
                </c:pt>
                <c:pt idx="10">
                  <c:v>4.4549579500624201</c:v>
                </c:pt>
                <c:pt idx="11">
                  <c:v>5.0489523434040766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BFB-4A42-9087-0D05532D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787216"/>
        <c:axId val="1644788048"/>
      </c:scatterChart>
      <c:valAx>
        <c:axId val="1644787216"/>
        <c:scaling>
          <c:orientation val="minMax"/>
          <c:max val="1.7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788048"/>
        <c:crosses val="autoZero"/>
        <c:crossBetween val="midCat"/>
      </c:valAx>
      <c:valAx>
        <c:axId val="164478804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78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Conditions C_L vs. </a:t>
            </a:r>
            <a:r>
              <a:rPr lang="el-GR"/>
              <a:t>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WCR M = 0.85, 35,000 ft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'WCR L&amp;D'!$D$164:$D$174</c:f>
              <c:numCache>
                <c:formatCode>General</c:formatCod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</c:numCache>
            </c:numRef>
          </c:xVal>
          <c:yVal>
            <c:numRef>
              <c:f>'WCR L&amp;D'!$AK$164:$AK$175</c:f>
              <c:numCache>
                <c:formatCode>General</c:formatCode>
                <c:ptCount val="12"/>
                <c:pt idx="0">
                  <c:v>-1.2922260063787632</c:v>
                </c:pt>
                <c:pt idx="1">
                  <c:v>-0.77533560382725797</c:v>
                </c:pt>
                <c:pt idx="2">
                  <c:v>-0.25844520127575266</c:v>
                </c:pt>
                <c:pt idx="3">
                  <c:v>0.25844520127575266</c:v>
                </c:pt>
                <c:pt idx="4">
                  <c:v>0.77533560382725797</c:v>
                </c:pt>
                <c:pt idx="5">
                  <c:v>1.2922260063787632</c:v>
                </c:pt>
                <c:pt idx="6">
                  <c:v>1.8091164089302687</c:v>
                </c:pt>
                <c:pt idx="7">
                  <c:v>2.3260068114817738</c:v>
                </c:pt>
                <c:pt idx="8">
                  <c:v>2.8428972140332793</c:v>
                </c:pt>
                <c:pt idx="9">
                  <c:v>3.3597876165847844</c:v>
                </c:pt>
                <c:pt idx="10">
                  <c:v>3.87667801913629</c:v>
                </c:pt>
                <c:pt idx="11">
                  <c:v>4.393568421687795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758-4592-9F6D-8E97F587C808}"/>
            </c:ext>
          </c:extLst>
        </c:ser>
        <c:ser>
          <c:idx val="1"/>
          <c:order val="1"/>
          <c:tx>
            <c:v>WTO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'WTO L&amp;D'!$E$66:$E$76</c:f>
              <c:numCache>
                <c:formatCode>General</c:formatCod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</c:numCache>
            </c:numRef>
          </c:xVal>
          <c:yVal>
            <c:numRef>
              <c:f>'WTO L&amp;D'!$L$66:$L$76</c:f>
              <c:numCache>
                <c:formatCode>General</c:formatCode>
                <c:ptCount val="11"/>
                <c:pt idx="0">
                  <c:v>-0.16122745933952709</c:v>
                </c:pt>
                <c:pt idx="1">
                  <c:v>5.8807582435771666E-2</c:v>
                </c:pt>
                <c:pt idx="2">
                  <c:v>0.27884262421107053</c:v>
                </c:pt>
                <c:pt idx="3">
                  <c:v>0.49887766598636929</c:v>
                </c:pt>
                <c:pt idx="4">
                  <c:v>0.71891270776166816</c:v>
                </c:pt>
                <c:pt idx="5">
                  <c:v>0.93894774953696691</c:v>
                </c:pt>
                <c:pt idx="6">
                  <c:v>1.1589827913122659</c:v>
                </c:pt>
                <c:pt idx="7">
                  <c:v>1.3790178330875644</c:v>
                </c:pt>
                <c:pt idx="8">
                  <c:v>1.5990528748628634</c:v>
                </c:pt>
                <c:pt idx="9">
                  <c:v>1.8190879166381622</c:v>
                </c:pt>
                <c:pt idx="10">
                  <c:v>2.0391229584134609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758-4592-9F6D-8E97F587C808}"/>
            </c:ext>
          </c:extLst>
        </c:ser>
        <c:ser>
          <c:idx val="2"/>
          <c:order val="2"/>
          <c:tx>
            <c:v>WL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'WL L&amp;D'!$E$42:$E$52</c:f>
              <c:numCache>
                <c:formatCode>General</c:formatCod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</c:numCache>
            </c:numRef>
          </c:xVal>
          <c:yVal>
            <c:numRef>
              <c:f>'WL L&amp;D'!$L$42:$L$52</c:f>
              <c:numCache>
                <c:formatCode>General</c:formatCode>
                <c:ptCount val="11"/>
                <c:pt idx="0">
                  <c:v>0.18649267511660694</c:v>
                </c:pt>
                <c:pt idx="1">
                  <c:v>0.40648218455642393</c:v>
                </c:pt>
                <c:pt idx="2">
                  <c:v>0.62647169399624092</c:v>
                </c:pt>
                <c:pt idx="3">
                  <c:v>0.84646120343605791</c:v>
                </c:pt>
                <c:pt idx="4">
                  <c:v>1.0664507128758749</c:v>
                </c:pt>
                <c:pt idx="5">
                  <c:v>1.2864402223156919</c:v>
                </c:pt>
                <c:pt idx="6">
                  <c:v>1.5064297317555089</c:v>
                </c:pt>
                <c:pt idx="7">
                  <c:v>1.7264192411953259</c:v>
                </c:pt>
                <c:pt idx="8">
                  <c:v>1.9464087506351428</c:v>
                </c:pt>
                <c:pt idx="9">
                  <c:v>2.1663982600749598</c:v>
                </c:pt>
                <c:pt idx="10">
                  <c:v>2.3863877695147768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2758-4592-9F6D-8E97F587C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057552"/>
        <c:axId val="2011068368"/>
      </c:scatterChart>
      <c:valAx>
        <c:axId val="201105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68368"/>
        <c:crossesAt val="-1"/>
        <c:crossBetween val="midCat"/>
      </c:valAx>
      <c:valAx>
        <c:axId val="201106836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57552"/>
        <c:crossesAt val="-1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WCR,</a:t>
            </a:r>
            <a:r>
              <a:rPr lang="en-US" baseline="0"/>
              <a:t> 30K Standard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L&amp;D'!$AB$140:$AB$151</c:f>
              <c:numCache>
                <c:formatCode>General</c:formatCode>
                <c:ptCount val="12"/>
                <c:pt idx="0">
                  <c:v>7.2703361092143967E-2</c:v>
                </c:pt>
                <c:pt idx="1">
                  <c:v>3.3481339127119994E-2</c:v>
                </c:pt>
                <c:pt idx="2">
                  <c:v>1.2944174898420494E-2</c:v>
                </c:pt>
                <c:pt idx="3">
                  <c:v>1.1091868406045443E-2</c:v>
                </c:pt>
                <c:pt idx="4">
                  <c:v>2.7924419649994842E-2</c:v>
                </c:pt>
                <c:pt idx="5">
                  <c:v>6.3441828630268718E-2</c:v>
                </c:pt>
                <c:pt idx="6">
                  <c:v>0.11764409534686703</c:v>
                </c:pt>
                <c:pt idx="7">
                  <c:v>0.19053121979978976</c:v>
                </c:pt>
                <c:pt idx="8">
                  <c:v>0.28210320198903699</c:v>
                </c:pt>
                <c:pt idx="9">
                  <c:v>0.39236004191460871</c:v>
                </c:pt>
                <c:pt idx="10">
                  <c:v>0.52130173957650483</c:v>
                </c:pt>
                <c:pt idx="11">
                  <c:v>0.66892829497472528</c:v>
                </c:pt>
              </c:numCache>
            </c:numRef>
          </c:xVal>
          <c:yVal>
            <c:numRef>
              <c:f>'WCR L&amp;D'!$AA$140:$AA$151</c:f>
              <c:numCache>
                <c:formatCode>General</c:formatCode>
                <c:ptCount val="12"/>
                <c:pt idx="0">
                  <c:v>-0.7608191499083099</c:v>
                </c:pt>
                <c:pt idx="1">
                  <c:v>-0.4564914899449859</c:v>
                </c:pt>
                <c:pt idx="2">
                  <c:v>-0.15216382998166197</c:v>
                </c:pt>
                <c:pt idx="3">
                  <c:v>0.15216382998166197</c:v>
                </c:pt>
                <c:pt idx="4">
                  <c:v>0.4564914899449859</c:v>
                </c:pt>
                <c:pt idx="5">
                  <c:v>0.7608191499083099</c:v>
                </c:pt>
                <c:pt idx="6">
                  <c:v>1.0651468098716339</c:v>
                </c:pt>
                <c:pt idx="7">
                  <c:v>1.3694744698349577</c:v>
                </c:pt>
                <c:pt idx="8">
                  <c:v>1.6738021297982817</c:v>
                </c:pt>
                <c:pt idx="9">
                  <c:v>1.9781297897616057</c:v>
                </c:pt>
                <c:pt idx="10">
                  <c:v>2.2824574497249297</c:v>
                </c:pt>
                <c:pt idx="11">
                  <c:v>2.5867851096882535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76-447C-A830-52849F68C4DA}"/>
            </c:ext>
          </c:extLst>
        </c:ser>
        <c:ser>
          <c:idx val="1"/>
          <c:order val="1"/>
          <c:tx>
            <c:v>M = 0.65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L&amp;D'!$AD$140:$AD$151</c:f>
              <c:numCache>
                <c:formatCode>General</c:formatCode>
                <c:ptCount val="12"/>
                <c:pt idx="0">
                  <c:v>8.3563181444844703E-2</c:v>
                </c:pt>
                <c:pt idx="1">
                  <c:v>3.7855569311158022E-2</c:v>
                </c:pt>
                <c:pt idx="2">
                  <c:v>1.3922465155326722E-2</c:v>
                </c:pt>
                <c:pt idx="3">
                  <c:v>1.1763868977350798E-2</c:v>
                </c:pt>
                <c:pt idx="4">
                  <c:v>3.1379780777230248E-2</c:v>
                </c:pt>
                <c:pt idx="5">
                  <c:v>7.2770200554965081E-2</c:v>
                </c:pt>
                <c:pt idx="6">
                  <c:v>0.13593512831055529</c:v>
                </c:pt>
                <c:pt idx="7">
                  <c:v>0.22087456404400083</c:v>
                </c:pt>
                <c:pt idx="8">
                  <c:v>0.32758850775530185</c:v>
                </c:pt>
                <c:pt idx="9">
                  <c:v>0.45607695944445814</c:v>
                </c:pt>
                <c:pt idx="10">
                  <c:v>0.60633991911146978</c:v>
                </c:pt>
                <c:pt idx="11">
                  <c:v>0.77837738675633694</c:v>
                </c:pt>
              </c:numCache>
            </c:numRef>
          </c:xVal>
          <c:yVal>
            <c:numRef>
              <c:f>'WCR L&amp;D'!$AC$140:$AC$151</c:f>
              <c:numCache>
                <c:formatCode>General</c:formatCode>
                <c:ptCount val="12"/>
                <c:pt idx="0">
                  <c:v>-0.82131681196568496</c:v>
                </c:pt>
                <c:pt idx="1">
                  <c:v>-0.49279008717941097</c:v>
                </c:pt>
                <c:pt idx="2">
                  <c:v>-0.16426336239313699</c:v>
                </c:pt>
                <c:pt idx="3">
                  <c:v>0.16426336239313699</c:v>
                </c:pt>
                <c:pt idx="4">
                  <c:v>0.49279008717941097</c:v>
                </c:pt>
                <c:pt idx="5">
                  <c:v>0.82131681196568496</c:v>
                </c:pt>
                <c:pt idx="6">
                  <c:v>1.149843536751959</c:v>
                </c:pt>
                <c:pt idx="7">
                  <c:v>1.4783702615382328</c:v>
                </c:pt>
                <c:pt idx="8">
                  <c:v>1.806896986324507</c:v>
                </c:pt>
                <c:pt idx="9">
                  <c:v>2.1354237111107808</c:v>
                </c:pt>
                <c:pt idx="10">
                  <c:v>2.463950435897055</c:v>
                </c:pt>
                <c:pt idx="11">
                  <c:v>2.7924771606833287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76-447C-A830-52849F68C4DA}"/>
            </c:ext>
          </c:extLst>
        </c:ser>
        <c:ser>
          <c:idx val="2"/>
          <c:order val="2"/>
          <c:tx>
            <c:v>M = 0.70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L&amp;D'!$AF$140:$AF$151</c:f>
              <c:numCache>
                <c:formatCode>General</c:formatCode>
                <c:ptCount val="12"/>
                <c:pt idx="0">
                  <c:v>9.7873314216066473E-2</c:v>
                </c:pt>
                <c:pt idx="1">
                  <c:v>4.3264325968383255E-2</c:v>
                </c:pt>
                <c:pt idx="2">
                  <c:v>1.4670344734934979E-2</c:v>
                </c:pt>
                <c:pt idx="3">
                  <c:v>1.2091370515721633E-2</c:v>
                </c:pt>
                <c:pt idx="4">
                  <c:v>3.5527403310743215E-2</c:v>
                </c:pt>
                <c:pt idx="5">
                  <c:v>8.4978443119999733E-2</c:v>
                </c:pt>
                <c:pt idx="6">
                  <c:v>0.1604444899434912</c:v>
                </c:pt>
                <c:pt idx="7">
                  <c:v>0.26192554378121752</c:v>
                </c:pt>
                <c:pt idx="8">
                  <c:v>0.38942160463317887</c:v>
                </c:pt>
                <c:pt idx="9">
                  <c:v>0.54293267249937505</c:v>
                </c:pt>
                <c:pt idx="10">
                  <c:v>0.7224587473798062</c:v>
                </c:pt>
                <c:pt idx="11">
                  <c:v>0.92799982927447222</c:v>
                </c:pt>
              </c:numCache>
            </c:numRef>
          </c:xVal>
          <c:yVal>
            <c:numRef>
              <c:f>'WCR L&amp;D'!$AE$140:$AE$151</c:f>
              <c:numCache>
                <c:formatCode>General</c:formatCode>
                <c:ptCount val="12"/>
                <c:pt idx="0">
                  <c:v>-0.89773573144003305</c:v>
                </c:pt>
                <c:pt idx="1">
                  <c:v>-0.53864143886401983</c:v>
                </c:pt>
                <c:pt idx="2">
                  <c:v>-0.17954714628800661</c:v>
                </c:pt>
                <c:pt idx="3">
                  <c:v>0.17954714628800661</c:v>
                </c:pt>
                <c:pt idx="4">
                  <c:v>0.53864143886401983</c:v>
                </c:pt>
                <c:pt idx="5">
                  <c:v>0.89773573144003305</c:v>
                </c:pt>
                <c:pt idx="6">
                  <c:v>1.2568300240160464</c:v>
                </c:pt>
                <c:pt idx="7">
                  <c:v>1.6159243165920594</c:v>
                </c:pt>
                <c:pt idx="8">
                  <c:v>1.9750186091680728</c:v>
                </c:pt>
                <c:pt idx="9">
                  <c:v>2.3341129017440858</c:v>
                </c:pt>
                <c:pt idx="10">
                  <c:v>2.6932071943200993</c:v>
                </c:pt>
                <c:pt idx="11">
                  <c:v>3.0523014868961122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76-447C-A830-52849F68C4DA}"/>
            </c:ext>
          </c:extLst>
        </c:ser>
        <c:ser>
          <c:idx val="3"/>
          <c:order val="3"/>
          <c:tx>
            <c:v>M = 0.75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L&amp;D'!$AH$140:$AH$151</c:f>
              <c:numCache>
                <c:formatCode>General</c:formatCode>
                <c:ptCount val="12"/>
                <c:pt idx="0">
                  <c:v>0.11812666706432286</c:v>
                </c:pt>
                <c:pt idx="1">
                  <c:v>5.0949358706471673E-2</c:v>
                </c:pt>
                <c:pt idx="2">
                  <c:v>1.577444050828555E-2</c:v>
                </c:pt>
                <c:pt idx="3">
                  <c:v>1.2601912469764462E-2</c:v>
                </c:pt>
                <c:pt idx="4">
                  <c:v>4.1431774590908417E-2</c:v>
                </c:pt>
                <c:pt idx="5">
                  <c:v>0.10226402687171741</c:v>
                </c:pt>
                <c:pt idx="6">
                  <c:v>0.19509866931219147</c:v>
                </c:pt>
                <c:pt idx="7">
                  <c:v>0.31993570191233051</c:v>
                </c:pt>
                <c:pt idx="8">
                  <c:v>0.47677512467213479</c:v>
                </c:pt>
                <c:pt idx="9">
                  <c:v>0.6656169375916039</c:v>
                </c:pt>
                <c:pt idx="10">
                  <c:v>0.88646114067073789</c:v>
                </c:pt>
                <c:pt idx="11">
                  <c:v>1.1393077339095372</c:v>
                </c:pt>
              </c:numCache>
            </c:numRef>
          </c:xVal>
          <c:yVal>
            <c:numRef>
              <c:f>'WCR L&amp;D'!$AG$140:$AG$151</c:f>
              <c:numCache>
                <c:formatCode>General</c:formatCode>
                <c:ptCount val="12"/>
                <c:pt idx="0">
                  <c:v>-0.99569825350747698</c:v>
                </c:pt>
                <c:pt idx="1">
                  <c:v>-0.59741895210448615</c:v>
                </c:pt>
                <c:pt idx="2">
                  <c:v>-0.19913965070149539</c:v>
                </c:pt>
                <c:pt idx="3">
                  <c:v>0.19913965070149539</c:v>
                </c:pt>
                <c:pt idx="4">
                  <c:v>0.59741895210448615</c:v>
                </c:pt>
                <c:pt idx="5">
                  <c:v>0.99569825350747698</c:v>
                </c:pt>
                <c:pt idx="6">
                  <c:v>1.3939775549104678</c:v>
                </c:pt>
                <c:pt idx="7">
                  <c:v>1.7922568563134584</c:v>
                </c:pt>
                <c:pt idx="8">
                  <c:v>2.1905361577164495</c:v>
                </c:pt>
                <c:pt idx="9">
                  <c:v>2.5888154591194401</c:v>
                </c:pt>
                <c:pt idx="10">
                  <c:v>2.9870947605224307</c:v>
                </c:pt>
                <c:pt idx="11">
                  <c:v>3.3853740619254218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76-447C-A830-52849F68C4DA}"/>
            </c:ext>
          </c:extLst>
        </c:ser>
        <c:ser>
          <c:idx val="4"/>
          <c:order val="4"/>
          <c:tx>
            <c:v>M = 0.80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L&amp;D'!$AJ$140:$AJ$151</c:f>
              <c:numCache>
                <c:formatCode>General</c:formatCode>
                <c:ptCount val="12"/>
                <c:pt idx="0">
                  <c:v>0.13652585697950603</c:v>
                </c:pt>
                <c:pt idx="1">
                  <c:v>5.5109052977097825E-2</c:v>
                </c:pt>
                <c:pt idx="2">
                  <c:v>1.4400650975893714E-2</c:v>
                </c:pt>
                <c:pt idx="3">
                  <c:v>1.4400650975893714E-2</c:v>
                </c:pt>
                <c:pt idx="4">
                  <c:v>5.5109052977097825E-2</c:v>
                </c:pt>
                <c:pt idx="5">
                  <c:v>0.13652585697950603</c:v>
                </c:pt>
                <c:pt idx="6">
                  <c:v>0.2586510629831183</c:v>
                </c:pt>
                <c:pt idx="7">
                  <c:v>0.42148467098793468</c:v>
                </c:pt>
                <c:pt idx="8">
                  <c:v>0.62502668099395531</c:v>
                </c:pt>
                <c:pt idx="9">
                  <c:v>0.86927709300118006</c:v>
                </c:pt>
                <c:pt idx="10">
                  <c:v>1.1542359070096089</c:v>
                </c:pt>
                <c:pt idx="11">
                  <c:v>1.4799031230192419</c:v>
                </c:pt>
              </c:numCache>
            </c:numRef>
          </c:xVal>
          <c:yVal>
            <c:numRef>
              <c:f>'WCR L&amp;D'!$AI$140:$AI$151</c:f>
              <c:numCache>
                <c:formatCode>General</c:formatCode>
                <c:ptCount val="12"/>
                <c:pt idx="0">
                  <c:v>-1.1229969191984597</c:v>
                </c:pt>
                <c:pt idx="1">
                  <c:v>-0.67379815151907585</c:v>
                </c:pt>
                <c:pt idx="2">
                  <c:v>-0.22459938383969194</c:v>
                </c:pt>
                <c:pt idx="3">
                  <c:v>0.22459938383969194</c:v>
                </c:pt>
                <c:pt idx="4">
                  <c:v>0.67379815151907585</c:v>
                </c:pt>
                <c:pt idx="5">
                  <c:v>1.1229969191984597</c:v>
                </c:pt>
                <c:pt idx="6">
                  <c:v>1.5721956868778435</c:v>
                </c:pt>
                <c:pt idx="7">
                  <c:v>2.0213944545572273</c:v>
                </c:pt>
                <c:pt idx="8">
                  <c:v>2.4705932222366114</c:v>
                </c:pt>
                <c:pt idx="9">
                  <c:v>2.9197919899159954</c:v>
                </c:pt>
                <c:pt idx="10">
                  <c:v>3.368990757595379</c:v>
                </c:pt>
                <c:pt idx="11">
                  <c:v>3.8181895252747631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76-447C-A830-52849F68C4DA}"/>
            </c:ext>
          </c:extLst>
        </c:ser>
        <c:ser>
          <c:idx val="5"/>
          <c:order val="5"/>
          <c:tx>
            <c:v>M = 0.85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L&amp;D'!$AL$140:$AL$151</c:f>
              <c:numCache>
                <c:formatCode>General</c:formatCode>
                <c:ptCount val="12"/>
                <c:pt idx="0">
                  <c:v>0.17817195024294372</c:v>
                </c:pt>
                <c:pt idx="1">
                  <c:v>7.0338364906976231E-2</c:v>
                </c:pt>
                <c:pt idx="2">
                  <c:v>1.6421572238992484E-2</c:v>
                </c:pt>
                <c:pt idx="3">
                  <c:v>1.6421572238992484E-2</c:v>
                </c:pt>
                <c:pt idx="4">
                  <c:v>7.0338364906976231E-2</c:v>
                </c:pt>
                <c:pt idx="5">
                  <c:v>0.17817195024294372</c:v>
                </c:pt>
                <c:pt idx="6">
                  <c:v>0.33992232824689494</c:v>
                </c:pt>
                <c:pt idx="7">
                  <c:v>0.55558949891882992</c:v>
                </c:pt>
                <c:pt idx="8">
                  <c:v>0.82517346225874877</c:v>
                </c:pt>
                <c:pt idx="9">
                  <c:v>1.1486742182666509</c:v>
                </c:pt>
                <c:pt idx="10">
                  <c:v>1.5260917669425371</c:v>
                </c:pt>
                <c:pt idx="11">
                  <c:v>1.9574261082864073</c:v>
                </c:pt>
              </c:numCache>
            </c:numRef>
          </c:xVal>
          <c:yVal>
            <c:numRef>
              <c:f>'WCR L&amp;D'!$AK$140:$AK$151</c:f>
              <c:numCache>
                <c:formatCode>General</c:formatCode>
                <c:ptCount val="12"/>
                <c:pt idx="0">
                  <c:v>-1.2924047999753883</c:v>
                </c:pt>
                <c:pt idx="1">
                  <c:v>-0.77544287998523287</c:v>
                </c:pt>
                <c:pt idx="2">
                  <c:v>-0.25848095999507764</c:v>
                </c:pt>
                <c:pt idx="3">
                  <c:v>0.25848095999507764</c:v>
                </c:pt>
                <c:pt idx="4">
                  <c:v>0.77544287998523287</c:v>
                </c:pt>
                <c:pt idx="5">
                  <c:v>1.2924047999753883</c:v>
                </c:pt>
                <c:pt idx="6">
                  <c:v>1.8093667199655434</c:v>
                </c:pt>
                <c:pt idx="7">
                  <c:v>2.3263286399556988</c:v>
                </c:pt>
                <c:pt idx="8">
                  <c:v>2.8432905599458542</c:v>
                </c:pt>
                <c:pt idx="9">
                  <c:v>3.3602524799360092</c:v>
                </c:pt>
                <c:pt idx="10">
                  <c:v>3.8772143999261646</c:v>
                </c:pt>
                <c:pt idx="11">
                  <c:v>4.39417631991632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A76-447C-A830-52849F68C4DA}"/>
            </c:ext>
          </c:extLst>
        </c:ser>
        <c:ser>
          <c:idx val="6"/>
          <c:order val="6"/>
          <c:tx>
            <c:v>M = 0.90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'WCR L&amp;D'!$AN$140:$AN$151</c:f>
              <c:numCache>
                <c:formatCode>General</c:formatCode>
                <c:ptCount val="12"/>
                <c:pt idx="0">
                  <c:v>0.23111435157880356</c:v>
                </c:pt>
                <c:pt idx="1">
                  <c:v>8.9349577624203813E-2</c:v>
                </c:pt>
                <c:pt idx="2">
                  <c:v>1.84671906469039E-2</c:v>
                </c:pt>
                <c:pt idx="3">
                  <c:v>1.84671906469039E-2</c:v>
                </c:pt>
                <c:pt idx="4">
                  <c:v>8.9349577624203813E-2</c:v>
                </c:pt>
                <c:pt idx="5">
                  <c:v>0.23111435157880356</c:v>
                </c:pt>
                <c:pt idx="6">
                  <c:v>0.44376151251070334</c:v>
                </c:pt>
                <c:pt idx="7">
                  <c:v>0.72729106041990288</c:v>
                </c:pt>
                <c:pt idx="8">
                  <c:v>1.0817029953064023</c:v>
                </c:pt>
                <c:pt idx="9">
                  <c:v>1.506997317170202</c:v>
                </c:pt>
                <c:pt idx="10">
                  <c:v>2.0031740260113007</c:v>
                </c:pt>
                <c:pt idx="11">
                  <c:v>2.5702331218297005</c:v>
                </c:pt>
              </c:numCache>
            </c:numRef>
          </c:xVal>
          <c:yVal>
            <c:numRef>
              <c:f>'WCR L&amp;D'!$AM$140:$AM$151</c:f>
              <c:numCache>
                <c:formatCode>General</c:formatCode>
                <c:ptCount val="12"/>
                <c:pt idx="0">
                  <c:v>-1.481854981946771</c:v>
                </c:pt>
                <c:pt idx="1">
                  <c:v>-0.8891129891680627</c:v>
                </c:pt>
                <c:pt idx="2">
                  <c:v>-0.29637099638935421</c:v>
                </c:pt>
                <c:pt idx="3">
                  <c:v>0.29637099638935421</c:v>
                </c:pt>
                <c:pt idx="4">
                  <c:v>0.8891129891680627</c:v>
                </c:pt>
                <c:pt idx="5">
                  <c:v>1.481854981946771</c:v>
                </c:pt>
                <c:pt idx="6">
                  <c:v>2.0745969747254795</c:v>
                </c:pt>
                <c:pt idx="7">
                  <c:v>2.6673389675041879</c:v>
                </c:pt>
                <c:pt idx="8">
                  <c:v>3.2600809602828962</c:v>
                </c:pt>
                <c:pt idx="9">
                  <c:v>3.8528229530616049</c:v>
                </c:pt>
                <c:pt idx="10">
                  <c:v>4.4455649458403128</c:v>
                </c:pt>
                <c:pt idx="11">
                  <c:v>5.038306938619022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A76-447C-A830-52849F68C4DA}"/>
            </c:ext>
          </c:extLst>
        </c:ser>
        <c:ser>
          <c:idx val="7"/>
          <c:order val="7"/>
          <c:tx>
            <c:v>M = 0.95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'WCR L&amp;D'!$AP$140:$AP$151</c:f>
              <c:numCache>
                <c:formatCode>General</c:formatCode>
                <c:ptCount val="12"/>
                <c:pt idx="0">
                  <c:v>0.19113111603994085</c:v>
                </c:pt>
                <c:pt idx="1">
                  <c:v>7.49106398300384E-2</c:v>
                </c:pt>
                <c:pt idx="2">
                  <c:v>1.680040172508716E-2</c:v>
                </c:pt>
                <c:pt idx="3">
                  <c:v>1.680040172508716E-2</c:v>
                </c:pt>
                <c:pt idx="4">
                  <c:v>7.49106398300384E-2</c:v>
                </c:pt>
                <c:pt idx="5">
                  <c:v>0.19113111603994085</c:v>
                </c:pt>
                <c:pt idx="6">
                  <c:v>0.36546183035479446</c:v>
                </c:pt>
                <c:pt idx="7">
                  <c:v>0.59790278277459952</c:v>
                </c:pt>
                <c:pt idx="8">
                  <c:v>0.88845397329935538</c:v>
                </c:pt>
                <c:pt idx="9">
                  <c:v>1.2371154019290631</c:v>
                </c:pt>
                <c:pt idx="10">
                  <c:v>1.6438870686637219</c:v>
                </c:pt>
                <c:pt idx="11">
                  <c:v>2.1087689735033313</c:v>
                </c:pt>
              </c:numCache>
            </c:numRef>
          </c:xVal>
          <c:yVal>
            <c:numRef>
              <c:f>'WCR L&amp;D'!$AO$140:$AO$151</c:f>
              <c:numCache>
                <c:formatCode>General</c:formatCode>
                <c:ptCount val="12"/>
                <c:pt idx="0">
                  <c:v>-1.3417230013545796</c:v>
                </c:pt>
                <c:pt idx="1">
                  <c:v>-0.80503380081274767</c:v>
                </c:pt>
                <c:pt idx="2">
                  <c:v>-0.26834460027091589</c:v>
                </c:pt>
                <c:pt idx="3">
                  <c:v>0.26834460027091589</c:v>
                </c:pt>
                <c:pt idx="4">
                  <c:v>0.80503380081274767</c:v>
                </c:pt>
                <c:pt idx="5">
                  <c:v>1.3417230013545796</c:v>
                </c:pt>
                <c:pt idx="6">
                  <c:v>1.8784122018964111</c:v>
                </c:pt>
                <c:pt idx="7">
                  <c:v>2.4151014024382431</c:v>
                </c:pt>
                <c:pt idx="8">
                  <c:v>2.9517906029800747</c:v>
                </c:pt>
                <c:pt idx="9">
                  <c:v>3.4884798035219067</c:v>
                </c:pt>
                <c:pt idx="10">
                  <c:v>4.0251690040637387</c:v>
                </c:pt>
                <c:pt idx="11">
                  <c:v>4.5618582046055698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A76-447C-A830-52849F68C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432703"/>
        <c:axId val="1504433951"/>
      </c:scatterChart>
      <c:valAx>
        <c:axId val="150443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33951"/>
        <c:crosses val="autoZero"/>
        <c:crossBetween val="midCat"/>
      </c:valAx>
      <c:valAx>
        <c:axId val="150443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32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WCR 30K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L&amp;D'!$AB$140:$AB$150</c:f>
              <c:numCache>
                <c:formatCode>General</c:formatCode>
                <c:ptCount val="11"/>
                <c:pt idx="0">
                  <c:v>7.2703361092143967E-2</c:v>
                </c:pt>
                <c:pt idx="1">
                  <c:v>3.3481339127119994E-2</c:v>
                </c:pt>
                <c:pt idx="2">
                  <c:v>1.2944174898420494E-2</c:v>
                </c:pt>
                <c:pt idx="3">
                  <c:v>1.1091868406045443E-2</c:v>
                </c:pt>
                <c:pt idx="4">
                  <c:v>2.7924419649994842E-2</c:v>
                </c:pt>
                <c:pt idx="5">
                  <c:v>6.3441828630268718E-2</c:v>
                </c:pt>
                <c:pt idx="6">
                  <c:v>0.11764409534686703</c:v>
                </c:pt>
                <c:pt idx="7">
                  <c:v>0.19053121979978976</c:v>
                </c:pt>
                <c:pt idx="8">
                  <c:v>0.28210320198903699</c:v>
                </c:pt>
                <c:pt idx="9">
                  <c:v>0.39236004191460871</c:v>
                </c:pt>
                <c:pt idx="10">
                  <c:v>0.52130173957650483</c:v>
                </c:pt>
              </c:numCache>
            </c:numRef>
          </c:xVal>
          <c:yVal>
            <c:numRef>
              <c:f>'WCR L&amp;D'!$AA$140:$AA$150</c:f>
              <c:numCache>
                <c:formatCode>General</c:formatCode>
                <c:ptCount val="11"/>
                <c:pt idx="0">
                  <c:v>-0.7608191499083099</c:v>
                </c:pt>
                <c:pt idx="1">
                  <c:v>-0.4564914899449859</c:v>
                </c:pt>
                <c:pt idx="2">
                  <c:v>-0.15216382998166197</c:v>
                </c:pt>
                <c:pt idx="3">
                  <c:v>0.15216382998166197</c:v>
                </c:pt>
                <c:pt idx="4">
                  <c:v>0.4564914899449859</c:v>
                </c:pt>
                <c:pt idx="5">
                  <c:v>0.7608191499083099</c:v>
                </c:pt>
                <c:pt idx="6">
                  <c:v>1.0651468098716339</c:v>
                </c:pt>
                <c:pt idx="7">
                  <c:v>1.3694744698349577</c:v>
                </c:pt>
                <c:pt idx="8">
                  <c:v>1.6738021297982817</c:v>
                </c:pt>
                <c:pt idx="9">
                  <c:v>1.9781297897616057</c:v>
                </c:pt>
                <c:pt idx="10">
                  <c:v>2.2824574497249297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128-4EE4-8B1D-FE07B6C74A86}"/>
            </c:ext>
          </c:extLst>
        </c:ser>
        <c:ser>
          <c:idx val="1"/>
          <c:order val="1"/>
          <c:tx>
            <c:v>M = 0.65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L&amp;D'!$AD$140:$AD$150</c:f>
              <c:numCache>
                <c:formatCode>General</c:formatCode>
                <c:ptCount val="11"/>
                <c:pt idx="0">
                  <c:v>8.3563181444844703E-2</c:v>
                </c:pt>
                <c:pt idx="1">
                  <c:v>3.7855569311158022E-2</c:v>
                </c:pt>
                <c:pt idx="2">
                  <c:v>1.3922465155326722E-2</c:v>
                </c:pt>
                <c:pt idx="3">
                  <c:v>1.1763868977350798E-2</c:v>
                </c:pt>
                <c:pt idx="4">
                  <c:v>3.1379780777230248E-2</c:v>
                </c:pt>
                <c:pt idx="5">
                  <c:v>7.2770200554965081E-2</c:v>
                </c:pt>
                <c:pt idx="6">
                  <c:v>0.13593512831055529</c:v>
                </c:pt>
                <c:pt idx="7">
                  <c:v>0.22087456404400083</c:v>
                </c:pt>
                <c:pt idx="8">
                  <c:v>0.32758850775530185</c:v>
                </c:pt>
                <c:pt idx="9">
                  <c:v>0.45607695944445814</c:v>
                </c:pt>
                <c:pt idx="10">
                  <c:v>0.60633991911146978</c:v>
                </c:pt>
              </c:numCache>
            </c:numRef>
          </c:xVal>
          <c:yVal>
            <c:numRef>
              <c:f>'WCR L&amp;D'!$AC$140:$AC$150</c:f>
              <c:numCache>
                <c:formatCode>General</c:formatCode>
                <c:ptCount val="11"/>
                <c:pt idx="0">
                  <c:v>-0.82131681196568496</c:v>
                </c:pt>
                <c:pt idx="1">
                  <c:v>-0.49279008717941097</c:v>
                </c:pt>
                <c:pt idx="2">
                  <c:v>-0.16426336239313699</c:v>
                </c:pt>
                <c:pt idx="3">
                  <c:v>0.16426336239313699</c:v>
                </c:pt>
                <c:pt idx="4">
                  <c:v>0.49279008717941097</c:v>
                </c:pt>
                <c:pt idx="5">
                  <c:v>0.82131681196568496</c:v>
                </c:pt>
                <c:pt idx="6">
                  <c:v>1.149843536751959</c:v>
                </c:pt>
                <c:pt idx="7">
                  <c:v>1.4783702615382328</c:v>
                </c:pt>
                <c:pt idx="8">
                  <c:v>1.806896986324507</c:v>
                </c:pt>
                <c:pt idx="9">
                  <c:v>2.1354237111107808</c:v>
                </c:pt>
                <c:pt idx="10">
                  <c:v>2.463950435897055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128-4EE4-8B1D-FE07B6C74A86}"/>
            </c:ext>
          </c:extLst>
        </c:ser>
        <c:ser>
          <c:idx val="2"/>
          <c:order val="2"/>
          <c:tx>
            <c:v>M = 0.70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L&amp;D'!$AF$140:$AF$150</c:f>
              <c:numCache>
                <c:formatCode>General</c:formatCode>
                <c:ptCount val="11"/>
                <c:pt idx="0">
                  <c:v>9.7873314216066473E-2</c:v>
                </c:pt>
                <c:pt idx="1">
                  <c:v>4.3264325968383255E-2</c:v>
                </c:pt>
                <c:pt idx="2">
                  <c:v>1.4670344734934979E-2</c:v>
                </c:pt>
                <c:pt idx="3">
                  <c:v>1.2091370515721633E-2</c:v>
                </c:pt>
                <c:pt idx="4">
                  <c:v>3.5527403310743215E-2</c:v>
                </c:pt>
                <c:pt idx="5">
                  <c:v>8.4978443119999733E-2</c:v>
                </c:pt>
                <c:pt idx="6">
                  <c:v>0.1604444899434912</c:v>
                </c:pt>
                <c:pt idx="7">
                  <c:v>0.26192554378121752</c:v>
                </c:pt>
                <c:pt idx="8">
                  <c:v>0.38942160463317887</c:v>
                </c:pt>
                <c:pt idx="9">
                  <c:v>0.54293267249937505</c:v>
                </c:pt>
                <c:pt idx="10">
                  <c:v>0.7224587473798062</c:v>
                </c:pt>
              </c:numCache>
            </c:numRef>
          </c:xVal>
          <c:yVal>
            <c:numRef>
              <c:f>'WCR L&amp;D'!$AE$140:$AE$150</c:f>
              <c:numCache>
                <c:formatCode>General</c:formatCode>
                <c:ptCount val="11"/>
                <c:pt idx="0">
                  <c:v>-0.89773573144003305</c:v>
                </c:pt>
                <c:pt idx="1">
                  <c:v>-0.53864143886401983</c:v>
                </c:pt>
                <c:pt idx="2">
                  <c:v>-0.17954714628800661</c:v>
                </c:pt>
                <c:pt idx="3">
                  <c:v>0.17954714628800661</c:v>
                </c:pt>
                <c:pt idx="4">
                  <c:v>0.53864143886401983</c:v>
                </c:pt>
                <c:pt idx="5">
                  <c:v>0.89773573144003305</c:v>
                </c:pt>
                <c:pt idx="6">
                  <c:v>1.2568300240160464</c:v>
                </c:pt>
                <c:pt idx="7">
                  <c:v>1.6159243165920594</c:v>
                </c:pt>
                <c:pt idx="8">
                  <c:v>1.9750186091680728</c:v>
                </c:pt>
                <c:pt idx="9">
                  <c:v>2.3341129017440858</c:v>
                </c:pt>
                <c:pt idx="10">
                  <c:v>2.6932071943200993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4128-4EE4-8B1D-FE07B6C74A86}"/>
            </c:ext>
          </c:extLst>
        </c:ser>
        <c:ser>
          <c:idx val="3"/>
          <c:order val="3"/>
          <c:tx>
            <c:v>M = 0.75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L&amp;D'!$AH$140:$AH$150</c:f>
              <c:numCache>
                <c:formatCode>General</c:formatCode>
                <c:ptCount val="11"/>
                <c:pt idx="0">
                  <c:v>0.11812666706432286</c:v>
                </c:pt>
                <c:pt idx="1">
                  <c:v>5.0949358706471673E-2</c:v>
                </c:pt>
                <c:pt idx="2">
                  <c:v>1.577444050828555E-2</c:v>
                </c:pt>
                <c:pt idx="3">
                  <c:v>1.2601912469764462E-2</c:v>
                </c:pt>
                <c:pt idx="4">
                  <c:v>4.1431774590908417E-2</c:v>
                </c:pt>
                <c:pt idx="5">
                  <c:v>0.10226402687171741</c:v>
                </c:pt>
                <c:pt idx="6">
                  <c:v>0.19509866931219147</c:v>
                </c:pt>
                <c:pt idx="7">
                  <c:v>0.31993570191233051</c:v>
                </c:pt>
                <c:pt idx="8">
                  <c:v>0.47677512467213479</c:v>
                </c:pt>
                <c:pt idx="9">
                  <c:v>0.6656169375916039</c:v>
                </c:pt>
                <c:pt idx="10">
                  <c:v>0.88646114067073789</c:v>
                </c:pt>
              </c:numCache>
            </c:numRef>
          </c:xVal>
          <c:yVal>
            <c:numRef>
              <c:f>'WCR L&amp;D'!$AG$140:$AG$150</c:f>
              <c:numCache>
                <c:formatCode>General</c:formatCode>
                <c:ptCount val="11"/>
                <c:pt idx="0">
                  <c:v>-0.99569825350747698</c:v>
                </c:pt>
                <c:pt idx="1">
                  <c:v>-0.59741895210448615</c:v>
                </c:pt>
                <c:pt idx="2">
                  <c:v>-0.19913965070149539</c:v>
                </c:pt>
                <c:pt idx="3">
                  <c:v>0.19913965070149539</c:v>
                </c:pt>
                <c:pt idx="4">
                  <c:v>0.59741895210448615</c:v>
                </c:pt>
                <c:pt idx="5">
                  <c:v>0.99569825350747698</c:v>
                </c:pt>
                <c:pt idx="6">
                  <c:v>1.3939775549104678</c:v>
                </c:pt>
                <c:pt idx="7">
                  <c:v>1.7922568563134584</c:v>
                </c:pt>
                <c:pt idx="8">
                  <c:v>2.1905361577164495</c:v>
                </c:pt>
                <c:pt idx="9">
                  <c:v>2.5888154591194401</c:v>
                </c:pt>
                <c:pt idx="10">
                  <c:v>2.9870947605224307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4128-4EE4-8B1D-FE07B6C74A86}"/>
            </c:ext>
          </c:extLst>
        </c:ser>
        <c:ser>
          <c:idx val="4"/>
          <c:order val="4"/>
          <c:tx>
            <c:v>M = 0.80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L&amp;D'!$AJ$140:$AJ$150</c:f>
              <c:numCache>
                <c:formatCode>General</c:formatCode>
                <c:ptCount val="11"/>
                <c:pt idx="0">
                  <c:v>0.13652585697950603</c:v>
                </c:pt>
                <c:pt idx="1">
                  <c:v>5.5109052977097825E-2</c:v>
                </c:pt>
                <c:pt idx="2">
                  <c:v>1.4400650975893714E-2</c:v>
                </c:pt>
                <c:pt idx="3">
                  <c:v>1.4400650975893714E-2</c:v>
                </c:pt>
                <c:pt idx="4">
                  <c:v>5.5109052977097825E-2</c:v>
                </c:pt>
                <c:pt idx="5">
                  <c:v>0.13652585697950603</c:v>
                </c:pt>
                <c:pt idx="6">
                  <c:v>0.2586510629831183</c:v>
                </c:pt>
                <c:pt idx="7">
                  <c:v>0.42148467098793468</c:v>
                </c:pt>
                <c:pt idx="8">
                  <c:v>0.62502668099395531</c:v>
                </c:pt>
                <c:pt idx="9">
                  <c:v>0.86927709300118006</c:v>
                </c:pt>
                <c:pt idx="10">
                  <c:v>1.1542359070096089</c:v>
                </c:pt>
              </c:numCache>
            </c:numRef>
          </c:xVal>
          <c:yVal>
            <c:numRef>
              <c:f>'WCR L&amp;D'!$AI$140:$AI$150</c:f>
              <c:numCache>
                <c:formatCode>General</c:formatCode>
                <c:ptCount val="11"/>
                <c:pt idx="0">
                  <c:v>-1.1229969191984597</c:v>
                </c:pt>
                <c:pt idx="1">
                  <c:v>-0.67379815151907585</c:v>
                </c:pt>
                <c:pt idx="2">
                  <c:v>-0.22459938383969194</c:v>
                </c:pt>
                <c:pt idx="3">
                  <c:v>0.22459938383969194</c:v>
                </c:pt>
                <c:pt idx="4">
                  <c:v>0.67379815151907585</c:v>
                </c:pt>
                <c:pt idx="5">
                  <c:v>1.1229969191984597</c:v>
                </c:pt>
                <c:pt idx="6">
                  <c:v>1.5721956868778435</c:v>
                </c:pt>
                <c:pt idx="7">
                  <c:v>2.0213944545572273</c:v>
                </c:pt>
                <c:pt idx="8">
                  <c:v>2.4705932222366114</c:v>
                </c:pt>
                <c:pt idx="9">
                  <c:v>2.9197919899159954</c:v>
                </c:pt>
                <c:pt idx="10">
                  <c:v>3.368990757595379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4128-4EE4-8B1D-FE07B6C74A86}"/>
            </c:ext>
          </c:extLst>
        </c:ser>
        <c:ser>
          <c:idx val="5"/>
          <c:order val="5"/>
          <c:tx>
            <c:v>M = 0.85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'WCR L&amp;D'!$AL$140:$AL$150</c:f>
              <c:numCache>
                <c:formatCode>General</c:formatCode>
                <c:ptCount val="11"/>
                <c:pt idx="0">
                  <c:v>0.17817195024294372</c:v>
                </c:pt>
                <c:pt idx="1">
                  <c:v>7.0338364906976231E-2</c:v>
                </c:pt>
                <c:pt idx="2">
                  <c:v>1.6421572238992484E-2</c:v>
                </c:pt>
                <c:pt idx="3">
                  <c:v>1.6421572238992484E-2</c:v>
                </c:pt>
                <c:pt idx="4">
                  <c:v>7.0338364906976231E-2</c:v>
                </c:pt>
                <c:pt idx="5">
                  <c:v>0.17817195024294372</c:v>
                </c:pt>
                <c:pt idx="6">
                  <c:v>0.33992232824689494</c:v>
                </c:pt>
                <c:pt idx="7">
                  <c:v>0.55558949891882992</c:v>
                </c:pt>
                <c:pt idx="8">
                  <c:v>0.82517346225874877</c:v>
                </c:pt>
                <c:pt idx="9">
                  <c:v>1.1486742182666509</c:v>
                </c:pt>
                <c:pt idx="10">
                  <c:v>1.5260917669425371</c:v>
                </c:pt>
              </c:numCache>
            </c:numRef>
          </c:xVal>
          <c:yVal>
            <c:numRef>
              <c:f>'WCR L&amp;D'!$AK$140:$AK$150</c:f>
              <c:numCache>
                <c:formatCode>General</c:formatCode>
                <c:ptCount val="11"/>
                <c:pt idx="0">
                  <c:v>-1.2924047999753883</c:v>
                </c:pt>
                <c:pt idx="1">
                  <c:v>-0.77544287998523287</c:v>
                </c:pt>
                <c:pt idx="2">
                  <c:v>-0.25848095999507764</c:v>
                </c:pt>
                <c:pt idx="3">
                  <c:v>0.25848095999507764</c:v>
                </c:pt>
                <c:pt idx="4">
                  <c:v>0.77544287998523287</c:v>
                </c:pt>
                <c:pt idx="5">
                  <c:v>1.2924047999753883</c:v>
                </c:pt>
                <c:pt idx="6">
                  <c:v>1.8093667199655434</c:v>
                </c:pt>
                <c:pt idx="7">
                  <c:v>2.3263286399556988</c:v>
                </c:pt>
                <c:pt idx="8">
                  <c:v>2.8432905599458542</c:v>
                </c:pt>
                <c:pt idx="9">
                  <c:v>3.3602524799360092</c:v>
                </c:pt>
                <c:pt idx="10">
                  <c:v>3.8772143999261646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4128-4EE4-8B1D-FE07B6C74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903136"/>
        <c:axId val="625891072"/>
      </c:scatterChart>
      <c:valAx>
        <c:axId val="62590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91072"/>
        <c:crosses val="autoZero"/>
        <c:crossBetween val="midCat"/>
      </c:valAx>
      <c:valAx>
        <c:axId val="6258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03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WTO Drag Polar V = 100KTAS,</a:t>
            </a:r>
            <a:r>
              <a:rPr lang="en-US" baseline="0"/>
              <a:t> </a:t>
            </a:r>
            <a:r>
              <a:rPr lang="en-US"/>
              <a:t>SL, 90F, Gear 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WTO Drag Polar SL, 90F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'WTO L&amp;D'!$K$18:$K$28</c:f>
              <c:numCache>
                <c:formatCode>General</c:formatCode>
                <c:ptCount val="11"/>
                <c:pt idx="0">
                  <c:v>6.2942686622901395E-2</c:v>
                </c:pt>
                <c:pt idx="1">
                  <c:v>5.6597479220295122E-2</c:v>
                </c:pt>
                <c:pt idx="2">
                  <c:v>5.9713141664615187E-2</c:v>
                </c:pt>
                <c:pt idx="3">
                  <c:v>7.2289673955861597E-2</c:v>
                </c:pt>
                <c:pt idx="4">
                  <c:v>9.4327076094034359E-2</c:v>
                </c:pt>
                <c:pt idx="5">
                  <c:v>0.12582534807913343</c:v>
                </c:pt>
                <c:pt idx="6">
                  <c:v>0.16678448991115885</c:v>
                </c:pt>
                <c:pt idx="7">
                  <c:v>0.21720450159011065</c:v>
                </c:pt>
                <c:pt idx="8">
                  <c:v>0.27708538311598874</c:v>
                </c:pt>
                <c:pt idx="9">
                  <c:v>0.34642713448879325</c:v>
                </c:pt>
                <c:pt idx="10">
                  <c:v>0.42522975570852412</c:v>
                </c:pt>
              </c:numCache>
            </c:numRef>
          </c:xVal>
          <c:yVal>
            <c:numRef>
              <c:f>'WTO L&amp;D'!$J$18:$J$28</c:f>
              <c:numCache>
                <c:formatCode>General</c:formatCode>
                <c:ptCount val="11"/>
                <c:pt idx="0">
                  <c:v>-0.15554669618373879</c:v>
                </c:pt>
                <c:pt idx="1">
                  <c:v>6.1005235881231967E-2</c:v>
                </c:pt>
                <c:pt idx="2">
                  <c:v>0.27755716794620272</c:v>
                </c:pt>
                <c:pt idx="3">
                  <c:v>0.49410910001117342</c:v>
                </c:pt>
                <c:pt idx="4">
                  <c:v>0.71066103207614417</c:v>
                </c:pt>
                <c:pt idx="5">
                  <c:v>0.92721296414111487</c:v>
                </c:pt>
                <c:pt idx="6">
                  <c:v>1.1437648962060856</c:v>
                </c:pt>
                <c:pt idx="7">
                  <c:v>1.3603168282710563</c:v>
                </c:pt>
                <c:pt idx="8">
                  <c:v>1.576868760336027</c:v>
                </c:pt>
                <c:pt idx="9">
                  <c:v>1.7934206924009977</c:v>
                </c:pt>
                <c:pt idx="10">
                  <c:v>2.0099726244659686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E-4C6D-B46D-0BD5F63E3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699759"/>
        <c:axId val="527700591"/>
      </c:scatterChart>
      <c:valAx>
        <c:axId val="527699759"/>
        <c:scaling>
          <c:orientation val="minMax"/>
          <c:max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00591"/>
        <c:crosses val="autoZero"/>
        <c:crossBetween val="midCat"/>
      </c:valAx>
      <c:valAx>
        <c:axId val="527700591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99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WL Drag Polar V = 100KTAS,</a:t>
            </a:r>
            <a:r>
              <a:rPr lang="en-US" baseline="0"/>
              <a:t> </a:t>
            </a:r>
            <a:r>
              <a:rPr lang="en-US"/>
              <a:t>SL, 90F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Gear Down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'WL L&amp;D'!$K$18:$K$28</c:f>
              <c:numCache>
                <c:formatCode>General</c:formatCode>
                <c:ptCount val="11"/>
                <c:pt idx="0">
                  <c:v>7.9595528506041749E-2</c:v>
                </c:pt>
                <c:pt idx="1">
                  <c:v>8.5331014126128063E-2</c:v>
                </c:pt>
                <c:pt idx="2">
                  <c:v>0.10052736959314072</c:v>
                </c:pt>
                <c:pt idx="3">
                  <c:v>0.12518459490707973</c:v>
                </c:pt>
                <c:pt idx="4">
                  <c:v>0.15930269006794504</c:v>
                </c:pt>
                <c:pt idx="5">
                  <c:v>0.20288165507573674</c:v>
                </c:pt>
                <c:pt idx="6">
                  <c:v>0.25592148993045477</c:v>
                </c:pt>
                <c:pt idx="7">
                  <c:v>0.31842219463209914</c:v>
                </c:pt>
                <c:pt idx="8">
                  <c:v>0.3903837691806698</c:v>
                </c:pt>
                <c:pt idx="9">
                  <c:v>0.47180621357616681</c:v>
                </c:pt>
                <c:pt idx="10">
                  <c:v>0.56268952781859016</c:v>
                </c:pt>
              </c:numCache>
            </c:numRef>
          </c:xVal>
          <c:yVal>
            <c:numRef>
              <c:f>'WL L&amp;D'!$J$18:$J$28</c:f>
              <c:numCache>
                <c:formatCode>General</c:formatCode>
                <c:ptCount val="11"/>
                <c:pt idx="0">
                  <c:v>0.18935372934434302</c:v>
                </c:pt>
                <c:pt idx="1">
                  <c:v>0.40590566140931378</c:v>
                </c:pt>
                <c:pt idx="2">
                  <c:v>0.62245759347428453</c:v>
                </c:pt>
                <c:pt idx="3">
                  <c:v>0.83900952553925523</c:v>
                </c:pt>
                <c:pt idx="4">
                  <c:v>1.055561457604226</c:v>
                </c:pt>
                <c:pt idx="5">
                  <c:v>1.2721133896691967</c:v>
                </c:pt>
                <c:pt idx="6">
                  <c:v>1.4886653217341674</c:v>
                </c:pt>
                <c:pt idx="7">
                  <c:v>1.7052172537991381</c:v>
                </c:pt>
                <c:pt idx="8">
                  <c:v>1.9217691858641088</c:v>
                </c:pt>
                <c:pt idx="9">
                  <c:v>2.1383211179290793</c:v>
                </c:pt>
                <c:pt idx="10">
                  <c:v>2.3548730499940502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FE-4A59-A77A-19CD86E02C8A}"/>
            </c:ext>
          </c:extLst>
        </c:ser>
        <c:ser>
          <c:idx val="1"/>
          <c:order val="1"/>
          <c:tx>
            <c:v>Gear Up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'WL L&amp;D'!$K$42:$K$52</c:f>
              <c:numCache>
                <c:formatCode>General</c:formatCode>
                <c:ptCount val="11"/>
                <c:pt idx="0">
                  <c:v>6.559552850604175E-2</c:v>
                </c:pt>
                <c:pt idx="1">
                  <c:v>7.1331014126128064E-2</c:v>
                </c:pt>
                <c:pt idx="2">
                  <c:v>8.6527369593140724E-2</c:v>
                </c:pt>
                <c:pt idx="3">
                  <c:v>0.11118459490707971</c:v>
                </c:pt>
                <c:pt idx="4">
                  <c:v>0.14530269006794505</c:v>
                </c:pt>
                <c:pt idx="5">
                  <c:v>0.18888165507573673</c:v>
                </c:pt>
                <c:pt idx="6">
                  <c:v>0.24192148993045476</c:v>
                </c:pt>
                <c:pt idx="7">
                  <c:v>0.30442219463209913</c:v>
                </c:pt>
                <c:pt idx="8">
                  <c:v>0.37638376918066979</c:v>
                </c:pt>
                <c:pt idx="9">
                  <c:v>0.4578062135761668</c:v>
                </c:pt>
                <c:pt idx="10">
                  <c:v>0.54868952781859015</c:v>
                </c:pt>
              </c:numCache>
            </c:numRef>
          </c:xVal>
          <c:yVal>
            <c:numRef>
              <c:f>'WL L&amp;D'!$J$42:$J$52</c:f>
              <c:numCache>
                <c:formatCode>General</c:formatCode>
                <c:ptCount val="11"/>
                <c:pt idx="0">
                  <c:v>0.18935372934434302</c:v>
                </c:pt>
                <c:pt idx="1">
                  <c:v>0.40590566140931378</c:v>
                </c:pt>
                <c:pt idx="2">
                  <c:v>0.62245759347428453</c:v>
                </c:pt>
                <c:pt idx="3">
                  <c:v>0.83900952553925523</c:v>
                </c:pt>
                <c:pt idx="4">
                  <c:v>1.055561457604226</c:v>
                </c:pt>
                <c:pt idx="5">
                  <c:v>1.2721133896691967</c:v>
                </c:pt>
                <c:pt idx="6">
                  <c:v>1.4886653217341674</c:v>
                </c:pt>
                <c:pt idx="7">
                  <c:v>1.7052172537991381</c:v>
                </c:pt>
                <c:pt idx="8">
                  <c:v>1.9217691858641088</c:v>
                </c:pt>
                <c:pt idx="9">
                  <c:v>2.1383211179290793</c:v>
                </c:pt>
                <c:pt idx="10">
                  <c:v>2.3548730499940502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FE-4A59-A77A-19CD86E02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928719"/>
        <c:axId val="317386383"/>
      </c:scatterChart>
      <c:valAx>
        <c:axId val="53392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86383"/>
        <c:crosses val="autoZero"/>
        <c:crossBetween val="midCat"/>
      </c:valAx>
      <c:valAx>
        <c:axId val="317386383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28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FC, 30K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 = 0.60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'FC L&amp;D'!$AB$140:$AB$150</c:f>
              <c:numCache>
                <c:formatCode>General</c:formatCode>
                <c:ptCount val="11"/>
                <c:pt idx="0">
                  <c:v>7.8803361092143961E-2</c:v>
                </c:pt>
                <c:pt idx="1">
                  <c:v>3.9581339127119995E-2</c:v>
                </c:pt>
                <c:pt idx="2">
                  <c:v>1.9044174898420495E-2</c:v>
                </c:pt>
                <c:pt idx="3">
                  <c:v>1.7191868406045443E-2</c:v>
                </c:pt>
                <c:pt idx="4">
                  <c:v>3.4024419649994843E-2</c:v>
                </c:pt>
                <c:pt idx="5">
                  <c:v>6.9541828630268712E-2</c:v>
                </c:pt>
                <c:pt idx="6">
                  <c:v>0.12374409534686703</c:v>
                </c:pt>
                <c:pt idx="7">
                  <c:v>0.19663121979978976</c:v>
                </c:pt>
                <c:pt idx="8">
                  <c:v>0.28820320198903698</c:v>
                </c:pt>
                <c:pt idx="9">
                  <c:v>0.39846004191460871</c:v>
                </c:pt>
                <c:pt idx="10">
                  <c:v>0.52740173957650482</c:v>
                </c:pt>
              </c:numCache>
            </c:numRef>
          </c:xVal>
          <c:yVal>
            <c:numRef>
              <c:f>'FC L&amp;D'!$AA$140:$AA$150</c:f>
              <c:numCache>
                <c:formatCode>General</c:formatCode>
                <c:ptCount val="11"/>
                <c:pt idx="0">
                  <c:v>-0.7608191499083099</c:v>
                </c:pt>
                <c:pt idx="1">
                  <c:v>-0.4564914899449859</c:v>
                </c:pt>
                <c:pt idx="2">
                  <c:v>-0.15216382998166197</c:v>
                </c:pt>
                <c:pt idx="3">
                  <c:v>0.15216382998166197</c:v>
                </c:pt>
                <c:pt idx="4">
                  <c:v>0.4564914899449859</c:v>
                </c:pt>
                <c:pt idx="5">
                  <c:v>0.7608191499083099</c:v>
                </c:pt>
                <c:pt idx="6">
                  <c:v>1.0651468098716339</c:v>
                </c:pt>
                <c:pt idx="7">
                  <c:v>1.3694744698349577</c:v>
                </c:pt>
                <c:pt idx="8">
                  <c:v>1.6738021297982817</c:v>
                </c:pt>
                <c:pt idx="9">
                  <c:v>1.9781297897616057</c:v>
                </c:pt>
                <c:pt idx="10">
                  <c:v>2.2824574497249297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062-48F0-9502-BED97C8C7176}"/>
            </c:ext>
          </c:extLst>
        </c:ser>
        <c:ser>
          <c:idx val="1"/>
          <c:order val="1"/>
          <c:tx>
            <c:v>M = 0.65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'FC L&amp;D'!$AD$140:$AD$150</c:f>
              <c:numCache>
                <c:formatCode>General</c:formatCode>
                <c:ptCount val="11"/>
                <c:pt idx="0">
                  <c:v>8.9663181444844697E-2</c:v>
                </c:pt>
                <c:pt idx="1">
                  <c:v>4.3955569311158023E-2</c:v>
                </c:pt>
                <c:pt idx="2">
                  <c:v>2.0022465155326723E-2</c:v>
                </c:pt>
                <c:pt idx="3">
                  <c:v>1.7863868977350799E-2</c:v>
                </c:pt>
                <c:pt idx="4">
                  <c:v>3.747978077723025E-2</c:v>
                </c:pt>
                <c:pt idx="5">
                  <c:v>7.8870200554965075E-2</c:v>
                </c:pt>
                <c:pt idx="6">
                  <c:v>0.14203512831055531</c:v>
                </c:pt>
                <c:pt idx="7">
                  <c:v>0.22697456404400085</c:v>
                </c:pt>
                <c:pt idx="8">
                  <c:v>0.33368850775530184</c:v>
                </c:pt>
                <c:pt idx="9">
                  <c:v>0.46217695944445814</c:v>
                </c:pt>
                <c:pt idx="10">
                  <c:v>0.61243991911146978</c:v>
                </c:pt>
              </c:numCache>
            </c:numRef>
          </c:xVal>
          <c:yVal>
            <c:numRef>
              <c:f>'FC L&amp;D'!$AC$140:$AC$150</c:f>
              <c:numCache>
                <c:formatCode>General</c:formatCode>
                <c:ptCount val="11"/>
                <c:pt idx="0">
                  <c:v>-0.82131681196568496</c:v>
                </c:pt>
                <c:pt idx="1">
                  <c:v>-0.49279008717941097</c:v>
                </c:pt>
                <c:pt idx="2">
                  <c:v>-0.16426336239313699</c:v>
                </c:pt>
                <c:pt idx="3">
                  <c:v>0.16426336239313699</c:v>
                </c:pt>
                <c:pt idx="4">
                  <c:v>0.49279008717941097</c:v>
                </c:pt>
                <c:pt idx="5">
                  <c:v>0.82131681196568496</c:v>
                </c:pt>
                <c:pt idx="6">
                  <c:v>1.149843536751959</c:v>
                </c:pt>
                <c:pt idx="7">
                  <c:v>1.4783702615382328</c:v>
                </c:pt>
                <c:pt idx="8">
                  <c:v>1.806896986324507</c:v>
                </c:pt>
                <c:pt idx="9">
                  <c:v>2.1354237111107808</c:v>
                </c:pt>
                <c:pt idx="10">
                  <c:v>2.463950435897055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062-48F0-9502-BED97C8C7176}"/>
            </c:ext>
          </c:extLst>
        </c:ser>
        <c:ser>
          <c:idx val="2"/>
          <c:order val="2"/>
          <c:tx>
            <c:v>M = 0.70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'FC L&amp;D'!$AF$140:$AF$150</c:f>
              <c:numCache>
                <c:formatCode>General</c:formatCode>
                <c:ptCount val="11"/>
                <c:pt idx="0">
                  <c:v>0.10397331421606647</c:v>
                </c:pt>
                <c:pt idx="1">
                  <c:v>4.9364325968383249E-2</c:v>
                </c:pt>
                <c:pt idx="2">
                  <c:v>2.0770344734934977E-2</c:v>
                </c:pt>
                <c:pt idx="3">
                  <c:v>1.819137051572163E-2</c:v>
                </c:pt>
                <c:pt idx="4">
                  <c:v>4.1627403310743209E-2</c:v>
                </c:pt>
                <c:pt idx="5">
                  <c:v>9.1078443119999727E-2</c:v>
                </c:pt>
                <c:pt idx="6">
                  <c:v>0.16654448994349119</c:v>
                </c:pt>
                <c:pt idx="7">
                  <c:v>0.26802554378121751</c:v>
                </c:pt>
                <c:pt idx="8">
                  <c:v>0.39552160463317887</c:v>
                </c:pt>
                <c:pt idx="9">
                  <c:v>0.54903267249937504</c:v>
                </c:pt>
                <c:pt idx="10">
                  <c:v>0.7285587473798063</c:v>
                </c:pt>
              </c:numCache>
            </c:numRef>
          </c:xVal>
          <c:yVal>
            <c:numRef>
              <c:f>'FC L&amp;D'!$AE$140:$AE$150</c:f>
              <c:numCache>
                <c:formatCode>General</c:formatCode>
                <c:ptCount val="11"/>
                <c:pt idx="0">
                  <c:v>-0.89773573144003305</c:v>
                </c:pt>
                <c:pt idx="1">
                  <c:v>-0.53864143886401983</c:v>
                </c:pt>
                <c:pt idx="2">
                  <c:v>-0.17954714628800661</c:v>
                </c:pt>
                <c:pt idx="3">
                  <c:v>0.17954714628800661</c:v>
                </c:pt>
                <c:pt idx="4">
                  <c:v>0.53864143886401983</c:v>
                </c:pt>
                <c:pt idx="5">
                  <c:v>0.89773573144003305</c:v>
                </c:pt>
                <c:pt idx="6">
                  <c:v>1.2568300240160464</c:v>
                </c:pt>
                <c:pt idx="7">
                  <c:v>1.6159243165920594</c:v>
                </c:pt>
                <c:pt idx="8">
                  <c:v>1.9750186091680728</c:v>
                </c:pt>
                <c:pt idx="9">
                  <c:v>2.3341129017440858</c:v>
                </c:pt>
                <c:pt idx="10">
                  <c:v>2.6932071943200993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1062-48F0-9502-BED97C8C7176}"/>
            </c:ext>
          </c:extLst>
        </c:ser>
        <c:ser>
          <c:idx val="3"/>
          <c:order val="3"/>
          <c:tx>
            <c:v>M = 0.75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'FC L&amp;D'!$AH$140:$AH$150</c:f>
              <c:numCache>
                <c:formatCode>General</c:formatCode>
                <c:ptCount val="11"/>
                <c:pt idx="0">
                  <c:v>0.12422666706432285</c:v>
                </c:pt>
                <c:pt idx="1">
                  <c:v>5.7049358706471681E-2</c:v>
                </c:pt>
                <c:pt idx="2">
                  <c:v>2.1874440508285548E-2</c:v>
                </c:pt>
                <c:pt idx="3">
                  <c:v>1.8701912469764461E-2</c:v>
                </c:pt>
                <c:pt idx="4">
                  <c:v>4.7531774590908418E-2</c:v>
                </c:pt>
                <c:pt idx="5">
                  <c:v>0.10836402687171741</c:v>
                </c:pt>
                <c:pt idx="6">
                  <c:v>0.20119866931219146</c:v>
                </c:pt>
                <c:pt idx="7">
                  <c:v>0.3260357019123305</c:v>
                </c:pt>
                <c:pt idx="8">
                  <c:v>0.48287512467213478</c:v>
                </c:pt>
                <c:pt idx="9">
                  <c:v>0.67171693759160389</c:v>
                </c:pt>
                <c:pt idx="10">
                  <c:v>0.892561140670738</c:v>
                </c:pt>
              </c:numCache>
            </c:numRef>
          </c:xVal>
          <c:yVal>
            <c:numRef>
              <c:f>'FC L&amp;D'!$AG$140:$AG$150</c:f>
              <c:numCache>
                <c:formatCode>General</c:formatCode>
                <c:ptCount val="11"/>
                <c:pt idx="0">
                  <c:v>-0.99569825350747698</c:v>
                </c:pt>
                <c:pt idx="1">
                  <c:v>-0.59741895210448615</c:v>
                </c:pt>
                <c:pt idx="2">
                  <c:v>-0.19913965070149539</c:v>
                </c:pt>
                <c:pt idx="3">
                  <c:v>0.19913965070149539</c:v>
                </c:pt>
                <c:pt idx="4">
                  <c:v>0.59741895210448615</c:v>
                </c:pt>
                <c:pt idx="5">
                  <c:v>0.99569825350747698</c:v>
                </c:pt>
                <c:pt idx="6">
                  <c:v>1.3939775549104678</c:v>
                </c:pt>
                <c:pt idx="7">
                  <c:v>1.7922568563134584</c:v>
                </c:pt>
                <c:pt idx="8">
                  <c:v>2.1905361577164495</c:v>
                </c:pt>
                <c:pt idx="9">
                  <c:v>2.5888154591194401</c:v>
                </c:pt>
                <c:pt idx="10">
                  <c:v>2.9870947605224307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1062-48F0-9502-BED97C8C7176}"/>
            </c:ext>
          </c:extLst>
        </c:ser>
        <c:ser>
          <c:idx val="4"/>
          <c:order val="4"/>
          <c:tx>
            <c:v>M = 0.80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'FC L&amp;D'!$AJ$140:$AJ$150</c:f>
              <c:numCache>
                <c:formatCode>General</c:formatCode>
                <c:ptCount val="11"/>
                <c:pt idx="0">
                  <c:v>0.14272585697950602</c:v>
                </c:pt>
                <c:pt idx="1">
                  <c:v>6.1309052977097829E-2</c:v>
                </c:pt>
                <c:pt idx="2">
                  <c:v>2.0600650975893715E-2</c:v>
                </c:pt>
                <c:pt idx="3">
                  <c:v>2.0600650975893715E-2</c:v>
                </c:pt>
                <c:pt idx="4">
                  <c:v>6.1309052977097829E-2</c:v>
                </c:pt>
                <c:pt idx="5">
                  <c:v>0.14272585697950602</c:v>
                </c:pt>
                <c:pt idx="6">
                  <c:v>0.26485106298311833</c:v>
                </c:pt>
                <c:pt idx="7">
                  <c:v>0.42768467098793472</c:v>
                </c:pt>
                <c:pt idx="8">
                  <c:v>0.63122668099395529</c:v>
                </c:pt>
                <c:pt idx="9">
                  <c:v>0.87547709300118004</c:v>
                </c:pt>
                <c:pt idx="10">
                  <c:v>1.1604359070096089</c:v>
                </c:pt>
              </c:numCache>
            </c:numRef>
          </c:xVal>
          <c:yVal>
            <c:numRef>
              <c:f>'FC L&amp;D'!$AI$140:$AI$150</c:f>
              <c:numCache>
                <c:formatCode>General</c:formatCode>
                <c:ptCount val="11"/>
                <c:pt idx="0">
                  <c:v>-1.1229969191984597</c:v>
                </c:pt>
                <c:pt idx="1">
                  <c:v>-0.67379815151907585</c:v>
                </c:pt>
                <c:pt idx="2">
                  <c:v>-0.22459938383969194</c:v>
                </c:pt>
                <c:pt idx="3">
                  <c:v>0.22459938383969194</c:v>
                </c:pt>
                <c:pt idx="4">
                  <c:v>0.67379815151907585</c:v>
                </c:pt>
                <c:pt idx="5">
                  <c:v>1.1229969191984597</c:v>
                </c:pt>
                <c:pt idx="6">
                  <c:v>1.5721956868778435</c:v>
                </c:pt>
                <c:pt idx="7">
                  <c:v>2.0213944545572273</c:v>
                </c:pt>
                <c:pt idx="8">
                  <c:v>2.4705932222366114</c:v>
                </c:pt>
                <c:pt idx="9">
                  <c:v>2.9197919899159954</c:v>
                </c:pt>
                <c:pt idx="10">
                  <c:v>3.368990757595379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1062-48F0-9502-BED97C8C7176}"/>
            </c:ext>
          </c:extLst>
        </c:ser>
        <c:ser>
          <c:idx val="5"/>
          <c:order val="5"/>
          <c:tx>
            <c:v>M = 0.85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'FC L&amp;D'!$AL$140:$AL$150</c:f>
              <c:numCache>
                <c:formatCode>General</c:formatCode>
                <c:ptCount val="11"/>
                <c:pt idx="0">
                  <c:v>0.1846219502429437</c:v>
                </c:pt>
                <c:pt idx="1">
                  <c:v>7.6788364906976214E-2</c:v>
                </c:pt>
                <c:pt idx="2">
                  <c:v>2.2871572238992482E-2</c:v>
                </c:pt>
                <c:pt idx="3">
                  <c:v>2.2871572238992482E-2</c:v>
                </c:pt>
                <c:pt idx="4">
                  <c:v>7.6788364906976214E-2</c:v>
                </c:pt>
                <c:pt idx="5">
                  <c:v>0.1846219502429437</c:v>
                </c:pt>
                <c:pt idx="6">
                  <c:v>0.34637232824689496</c:v>
                </c:pt>
                <c:pt idx="7">
                  <c:v>0.56203949891882987</c:v>
                </c:pt>
                <c:pt idx="8">
                  <c:v>0.83162346225874872</c:v>
                </c:pt>
                <c:pt idx="9">
                  <c:v>1.155124218266651</c:v>
                </c:pt>
                <c:pt idx="10">
                  <c:v>1.5325417669425372</c:v>
                </c:pt>
              </c:numCache>
            </c:numRef>
          </c:xVal>
          <c:yVal>
            <c:numRef>
              <c:f>'FC L&amp;D'!$AK$140:$AK$150</c:f>
              <c:numCache>
                <c:formatCode>General</c:formatCode>
                <c:ptCount val="11"/>
                <c:pt idx="0">
                  <c:v>-1.2924047999753883</c:v>
                </c:pt>
                <c:pt idx="1">
                  <c:v>-0.77544287998523287</c:v>
                </c:pt>
                <c:pt idx="2">
                  <c:v>-0.25848095999507764</c:v>
                </c:pt>
                <c:pt idx="3">
                  <c:v>0.25848095999507764</c:v>
                </c:pt>
                <c:pt idx="4">
                  <c:v>0.77544287998523287</c:v>
                </c:pt>
                <c:pt idx="5">
                  <c:v>1.2924047999753883</c:v>
                </c:pt>
                <c:pt idx="6">
                  <c:v>1.8093667199655434</c:v>
                </c:pt>
                <c:pt idx="7">
                  <c:v>2.3263286399556988</c:v>
                </c:pt>
                <c:pt idx="8">
                  <c:v>2.8432905599458542</c:v>
                </c:pt>
                <c:pt idx="9">
                  <c:v>3.3602524799360092</c:v>
                </c:pt>
                <c:pt idx="10">
                  <c:v>3.8772143999261646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1062-48F0-9502-BED97C8C7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669695"/>
        <c:axId val="1033660543"/>
      </c:scatterChart>
      <c:valAx>
        <c:axId val="103366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60543"/>
        <c:crosses val="autoZero"/>
        <c:crossBetween val="midCat"/>
      </c:valAx>
      <c:valAx>
        <c:axId val="10336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669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NACA 1410 c_l vs. </a:t>
            </a:r>
            <a:r>
              <a:rPr lang="el-GR" baseline="0"/>
              <a:t>α</a:t>
            </a:r>
            <a:r>
              <a:rPr lang="en-US" baseline="0"/>
              <a:t> SL 90F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α'!$F$7:$F$10</c:f>
              <c:numCache>
                <c:formatCode>General</c:formatCode>
                <c:ptCount val="4"/>
                <c:pt idx="0">
                  <c:v>-1</c:v>
                </c:pt>
                <c:pt idx="1">
                  <c:v>11</c:v>
                </c:pt>
                <c:pt idx="2">
                  <c:v>14.3</c:v>
                </c:pt>
                <c:pt idx="3">
                  <c:v>16.5</c:v>
                </c:pt>
              </c:numCache>
            </c:numRef>
          </c:xVal>
          <c:yVal>
            <c:numRef>
              <c:f>'C_L vs. α'!$G$7:$G$10</c:f>
              <c:numCache>
                <c:formatCode>General</c:formatCode>
                <c:ptCount val="4"/>
                <c:pt idx="0">
                  <c:v>0</c:v>
                </c:pt>
                <c:pt idx="1">
                  <c:v>1.1879999999999999</c:v>
                </c:pt>
                <c:pt idx="2">
                  <c:v>1.5</c:v>
                </c:pt>
                <c:pt idx="3">
                  <c:v>1.35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80-4F96-BE7E-E33CB143D90C}"/>
            </c:ext>
          </c:extLst>
        </c:ser>
        <c:ser>
          <c:idx val="1"/>
          <c:order val="1"/>
          <c:tx>
            <c:v>TO Flaps Down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α'!$H$7:$H$10</c:f>
              <c:numCache>
                <c:formatCode>General</c:formatCode>
                <c:ptCount val="4"/>
                <c:pt idx="0">
                  <c:v>-1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</c:numCache>
            </c:numRef>
          </c:xVal>
          <c:yVal>
            <c:numRef>
              <c:f>'C_L vs. α'!$I$7:$I$10</c:f>
              <c:numCache>
                <c:formatCode>General</c:formatCode>
                <c:ptCount val="4"/>
                <c:pt idx="0">
                  <c:v>0.515221195188726</c:v>
                </c:pt>
                <c:pt idx="1">
                  <c:v>1.5952211951887261</c:v>
                </c:pt>
                <c:pt idx="2">
                  <c:v>1.8854</c:v>
                </c:pt>
                <c:pt idx="3">
                  <c:v>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54-4D4D-94F0-C77AB90B9143}"/>
            </c:ext>
          </c:extLst>
        </c:ser>
        <c:ser>
          <c:idx val="2"/>
          <c:order val="2"/>
          <c:tx>
            <c:v>L Flaps Down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α'!$J$7:$J$10</c:f>
              <c:numCache>
                <c:formatCode>General</c:formatCode>
                <c:ptCount val="4"/>
                <c:pt idx="0">
                  <c:v>-1</c:v>
                </c:pt>
                <c:pt idx="1">
                  <c:v>8</c:v>
                </c:pt>
                <c:pt idx="2">
                  <c:v>11</c:v>
                </c:pt>
                <c:pt idx="3">
                  <c:v>13</c:v>
                </c:pt>
              </c:numCache>
            </c:numRef>
          </c:xVal>
          <c:yVal>
            <c:numRef>
              <c:f>'C_L vs. α'!$K$7:$K$10</c:f>
              <c:numCache>
                <c:formatCode>General</c:formatCode>
                <c:ptCount val="4"/>
                <c:pt idx="0">
                  <c:v>0.74707073302365268</c:v>
                </c:pt>
                <c:pt idx="1">
                  <c:v>1.7190707330236528</c:v>
                </c:pt>
                <c:pt idx="2">
                  <c:v>1.9838</c:v>
                </c:pt>
                <c:pt idx="3">
                  <c:v>1.95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54-4D4D-94F0-C77AB90B9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353664"/>
        <c:axId val="1627464560"/>
      </c:scatterChart>
      <c:valAx>
        <c:axId val="1690353664"/>
        <c:scaling>
          <c:orientation val="minMax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64560"/>
        <c:crosses val="autoZero"/>
        <c:crossBetween val="midCat"/>
      </c:valAx>
      <c:valAx>
        <c:axId val="16274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53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C_L</a:t>
            </a:r>
            <a:r>
              <a:rPr lang="en-US" baseline="0"/>
              <a:t> vs. </a:t>
            </a:r>
            <a:r>
              <a:rPr lang="el-GR" baseline="0"/>
              <a:t>α</a:t>
            </a:r>
            <a:r>
              <a:rPr lang="en-US" baseline="0"/>
              <a:t> SL 90F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α'!$G$66:$G$69</c:f>
              <c:numCache>
                <c:formatCode>General</c:formatCode>
                <c:ptCount val="4"/>
                <c:pt idx="0">
                  <c:v>-0.9</c:v>
                </c:pt>
                <c:pt idx="1">
                  <c:v>11</c:v>
                </c:pt>
                <c:pt idx="2">
                  <c:v>14</c:v>
                </c:pt>
                <c:pt idx="3">
                  <c:v>16.5</c:v>
                </c:pt>
              </c:numCache>
            </c:numRef>
          </c:xVal>
          <c:yVal>
            <c:numRef>
              <c:f>'C_L vs. α'!$H$66:$H$69</c:f>
              <c:numCache>
                <c:formatCode>General</c:formatCode>
                <c:ptCount val="4"/>
                <c:pt idx="0">
                  <c:v>0</c:v>
                </c:pt>
                <c:pt idx="1">
                  <c:v>0.71174782406584458</c:v>
                </c:pt>
                <c:pt idx="2">
                  <c:v>0.9</c:v>
                </c:pt>
                <c:pt idx="3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FC-4832-BEA2-91B1903DFC79}"/>
            </c:ext>
          </c:extLst>
        </c:ser>
        <c:ser>
          <c:idx val="1"/>
          <c:order val="1"/>
          <c:tx>
            <c:v>TO Flaps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α'!$I$66:$I$69</c:f>
              <c:numCache>
                <c:formatCode>General</c:formatCode>
                <c:ptCount val="4"/>
                <c:pt idx="0">
                  <c:v>-1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</c:numCache>
            </c:numRef>
          </c:xVal>
          <c:yVal>
            <c:numRef>
              <c:f>'C_L vs. α'!$J$66:$J$69</c:f>
              <c:numCache>
                <c:formatCode>General</c:formatCode>
                <c:ptCount val="4"/>
                <c:pt idx="0">
                  <c:v>0.515221195188726</c:v>
                </c:pt>
                <c:pt idx="1">
                  <c:v>1.1622646716122211</c:v>
                </c:pt>
                <c:pt idx="2">
                  <c:v>1.35</c:v>
                </c:pt>
                <c:pt idx="3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6E-44CD-9C37-68B2A55D829A}"/>
            </c:ext>
          </c:extLst>
        </c:ser>
        <c:ser>
          <c:idx val="2"/>
          <c:order val="2"/>
          <c:tx>
            <c:v>L Flaps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α'!$K$66:$K$69</c:f>
              <c:numCache>
                <c:formatCode>General</c:formatCode>
                <c:ptCount val="4"/>
                <c:pt idx="0">
                  <c:v>-1</c:v>
                </c:pt>
                <c:pt idx="1">
                  <c:v>8</c:v>
                </c:pt>
                <c:pt idx="2">
                  <c:v>11</c:v>
                </c:pt>
                <c:pt idx="3">
                  <c:v>13</c:v>
                </c:pt>
              </c:numCache>
            </c:numRef>
          </c:xVal>
          <c:yVal>
            <c:numRef>
              <c:f>'C_L vs. α'!$L$66:$L$69</c:f>
              <c:numCache>
                <c:formatCode>General</c:formatCode>
                <c:ptCount val="4"/>
                <c:pt idx="0">
                  <c:v>0.74707073302365268</c:v>
                </c:pt>
                <c:pt idx="1">
                  <c:v>1.3294098618047983</c:v>
                </c:pt>
                <c:pt idx="2">
                  <c:v>1.52</c:v>
                </c:pt>
                <c:pt idx="3">
                  <c:v>1.37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6E-44CD-9C37-68B2A55D8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700848"/>
        <c:axId val="1861690448"/>
      </c:scatterChart>
      <c:valAx>
        <c:axId val="186170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690448"/>
        <c:crosses val="autoZero"/>
        <c:crossBetween val="midCat"/>
      </c:valAx>
      <c:valAx>
        <c:axId val="18616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70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NACA 0009 c_l vs. </a:t>
            </a:r>
            <a:r>
              <a:rPr lang="el-GR"/>
              <a:t>α</a:t>
            </a:r>
            <a:r>
              <a:rPr lang="en-US"/>
              <a:t> SL 90F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NACA 0009 c_l vs. 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α'!$G$49:$G$52</c:f>
              <c:numCache>
                <c:formatCode>General</c:formatCode>
                <c:ptCount val="4"/>
                <c:pt idx="0">
                  <c:v>0</c:v>
                </c:pt>
                <c:pt idx="1">
                  <c:v>11.4</c:v>
                </c:pt>
                <c:pt idx="2">
                  <c:v>13.4</c:v>
                </c:pt>
                <c:pt idx="3">
                  <c:v>15.5</c:v>
                </c:pt>
              </c:numCache>
            </c:numRef>
          </c:xVal>
          <c:yVal>
            <c:numRef>
              <c:f>'C_L vs. α'!$H$49:$H$52</c:f>
              <c:numCache>
                <c:formatCode>General</c:formatCode>
                <c:ptCount val="4"/>
                <c:pt idx="0">
                  <c:v>0</c:v>
                </c:pt>
                <c:pt idx="1">
                  <c:v>1.2425999999999999</c:v>
                </c:pt>
                <c:pt idx="2">
                  <c:v>1.32</c:v>
                </c:pt>
                <c:pt idx="3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80-4D8E-B466-05A9ACDC2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64800"/>
        <c:axId val="1923287680"/>
      </c:scatterChart>
      <c:valAx>
        <c:axId val="192326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87680"/>
        <c:crosses val="autoZero"/>
        <c:crossBetween val="midCat"/>
      </c:valAx>
      <c:valAx>
        <c:axId val="192328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6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C_L vs. </a:t>
            </a:r>
            <a:r>
              <a:rPr lang="el-GR"/>
              <a:t>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α'!$G$301:$G$304</c:f>
              <c:numCache>
                <c:formatCode>General</c:formatCode>
                <c:ptCount val="4"/>
                <c:pt idx="0">
                  <c:v>-0.8439521009982629</c:v>
                </c:pt>
                <c:pt idx="1">
                  <c:v>11</c:v>
                </c:pt>
                <c:pt idx="2">
                  <c:v>14</c:v>
                </c:pt>
                <c:pt idx="3">
                  <c:v>16</c:v>
                </c:pt>
              </c:numCache>
            </c:numRef>
          </c:xVal>
          <c:yVal>
            <c:numRef>
              <c:f>'C_L vs. α'!$H$301:$H$304</c:f>
              <c:numCache>
                <c:formatCode>General</c:formatCode>
                <c:ptCount val="4"/>
                <c:pt idx="0">
                  <c:v>0</c:v>
                </c:pt>
                <c:pt idx="1">
                  <c:v>0.75769733525048011</c:v>
                </c:pt>
                <c:pt idx="2">
                  <c:v>0.81651735461623798</c:v>
                </c:pt>
                <c:pt idx="3">
                  <c:v>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32-4321-9ECF-388203E7894E}"/>
            </c:ext>
          </c:extLst>
        </c:ser>
        <c:ser>
          <c:idx val="1"/>
          <c:order val="1"/>
          <c:tx>
            <c:v>TO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α'!$I$301:$I$304</c:f>
              <c:numCache>
                <c:formatCode>General</c:formatCode>
                <c:ptCount val="4"/>
                <c:pt idx="0">
                  <c:v>-0.8439521009982629</c:v>
                </c:pt>
                <c:pt idx="1">
                  <c:v>11</c:v>
                </c:pt>
                <c:pt idx="2">
                  <c:v>13</c:v>
                </c:pt>
                <c:pt idx="3">
                  <c:v>15</c:v>
                </c:pt>
              </c:numCache>
            </c:numRef>
          </c:xVal>
          <c:yVal>
            <c:numRef>
              <c:f>'C_L vs. α'!$J$301:$J$304</c:f>
              <c:numCache>
                <c:formatCode>General</c:formatCode>
                <c:ptCount val="4"/>
                <c:pt idx="0">
                  <c:v>0.24077201573661</c:v>
                </c:pt>
                <c:pt idx="1">
                  <c:v>0.99846935098709011</c:v>
                </c:pt>
                <c:pt idx="2">
                  <c:v>1.0572893703528479</c:v>
                </c:pt>
                <c:pt idx="3">
                  <c:v>0.85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32-4321-9ECF-388203E7894E}"/>
            </c:ext>
          </c:extLst>
        </c:ser>
        <c:ser>
          <c:idx val="2"/>
          <c:order val="2"/>
          <c:tx>
            <c:v>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α'!$K$301:$K$304</c:f>
              <c:numCache>
                <c:formatCode>General</c:formatCode>
                <c:ptCount val="4"/>
                <c:pt idx="0">
                  <c:v>-0.8439521009982629</c:v>
                </c:pt>
                <c:pt idx="1">
                  <c:v>11</c:v>
                </c:pt>
                <c:pt idx="2">
                  <c:v>12.5</c:v>
                </c:pt>
                <c:pt idx="3">
                  <c:v>14.5</c:v>
                </c:pt>
              </c:numCache>
            </c:numRef>
          </c:xVal>
          <c:yVal>
            <c:numRef>
              <c:f>'C_L vs. α'!$L$301:$L$304</c:f>
              <c:numCache>
                <c:formatCode>General</c:formatCode>
                <c:ptCount val="4"/>
                <c:pt idx="0">
                  <c:v>0.13770496538644736</c:v>
                </c:pt>
                <c:pt idx="1">
                  <c:v>0.8954023006369275</c:v>
                </c:pt>
                <c:pt idx="2">
                  <c:v>0.95422232000268536</c:v>
                </c:pt>
                <c:pt idx="3">
                  <c:v>0.95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32-4321-9ECF-388203E78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98992"/>
        <c:axId val="147702320"/>
      </c:scatterChart>
      <c:valAx>
        <c:axId val="14769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02320"/>
        <c:crosses val="autoZero"/>
        <c:crossBetween val="midCat"/>
      </c:valAx>
      <c:valAx>
        <c:axId val="14770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8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  <a:r>
              <a:rPr lang="en-US" baseline="0"/>
              <a:t> </a:t>
            </a:r>
            <a:r>
              <a:rPr lang="en-US"/>
              <a:t>C_L vs. </a:t>
            </a:r>
            <a:r>
              <a:rPr lang="el-GR"/>
              <a:t>α</a:t>
            </a:r>
            <a:r>
              <a:rPr lang="en-US"/>
              <a:t> SL 90F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α'!$Z$303:$Z$305</c:f>
              <c:numCache>
                <c:formatCode>General</c:formatCode>
                <c:ptCount val="3"/>
                <c:pt idx="0">
                  <c:v>-1</c:v>
                </c:pt>
                <c:pt idx="1">
                  <c:v>14</c:v>
                </c:pt>
                <c:pt idx="2">
                  <c:v>16</c:v>
                </c:pt>
              </c:numCache>
            </c:numRef>
          </c:xVal>
          <c:yVal>
            <c:numRef>
              <c:f>'C_L vs. α'!$AA$303:$AA$305</c:f>
              <c:numCache>
                <c:formatCode>General</c:formatCode>
                <c:ptCount val="3"/>
                <c:pt idx="0">
                  <c:v>0</c:v>
                </c:pt>
                <c:pt idx="1">
                  <c:v>1.6241394904872803</c:v>
                </c:pt>
                <c:pt idx="2">
                  <c:v>1.55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A8-4370-92AA-734FC5F2829A}"/>
            </c:ext>
          </c:extLst>
        </c:ser>
        <c:ser>
          <c:idx val="1"/>
          <c:order val="1"/>
          <c:tx>
            <c:v>Take 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α'!$V$303:$V$305</c:f>
              <c:numCache>
                <c:formatCode>General</c:formatCode>
                <c:ptCount val="3"/>
                <c:pt idx="0">
                  <c:v>-1</c:v>
                </c:pt>
                <c:pt idx="1">
                  <c:v>13</c:v>
                </c:pt>
                <c:pt idx="2">
                  <c:v>15</c:v>
                </c:pt>
              </c:numCache>
            </c:numRef>
          </c:xVal>
          <c:yVal>
            <c:numRef>
              <c:f>'C_L vs. α'!$W$303:$W$305</c:f>
              <c:numCache>
                <c:formatCode>General</c:formatCode>
                <c:ptCount val="3"/>
                <c:pt idx="0">
                  <c:v>0.38583313397868807</c:v>
                </c:pt>
                <c:pt idx="1">
                  <c:v>2.0099726244659686</c:v>
                </c:pt>
                <c:pt idx="2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A8-4370-92AA-734FC5F2829A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α'!$X$303:$X$305</c:f>
              <c:numCache>
                <c:formatCode>General</c:formatCode>
                <c:ptCount val="3"/>
                <c:pt idx="0">
                  <c:v>-1</c:v>
                </c:pt>
                <c:pt idx="1">
                  <c:v>12.5</c:v>
                </c:pt>
                <c:pt idx="2">
                  <c:v>15</c:v>
                </c:pt>
              </c:numCache>
            </c:numRef>
          </c:xVal>
          <c:yVal>
            <c:numRef>
              <c:f>'C_L vs. α'!$Y$303:$Y$305</c:f>
              <c:numCache>
                <c:formatCode>General</c:formatCode>
                <c:ptCount val="3"/>
                <c:pt idx="0">
                  <c:v>0.55945804426909762</c:v>
                </c:pt>
                <c:pt idx="1">
                  <c:v>2.3548730499940502</c:v>
                </c:pt>
                <c:pt idx="2">
                  <c:v>2.2999999999999998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A8-4370-92AA-734FC5F28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99696"/>
        <c:axId val="636382640"/>
      </c:scatterChart>
      <c:valAx>
        <c:axId val="6363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82640"/>
        <c:crosses val="autoZero"/>
        <c:crossBetween val="midCat"/>
      </c:valAx>
      <c:valAx>
        <c:axId val="63638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Design Mission TO and L C_L vs. </a:t>
            </a:r>
            <a:r>
              <a:rPr lang="el-GR" sz="1400" b="0" i="0" baseline="0"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α</a:t>
            </a:r>
            <a:r>
              <a:rPr lang="en-US" sz="1400" b="0" i="0" baseline="0">
                <a:effectLst/>
              </a:rPr>
              <a:t> at SL, M = 0.2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α'!$AH$336:$AH$338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α'!$AI$336:$AI$338</c:f>
              <c:numCache>
                <c:formatCode>General</c:formatCode>
                <c:ptCount val="3"/>
                <c:pt idx="0">
                  <c:v>0</c:v>
                </c:pt>
                <c:pt idx="1">
                  <c:v>1.320210250651793</c:v>
                </c:pt>
                <c:pt idx="2">
                  <c:v>1.683933036849345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0C-466E-A488-AD1E131B41F9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α'!$AJ$336:$AJ$338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α'!$AK$336:$AK$338</c:f>
              <c:numCache>
                <c:formatCode>General</c:formatCode>
                <c:ptCount val="3"/>
                <c:pt idx="0">
                  <c:v>0.46663217411846386</c:v>
                </c:pt>
                <c:pt idx="1">
                  <c:v>1.7868424247702568</c:v>
                </c:pt>
                <c:pt idx="2">
                  <c:v>2.1553633099714564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0C-466E-A488-AD1E131B41F9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α'!$AL$336:$AL$338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α'!$AM$336:$AM$338</c:f>
              <c:numCache>
                <c:formatCode>General</c:formatCode>
                <c:ptCount val="3"/>
                <c:pt idx="0">
                  <c:v>0.56384721039314389</c:v>
                </c:pt>
                <c:pt idx="1">
                  <c:v>2.0569770899932207</c:v>
                </c:pt>
                <c:pt idx="2">
                  <c:v>2.4282756080709045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0C-466E-A488-AD1E131B4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938304"/>
        <c:axId val="531944128"/>
      </c:scatterChart>
      <c:valAx>
        <c:axId val="53193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44128"/>
        <c:crosses val="autoZero"/>
        <c:crossBetween val="midCat"/>
      </c:valAx>
      <c:valAx>
        <c:axId val="5319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3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Loiter</a:t>
            </a:r>
            <a:r>
              <a:rPr lang="en-US" baseline="0"/>
              <a:t> at</a:t>
            </a:r>
            <a:r>
              <a:rPr lang="en-US"/>
              <a:t> SL, M = 0.3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Loiter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α'!$AO$335:$AO$337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α'!$AP$335:$AP$337</c:f>
              <c:numCache>
                <c:formatCode>General</c:formatCode>
                <c:ptCount val="3"/>
                <c:pt idx="0">
                  <c:v>0</c:v>
                </c:pt>
                <c:pt idx="1">
                  <c:v>1.3799291133547489</c:v>
                </c:pt>
                <c:pt idx="2">
                  <c:v>1.5895740888293894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B02-B179-0F9B1B38E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722048"/>
        <c:axId val="534727456"/>
      </c:scatterChart>
      <c:valAx>
        <c:axId val="53472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27456"/>
        <c:crosses val="autoZero"/>
        <c:crossBetween val="midCat"/>
      </c:valAx>
      <c:valAx>
        <c:axId val="5347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22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</a:t>
            </a:r>
            <a:r>
              <a:rPr lang="en-US" baseline="0"/>
              <a:t> at 5000 ft, M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α'!$AF$365:$AF$366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α'!$AE$367:$AE$369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α'!$AF$367:$AF$369</c:f>
              <c:numCache>
                <c:formatCode>General</c:formatCode>
                <c:ptCount val="3"/>
                <c:pt idx="0">
                  <c:v>0</c:v>
                </c:pt>
                <c:pt idx="1">
                  <c:v>1.8259358279748987</c:v>
                </c:pt>
                <c:pt idx="2">
                  <c:v>2.2824197849686234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9-4C82-AEE6-A09876BE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03056"/>
        <c:axId val="899298064"/>
      </c:scatterChart>
      <c:valAx>
        <c:axId val="89930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298064"/>
        <c:crosses val="autoZero"/>
        <c:crossBetween val="midCat"/>
      </c:valAx>
      <c:valAx>
        <c:axId val="8992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30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</a:t>
            </a:r>
            <a:r>
              <a:rPr lang="en-US" baseline="0"/>
              <a:t> ft, M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α'!$AF$390:$AF$391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α'!$AE$392:$AE$394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α'!$AF$392:$AF$394</c:f>
              <c:numCache>
                <c:formatCode>General</c:formatCode>
                <c:ptCount val="3"/>
                <c:pt idx="0">
                  <c:v>0</c:v>
                </c:pt>
                <c:pt idx="1">
                  <c:v>1.8259401329117499</c:v>
                </c:pt>
                <c:pt idx="2">
                  <c:v>2.4640793830629799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A3-45AB-878D-716B7CF8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260176"/>
        <c:axId val="559276400"/>
      </c:scatterChart>
      <c:valAx>
        <c:axId val="55926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76400"/>
        <c:crosses val="autoZero"/>
        <c:crossBetween val="midCat"/>
      </c:valAx>
      <c:valAx>
        <c:axId val="55927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6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20000ft,</a:t>
            </a:r>
            <a:r>
              <a:rPr lang="en-US" baseline="0"/>
              <a:t> M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α'!$AF$415:$AF$416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α'!$AE$417:$AE$419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α'!$AF$417:$AF$419</c:f>
              <c:numCache>
                <c:formatCode>General</c:formatCode>
                <c:ptCount val="3"/>
                <c:pt idx="0">
                  <c:v>0</c:v>
                </c:pt>
                <c:pt idx="1">
                  <c:v>1.8257843312490301</c:v>
                </c:pt>
                <c:pt idx="2">
                  <c:v>2.4648395086856434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FF-463E-91AC-F3BD93357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345296"/>
        <c:axId val="637344464"/>
      </c:scatterChart>
      <c:valAx>
        <c:axId val="63734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44464"/>
        <c:crosses val="autoZero"/>
        <c:crossBetween val="midCat"/>
      </c:valAx>
      <c:valAx>
        <c:axId val="63734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4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</a:t>
            </a:r>
            <a:r>
              <a:rPr lang="en-US" baseline="0"/>
              <a:t>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α'!$AE$467:$AE$469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α'!$AF$467:$AF$469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2.4639306505775735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B8-46C0-836A-72503893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709152"/>
        <c:axId val="534718720"/>
      </c:scatterChart>
      <c:valAx>
        <c:axId val="5347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18720"/>
        <c:crosses val="autoZero"/>
        <c:crossBetween val="midCat"/>
      </c:valAx>
      <c:valAx>
        <c:axId val="5347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0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</a:t>
            </a:r>
            <a:r>
              <a:rPr lang="en-US" baseline="0"/>
              <a:t> M = 0.8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α'!$AL$467:$AL$469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α'!$AM$467:$AM$469</c:f>
              <c:numCache>
                <c:formatCode>General</c:formatCode>
                <c:ptCount val="3"/>
                <c:pt idx="0">
                  <c:v>0</c:v>
                </c:pt>
                <c:pt idx="1">
                  <c:v>2.6949944987308152</c:v>
                </c:pt>
                <c:pt idx="2">
                  <c:v>3.3687431234135188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83-4164-939B-F4E09075B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22768"/>
        <c:axId val="964830256"/>
      </c:scatterChart>
      <c:valAx>
        <c:axId val="96482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30256"/>
        <c:crosses val="autoZero"/>
        <c:crossBetween val="midCat"/>
      </c:valAx>
      <c:valAx>
        <c:axId val="9648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30000ft, M = 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α'!$AF$440:$AF$441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α'!$AE$442:$AE$444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α'!$AF$442:$AF$444</c:f>
              <c:numCache>
                <c:formatCode>General</c:formatCode>
                <c:ptCount val="3"/>
                <c:pt idx="0">
                  <c:v>0</c:v>
                </c:pt>
                <c:pt idx="1">
                  <c:v>1.8259659597799436</c:v>
                </c:pt>
                <c:pt idx="2">
                  <c:v>2.463950435897055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84-4171-8B72-8B45643BE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591824"/>
        <c:axId val="913588912"/>
      </c:scatterChart>
      <c:valAx>
        <c:axId val="91359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588912"/>
        <c:crosses val="autoZero"/>
        <c:crossBetween val="midCat"/>
      </c:valAx>
      <c:valAx>
        <c:axId val="9135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59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Maneuver 5g's</a:t>
            </a:r>
            <a:r>
              <a:rPr lang="en-US" baseline="0"/>
              <a:t> at</a:t>
            </a:r>
            <a:r>
              <a:rPr lang="en-US"/>
              <a:t> 20000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Maneuver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α'!$BD$417:$BD$419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α'!$BE$417:$BE$419</c:f>
              <c:numCache>
                <c:formatCode>General</c:formatCode>
                <c:ptCount val="3"/>
                <c:pt idx="0">
                  <c:v>0</c:v>
                </c:pt>
                <c:pt idx="1">
                  <c:v>2.7041764372382149</c:v>
                </c:pt>
                <c:pt idx="2">
                  <c:v>3.3802205465477684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6-4B5C-82F8-8A4D35C5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05136"/>
        <c:axId val="899298480"/>
      </c:scatterChart>
      <c:valAx>
        <c:axId val="8993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298480"/>
        <c:crosses val="autoZero"/>
        <c:crossBetween val="midCat"/>
      </c:valAx>
      <c:valAx>
        <c:axId val="8992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30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</a:t>
            </a:r>
            <a:r>
              <a:rPr lang="en-US" baseline="0"/>
              <a:t> </a:t>
            </a:r>
            <a:r>
              <a:rPr lang="en-US"/>
              <a:t>40000 ft,</a:t>
            </a:r>
            <a:r>
              <a:rPr lang="en-US" baseline="0"/>
              <a:t> M = 0.8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α'!$AE$492:$AE$494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α'!$AF$492:$AF$494</c:f>
              <c:numCache>
                <c:formatCode>General</c:formatCode>
                <c:ptCount val="3"/>
                <c:pt idx="0">
                  <c:v>0</c:v>
                </c:pt>
                <c:pt idx="1">
                  <c:v>1.8259931370361251</c:v>
                </c:pt>
                <c:pt idx="2">
                  <c:v>2.4638138418489888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46-476E-B6CE-C2AE00BC5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11120"/>
        <c:axId val="780311536"/>
      </c:scatterChart>
      <c:valAx>
        <c:axId val="78031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11536"/>
        <c:crosses val="autoZero"/>
        <c:crossBetween val="midCat"/>
      </c:valAx>
      <c:valAx>
        <c:axId val="7803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1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Speed at 35000</a:t>
            </a:r>
            <a:r>
              <a:rPr lang="en-US" baseline="0"/>
              <a:t> ft, M = 0.85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α'!$AU$465:$AU$466</c:f>
              <c:strCache>
                <c:ptCount val="2"/>
                <c:pt idx="0">
                  <c:v>Max Speed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α'!$AT$467:$AT$469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α'!$AU$467:$AU$469</c:f>
              <c:numCache>
                <c:formatCode>General</c:formatCode>
                <c:ptCount val="3"/>
                <c:pt idx="0">
                  <c:v>0</c:v>
                </c:pt>
                <c:pt idx="1">
                  <c:v>3.1013424153090319</c:v>
                </c:pt>
                <c:pt idx="2">
                  <c:v>3.87667801913629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3-4683-A060-4FC79F06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373104"/>
        <c:axId val="959370608"/>
      </c:scatterChart>
      <c:valAx>
        <c:axId val="95937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70608"/>
        <c:crosses val="autoZero"/>
        <c:crossBetween val="midCat"/>
      </c:valAx>
      <c:valAx>
        <c:axId val="9593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7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5000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α'!$AO$364:$AO$366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α'!$AN$367:$AN$369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α'!$AO$367:$AO$369</c:f>
              <c:numCache>
                <c:formatCode>General</c:formatCode>
                <c:ptCount val="3"/>
                <c:pt idx="0">
                  <c:v>0</c:v>
                </c:pt>
                <c:pt idx="1">
                  <c:v>1.6150264223347048</c:v>
                </c:pt>
                <c:pt idx="2">
                  <c:v>2.0187830279183809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52-4D2D-8766-0769946C7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836016"/>
        <c:axId val="1011830608"/>
      </c:scatterChart>
      <c:valAx>
        <c:axId val="101183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30608"/>
        <c:crosses val="autoZero"/>
        <c:crossBetween val="midCat"/>
      </c:valAx>
      <c:valAx>
        <c:axId val="10118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3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5000 ft, M = 0.55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α'!$AV$367:$AV$369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α'!$AW$367:$AW$369</c:f>
              <c:numCache>
                <c:formatCode>General</c:formatCode>
                <c:ptCount val="3"/>
                <c:pt idx="0">
                  <c:v>0</c:v>
                </c:pt>
                <c:pt idx="1">
                  <c:v>1.7095311084487022</c:v>
                </c:pt>
                <c:pt idx="2">
                  <c:v>2.1369138855608778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0-4D2C-A1F8-3B62D5B44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55296"/>
        <c:axId val="689344064"/>
      </c:scatterChart>
      <c:valAx>
        <c:axId val="68935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4064"/>
        <c:crosses val="autoZero"/>
        <c:crossBetween val="midCat"/>
      </c:valAx>
      <c:valAx>
        <c:axId val="6893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5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Dash, Combat at 5000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α'!$BE$364:$BE$366</c:f>
              <c:strCache>
                <c:ptCount val="3"/>
                <c:pt idx="0">
                  <c:v>M = 0.8</c:v>
                </c:pt>
                <c:pt idx="1">
                  <c:v>dash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α'!$BD$367:$BD$369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α'!$BE$367:$BE$369</c:f>
              <c:numCache>
                <c:formatCode>General</c:formatCode>
                <c:ptCount val="3"/>
                <c:pt idx="0">
                  <c:v>0</c:v>
                </c:pt>
                <c:pt idx="1">
                  <c:v>2.6967005343325479</c:v>
                </c:pt>
                <c:pt idx="2">
                  <c:v>3.3708756679156844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33-49E0-8586-34EC175E9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45024"/>
        <c:axId val="487347104"/>
      </c:scatterChart>
      <c:valAx>
        <c:axId val="4873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7104"/>
        <c:crosses val="autoZero"/>
        <c:crossBetween val="midCat"/>
      </c:valAx>
      <c:valAx>
        <c:axId val="4873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Dash at SL, M = 0.75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α'!$AW$335:$AW$337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α'!$AX$335:$AX$337</c:f>
              <c:numCache>
                <c:formatCode>General</c:formatCode>
                <c:ptCount val="3"/>
                <c:pt idx="0">
                  <c:v>0</c:v>
                </c:pt>
                <c:pt idx="1">
                  <c:v>2.3908628210510616</c:v>
                </c:pt>
                <c:pt idx="2">
                  <c:v>2.9885785263138271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83-42BC-901A-EDFF7C779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36608"/>
        <c:axId val="1011632864"/>
      </c:scatterChart>
      <c:valAx>
        <c:axId val="101163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2864"/>
        <c:crosses val="autoZero"/>
        <c:crossBetween val="midCat"/>
      </c:valAx>
      <c:valAx>
        <c:axId val="10116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α'!$AO$389:$AO$391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α'!$AN$392:$AN$394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α'!$AO$392:$AO$394</c:f>
              <c:numCache>
                <c:formatCode>General</c:formatCode>
                <c:ptCount val="3"/>
                <c:pt idx="0">
                  <c:v>0</c:v>
                </c:pt>
                <c:pt idx="1">
                  <c:v>1.6150537878928224</c:v>
                </c:pt>
                <c:pt idx="2">
                  <c:v>2.0188172348660278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66-480D-B4B2-870C9C27D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448"/>
        <c:axId val="1005823120"/>
      </c:scatterChart>
      <c:valAx>
        <c:axId val="100582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3120"/>
        <c:crosses val="autoZero"/>
        <c:crossBetween val="midCat"/>
      </c:valAx>
      <c:valAx>
        <c:axId val="100582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</a:t>
            </a:r>
            <a:r>
              <a:rPr lang="en-US" baseline="0"/>
              <a:t> at 15000 ft, M = 0.55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α'!$AW$389:$AW$391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α'!$AV$392:$AV$394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α'!$AW$392:$AW$394</c:f>
              <c:numCache>
                <c:formatCode>General</c:formatCode>
                <c:ptCount val="3"/>
                <c:pt idx="0">
                  <c:v>0</c:v>
                </c:pt>
                <c:pt idx="1">
                  <c:v>1.7095489344539865</c:v>
                </c:pt>
                <c:pt idx="2">
                  <c:v>2.136936168067483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D3-4765-923C-9A14867C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36192"/>
        <c:axId val="103142016"/>
      </c:scatterChart>
      <c:valAx>
        <c:axId val="10313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2016"/>
        <c:crosses val="autoZero"/>
        <c:crossBetween val="midCat"/>
      </c:valAx>
      <c:valAx>
        <c:axId val="1031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α'!$AO$414:$AO$416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α'!$AN$417:$AN$419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α'!$AO$417:$AO$419</c:f>
              <c:numCache>
                <c:formatCode>General</c:formatCode>
                <c:ptCount val="3"/>
                <c:pt idx="0">
                  <c:v>0</c:v>
                </c:pt>
                <c:pt idx="1">
                  <c:v>1.6140695642117868</c:v>
                </c:pt>
                <c:pt idx="2">
                  <c:v>2.0175869552647332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FD-44A9-8822-AF2FA2157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498832"/>
        <c:axId val="1006493840"/>
      </c:scatterChart>
      <c:valAx>
        <c:axId val="100649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3840"/>
        <c:crosses val="autoZero"/>
        <c:crossBetween val="midCat"/>
      </c:valAx>
      <c:valAx>
        <c:axId val="10064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α'!$AW$414:$AW$416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α'!$AV$417:$AV$419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α'!$AW$417:$AW$419</c:f>
              <c:numCache>
                <c:formatCode>General</c:formatCode>
                <c:ptCount val="3"/>
                <c:pt idx="0">
                  <c:v>0</c:v>
                </c:pt>
                <c:pt idx="1">
                  <c:v>1.708905669962328</c:v>
                </c:pt>
                <c:pt idx="2">
                  <c:v>2.1361320874529097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2A-460F-B71B-F7B81A63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718256"/>
        <c:axId val="458728240"/>
      </c:scatterChart>
      <c:valAx>
        <c:axId val="45871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28240"/>
        <c:crosses val="autoZero"/>
        <c:crossBetween val="midCat"/>
      </c:valAx>
      <c:valAx>
        <c:axId val="4587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1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α'!$AO$439:$AO$441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α'!$AN$442:$AN$444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α'!$AO$442:$AO$444</c:f>
              <c:numCache>
                <c:formatCode>General</c:formatCode>
                <c:ptCount val="3"/>
                <c:pt idx="0">
                  <c:v>0</c:v>
                </c:pt>
                <c:pt idx="1">
                  <c:v>1.6152181571287758</c:v>
                </c:pt>
                <c:pt idx="2">
                  <c:v>2.0190226964109699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E-4362-8B31-0FBCEA184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039664"/>
        <c:axId val="453049648"/>
      </c:scatterChart>
      <c:valAx>
        <c:axId val="45303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49648"/>
        <c:crosses val="autoZero"/>
        <c:crossBetween val="midCat"/>
      </c:valAx>
      <c:valAx>
        <c:axId val="4530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3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α'!$AW$439:$AW$441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α'!$AV$442:$AV$444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α'!$AW$442:$AW$444</c:f>
              <c:numCache>
                <c:formatCode>General</c:formatCode>
                <c:ptCount val="3"/>
                <c:pt idx="0">
                  <c:v>0</c:v>
                </c:pt>
                <c:pt idx="1">
                  <c:v>1.7096559380894725</c:v>
                </c:pt>
                <c:pt idx="2">
                  <c:v>2.1370699226118406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2A-422E-AFE3-5ACB7EC1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821040"/>
        <c:axId val="1011831440"/>
      </c:scatterChart>
      <c:valAx>
        <c:axId val="1011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31440"/>
        <c:crosses val="autoZero"/>
        <c:crossBetween val="midCat"/>
      </c:valAx>
      <c:valAx>
        <c:axId val="10118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2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α'!$BC$464:$BC$466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α'!$BB$467:$BB$469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α'!$BC$467:$BC$469</c:f>
              <c:numCache>
                <c:formatCode>General</c:formatCode>
                <c:ptCount val="3"/>
                <c:pt idx="0">
                  <c:v>0</c:v>
                </c:pt>
                <c:pt idx="1">
                  <c:v>1.6152433126282904</c:v>
                </c:pt>
                <c:pt idx="2">
                  <c:v>2.0190541407853626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1E-4129-BA3D-06356920B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78880"/>
        <c:axId val="336274304"/>
      </c:scatterChart>
      <c:valAx>
        <c:axId val="33627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4304"/>
        <c:crosses val="autoZero"/>
        <c:crossBetween val="midCat"/>
      </c:valAx>
      <c:valAx>
        <c:axId val="3362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α'!$BK$464:$BK$466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α'!$BJ$467:$BJ$469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α'!$BK$467:$BK$469</c:f>
              <c:numCache>
                <c:formatCode>General</c:formatCode>
                <c:ptCount val="3"/>
                <c:pt idx="0">
                  <c:v>0</c:v>
                </c:pt>
                <c:pt idx="1">
                  <c:v>1.7096723041713613</c:v>
                </c:pt>
                <c:pt idx="2">
                  <c:v>2.1370903802142016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7E-49DB-9009-556EC8FB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11632"/>
        <c:axId val="793485840"/>
      </c:scatterChart>
      <c:valAx>
        <c:axId val="79351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485840"/>
        <c:crosses val="autoZero"/>
        <c:crossBetween val="midCat"/>
      </c:valAx>
      <c:valAx>
        <c:axId val="7934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α'!$BS$464:$BS$466</c:f>
              <c:strCache>
                <c:ptCount val="3"/>
                <c:pt idx="0">
                  <c:v>M = 0.75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α'!$BR$467:$BR$469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α'!$BS$467:$BS$469</c:f>
              <c:numCache>
                <c:formatCode>General</c:formatCode>
                <c:ptCount val="3"/>
                <c:pt idx="0">
                  <c:v>0</c:v>
                </c:pt>
                <c:pt idx="1">
                  <c:v>2.3895750962512436</c:v>
                </c:pt>
                <c:pt idx="2">
                  <c:v>2.9869688703140547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FA-47C0-808D-68D313BA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18784"/>
        <c:axId val="512711712"/>
      </c:scatterChart>
      <c:valAx>
        <c:axId val="51271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1712"/>
        <c:crosses val="autoZero"/>
        <c:crossBetween val="midCat"/>
      </c:valAx>
      <c:valAx>
        <c:axId val="5127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36000ft,</a:t>
            </a:r>
            <a:r>
              <a:rPr lang="en-US" baseline="0"/>
              <a:t> M = 0.7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α'!$CA$464:$CA$466</c:f>
              <c:strCache>
                <c:ptCount val="3"/>
                <c:pt idx="0">
                  <c:v>M = 0.7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α'!$BZ$467:$BZ$469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α'!$CA$467:$CA$469</c:f>
              <c:numCache>
                <c:formatCode>General</c:formatCode>
                <c:ptCount val="3"/>
                <c:pt idx="0">
                  <c:v>0</c:v>
                </c:pt>
                <c:pt idx="1">
                  <c:v>2.1545182332825528</c:v>
                </c:pt>
                <c:pt idx="2">
                  <c:v>2.6931477916031912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1-473F-87A3-8FB5851DB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21952"/>
        <c:axId val="781818208"/>
      </c:scatterChart>
      <c:valAx>
        <c:axId val="78182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18208"/>
        <c:crosses val="autoZero"/>
        <c:crossBetween val="midCat"/>
      </c:valAx>
      <c:valAx>
        <c:axId val="7818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2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</a:t>
            </a:r>
            <a:r>
              <a:rPr lang="en-US" baseline="0"/>
              <a:t> ft, M = 0.65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α'!$CI$464:$CI$466</c:f>
              <c:strCache>
                <c:ptCount val="3"/>
                <c:pt idx="0">
                  <c:v>M = 0.65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α'!$CH$467:$CH$469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α'!$CI$467:$CI$469</c:f>
              <c:numCache>
                <c:formatCode>General</c:formatCode>
                <c:ptCount val="3"/>
                <c:pt idx="0">
                  <c:v>0</c:v>
                </c:pt>
                <c:pt idx="1">
                  <c:v>1.971144520462059</c:v>
                </c:pt>
                <c:pt idx="2">
                  <c:v>2.4639306505775735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C6-421D-886A-C934C5729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636624"/>
        <c:axId val="1022635792"/>
      </c:scatterChart>
      <c:valAx>
        <c:axId val="102263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5792"/>
        <c:crosses val="autoZero"/>
        <c:crossBetween val="midCat"/>
      </c:valAx>
      <c:valAx>
        <c:axId val="10226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α'!$CQ$464:$CQ$466</c:f>
              <c:strCache>
                <c:ptCount val="3"/>
                <c:pt idx="0">
                  <c:v>M = 0.6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α'!$CP$467:$CP$469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α'!$CQ$467:$CQ$469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2.2824623847908274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9C-4E6D-92D7-76F6E7825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63968"/>
        <c:axId val="781846496"/>
      </c:scatterChart>
      <c:valAx>
        <c:axId val="78186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46496"/>
        <c:crosses val="autoZero"/>
        <c:crossBetween val="midCat"/>
      </c:valAx>
      <c:valAx>
        <c:axId val="7818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6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C_L vs.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α'!$AK$300:$AK$302</c:f>
              <c:numCache>
                <c:formatCode>General</c:formatCode>
                <c:ptCount val="3"/>
                <c:pt idx="0">
                  <c:v>-1</c:v>
                </c:pt>
                <c:pt idx="1">
                  <c:v>14</c:v>
                </c:pt>
                <c:pt idx="2">
                  <c:v>16</c:v>
                </c:pt>
              </c:numCache>
            </c:numRef>
          </c:xVal>
          <c:yVal>
            <c:numRef>
              <c:f>'C_L vs. α'!$AL$300:$AL$302</c:f>
              <c:numCache>
                <c:formatCode>General</c:formatCode>
                <c:ptCount val="3"/>
                <c:pt idx="0">
                  <c:v>0</c:v>
                </c:pt>
                <c:pt idx="1">
                  <c:v>1.5434597292304184</c:v>
                </c:pt>
                <c:pt idx="2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D3B-4B4D-AF15-97EEDB7FA9F4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α'!$AM$300:$AM$302</c:f>
              <c:numCache>
                <c:formatCode>General</c:formatCode>
                <c:ptCount val="3"/>
                <c:pt idx="0">
                  <c:v>-1</c:v>
                </c:pt>
                <c:pt idx="1">
                  <c:v>14</c:v>
                </c:pt>
                <c:pt idx="2">
                  <c:v>16</c:v>
                </c:pt>
              </c:numCache>
            </c:numRef>
          </c:xVal>
          <c:yVal>
            <c:numRef>
              <c:f>'C_L vs. α'!$AN$300:$AN$302</c:f>
              <c:numCache>
                <c:formatCode>General</c:formatCode>
                <c:ptCount val="3"/>
                <c:pt idx="0">
                  <c:v>0.38583313397868807</c:v>
                </c:pt>
                <c:pt idx="1">
                  <c:v>1.9292928632091064</c:v>
                </c:pt>
                <c:pt idx="2">
                  <c:v>1.885833133978688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D3B-4B4D-AF15-97EEDB7FA9F4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α'!$AO$300:$AO$302</c:f>
              <c:numCache>
                <c:formatCode>General</c:formatCode>
                <c:ptCount val="3"/>
                <c:pt idx="0">
                  <c:v>-1</c:v>
                </c:pt>
                <c:pt idx="1">
                  <c:v>14</c:v>
                </c:pt>
                <c:pt idx="2">
                  <c:v>16</c:v>
                </c:pt>
              </c:numCache>
            </c:numRef>
          </c:xVal>
          <c:yVal>
            <c:numRef>
              <c:f>'C_L vs. α'!$AP$300:$AP$302</c:f>
              <c:numCache>
                <c:formatCode>General</c:formatCode>
                <c:ptCount val="3"/>
                <c:pt idx="0">
                  <c:v>0.73073355950676988</c:v>
                </c:pt>
                <c:pt idx="1">
                  <c:v>2.2741932887371883</c:v>
                </c:pt>
                <c:pt idx="2">
                  <c:v>2.2307335595067697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D3B-4B4D-AF15-97EEDB7FA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29280"/>
        <c:axId val="1542929696"/>
      </c:scatterChart>
      <c:valAx>
        <c:axId val="154292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929696"/>
        <c:crosses val="autoZero"/>
        <c:crossBetween val="midCat"/>
      </c:valAx>
      <c:valAx>
        <c:axId val="154292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929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Design Mission TO and L C_L vs. </a:t>
            </a:r>
            <a:r>
              <a:rPr lang="el-GR" sz="1400" b="0" i="0" baseline="0">
                <a:effectLst/>
                <a:latin typeface="Calibri" panose="020F0502020204030204" pitchFamily="34" charset="0"/>
                <a:cs typeface="Calibri" panose="020F0502020204030204" pitchFamily="34" charset="0"/>
              </a:rPr>
              <a:t>α</a:t>
            </a:r>
            <a:r>
              <a:rPr lang="en-US" sz="1400" b="0" i="0" baseline="0">
                <a:effectLst/>
              </a:rPr>
              <a:t> at SL, M = 0.2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α'!$AH$336:$AH$338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α'!$AI$336:$AI$338</c:f>
              <c:numCache>
                <c:formatCode>General</c:formatCode>
                <c:ptCount val="3"/>
                <c:pt idx="0">
                  <c:v>0</c:v>
                </c:pt>
                <c:pt idx="1">
                  <c:v>1.320210250651793</c:v>
                </c:pt>
                <c:pt idx="2">
                  <c:v>1.683933036849345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94-4B1D-A030-8B17EBC96BF6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α'!$AJ$336:$AJ$338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α'!$AK$336:$AK$338</c:f>
              <c:numCache>
                <c:formatCode>General</c:formatCode>
                <c:ptCount val="3"/>
                <c:pt idx="0">
                  <c:v>0.46663217411846386</c:v>
                </c:pt>
                <c:pt idx="1">
                  <c:v>1.7868424247702568</c:v>
                </c:pt>
                <c:pt idx="2">
                  <c:v>2.1553633099714564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94-4B1D-A030-8B17EBC96BF6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α'!$AL$336:$AL$338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α'!$AM$336:$AM$338</c:f>
              <c:numCache>
                <c:formatCode>General</c:formatCode>
                <c:ptCount val="3"/>
                <c:pt idx="0">
                  <c:v>0.56384721039314389</c:v>
                </c:pt>
                <c:pt idx="1">
                  <c:v>2.0569770899932207</c:v>
                </c:pt>
                <c:pt idx="2">
                  <c:v>2.4282756080709045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94-4B1D-A030-8B17EBC96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938304"/>
        <c:axId val="531944128"/>
      </c:scatterChart>
      <c:valAx>
        <c:axId val="53193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44128"/>
        <c:crosses val="autoZero"/>
        <c:crossBetween val="midCat"/>
      </c:valAx>
      <c:valAx>
        <c:axId val="53194412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3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Loiter</a:t>
            </a:r>
            <a:r>
              <a:rPr lang="en-US" baseline="0"/>
              <a:t> at</a:t>
            </a:r>
            <a:r>
              <a:rPr lang="en-US"/>
              <a:t> SL, M = 0.3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Loiter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α'!$AO$335:$AO$337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α'!$AP$335:$AP$337</c:f>
              <c:numCache>
                <c:formatCode>General</c:formatCode>
                <c:ptCount val="3"/>
                <c:pt idx="0">
                  <c:v>0</c:v>
                </c:pt>
                <c:pt idx="1">
                  <c:v>1.3799291133547489</c:v>
                </c:pt>
                <c:pt idx="2">
                  <c:v>1.5895740888293894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BC-4703-950E-F7FE32358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722048"/>
        <c:axId val="534727456"/>
      </c:scatterChart>
      <c:valAx>
        <c:axId val="53472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α</a:t>
                </a:r>
                <a:r>
                  <a:rPr lang="en-US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27456"/>
        <c:crosses val="autoZero"/>
        <c:crossBetween val="midCat"/>
      </c:valAx>
      <c:valAx>
        <c:axId val="53472745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22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Dash at SL, M = 0.75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α'!$AW$335:$AW$337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α'!$AX$335:$AX$337</c:f>
              <c:numCache>
                <c:formatCode>General</c:formatCode>
                <c:ptCount val="3"/>
                <c:pt idx="0">
                  <c:v>0</c:v>
                </c:pt>
                <c:pt idx="1">
                  <c:v>2.3908628210510616</c:v>
                </c:pt>
                <c:pt idx="2">
                  <c:v>2.9885785263138271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4-476C-8DDE-F4556DAF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36608"/>
        <c:axId val="1011632864"/>
      </c:scatterChart>
      <c:valAx>
        <c:axId val="101163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2864"/>
        <c:crosses val="autoZero"/>
        <c:crossBetween val="midCat"/>
      </c:valAx>
      <c:valAx>
        <c:axId val="101163286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</a:t>
            </a:r>
            <a:r>
              <a:rPr lang="en-US" baseline="0"/>
              <a:t> at 5000 ft, M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α'!$AF$365:$AF$366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α'!$AE$367:$AE$369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α'!$AF$367:$AF$369</c:f>
              <c:numCache>
                <c:formatCode>General</c:formatCode>
                <c:ptCount val="3"/>
                <c:pt idx="0">
                  <c:v>0</c:v>
                </c:pt>
                <c:pt idx="1">
                  <c:v>1.8259358279748987</c:v>
                </c:pt>
                <c:pt idx="2">
                  <c:v>2.2824197849686234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0D-4A63-84FA-AD116E80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03056"/>
        <c:axId val="899298064"/>
      </c:scatterChart>
      <c:valAx>
        <c:axId val="89930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298064"/>
        <c:crosses val="autoZero"/>
        <c:crossBetween val="midCat"/>
      </c:valAx>
      <c:valAx>
        <c:axId val="89929806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30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5000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α'!$AO$364:$AO$366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α'!$AN$367:$AN$369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α'!$AO$367:$AO$369</c:f>
              <c:numCache>
                <c:formatCode>General</c:formatCode>
                <c:ptCount val="3"/>
                <c:pt idx="0">
                  <c:v>0</c:v>
                </c:pt>
                <c:pt idx="1">
                  <c:v>1.6150264223347048</c:v>
                </c:pt>
                <c:pt idx="2">
                  <c:v>2.0187830279183809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A-4715-80D1-B31B5FAC2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836016"/>
        <c:axId val="1011830608"/>
      </c:scatterChart>
      <c:valAx>
        <c:axId val="101183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30608"/>
        <c:crosses val="autoZero"/>
        <c:crossBetween val="midCat"/>
      </c:valAx>
      <c:valAx>
        <c:axId val="101183060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3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5000 ft, M = 0.55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α'!$AV$367:$AV$369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α'!$AW$367:$AW$369</c:f>
              <c:numCache>
                <c:formatCode>General</c:formatCode>
                <c:ptCount val="3"/>
                <c:pt idx="0">
                  <c:v>0</c:v>
                </c:pt>
                <c:pt idx="1">
                  <c:v>1.7095311084487022</c:v>
                </c:pt>
                <c:pt idx="2">
                  <c:v>2.1369138855608778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D7-4DB4-935B-74366BB86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55296"/>
        <c:axId val="689344064"/>
      </c:scatterChart>
      <c:valAx>
        <c:axId val="68935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4064"/>
        <c:crosses val="autoZero"/>
        <c:crossBetween val="midCat"/>
      </c:valAx>
      <c:valAx>
        <c:axId val="68934406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5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Dash, Combat at 5000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α'!$BE$364:$BE$366</c:f>
              <c:strCache>
                <c:ptCount val="3"/>
                <c:pt idx="0">
                  <c:v>M = 0.8</c:v>
                </c:pt>
                <c:pt idx="1">
                  <c:v>dash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α'!$BD$367:$BD$369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α'!$BE$367:$BE$369</c:f>
              <c:numCache>
                <c:formatCode>General</c:formatCode>
                <c:ptCount val="3"/>
                <c:pt idx="0">
                  <c:v>0</c:v>
                </c:pt>
                <c:pt idx="1">
                  <c:v>2.6967005343325479</c:v>
                </c:pt>
                <c:pt idx="2">
                  <c:v>3.3708756679156844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3B-49D8-AD28-291B506C3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45024"/>
        <c:axId val="487347104"/>
      </c:scatterChart>
      <c:valAx>
        <c:axId val="4873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7104"/>
        <c:crosses val="autoZero"/>
        <c:crossBetween val="midCat"/>
      </c:valAx>
      <c:valAx>
        <c:axId val="48734710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</a:t>
            </a:r>
            <a:r>
              <a:rPr lang="en-US" baseline="0"/>
              <a:t> ft, M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α'!$AF$390:$AF$391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α'!$AE$392:$AE$394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α'!$AF$392:$AF$394</c:f>
              <c:numCache>
                <c:formatCode>General</c:formatCode>
                <c:ptCount val="3"/>
                <c:pt idx="0">
                  <c:v>0</c:v>
                </c:pt>
                <c:pt idx="1">
                  <c:v>1.8259401329117499</c:v>
                </c:pt>
                <c:pt idx="2">
                  <c:v>2.4640793830629799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1-4E8A-BEA9-544E7A38B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260176"/>
        <c:axId val="559276400"/>
      </c:scatterChart>
      <c:valAx>
        <c:axId val="55926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76400"/>
        <c:crosses val="autoZero"/>
        <c:crossBetween val="midCat"/>
      </c:valAx>
      <c:valAx>
        <c:axId val="55927640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6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α'!$AO$389:$AO$391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α'!$AN$392:$AN$394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α'!$AO$392:$AO$394</c:f>
              <c:numCache>
                <c:formatCode>General</c:formatCode>
                <c:ptCount val="3"/>
                <c:pt idx="0">
                  <c:v>0</c:v>
                </c:pt>
                <c:pt idx="1">
                  <c:v>1.6150537878928224</c:v>
                </c:pt>
                <c:pt idx="2">
                  <c:v>2.0188172348660278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7-42E5-8548-AD28B429A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448"/>
        <c:axId val="1005823120"/>
      </c:scatterChart>
      <c:valAx>
        <c:axId val="100582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3120"/>
        <c:crosses val="autoZero"/>
        <c:crossBetween val="midCat"/>
      </c:valAx>
      <c:valAx>
        <c:axId val="10058231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</a:t>
            </a:r>
            <a:r>
              <a:rPr lang="en-US" baseline="0"/>
              <a:t> at 15000 ft, M = 0.55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α'!$AW$389:$AW$391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α'!$AV$392:$AV$394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α'!$AW$392:$AW$394</c:f>
              <c:numCache>
                <c:formatCode>General</c:formatCode>
                <c:ptCount val="3"/>
                <c:pt idx="0">
                  <c:v>0</c:v>
                </c:pt>
                <c:pt idx="1">
                  <c:v>1.7095489344539865</c:v>
                </c:pt>
                <c:pt idx="2">
                  <c:v>2.136936168067483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28-4DC1-BF6B-998A2F1A7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36192"/>
        <c:axId val="103142016"/>
      </c:scatterChart>
      <c:valAx>
        <c:axId val="10313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2016"/>
        <c:crosses val="autoZero"/>
        <c:crossBetween val="midCat"/>
      </c:valAx>
      <c:valAx>
        <c:axId val="10314201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20000ft,</a:t>
            </a:r>
            <a:r>
              <a:rPr lang="en-US" baseline="0"/>
              <a:t> M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α'!$AF$415:$AF$416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α'!$AE$417:$AE$419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α'!$AF$417:$AF$419</c:f>
              <c:numCache>
                <c:formatCode>General</c:formatCode>
                <c:ptCount val="3"/>
                <c:pt idx="0">
                  <c:v>0</c:v>
                </c:pt>
                <c:pt idx="1">
                  <c:v>1.8257843312490301</c:v>
                </c:pt>
                <c:pt idx="2">
                  <c:v>2.4648395086856434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C5-474F-89C1-F8E88D304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345296"/>
        <c:axId val="637344464"/>
      </c:scatterChart>
      <c:valAx>
        <c:axId val="63734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44464"/>
        <c:crosses val="autoZero"/>
        <c:crossBetween val="midCat"/>
      </c:valAx>
      <c:valAx>
        <c:axId val="63734446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4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α'!$AO$414:$AO$416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α'!$AN$417:$AN$419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α'!$AO$417:$AO$419</c:f>
              <c:numCache>
                <c:formatCode>General</c:formatCode>
                <c:ptCount val="3"/>
                <c:pt idx="0">
                  <c:v>0</c:v>
                </c:pt>
                <c:pt idx="1">
                  <c:v>1.6140695642117868</c:v>
                </c:pt>
                <c:pt idx="2">
                  <c:v>2.0175869552647332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A1-420F-A69D-D125587E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498832"/>
        <c:axId val="1006493840"/>
      </c:scatterChart>
      <c:valAx>
        <c:axId val="100649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3840"/>
        <c:crosses val="autoZero"/>
        <c:crossBetween val="midCat"/>
      </c:valAx>
      <c:valAx>
        <c:axId val="10064938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α'!$AW$414:$AW$416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α'!$AV$417:$AV$419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α'!$AW$417:$AW$419</c:f>
              <c:numCache>
                <c:formatCode>General</c:formatCode>
                <c:ptCount val="3"/>
                <c:pt idx="0">
                  <c:v>0</c:v>
                </c:pt>
                <c:pt idx="1">
                  <c:v>1.708905669962328</c:v>
                </c:pt>
                <c:pt idx="2">
                  <c:v>2.1361320874529097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9-42F9-B42E-25BE158CC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718256"/>
        <c:axId val="458728240"/>
      </c:scatterChart>
      <c:valAx>
        <c:axId val="45871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28240"/>
        <c:crosses val="autoZero"/>
        <c:crossBetween val="midCat"/>
      </c:valAx>
      <c:valAx>
        <c:axId val="4587282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71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Maneuver 5g's</a:t>
            </a:r>
            <a:r>
              <a:rPr lang="en-US" baseline="0"/>
              <a:t> at</a:t>
            </a:r>
            <a:r>
              <a:rPr lang="en-US"/>
              <a:t> 20000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Maneuver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α'!$BD$417:$BD$419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α'!$BE$417:$BE$419</c:f>
              <c:numCache>
                <c:formatCode>General</c:formatCode>
                <c:ptCount val="3"/>
                <c:pt idx="0">
                  <c:v>0</c:v>
                </c:pt>
                <c:pt idx="1">
                  <c:v>2.7041764372382149</c:v>
                </c:pt>
                <c:pt idx="2">
                  <c:v>3.3802205465477684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C-43BD-93EF-F0065D369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05136"/>
        <c:axId val="899298480"/>
      </c:scatterChart>
      <c:valAx>
        <c:axId val="8993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298480"/>
        <c:crosses val="autoZero"/>
        <c:crossBetween val="midCat"/>
      </c:valAx>
      <c:valAx>
        <c:axId val="89929848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30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30000ft, M = 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α'!$AF$440:$AF$441</c:f>
              <c:strCache>
                <c:ptCount val="2"/>
                <c:pt idx="0">
                  <c:v>Climb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α'!$AE$442:$AE$444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α'!$AF$442:$AF$444</c:f>
              <c:numCache>
                <c:formatCode>General</c:formatCode>
                <c:ptCount val="3"/>
                <c:pt idx="0">
                  <c:v>0</c:v>
                </c:pt>
                <c:pt idx="1">
                  <c:v>1.8259659597799436</c:v>
                </c:pt>
                <c:pt idx="2">
                  <c:v>2.463950435897055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6A-4614-A513-FD845F4F7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591824"/>
        <c:axId val="913588912"/>
      </c:scatterChart>
      <c:valAx>
        <c:axId val="91359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588912"/>
        <c:crosses val="autoZero"/>
        <c:crossBetween val="midCat"/>
      </c:valAx>
      <c:valAx>
        <c:axId val="9135889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59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α'!$AO$439:$AO$441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α'!$AN$442:$AN$444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α'!$AO$442:$AO$444</c:f>
              <c:numCache>
                <c:formatCode>General</c:formatCode>
                <c:ptCount val="3"/>
                <c:pt idx="0">
                  <c:v>0</c:v>
                </c:pt>
                <c:pt idx="1">
                  <c:v>1.6152181571287758</c:v>
                </c:pt>
                <c:pt idx="2">
                  <c:v>2.0190226964109699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F0-4AB3-92AE-6202450A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039664"/>
        <c:axId val="453049648"/>
      </c:scatterChart>
      <c:valAx>
        <c:axId val="45303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49648"/>
        <c:crosses val="autoZero"/>
        <c:crossBetween val="midCat"/>
      </c:valAx>
      <c:valAx>
        <c:axId val="45304964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3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α'!$AW$439:$AW$441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α'!$AV$442:$AV$444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α'!$AW$442:$AW$444</c:f>
              <c:numCache>
                <c:formatCode>General</c:formatCode>
                <c:ptCount val="3"/>
                <c:pt idx="0">
                  <c:v>0</c:v>
                </c:pt>
                <c:pt idx="1">
                  <c:v>1.7096559380894725</c:v>
                </c:pt>
                <c:pt idx="2">
                  <c:v>2.1370699226118406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B4-4A48-8CDC-642C0C117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821040"/>
        <c:axId val="1011831440"/>
      </c:scatterChart>
      <c:valAx>
        <c:axId val="1011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31440"/>
        <c:crosses val="autoZero"/>
        <c:crossBetween val="midCat"/>
      </c:valAx>
      <c:valAx>
        <c:axId val="10118314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2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α'!$BC$464:$BC$466</c:f>
              <c:strCache>
                <c:ptCount val="3"/>
                <c:pt idx="0">
                  <c:v>M = 0.5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α'!$BB$467:$BB$469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α'!$BC$467:$BC$469</c:f>
              <c:numCache>
                <c:formatCode>General</c:formatCode>
                <c:ptCount val="3"/>
                <c:pt idx="0">
                  <c:v>0</c:v>
                </c:pt>
                <c:pt idx="1">
                  <c:v>1.6152433126282904</c:v>
                </c:pt>
                <c:pt idx="2">
                  <c:v>2.0190541407853626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6-430E-BB6D-CA8E8B4D7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78880"/>
        <c:axId val="336274304"/>
      </c:scatterChart>
      <c:valAx>
        <c:axId val="33627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4304"/>
        <c:crosses val="autoZero"/>
        <c:crossBetween val="midCat"/>
      </c:valAx>
      <c:valAx>
        <c:axId val="33627430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α'!$BK$464:$BK$466</c:f>
              <c:strCache>
                <c:ptCount val="3"/>
                <c:pt idx="0">
                  <c:v>M = 0.55</c:v>
                </c:pt>
                <c:pt idx="1">
                  <c:v>Climb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α'!$BJ$467:$BJ$469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α'!$BK$467:$BK$469</c:f>
              <c:numCache>
                <c:formatCode>General</c:formatCode>
                <c:ptCount val="3"/>
                <c:pt idx="0">
                  <c:v>0</c:v>
                </c:pt>
                <c:pt idx="1">
                  <c:v>1.7096723041713613</c:v>
                </c:pt>
                <c:pt idx="2">
                  <c:v>2.1370903802142016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2-4591-AAC3-B77D8270B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11632"/>
        <c:axId val="793485840"/>
      </c:scatterChart>
      <c:valAx>
        <c:axId val="79351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485840"/>
        <c:crosses val="autoZero"/>
        <c:crossBetween val="midCat"/>
      </c:valAx>
      <c:valAx>
        <c:axId val="7934858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</a:t>
            </a:r>
            <a:r>
              <a:rPr lang="en-US" baseline="0"/>
              <a:t> = 0.6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α'!$AE$467:$AE$469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α'!$AF$467:$AF$469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2.4639306505775735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3-4446-B0FF-C31647D5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709152"/>
        <c:axId val="534718720"/>
      </c:scatterChart>
      <c:valAx>
        <c:axId val="5347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18720"/>
        <c:crosses val="autoZero"/>
        <c:crossBetween val="midCat"/>
      </c:valAx>
      <c:valAx>
        <c:axId val="5347187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0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α'!$BS$464:$BS$466</c:f>
              <c:strCache>
                <c:ptCount val="3"/>
                <c:pt idx="0">
                  <c:v>M = 0.75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α'!$BR$467:$BR$469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α'!$BS$467:$BS$469</c:f>
              <c:numCache>
                <c:formatCode>General</c:formatCode>
                <c:ptCount val="3"/>
                <c:pt idx="0">
                  <c:v>0</c:v>
                </c:pt>
                <c:pt idx="1">
                  <c:v>2.3895750962512436</c:v>
                </c:pt>
                <c:pt idx="2">
                  <c:v>2.9869688703140547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7-4144-9BA7-376EDED47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18784"/>
        <c:axId val="512711712"/>
      </c:scatterChart>
      <c:valAx>
        <c:axId val="51271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1712"/>
        <c:crosses val="autoZero"/>
        <c:crossBetween val="midCat"/>
      </c:valAx>
      <c:valAx>
        <c:axId val="5127117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36000ft,</a:t>
            </a:r>
            <a:r>
              <a:rPr lang="en-US" baseline="0"/>
              <a:t> M = 0.7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α'!$CA$464:$CA$466</c:f>
              <c:strCache>
                <c:ptCount val="3"/>
                <c:pt idx="0">
                  <c:v>M = 0.7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α'!$BZ$467:$BZ$469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α'!$CA$467:$CA$469</c:f>
              <c:numCache>
                <c:formatCode>General</c:formatCode>
                <c:ptCount val="3"/>
                <c:pt idx="0">
                  <c:v>0</c:v>
                </c:pt>
                <c:pt idx="1">
                  <c:v>2.1545182332825528</c:v>
                </c:pt>
                <c:pt idx="2">
                  <c:v>2.6931477916031912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D7-4869-B64C-E00956D41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21952"/>
        <c:axId val="781818208"/>
      </c:scatterChart>
      <c:valAx>
        <c:axId val="78182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18208"/>
        <c:crosses val="autoZero"/>
        <c:crossBetween val="midCat"/>
      </c:valAx>
      <c:valAx>
        <c:axId val="78181820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2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</a:t>
            </a:r>
            <a:r>
              <a:rPr lang="en-US" baseline="0"/>
              <a:t> ft, M = 0.65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α'!$CI$464:$CI$466</c:f>
              <c:strCache>
                <c:ptCount val="3"/>
                <c:pt idx="0">
                  <c:v>M = 0.65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α'!$CH$467:$CH$469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α'!$CI$467:$CI$469</c:f>
              <c:numCache>
                <c:formatCode>General</c:formatCode>
                <c:ptCount val="3"/>
                <c:pt idx="0">
                  <c:v>0</c:v>
                </c:pt>
                <c:pt idx="1">
                  <c:v>1.971144520462059</c:v>
                </c:pt>
                <c:pt idx="2">
                  <c:v>2.4639306505775735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5-4D47-BF1B-636D3321F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636624"/>
        <c:axId val="1022635792"/>
      </c:scatterChart>
      <c:valAx>
        <c:axId val="102263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5792"/>
        <c:crosses val="autoZero"/>
        <c:crossBetween val="midCat"/>
      </c:valAx>
      <c:valAx>
        <c:axId val="10226357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63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α'!$CQ$464:$CQ$466</c:f>
              <c:strCache>
                <c:ptCount val="3"/>
                <c:pt idx="0">
                  <c:v>M = 0.6</c:v>
                </c:pt>
                <c:pt idx="1">
                  <c:v>Cruise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α'!$CP$467:$CP$469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α'!$CQ$467:$CQ$469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2.2824623847908274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7E-4A24-B039-1AAA2D328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63968"/>
        <c:axId val="781846496"/>
      </c:scatterChart>
      <c:valAx>
        <c:axId val="78186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α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 (deg)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46496"/>
        <c:crosses val="autoZero"/>
        <c:crossBetween val="midCat"/>
      </c:valAx>
      <c:valAx>
        <c:axId val="78184649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6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</a:t>
            </a:r>
            <a:r>
              <a:rPr lang="en-US" baseline="0"/>
              <a:t> </a:t>
            </a:r>
            <a:r>
              <a:rPr lang="en-US"/>
              <a:t>40000 ft,</a:t>
            </a:r>
            <a:r>
              <a:rPr lang="en-US" baseline="0"/>
              <a:t> M = 0.8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α'!$AE$492:$AE$494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α'!$AF$492:$AF$494</c:f>
              <c:numCache>
                <c:formatCode>General</c:formatCode>
                <c:ptCount val="3"/>
                <c:pt idx="0">
                  <c:v>0</c:v>
                </c:pt>
                <c:pt idx="1">
                  <c:v>1.8259931370361251</c:v>
                </c:pt>
                <c:pt idx="2">
                  <c:v>2.4638138418489888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26-4B0F-B79F-62BB64489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11120"/>
        <c:axId val="780311536"/>
      </c:scatterChart>
      <c:valAx>
        <c:axId val="78031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11536"/>
        <c:crosses val="autoZero"/>
        <c:crossBetween val="midCat"/>
      </c:valAx>
      <c:valAx>
        <c:axId val="78031153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1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</a:t>
            </a:r>
            <a:r>
              <a:rPr lang="en-US" baseline="0"/>
              <a:t> M = 0.8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α'!$AL$467:$AL$469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α'!$AM$467:$AM$469</c:f>
              <c:numCache>
                <c:formatCode>General</c:formatCode>
                <c:ptCount val="3"/>
                <c:pt idx="0">
                  <c:v>0</c:v>
                </c:pt>
                <c:pt idx="1">
                  <c:v>2.6949944987308152</c:v>
                </c:pt>
                <c:pt idx="2">
                  <c:v>3.3687431234135188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4C-4A4F-BF82-D6CBC2C84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822768"/>
        <c:axId val="964830256"/>
      </c:scatterChart>
      <c:valAx>
        <c:axId val="96482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30256"/>
        <c:crosses val="autoZero"/>
        <c:crossBetween val="midCat"/>
      </c:valAx>
      <c:valAx>
        <c:axId val="96483025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Speed at 35000</a:t>
            </a:r>
            <a:r>
              <a:rPr lang="en-US" baseline="0"/>
              <a:t> ft, M = 0.85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α'!$AU$465:$AU$466</c:f>
              <c:strCache>
                <c:ptCount val="2"/>
                <c:pt idx="0">
                  <c:v>Max Speed</c:v>
                </c:pt>
                <c:pt idx="1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α'!$AT$467:$AT$469</c:f>
              <c:numCache>
                <c:formatCode>General</c:formatCode>
                <c:ptCount val="3"/>
                <c:pt idx="0">
                  <c:v>-1</c:v>
                </c:pt>
                <c:pt idx="1">
                  <c:v>11</c:v>
                </c:pt>
                <c:pt idx="2">
                  <c:v>14</c:v>
                </c:pt>
              </c:numCache>
            </c:numRef>
          </c:xVal>
          <c:yVal>
            <c:numRef>
              <c:f>'C_L vs. α'!$AU$467:$AU$469</c:f>
              <c:numCache>
                <c:formatCode>General</c:formatCode>
                <c:ptCount val="3"/>
                <c:pt idx="0">
                  <c:v>0</c:v>
                </c:pt>
                <c:pt idx="1">
                  <c:v>3.1013424153090319</c:v>
                </c:pt>
                <c:pt idx="2">
                  <c:v>3.87667801913629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56-4762-BED3-8FF1A617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373104"/>
        <c:axId val="959370608"/>
      </c:scatterChart>
      <c:valAx>
        <c:axId val="95937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0" i="0" baseline="0">
                    <a:effectLst/>
                  </a:rPr>
                  <a:t>α</a:t>
                </a:r>
                <a:r>
                  <a:rPr lang="en-US" sz="1000" b="0" i="0" baseline="0">
                    <a:effectLst/>
                  </a:rPr>
                  <a:t> (deg)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70608"/>
        <c:crosses val="autoZero"/>
        <c:crossBetween val="midCat"/>
      </c:valAx>
      <c:valAx>
        <c:axId val="9593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7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NACA 1410 c_l</a:t>
            </a:r>
            <a:r>
              <a:rPr lang="en-US" baseline="0"/>
              <a:t> vs. c_m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C_m'!$L$23:$L$26</c:f>
              <c:numCache>
                <c:formatCode>General</c:formatCode>
                <c:ptCount val="4"/>
                <c:pt idx="0">
                  <c:v>-0.02</c:v>
                </c:pt>
                <c:pt idx="1">
                  <c:v>-2.9714400000000003</c:v>
                </c:pt>
                <c:pt idx="2">
                  <c:v>-3.4391666666666669</c:v>
                </c:pt>
                <c:pt idx="3">
                  <c:v>-3.7</c:v>
                </c:pt>
              </c:numCache>
            </c:numRef>
          </c:xVal>
          <c:yVal>
            <c:numRef>
              <c:f>'C_L vs. C_m'!$M$23:$M$26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1.5</c:v>
                </c:pt>
                <c:pt idx="3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5-4F13-9CC6-B0B114D4A9D5}"/>
            </c:ext>
          </c:extLst>
        </c:ser>
        <c:ser>
          <c:idx val="1"/>
          <c:order val="1"/>
          <c:tx>
            <c:v>Take 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C_m'!$N$23:$N$26</c:f>
              <c:numCache>
                <c:formatCode>General</c:formatCode>
                <c:ptCount val="4"/>
                <c:pt idx="0">
                  <c:v>-0.18</c:v>
                </c:pt>
                <c:pt idx="1">
                  <c:v>-3.1314400000000004</c:v>
                </c:pt>
                <c:pt idx="2">
                  <c:v>-4.3228032222222224</c:v>
                </c:pt>
                <c:pt idx="3">
                  <c:v>-4.7</c:v>
                </c:pt>
              </c:numCache>
            </c:numRef>
          </c:xVal>
          <c:yVal>
            <c:numRef>
              <c:f>'C_L vs. C_m'!$O$23:$O$26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1.8854</c:v>
                </c:pt>
                <c:pt idx="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05-4F13-9CC6-B0B114D4A9D5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C_m'!$P$23:$P$26</c:f>
              <c:numCache>
                <c:formatCode>General</c:formatCode>
                <c:ptCount val="4"/>
                <c:pt idx="0">
                  <c:v>-0.22</c:v>
                </c:pt>
                <c:pt idx="1">
                  <c:v>-3.1714400000000005</c:v>
                </c:pt>
                <c:pt idx="2">
                  <c:v>-4.7484125555555554</c:v>
                </c:pt>
                <c:pt idx="3">
                  <c:v>-4.9000000000000004</c:v>
                </c:pt>
              </c:numCache>
            </c:numRef>
          </c:xVal>
          <c:yVal>
            <c:numRef>
              <c:f>'C_L vs. C_m'!$Q$23:$Q$26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1.9838</c:v>
                </c:pt>
                <c:pt idx="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05-4F13-9CC6-B0B114D4A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17872"/>
        <c:axId val="627118288"/>
      </c:scatterChart>
      <c:valAx>
        <c:axId val="627117872"/>
        <c:scaling>
          <c:orientation val="minMax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8288"/>
        <c:crosses val="autoZero"/>
        <c:crossBetween val="midCat"/>
      </c:valAx>
      <c:valAx>
        <c:axId val="627118288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C_L vs. C_m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C_m'!$G$62:$G$65</c:f>
              <c:numCache>
                <c:formatCode>General</c:formatCode>
                <c:ptCount val="4"/>
                <c:pt idx="0">
                  <c:v>-1.328311879275689E-2</c:v>
                </c:pt>
                <c:pt idx="1">
                  <c:v>-0.17903684070200776</c:v>
                </c:pt>
                <c:pt idx="2">
                  <c:v>-0.22</c:v>
                </c:pt>
              </c:numCache>
            </c:numRef>
          </c:xVal>
          <c:yVal>
            <c:numRef>
              <c:f>'C_L vs. C_m'!$H$62:$H$65</c:f>
              <c:numCache>
                <c:formatCode>General</c:formatCode>
                <c:ptCount val="4"/>
                <c:pt idx="0">
                  <c:v>0</c:v>
                </c:pt>
                <c:pt idx="1">
                  <c:v>1.2347677833843347</c:v>
                </c:pt>
                <c:pt idx="2">
                  <c:v>1.5434597292304184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C-4E0A-9F3E-F9F007F8757B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C_m'!$I$62:$I$65</c:f>
              <c:numCache>
                <c:formatCode>General</c:formatCode>
                <c:ptCount val="4"/>
                <c:pt idx="0">
                  <c:v>-3.1929379703713869</c:v>
                </c:pt>
                <c:pt idx="1">
                  <c:v>-3.3586916922806376</c:v>
                </c:pt>
                <c:pt idx="2">
                  <c:v>-3.3996548515786302</c:v>
                </c:pt>
              </c:numCache>
            </c:numRef>
          </c:xVal>
          <c:yVal>
            <c:numRef>
              <c:f>'C_L vs. C_m'!$J$62:$J$65</c:f>
              <c:numCache>
                <c:formatCode>General</c:formatCode>
                <c:ptCount val="4"/>
                <c:pt idx="0">
                  <c:v>0</c:v>
                </c:pt>
                <c:pt idx="1">
                  <c:v>1.6206009173630227</c:v>
                </c:pt>
                <c:pt idx="2">
                  <c:v>1.7245239817041065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EC-4E0A-9F3E-F9F007F8757B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C_m'!$K$62:$K$65</c:f>
              <c:numCache>
                <c:formatCode>General</c:formatCode>
                <c:ptCount val="4"/>
                <c:pt idx="0">
                  <c:v>-4.3438544870945792</c:v>
                </c:pt>
                <c:pt idx="1">
                  <c:v>-4.5096082090038303</c:v>
                </c:pt>
                <c:pt idx="2">
                  <c:v>-4.5505713683018225</c:v>
                </c:pt>
              </c:numCache>
            </c:numRef>
          </c:xVal>
          <c:yVal>
            <c:numRef>
              <c:f>'C_L vs. C_m'!$L$62:$L$65</c:f>
              <c:numCache>
                <c:formatCode>General</c:formatCode>
                <c:ptCount val="4"/>
                <c:pt idx="0">
                  <c:v>0</c:v>
                </c:pt>
                <c:pt idx="1">
                  <c:v>1.7942258276534324</c:v>
                </c:pt>
                <c:pt idx="2">
                  <c:v>1.7707531525484523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FEC-4E0A-9F3E-F9F007F87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190271"/>
        <c:axId val="1747191519"/>
      </c:scatterChart>
      <c:valAx>
        <c:axId val="174719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91519"/>
        <c:crosses val="autoZero"/>
        <c:crossBetween val="midCat"/>
      </c:valAx>
      <c:valAx>
        <c:axId val="174719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9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Aircraft C_L vs. C_m V = 100 KTAS, SL, 90F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C_m'!$Z$206:$Z$208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-2.2292090961315134</c:v>
                </c:pt>
                <c:pt idx="2">
                  <c:v>-2.7865113701643915</c:v>
                </c:pt>
              </c:numCache>
            </c:numRef>
          </c:xVal>
          <c:yVal>
            <c:numRef>
              <c:f>'C_L vs. C_m'!$AA$206:$AA$208</c:f>
              <c:numCache>
                <c:formatCode>General</c:formatCode>
                <c:ptCount val="3"/>
                <c:pt idx="0">
                  <c:v>0</c:v>
                </c:pt>
                <c:pt idx="1">
                  <c:v>1.2993115923898244</c:v>
                </c:pt>
                <c:pt idx="2">
                  <c:v>1.6241394904872803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54-4B3C-9EC7-2B6F5F7D491A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C_m'!$AB$206:$AB$208</c:f>
              <c:numCache>
                <c:formatCode>General</c:formatCode>
                <c:ptCount val="3"/>
                <c:pt idx="0">
                  <c:v>-3.0256936079457657</c:v>
                </c:pt>
                <c:pt idx="1">
                  <c:v>-5.2227185024251774</c:v>
                </c:pt>
                <c:pt idx="2">
                  <c:v>-5.7800207764580556</c:v>
                </c:pt>
              </c:numCache>
            </c:numRef>
          </c:xVal>
          <c:yVal>
            <c:numRef>
              <c:f>'C_L vs. C_m'!$AC$206:$AC$208</c:f>
              <c:numCache>
                <c:formatCode>General</c:formatCode>
                <c:ptCount val="3"/>
                <c:pt idx="0">
                  <c:v>0</c:v>
                </c:pt>
                <c:pt idx="1">
                  <c:v>1.6851447263685124</c:v>
                </c:pt>
                <c:pt idx="2">
                  <c:v>1.773676768302187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54-4B3C-9EC7-2B6F5F7D491A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C_m'!$AD$206:$AD$208</c:f>
              <c:numCache>
                <c:formatCode>General</c:formatCode>
                <c:ptCount val="3"/>
                <c:pt idx="0">
                  <c:v>-4.1624583879769865</c:v>
                </c:pt>
                <c:pt idx="1">
                  <c:v>-6.3594832824563978</c:v>
                </c:pt>
                <c:pt idx="2">
                  <c:v>-6.916785556489276</c:v>
                </c:pt>
              </c:numCache>
            </c:numRef>
          </c:xVal>
          <c:yVal>
            <c:numRef>
              <c:f>'C_L vs. C_m'!$AE$206:$AE$208</c:f>
              <c:numCache>
                <c:formatCode>General</c:formatCode>
                <c:ptCount val="3"/>
                <c:pt idx="0">
                  <c:v>0</c:v>
                </c:pt>
                <c:pt idx="1">
                  <c:v>2.0300451518965943</c:v>
                </c:pt>
                <c:pt idx="2">
                  <c:v>2.1185771938302689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654-4B3C-9EC7-2B6F5F7D4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11568"/>
        <c:axId val="338210736"/>
      </c:scatterChart>
      <c:valAx>
        <c:axId val="33821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10736"/>
        <c:crosses val="autoZero"/>
        <c:crossBetween val="midCat"/>
      </c:valAx>
      <c:valAx>
        <c:axId val="33821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1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Design</a:t>
            </a:r>
            <a:r>
              <a:rPr lang="en-US" sz="1200" baseline="0"/>
              <a:t> Mission TO and L C_L vs. C_m at</a:t>
            </a:r>
            <a:r>
              <a:rPr lang="en-US" sz="1200"/>
              <a:t> SL, M = 0.2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C_m'!$Y$237:$Y$239</c:f>
              <c:numCache>
                <c:formatCode>General</c:formatCode>
                <c:ptCount val="3"/>
                <c:pt idx="0">
                  <c:v>-3.2184201652101702E-2</c:v>
                </c:pt>
                <c:pt idx="1">
                  <c:v>-2.2650646055931323</c:v>
                </c:pt>
                <c:pt idx="2">
                  <c:v>-2.8313307569914148</c:v>
                </c:pt>
              </c:numCache>
            </c:numRef>
          </c:xVal>
          <c:yVal>
            <c:numRef>
              <c:f>'C_L vs. C_m'!$Z$237:$Z$239</c:f>
              <c:numCache>
                <c:formatCode>General</c:formatCode>
                <c:ptCount val="3"/>
                <c:pt idx="0">
                  <c:v>0</c:v>
                </c:pt>
                <c:pt idx="1">
                  <c:v>1.320210250651793</c:v>
                </c:pt>
                <c:pt idx="2">
                  <c:v>1.650262813314741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FA-473E-96E6-AEC5A7E54FB6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C_m'!$AA$237:$AA$239</c:f>
              <c:numCache>
                <c:formatCode>General</c:formatCode>
                <c:ptCount val="3"/>
                <c:pt idx="0">
                  <c:v>-3.0189060944395347</c:v>
                </c:pt>
                <c:pt idx="1">
                  <c:v>-5.2517864983805653</c:v>
                </c:pt>
                <c:pt idx="2">
                  <c:v>-5.8180526497788474</c:v>
                </c:pt>
              </c:numCache>
            </c:numRef>
          </c:xVal>
          <c:yVal>
            <c:numRef>
              <c:f>'C_L vs. C_m'!$AB$237:$AB$239</c:f>
              <c:numCache>
                <c:formatCode>General</c:formatCode>
                <c:ptCount val="3"/>
                <c:pt idx="0">
                  <c:v>0</c:v>
                </c:pt>
                <c:pt idx="1">
                  <c:v>1.7868424247702568</c:v>
                </c:pt>
                <c:pt idx="2">
                  <c:v>2.1168949874332048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FA-473E-96E6-AEC5A7E54FB6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C_m'!$AC$237:$AC$239</c:f>
              <c:numCache>
                <c:formatCode>General</c:formatCode>
                <c:ptCount val="3"/>
                <c:pt idx="0">
                  <c:v>-4.1556708744707551</c:v>
                </c:pt>
                <c:pt idx="1">
                  <c:v>-6.3885512784117857</c:v>
                </c:pt>
                <c:pt idx="2">
                  <c:v>-6.9548174298100678</c:v>
                </c:pt>
              </c:numCache>
            </c:numRef>
          </c:xVal>
          <c:yVal>
            <c:numRef>
              <c:f>'C_L vs. C_m'!$AD$237:$AD$239</c:f>
              <c:numCache>
                <c:formatCode>General</c:formatCode>
                <c:ptCount val="3"/>
                <c:pt idx="0">
                  <c:v>0</c:v>
                </c:pt>
                <c:pt idx="1">
                  <c:v>2.0569770899932207</c:v>
                </c:pt>
                <c:pt idx="2">
                  <c:v>2.3870296526561687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FA-473E-96E6-AEC5A7E54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31200"/>
        <c:axId val="103139936"/>
      </c:scatterChart>
      <c:valAx>
        <c:axId val="10313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9936"/>
        <c:crosses val="autoZero"/>
        <c:crossBetween val="midCat"/>
      </c:valAx>
      <c:valAx>
        <c:axId val="1031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Loiter at SL, M = 0.3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Loiter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C_m'!$AG$237:$AG$239</c:f>
              <c:numCache>
                <c:formatCode>General</c:formatCode>
                <c:ptCount val="3"/>
                <c:pt idx="0">
                  <c:v>-3.2184201652101702E-2</c:v>
                </c:pt>
                <c:pt idx="1">
                  <c:v>-2.3675233481517206</c:v>
                </c:pt>
                <c:pt idx="2">
                  <c:v>-2.9594041851896504</c:v>
                </c:pt>
              </c:numCache>
            </c:numRef>
          </c:xVal>
          <c:yVal>
            <c:numRef>
              <c:f>'C_L vs. C_m'!$AH$237:$AH$239</c:f>
              <c:numCache>
                <c:formatCode>General</c:formatCode>
                <c:ptCount val="3"/>
                <c:pt idx="0">
                  <c:v>0</c:v>
                </c:pt>
                <c:pt idx="1">
                  <c:v>1.3799291133547489</c:v>
                </c:pt>
                <c:pt idx="2">
                  <c:v>1.724911391693436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4-4224-B9B5-16CF6CF8F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34528"/>
        <c:axId val="1011627040"/>
      </c:scatterChart>
      <c:valAx>
        <c:axId val="101163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27040"/>
        <c:crosses val="autoZero"/>
        <c:crossBetween val="midCat"/>
      </c:valAx>
      <c:valAx>
        <c:axId val="10116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5000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C_m'!$Y$260:$Y$262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-3.1327302707947022</c:v>
                </c:pt>
                <c:pt idx="2">
                  <c:v>-3.9159128384933779</c:v>
                </c:pt>
              </c:numCache>
            </c:numRef>
          </c:xVal>
          <c:yVal>
            <c:numRef>
              <c:f>'C_L vs. C_m'!$Z$260:$Z$262</c:f>
              <c:numCache>
                <c:formatCode>General</c:formatCode>
                <c:ptCount val="3"/>
                <c:pt idx="0">
                  <c:v>0</c:v>
                </c:pt>
                <c:pt idx="1">
                  <c:v>1.8259358279748987</c:v>
                </c:pt>
                <c:pt idx="2">
                  <c:v>2.2824197849686234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2-4F4E-9C6E-274F4B19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714000"/>
        <c:axId val="488705680"/>
      </c:scatterChart>
      <c:valAx>
        <c:axId val="48871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05680"/>
        <c:crosses val="autoZero"/>
        <c:crossBetween val="midCat"/>
      </c:valAx>
      <c:valAx>
        <c:axId val="4887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1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15000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C_m'!$Y$283:$Y$285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-3.1327376567092462</c:v>
                </c:pt>
                <c:pt idx="2">
                  <c:v>-3.9159220708865572</c:v>
                </c:pt>
              </c:numCache>
            </c:numRef>
          </c:xVal>
          <c:yVal>
            <c:numRef>
              <c:f>'C_L vs. C_m'!$Z$283:$Z$285</c:f>
              <c:numCache>
                <c:formatCode>General</c:formatCode>
                <c:ptCount val="3"/>
                <c:pt idx="0">
                  <c:v>0</c:v>
                </c:pt>
                <c:pt idx="1">
                  <c:v>1.8259401329117499</c:v>
                </c:pt>
                <c:pt idx="2">
                  <c:v>2.2824251661396873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0A-458C-B155-E29B3D73F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65280"/>
        <c:axId val="689368192"/>
      </c:scatterChart>
      <c:valAx>
        <c:axId val="68936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8192"/>
        <c:crosses val="autoZero"/>
        <c:crossBetween val="midCat"/>
      </c:valAx>
      <c:valAx>
        <c:axId val="6893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20000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C_m'!$Y$306:$Y$308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-3.1324703501711055</c:v>
                </c:pt>
                <c:pt idx="2">
                  <c:v>-3.915587937713882</c:v>
                </c:pt>
              </c:numCache>
            </c:numRef>
          </c:xVal>
          <c:yVal>
            <c:numRef>
              <c:f>'C_L vs. C_m'!$Z$306:$Z$308</c:f>
              <c:numCache>
                <c:formatCode>General</c:formatCode>
                <c:ptCount val="3"/>
                <c:pt idx="0">
                  <c:v>0</c:v>
                </c:pt>
                <c:pt idx="1">
                  <c:v>1.8257843312490301</c:v>
                </c:pt>
                <c:pt idx="2">
                  <c:v>2.2822304140612877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4D-42EB-9485-A224FEE6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68304"/>
        <c:axId val="450874960"/>
      </c:scatterChart>
      <c:valAx>
        <c:axId val="45086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74960"/>
        <c:crosses val="autoZero"/>
        <c:crossBetween val="midCat"/>
      </c:valAx>
      <c:valAx>
        <c:axId val="4508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6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Maneuver 5g's at 20000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Maneuver at 20000 ft, M = 0.8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C_m'!$AG$306:$AG$308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-4.6395142987590168</c:v>
                </c:pt>
                <c:pt idx="2">
                  <c:v>-5.7993928734487703</c:v>
                </c:pt>
              </c:numCache>
            </c:numRef>
          </c:xVal>
          <c:yVal>
            <c:numRef>
              <c:f>'C_L vs. C_m'!$AH$306:$AH$308</c:f>
              <c:numCache>
                <c:formatCode>General</c:formatCode>
                <c:ptCount val="3"/>
                <c:pt idx="0">
                  <c:v>0</c:v>
                </c:pt>
                <c:pt idx="1">
                  <c:v>2.7041764372382149</c:v>
                </c:pt>
                <c:pt idx="2">
                  <c:v>3.3802205465477684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1F-4C6E-AE62-72FBF3ED3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45024"/>
        <c:axId val="487345440"/>
      </c:scatterChart>
      <c:valAx>
        <c:axId val="4873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5440"/>
        <c:crosses val="autoZero"/>
        <c:crossBetween val="midCat"/>
      </c:valAx>
      <c:valAx>
        <c:axId val="48734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30000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C_m'!$Y$329:$Y$331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-3.1327819674733761</c:v>
                </c:pt>
                <c:pt idx="2">
                  <c:v>-3.9159774593417205</c:v>
                </c:pt>
              </c:numCache>
            </c:numRef>
          </c:xVal>
          <c:yVal>
            <c:numRef>
              <c:f>'C_L vs. C_m'!$Z$329:$Z$331</c:f>
              <c:numCache>
                <c:formatCode>General</c:formatCode>
                <c:ptCount val="3"/>
                <c:pt idx="0">
                  <c:v>0</c:v>
                </c:pt>
                <c:pt idx="1">
                  <c:v>1.8259659597799436</c:v>
                </c:pt>
                <c:pt idx="2">
                  <c:v>2.2824574497249297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81-46EC-99B4-FC8F633DD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16992"/>
        <c:axId val="1012122816"/>
      </c:scatterChart>
      <c:valAx>
        <c:axId val="101211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22816"/>
        <c:crosses val="autoZero"/>
        <c:crossBetween val="midCat"/>
      </c:valAx>
      <c:valAx>
        <c:axId val="10121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36000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C_m'!$Y$352:$Y$354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-3.1327887410872521</c:v>
                </c:pt>
                <c:pt idx="2">
                  <c:v>-3.9159859263590655</c:v>
                </c:pt>
              </c:numCache>
            </c:numRef>
          </c:xVal>
          <c:yVal>
            <c:numRef>
              <c:f>'C_L vs. C_m'!$Z$352:$Z$354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2.2824623847908274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AE-4975-BC58-724A2FEA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37072"/>
        <c:axId val="693137904"/>
      </c:scatterChart>
      <c:valAx>
        <c:axId val="69313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7904"/>
        <c:crosses val="autoZero"/>
        <c:crossBetween val="midCat"/>
      </c:valAx>
      <c:valAx>
        <c:axId val="6931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 at 36000 ft, M = 0.8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C_m'!$AG$352:$AG$354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-4.6237609868046698</c:v>
                </c:pt>
                <c:pt idx="2">
                  <c:v>-5.7797012335058371</c:v>
                </c:pt>
              </c:numCache>
            </c:numRef>
          </c:xVal>
          <c:yVal>
            <c:numRef>
              <c:f>'C_L vs. C_m'!$AH$352:$AH$354</c:f>
              <c:numCache>
                <c:formatCode>General</c:formatCode>
                <c:ptCount val="3"/>
                <c:pt idx="0">
                  <c:v>0</c:v>
                </c:pt>
                <c:pt idx="1">
                  <c:v>2.6949944987308152</c:v>
                </c:pt>
                <c:pt idx="2">
                  <c:v>3.3687431234135188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04-47D2-97D5-E1AC9F21F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14496"/>
        <c:axId val="1012111584"/>
      </c:scatterChart>
      <c:valAx>
        <c:axId val="101211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1584"/>
        <c:crosses val="autoZero"/>
        <c:crossBetween val="midCat"/>
      </c:valAx>
      <c:valAx>
        <c:axId val="10121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Max Speed at 35000 ft, M = 0.85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C_m'!$AO$352:$AO$354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-5.3209259140906244</c:v>
                </c:pt>
                <c:pt idx="2">
                  <c:v>-6.651157392613281</c:v>
                </c:pt>
              </c:numCache>
            </c:numRef>
          </c:xVal>
          <c:yVal>
            <c:numRef>
              <c:f>'C_L vs. C_m'!$AP$352:$AP$354</c:f>
              <c:numCache>
                <c:formatCode>General</c:formatCode>
                <c:ptCount val="3"/>
                <c:pt idx="0">
                  <c:v>0</c:v>
                </c:pt>
                <c:pt idx="1">
                  <c:v>3.1013424153090319</c:v>
                </c:pt>
                <c:pt idx="2">
                  <c:v>3.87667801913629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F2-420D-B979-063049ABA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501328"/>
        <c:axId val="1006501744"/>
      </c:scatterChart>
      <c:valAx>
        <c:axId val="100650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01744"/>
        <c:crosses val="autoZero"/>
        <c:crossBetween val="midCat"/>
      </c:valAx>
      <c:valAx>
        <c:axId val="10065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0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 at 40000 ft, M = 0.8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C_m'!$Y$375:$Y$377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-4.621756855434473</c:v>
                </c:pt>
                <c:pt idx="2">
                  <c:v>-5.7771960692930904</c:v>
                </c:pt>
              </c:numCache>
            </c:numRef>
          </c:xVal>
          <c:yVal>
            <c:numRef>
              <c:f>'C_L vs. C_m'!$Z$375:$Z$377</c:f>
              <c:numCache>
                <c:formatCode>General</c:formatCode>
                <c:ptCount val="3"/>
                <c:pt idx="0">
                  <c:v>0</c:v>
                </c:pt>
                <c:pt idx="1">
                  <c:v>2.6938263754145737</c:v>
                </c:pt>
                <c:pt idx="2">
                  <c:v>3.3672829692682167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2-416C-A030-E361D99F8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19968"/>
        <c:axId val="1011640352"/>
      </c:scatterChart>
      <c:valAx>
        <c:axId val="101161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40352"/>
        <c:crosses val="autoZero"/>
        <c:crossBetween val="midCat"/>
      </c:valAx>
      <c:valAx>
        <c:axId val="10116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1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C_m'!$AX$348:$AX$351</c:f>
              <c:strCache>
                <c:ptCount val="4"/>
                <c:pt idx="0">
                  <c:v>M = 0.5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C_m'!$AW$352:$AW$354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-2.7712483333992162</c:v>
                </c:pt>
                <c:pt idx="2">
                  <c:v>-3.4640604167490197</c:v>
                </c:pt>
              </c:numCache>
            </c:numRef>
          </c:xVal>
          <c:yVal>
            <c:numRef>
              <c:f>'C_L vs. C_m'!$AX$352:$AX$354</c:f>
              <c:numCache>
                <c:formatCode>General</c:formatCode>
                <c:ptCount val="3"/>
                <c:pt idx="0">
                  <c:v>0</c:v>
                </c:pt>
                <c:pt idx="1">
                  <c:v>1.6152433126282904</c:v>
                </c:pt>
                <c:pt idx="2">
                  <c:v>2.0190541407853626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0D-4574-A07C-6488D3794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46144"/>
        <c:axId val="689367360"/>
      </c:scatterChart>
      <c:valAx>
        <c:axId val="6893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7360"/>
        <c:crosses val="autoZero"/>
        <c:crossBetween val="midCat"/>
      </c:valAx>
      <c:valAx>
        <c:axId val="6893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C_m'!$BF$348:$BF$351</c:f>
              <c:strCache>
                <c:ptCount val="4"/>
                <c:pt idx="0">
                  <c:v>M = 0.55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C_m'!$BE$352:$BE$354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-2.9332587149884111</c:v>
                </c:pt>
                <c:pt idx="2">
                  <c:v>-3.6665733937355136</c:v>
                </c:pt>
              </c:numCache>
            </c:numRef>
          </c:xVal>
          <c:yVal>
            <c:numRef>
              <c:f>'C_L vs. C_m'!$BF$352:$BF$354</c:f>
              <c:numCache>
                <c:formatCode>General</c:formatCode>
                <c:ptCount val="3"/>
                <c:pt idx="0">
                  <c:v>0</c:v>
                </c:pt>
                <c:pt idx="1">
                  <c:v>1.7096723041713613</c:v>
                </c:pt>
                <c:pt idx="2">
                  <c:v>2.1370903802142016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CE-4907-9C83-C1BA02AB9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32032"/>
        <c:axId val="1011628704"/>
      </c:scatterChart>
      <c:valAx>
        <c:axId val="101163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28704"/>
        <c:crosses val="autoZero"/>
        <c:crossBetween val="midCat"/>
      </c:valAx>
      <c:valAx>
        <c:axId val="10116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C_m'!$AH$325:$AH$328</c:f>
              <c:strCache>
                <c:ptCount val="4"/>
                <c:pt idx="0">
                  <c:v>0.5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C_m'!$AG$329:$AG$331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-2.7712051744920965</c:v>
                </c:pt>
                <c:pt idx="2">
                  <c:v>-3.4640064681151208</c:v>
                </c:pt>
              </c:numCache>
            </c:numRef>
          </c:xVal>
          <c:yVal>
            <c:numRef>
              <c:f>'C_L vs. C_m'!$AH$329:$AH$331</c:f>
              <c:numCache>
                <c:formatCode>General</c:formatCode>
                <c:ptCount val="3"/>
                <c:pt idx="0">
                  <c:v>0</c:v>
                </c:pt>
                <c:pt idx="1">
                  <c:v>1.6152181571287758</c:v>
                </c:pt>
                <c:pt idx="2">
                  <c:v>2.0190226964109699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35-4059-82D8-C0CEC4B1D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39152"/>
        <c:axId val="693124592"/>
      </c:scatterChart>
      <c:valAx>
        <c:axId val="69313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24592"/>
        <c:crosses val="autoZero"/>
        <c:crossBetween val="midCat"/>
      </c:valAx>
      <c:valAx>
        <c:axId val="6931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C_m'!$AP$325:$AP$328</c:f>
              <c:strCache>
                <c:ptCount val="4"/>
                <c:pt idx="0">
                  <c:v>0.55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C_m'!$AO$329:$AO$331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-2.9332306359511513</c:v>
                </c:pt>
                <c:pt idx="2">
                  <c:v>-3.6665382949389391</c:v>
                </c:pt>
              </c:numCache>
            </c:numRef>
          </c:xVal>
          <c:yVal>
            <c:numRef>
              <c:f>'C_L vs. C_m'!$AP$329:$AP$331</c:f>
              <c:numCache>
                <c:formatCode>General</c:formatCode>
                <c:ptCount val="3"/>
                <c:pt idx="0">
                  <c:v>0</c:v>
                </c:pt>
                <c:pt idx="1">
                  <c:v>1.7096559380894725</c:v>
                </c:pt>
                <c:pt idx="2">
                  <c:v>2.1370699226118406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9E-46B0-BCBE-B003B23E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382160"/>
        <c:axId val="678398800"/>
      </c:scatterChart>
      <c:valAx>
        <c:axId val="67838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98800"/>
        <c:crosses val="autoZero"/>
        <c:crossBetween val="midCat"/>
      </c:valAx>
      <c:valAx>
        <c:axId val="67839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8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C_m'!$AP$303:$AP$305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C_m'!$AO$306:$AO$308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-2.7692345511302325</c:v>
                </c:pt>
                <c:pt idx="2">
                  <c:v>-3.4615431889127901</c:v>
                </c:pt>
              </c:numCache>
            </c:numRef>
          </c:xVal>
          <c:yVal>
            <c:numRef>
              <c:f>'C_L vs. C_m'!$AP$306:$AP$308</c:f>
              <c:numCache>
                <c:formatCode>General</c:formatCode>
                <c:ptCount val="3"/>
                <c:pt idx="0">
                  <c:v>0</c:v>
                </c:pt>
                <c:pt idx="1">
                  <c:v>1.6140695642117868</c:v>
                </c:pt>
                <c:pt idx="2">
                  <c:v>2.0175869552647332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DC-496B-9574-042F1B42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45312"/>
        <c:axId val="689346560"/>
      </c:scatterChart>
      <c:valAx>
        <c:axId val="68934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6560"/>
        <c:crosses val="autoZero"/>
        <c:crossBetween val="midCat"/>
      </c:valAx>
      <c:valAx>
        <c:axId val="6893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C_m'!$AX$303:$AX$305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C_m'!$AW$306:$AW$308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-2.9319434123603174</c:v>
                </c:pt>
                <c:pt idx="2">
                  <c:v>-3.6649292654503962</c:v>
                </c:pt>
              </c:numCache>
            </c:numRef>
          </c:xVal>
          <c:yVal>
            <c:numRef>
              <c:f>'C_L vs. C_m'!$AX$306:$AX$308</c:f>
              <c:numCache>
                <c:formatCode>General</c:formatCode>
                <c:ptCount val="3"/>
                <c:pt idx="0">
                  <c:v>0</c:v>
                </c:pt>
                <c:pt idx="1">
                  <c:v>1.708905669962328</c:v>
                </c:pt>
                <c:pt idx="2">
                  <c:v>2.1361320874529097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20-4153-BC63-B759D44A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14416"/>
        <c:axId val="853112336"/>
      </c:scatterChart>
      <c:valAx>
        <c:axId val="85311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12336"/>
        <c:crosses val="autoZero"/>
        <c:crossBetween val="midCat"/>
      </c:valAx>
      <c:valAx>
        <c:axId val="8531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1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5000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C_m'!$AH$257:$AH$259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C_m'!$AG$260:$AG$262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-2.7708762180281572</c:v>
                </c:pt>
                <c:pt idx="2">
                  <c:v>-3.4635952725351964</c:v>
                </c:pt>
              </c:numCache>
            </c:numRef>
          </c:xVal>
          <c:yVal>
            <c:numRef>
              <c:f>'C_L vs. C_m'!$AH$260:$AH$262</c:f>
              <c:numCache>
                <c:formatCode>General</c:formatCode>
                <c:ptCount val="3"/>
                <c:pt idx="0">
                  <c:v>0</c:v>
                </c:pt>
                <c:pt idx="1">
                  <c:v>1.6150264223347048</c:v>
                </c:pt>
                <c:pt idx="2">
                  <c:v>2.0187830279183809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F8-485A-8A85-16028CD43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66528"/>
        <c:axId val="689345312"/>
      </c:scatterChart>
      <c:valAx>
        <c:axId val="68936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5312"/>
        <c:crosses val="autoZero"/>
        <c:crossBetween val="midCat"/>
      </c:valAx>
      <c:valAx>
        <c:axId val="6893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5000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C_m'!$AP$257:$AP$259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C_m'!$AO$260:$AO$262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-2.933016467639022</c:v>
                </c:pt>
                <c:pt idx="2">
                  <c:v>-3.6662705845487777</c:v>
                </c:pt>
              </c:numCache>
            </c:numRef>
          </c:xVal>
          <c:yVal>
            <c:numRef>
              <c:f>'C_L vs. C_m'!$AP$260:$AP$262</c:f>
              <c:numCache>
                <c:formatCode>General</c:formatCode>
                <c:ptCount val="3"/>
                <c:pt idx="0">
                  <c:v>0</c:v>
                </c:pt>
                <c:pt idx="1">
                  <c:v>1.7095311084487022</c:v>
                </c:pt>
                <c:pt idx="2">
                  <c:v>2.1369138855608778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9-4CDF-909A-4D3960A4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14080"/>
        <c:axId val="1012122400"/>
      </c:scatterChart>
      <c:valAx>
        <c:axId val="101211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22400"/>
        <c:crosses val="autoZero"/>
        <c:crossBetween val="midCat"/>
      </c:valAx>
      <c:valAx>
        <c:axId val="10121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4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 ft,</a:t>
            </a:r>
            <a:r>
              <a:rPr lang="en-US" baseline="0"/>
              <a:t> M = 0.5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C_m'!$AH$279:$AH$282</c:f>
              <c:strCache>
                <c:ptCount val="4"/>
                <c:pt idx="0">
                  <c:v>0.5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C_m'!$AG$283:$AG$285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-2.7709231686991385</c:v>
                </c:pt>
                <c:pt idx="2">
                  <c:v>-3.463653960873923</c:v>
                </c:pt>
              </c:numCache>
            </c:numRef>
          </c:xVal>
          <c:yVal>
            <c:numRef>
              <c:f>'C_L vs. C_m'!$AH$283:$AH$285</c:f>
              <c:numCache>
                <c:formatCode>General</c:formatCode>
                <c:ptCount val="3"/>
                <c:pt idx="0">
                  <c:v>0</c:v>
                </c:pt>
                <c:pt idx="1">
                  <c:v>1.6150537878928224</c:v>
                </c:pt>
                <c:pt idx="2">
                  <c:v>2.0188172348660278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B-4583-91A9-69C7966F0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759344"/>
        <c:axId val="488768912"/>
      </c:scatterChart>
      <c:valAx>
        <c:axId val="48875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68912"/>
        <c:crosses val="autoZero"/>
        <c:crossBetween val="midCat"/>
      </c:valAx>
      <c:valAx>
        <c:axId val="4887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5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 ft,</a:t>
            </a:r>
            <a:r>
              <a:rPr lang="en-US" baseline="0"/>
              <a:t> M = 0.55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C_m'!$AP$279:$AP$282</c:f>
              <c:strCache>
                <c:ptCount val="4"/>
                <c:pt idx="0">
                  <c:v>0.55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C_m'!$AO$283:$AO$285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-2.9330470514446003</c:v>
                </c:pt>
                <c:pt idx="2">
                  <c:v>-3.6663088143057503</c:v>
                </c:pt>
              </c:numCache>
            </c:numRef>
          </c:xVal>
          <c:yVal>
            <c:numRef>
              <c:f>'C_L vs. C_m'!$AP$283:$AP$285</c:f>
              <c:numCache>
                <c:formatCode>General</c:formatCode>
                <c:ptCount val="3"/>
                <c:pt idx="0">
                  <c:v>0</c:v>
                </c:pt>
                <c:pt idx="1">
                  <c:v>1.7095489344539865</c:v>
                </c:pt>
                <c:pt idx="2">
                  <c:v>2.136936168067483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82-4E28-A84F-243193CA2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04016"/>
        <c:axId val="853101520"/>
      </c:scatterChart>
      <c:valAx>
        <c:axId val="85310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01520"/>
        <c:crosses val="autoZero"/>
        <c:crossBetween val="midCat"/>
      </c:valAx>
      <c:valAx>
        <c:axId val="8531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0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Dash at SL, M = 0.75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C_m'!$AP$234:$AP$236</c:f>
              <c:strCache>
                <c:ptCount val="3"/>
                <c:pt idx="0">
                  <c:v>M = 0.75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C_m'!$AO$237:$AO$239</c:f>
              <c:numCache>
                <c:formatCode>General</c:formatCode>
                <c:ptCount val="3"/>
                <c:pt idx="0">
                  <c:v>-3.2184201652101702E-2</c:v>
                </c:pt>
                <c:pt idx="1">
                  <c:v>-4.1019669027093775</c:v>
                </c:pt>
                <c:pt idx="2">
                  <c:v>-5.1274586283867221</c:v>
                </c:pt>
              </c:numCache>
            </c:numRef>
          </c:xVal>
          <c:yVal>
            <c:numRef>
              <c:f>'C_L vs. C_m'!$AP$237:$AP$239</c:f>
              <c:numCache>
                <c:formatCode>General</c:formatCode>
                <c:ptCount val="3"/>
                <c:pt idx="0">
                  <c:v>0</c:v>
                </c:pt>
                <c:pt idx="1">
                  <c:v>2.3908628210510616</c:v>
                </c:pt>
                <c:pt idx="2">
                  <c:v>2.9885785263138271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F7-4B54-82BB-156540356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78048"/>
        <c:axId val="944878464"/>
      </c:scatterChart>
      <c:valAx>
        <c:axId val="94487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78464"/>
        <c:crosses val="autoZero"/>
        <c:crossBetween val="midCat"/>
      </c:valAx>
      <c:valAx>
        <c:axId val="94487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7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Dash, Combat at 5000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C_m'!$AX$256:$AX$259</c:f>
              <c:strCache>
                <c:ptCount val="4"/>
                <c:pt idx="0">
                  <c:v>M = 0.8</c:v>
                </c:pt>
                <c:pt idx="1">
                  <c:v>dash combat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C_m'!$AW$260:$AW$262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-4.626688006084712</c:v>
                </c:pt>
                <c:pt idx="2">
                  <c:v>-5.7833600076058893</c:v>
                </c:pt>
              </c:numCache>
            </c:numRef>
          </c:xVal>
          <c:yVal>
            <c:numRef>
              <c:f>'C_L vs. C_m'!$AX$260:$AX$262</c:f>
              <c:numCache>
                <c:formatCode>General</c:formatCode>
                <c:ptCount val="3"/>
                <c:pt idx="0">
                  <c:v>0</c:v>
                </c:pt>
                <c:pt idx="1">
                  <c:v>2.6967005343325479</c:v>
                </c:pt>
                <c:pt idx="2">
                  <c:v>3.3708756679156844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6B-4CD3-9FB4-75C552FB4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284736"/>
        <c:axId val="1008277248"/>
      </c:scatterChart>
      <c:valAx>
        <c:axId val="10082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77248"/>
        <c:crosses val="autoZero"/>
        <c:crossBetween val="midCat"/>
      </c:valAx>
      <c:valAx>
        <c:axId val="10082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C_m'!$BN$348:$BN$351</c:f>
              <c:strCache>
                <c:ptCount val="4"/>
                <c:pt idx="0">
                  <c:v>M = 0.75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C_m'!$BM$352:$BM$354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-4.0997575728966664</c:v>
                </c:pt>
                <c:pt idx="2">
                  <c:v>-5.1246969661208333</c:v>
                </c:pt>
              </c:numCache>
            </c:numRef>
          </c:xVal>
          <c:yVal>
            <c:numRef>
              <c:f>'C_L vs. C_m'!$BN$352:$BN$354</c:f>
              <c:numCache>
                <c:formatCode>General</c:formatCode>
                <c:ptCount val="3"/>
                <c:pt idx="0">
                  <c:v>0</c:v>
                </c:pt>
                <c:pt idx="1">
                  <c:v>2.3895750962512436</c:v>
                </c:pt>
                <c:pt idx="2">
                  <c:v>2.9869688703140547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32-45FF-A52B-ABD64120D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15872"/>
        <c:axId val="1078530848"/>
      </c:scatterChart>
      <c:valAx>
        <c:axId val="107851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30848"/>
        <c:crosses val="autoZero"/>
        <c:crossBetween val="midCat"/>
      </c:valAx>
      <c:valAx>
        <c:axId val="10785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1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C_m'!$BV$348:$BV$351</c:f>
              <c:strCache>
                <c:ptCount val="4"/>
                <c:pt idx="0">
                  <c:v>M = 0.7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C_m'!$BU$352:$BU$354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-3.6964740956253155</c:v>
                </c:pt>
                <c:pt idx="2">
                  <c:v>-4.6205926195316449</c:v>
                </c:pt>
              </c:numCache>
            </c:numRef>
          </c:xVal>
          <c:yVal>
            <c:numRef>
              <c:f>'C_L vs. C_m'!$BV$352:$BV$354</c:f>
              <c:numCache>
                <c:formatCode>General</c:formatCode>
                <c:ptCount val="3"/>
                <c:pt idx="0">
                  <c:v>0</c:v>
                </c:pt>
                <c:pt idx="1">
                  <c:v>2.1545182332825528</c:v>
                </c:pt>
                <c:pt idx="2">
                  <c:v>2.6931477916031912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97-4D52-A039-F2D1C729C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25856"/>
        <c:axId val="1078526688"/>
      </c:scatterChart>
      <c:valAx>
        <c:axId val="107852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26688"/>
        <c:crosses val="autoZero"/>
        <c:crossBetween val="midCat"/>
      </c:valAx>
      <c:valAx>
        <c:axId val="107852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2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C_m'!$CD$348:$CD$351</c:f>
              <c:strCache>
                <c:ptCount val="4"/>
                <c:pt idx="0">
                  <c:v>M = 0.65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C_m'!$CC$352:$CC$354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-3.3818626113554133</c:v>
                </c:pt>
                <c:pt idx="2">
                  <c:v>-4.2273282641942664</c:v>
                </c:pt>
              </c:numCache>
            </c:numRef>
          </c:xVal>
          <c:yVal>
            <c:numRef>
              <c:f>'C_L vs. C_m'!$CD$352:$CD$354</c:f>
              <c:numCache>
                <c:formatCode>General</c:formatCode>
                <c:ptCount val="3"/>
                <c:pt idx="0">
                  <c:v>0</c:v>
                </c:pt>
                <c:pt idx="1">
                  <c:v>1.971144520462059</c:v>
                </c:pt>
                <c:pt idx="2">
                  <c:v>2.4639306505775735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EB-4126-A503-557AC60EC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22112"/>
        <c:axId val="1078518368"/>
      </c:scatterChart>
      <c:valAx>
        <c:axId val="107852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18368"/>
        <c:crosses val="autoZero"/>
        <c:crossBetween val="midCat"/>
      </c:valAx>
      <c:valAx>
        <c:axId val="107851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2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C_m'!$CL$348:$CL$351</c:f>
              <c:strCache>
                <c:ptCount val="4"/>
                <c:pt idx="0">
                  <c:v>M = 0.6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C_m'!$CK$352:$CK$354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-3.1327887410872521</c:v>
                </c:pt>
                <c:pt idx="2">
                  <c:v>-3.9159859263590655</c:v>
                </c:pt>
              </c:numCache>
            </c:numRef>
          </c:xVal>
          <c:yVal>
            <c:numRef>
              <c:f>'C_L vs. C_m'!$CL$352:$CL$354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2.2824623847908274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81-421A-93E1-E2872EF6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37344"/>
        <c:axId val="781815712"/>
      </c:scatterChart>
      <c:valAx>
        <c:axId val="78183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15712"/>
        <c:crosses val="autoZero"/>
        <c:crossBetween val="midCat"/>
      </c:valAx>
      <c:valAx>
        <c:axId val="78181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3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</a:t>
            </a:r>
            <a:r>
              <a:rPr lang="en-US" baseline="0"/>
              <a:t> 40000 ft, M = 0.7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C_m'!$AH$372:$AH$374</c:f>
              <c:strCache>
                <c:ptCount val="3"/>
                <c:pt idx="0">
                  <c:v>Cruise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C_m'!$AG$375:$AG$377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-3.6959929611134692</c:v>
                </c:pt>
                <c:pt idx="2">
                  <c:v>-4.6199912013918363</c:v>
                </c:pt>
              </c:numCache>
            </c:numRef>
          </c:xVal>
          <c:yVal>
            <c:numRef>
              <c:f>'C_L vs. C_m'!$AH$375:$AH$377</c:f>
              <c:numCache>
                <c:formatCode>General</c:formatCode>
                <c:ptCount val="3"/>
                <c:pt idx="0">
                  <c:v>0</c:v>
                </c:pt>
                <c:pt idx="1">
                  <c:v>2.1542378003479188</c:v>
                </c:pt>
                <c:pt idx="2">
                  <c:v>2.6927972504348983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6-4928-AF43-CEB4895CE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02895"/>
        <c:axId val="826904143"/>
      </c:scatterChart>
      <c:valAx>
        <c:axId val="826902895"/>
        <c:scaling>
          <c:orientation val="minMax"/>
          <c:min val="-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04143"/>
        <c:crosses val="autoZero"/>
        <c:crossBetween val="midCat"/>
      </c:valAx>
      <c:valAx>
        <c:axId val="826904143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0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NACA 1410 c_l</a:t>
            </a:r>
            <a:r>
              <a:rPr lang="en-US" baseline="0"/>
              <a:t> vs. c_m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C_m'!$L$23:$L$26</c:f>
              <c:numCache>
                <c:formatCode>General</c:formatCode>
                <c:ptCount val="4"/>
                <c:pt idx="0">
                  <c:v>-0.02</c:v>
                </c:pt>
                <c:pt idx="1">
                  <c:v>-2.9714400000000003</c:v>
                </c:pt>
                <c:pt idx="2">
                  <c:v>-3.4391666666666669</c:v>
                </c:pt>
                <c:pt idx="3">
                  <c:v>-3.7</c:v>
                </c:pt>
              </c:numCache>
            </c:numRef>
          </c:xVal>
          <c:yVal>
            <c:numRef>
              <c:f>'C_L vs. C_m'!$M$23:$M$26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1.5</c:v>
                </c:pt>
                <c:pt idx="3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E3-4392-B4BD-2EE6AB1F626A}"/>
            </c:ext>
          </c:extLst>
        </c:ser>
        <c:ser>
          <c:idx val="1"/>
          <c:order val="1"/>
          <c:tx>
            <c:v>Take 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C_m'!$N$23:$N$26</c:f>
              <c:numCache>
                <c:formatCode>General</c:formatCode>
                <c:ptCount val="4"/>
                <c:pt idx="0">
                  <c:v>-0.18</c:v>
                </c:pt>
                <c:pt idx="1">
                  <c:v>-3.1314400000000004</c:v>
                </c:pt>
                <c:pt idx="2">
                  <c:v>-4.3228032222222224</c:v>
                </c:pt>
                <c:pt idx="3">
                  <c:v>-4.7</c:v>
                </c:pt>
              </c:numCache>
            </c:numRef>
          </c:xVal>
          <c:yVal>
            <c:numRef>
              <c:f>'C_L vs. C_m'!$O$23:$O$26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1.8854</c:v>
                </c:pt>
                <c:pt idx="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E3-4392-B4BD-2EE6AB1F626A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C_m'!$P$23:$P$26</c:f>
              <c:numCache>
                <c:formatCode>General</c:formatCode>
                <c:ptCount val="4"/>
                <c:pt idx="0">
                  <c:v>-0.22</c:v>
                </c:pt>
                <c:pt idx="1">
                  <c:v>-3.1714400000000005</c:v>
                </c:pt>
                <c:pt idx="2">
                  <c:v>-4.7484125555555554</c:v>
                </c:pt>
                <c:pt idx="3">
                  <c:v>-4.9000000000000004</c:v>
                </c:pt>
              </c:numCache>
            </c:numRef>
          </c:xVal>
          <c:yVal>
            <c:numRef>
              <c:f>'C_L vs. C_m'!$Q$23:$Q$26</c:f>
              <c:numCache>
                <c:formatCode>General</c:formatCode>
                <c:ptCount val="4"/>
                <c:pt idx="0">
                  <c:v>0</c:v>
                </c:pt>
                <c:pt idx="1">
                  <c:v>1.296</c:v>
                </c:pt>
                <c:pt idx="2">
                  <c:v>1.9838</c:v>
                </c:pt>
                <c:pt idx="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E3-4392-B4BD-2EE6AB1F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17872"/>
        <c:axId val="627118288"/>
      </c:scatterChart>
      <c:valAx>
        <c:axId val="62711787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8288"/>
        <c:crosses val="autoZero"/>
        <c:crossBetween val="midCat"/>
      </c:valAx>
      <c:valAx>
        <c:axId val="627118288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Wing C_L vs. C_m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C_m'!$G$62:$G$65</c:f>
              <c:numCache>
                <c:formatCode>General</c:formatCode>
                <c:ptCount val="4"/>
                <c:pt idx="0">
                  <c:v>-1.328311879275689E-2</c:v>
                </c:pt>
                <c:pt idx="1">
                  <c:v>-0.17903684070200776</c:v>
                </c:pt>
                <c:pt idx="2">
                  <c:v>-0.22</c:v>
                </c:pt>
              </c:numCache>
            </c:numRef>
          </c:xVal>
          <c:yVal>
            <c:numRef>
              <c:f>'C_L vs. C_m'!$H$62:$H$65</c:f>
              <c:numCache>
                <c:formatCode>General</c:formatCode>
                <c:ptCount val="4"/>
                <c:pt idx="0">
                  <c:v>0</c:v>
                </c:pt>
                <c:pt idx="1">
                  <c:v>1.2347677833843347</c:v>
                </c:pt>
                <c:pt idx="2">
                  <c:v>1.5434597292304184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10-4FAC-936B-959A1F94E194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C_m'!$I$62:$I$65</c:f>
              <c:numCache>
                <c:formatCode>General</c:formatCode>
                <c:ptCount val="4"/>
                <c:pt idx="0">
                  <c:v>-3.1929379703713869</c:v>
                </c:pt>
                <c:pt idx="1">
                  <c:v>-3.3586916922806376</c:v>
                </c:pt>
                <c:pt idx="2">
                  <c:v>-3.3996548515786302</c:v>
                </c:pt>
              </c:numCache>
            </c:numRef>
          </c:xVal>
          <c:yVal>
            <c:numRef>
              <c:f>'C_L vs. C_m'!$J$62:$J$65</c:f>
              <c:numCache>
                <c:formatCode>General</c:formatCode>
                <c:ptCount val="4"/>
                <c:pt idx="0">
                  <c:v>0</c:v>
                </c:pt>
                <c:pt idx="1">
                  <c:v>1.6206009173630227</c:v>
                </c:pt>
                <c:pt idx="2">
                  <c:v>1.7245239817041065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10-4FAC-936B-959A1F94E194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C_m'!$K$62:$K$65</c:f>
              <c:numCache>
                <c:formatCode>General</c:formatCode>
                <c:ptCount val="4"/>
                <c:pt idx="0">
                  <c:v>-4.3438544870945792</c:v>
                </c:pt>
                <c:pt idx="1">
                  <c:v>-4.5096082090038303</c:v>
                </c:pt>
                <c:pt idx="2">
                  <c:v>-4.5505713683018225</c:v>
                </c:pt>
              </c:numCache>
            </c:numRef>
          </c:xVal>
          <c:yVal>
            <c:numRef>
              <c:f>'C_L vs. C_m'!$L$62:$L$65</c:f>
              <c:numCache>
                <c:formatCode>General</c:formatCode>
                <c:ptCount val="4"/>
                <c:pt idx="0">
                  <c:v>0</c:v>
                </c:pt>
                <c:pt idx="1">
                  <c:v>1.7942258276534324</c:v>
                </c:pt>
                <c:pt idx="2">
                  <c:v>1.7707531525484523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10-4FAC-936B-959A1F94E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190271"/>
        <c:axId val="1747191519"/>
      </c:scatterChart>
      <c:valAx>
        <c:axId val="1747190271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91519"/>
        <c:crosses val="autoZero"/>
        <c:crossBetween val="midCat"/>
      </c:valAx>
      <c:valAx>
        <c:axId val="1747191519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19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Aircraft C_L vs. C_m V = 100 KTAS, SL, 90F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C_m'!$Z$206:$Z$208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-2.2292090961315134</c:v>
                </c:pt>
                <c:pt idx="2">
                  <c:v>-2.7865113701643915</c:v>
                </c:pt>
              </c:numCache>
            </c:numRef>
          </c:xVal>
          <c:yVal>
            <c:numRef>
              <c:f>'C_L vs. C_m'!$AA$206:$AA$208</c:f>
              <c:numCache>
                <c:formatCode>General</c:formatCode>
                <c:ptCount val="3"/>
                <c:pt idx="0">
                  <c:v>0</c:v>
                </c:pt>
                <c:pt idx="1">
                  <c:v>1.2993115923898244</c:v>
                </c:pt>
                <c:pt idx="2">
                  <c:v>1.6241394904872803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CD-4367-A507-34CD58055583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C_m'!$AB$206:$AB$208</c:f>
              <c:numCache>
                <c:formatCode>General</c:formatCode>
                <c:ptCount val="3"/>
                <c:pt idx="0">
                  <c:v>-3.0256936079457657</c:v>
                </c:pt>
                <c:pt idx="1">
                  <c:v>-5.2227185024251774</c:v>
                </c:pt>
                <c:pt idx="2">
                  <c:v>-5.7800207764580556</c:v>
                </c:pt>
              </c:numCache>
            </c:numRef>
          </c:xVal>
          <c:yVal>
            <c:numRef>
              <c:f>'C_L vs. C_m'!$AC$206:$AC$208</c:f>
              <c:numCache>
                <c:formatCode>General</c:formatCode>
                <c:ptCount val="3"/>
                <c:pt idx="0">
                  <c:v>0</c:v>
                </c:pt>
                <c:pt idx="1">
                  <c:v>1.6851447263685124</c:v>
                </c:pt>
                <c:pt idx="2">
                  <c:v>1.773676768302187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CD-4367-A507-34CD58055583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C_m'!$AD$206:$AD$208</c:f>
              <c:numCache>
                <c:formatCode>General</c:formatCode>
                <c:ptCount val="3"/>
                <c:pt idx="0">
                  <c:v>-4.1624583879769865</c:v>
                </c:pt>
                <c:pt idx="1">
                  <c:v>-6.3594832824563978</c:v>
                </c:pt>
                <c:pt idx="2">
                  <c:v>-6.916785556489276</c:v>
                </c:pt>
              </c:numCache>
            </c:numRef>
          </c:xVal>
          <c:yVal>
            <c:numRef>
              <c:f>'C_L vs. C_m'!$AE$206:$AE$208</c:f>
              <c:numCache>
                <c:formatCode>General</c:formatCode>
                <c:ptCount val="3"/>
                <c:pt idx="0">
                  <c:v>0</c:v>
                </c:pt>
                <c:pt idx="1">
                  <c:v>2.0300451518965943</c:v>
                </c:pt>
                <c:pt idx="2">
                  <c:v>2.1185771938302689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CD-4367-A507-34CD58055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11568"/>
        <c:axId val="338210736"/>
      </c:scatterChart>
      <c:valAx>
        <c:axId val="33821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10736"/>
        <c:crosses val="autoZero"/>
        <c:crossBetween val="midCat"/>
      </c:valAx>
      <c:valAx>
        <c:axId val="33821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1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Design</a:t>
            </a:r>
            <a:r>
              <a:rPr lang="en-US" sz="1200" baseline="0"/>
              <a:t> Mission TO and L C_L vs. C_m at</a:t>
            </a:r>
            <a:r>
              <a:rPr lang="en-US" sz="1200"/>
              <a:t> SL, M = 0.2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C_m'!$Y$237:$Y$239</c:f>
              <c:numCache>
                <c:formatCode>General</c:formatCode>
                <c:ptCount val="3"/>
                <c:pt idx="0">
                  <c:v>-3.2184201652101702E-2</c:v>
                </c:pt>
                <c:pt idx="1">
                  <c:v>-2.2650646055931323</c:v>
                </c:pt>
                <c:pt idx="2">
                  <c:v>-2.8313307569914148</c:v>
                </c:pt>
              </c:numCache>
            </c:numRef>
          </c:xVal>
          <c:yVal>
            <c:numRef>
              <c:f>'C_L vs. C_m'!$Z$237:$Z$239</c:f>
              <c:numCache>
                <c:formatCode>General</c:formatCode>
                <c:ptCount val="3"/>
                <c:pt idx="0">
                  <c:v>0</c:v>
                </c:pt>
                <c:pt idx="1">
                  <c:v>1.320210250651793</c:v>
                </c:pt>
                <c:pt idx="2">
                  <c:v>1.650262813314741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D-4EE0-89C7-042A0A2AC4D8}"/>
            </c:ext>
          </c:extLst>
        </c:ser>
        <c:ser>
          <c:idx val="1"/>
          <c:order val="1"/>
          <c:tx>
            <c:v>Takeoff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C_m'!$AA$237:$AA$239</c:f>
              <c:numCache>
                <c:formatCode>General</c:formatCode>
                <c:ptCount val="3"/>
                <c:pt idx="0">
                  <c:v>-3.0189060944395347</c:v>
                </c:pt>
                <c:pt idx="1">
                  <c:v>-5.2517864983805653</c:v>
                </c:pt>
                <c:pt idx="2">
                  <c:v>-5.8180526497788474</c:v>
                </c:pt>
              </c:numCache>
            </c:numRef>
          </c:xVal>
          <c:yVal>
            <c:numRef>
              <c:f>'C_L vs. C_m'!$AB$237:$AB$239</c:f>
              <c:numCache>
                <c:formatCode>General</c:formatCode>
                <c:ptCount val="3"/>
                <c:pt idx="0">
                  <c:v>0</c:v>
                </c:pt>
                <c:pt idx="1">
                  <c:v>1.7868424247702568</c:v>
                </c:pt>
                <c:pt idx="2">
                  <c:v>2.1168949874332048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BD-4EE0-89C7-042A0A2AC4D8}"/>
            </c:ext>
          </c:extLst>
        </c:ser>
        <c:ser>
          <c:idx val="2"/>
          <c:order val="2"/>
          <c:tx>
            <c:v>Landing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C_m'!$AC$237:$AC$239</c:f>
              <c:numCache>
                <c:formatCode>General</c:formatCode>
                <c:ptCount val="3"/>
                <c:pt idx="0">
                  <c:v>-4.1556708744707551</c:v>
                </c:pt>
                <c:pt idx="1">
                  <c:v>-6.3885512784117857</c:v>
                </c:pt>
                <c:pt idx="2">
                  <c:v>-6.9548174298100678</c:v>
                </c:pt>
              </c:numCache>
            </c:numRef>
          </c:xVal>
          <c:yVal>
            <c:numRef>
              <c:f>'C_L vs. C_m'!$AD$237:$AD$239</c:f>
              <c:numCache>
                <c:formatCode>General</c:formatCode>
                <c:ptCount val="3"/>
                <c:pt idx="0">
                  <c:v>0</c:v>
                </c:pt>
                <c:pt idx="1">
                  <c:v>2.0569770899932207</c:v>
                </c:pt>
                <c:pt idx="2">
                  <c:v>2.3870296526561687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BD-4EE0-89C7-042A0A2AC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31200"/>
        <c:axId val="103139936"/>
      </c:scatterChart>
      <c:valAx>
        <c:axId val="10313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9936"/>
        <c:crosses val="autoZero"/>
        <c:crossBetween val="midCat"/>
      </c:valAx>
      <c:valAx>
        <c:axId val="10313993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Loiter at SL, M = 0.3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Loiter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C_m'!$AG$237:$AG$239</c:f>
              <c:numCache>
                <c:formatCode>General</c:formatCode>
                <c:ptCount val="3"/>
                <c:pt idx="0">
                  <c:v>-3.2184201652101702E-2</c:v>
                </c:pt>
                <c:pt idx="1">
                  <c:v>-2.3675233481517206</c:v>
                </c:pt>
                <c:pt idx="2">
                  <c:v>-2.9594041851896504</c:v>
                </c:pt>
              </c:numCache>
            </c:numRef>
          </c:xVal>
          <c:yVal>
            <c:numRef>
              <c:f>'C_L vs. C_m'!$AH$237:$AH$239</c:f>
              <c:numCache>
                <c:formatCode>General</c:formatCode>
                <c:ptCount val="3"/>
                <c:pt idx="0">
                  <c:v>0</c:v>
                </c:pt>
                <c:pt idx="1">
                  <c:v>1.3799291133547489</c:v>
                </c:pt>
                <c:pt idx="2">
                  <c:v>1.724911391693436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BE-4D69-B1A5-042EB141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34528"/>
        <c:axId val="1011627040"/>
      </c:scatterChart>
      <c:valAx>
        <c:axId val="1011634528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27040"/>
        <c:crosses val="autoZero"/>
        <c:crossBetween val="midCat"/>
      </c:valAx>
      <c:valAx>
        <c:axId val="10116270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Dash at SL, M = 0.75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C_m'!$AP$234:$AP$236</c:f>
              <c:strCache>
                <c:ptCount val="3"/>
                <c:pt idx="0">
                  <c:v>M = 0.75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C_m'!$AO$237:$AO$239</c:f>
              <c:numCache>
                <c:formatCode>General</c:formatCode>
                <c:ptCount val="3"/>
                <c:pt idx="0">
                  <c:v>-3.2184201652101702E-2</c:v>
                </c:pt>
                <c:pt idx="1">
                  <c:v>-4.1019669027093775</c:v>
                </c:pt>
                <c:pt idx="2">
                  <c:v>-5.1274586283867221</c:v>
                </c:pt>
              </c:numCache>
            </c:numRef>
          </c:xVal>
          <c:yVal>
            <c:numRef>
              <c:f>'C_L vs. C_m'!$AP$237:$AP$239</c:f>
              <c:numCache>
                <c:formatCode>General</c:formatCode>
                <c:ptCount val="3"/>
                <c:pt idx="0">
                  <c:v>0</c:v>
                </c:pt>
                <c:pt idx="1">
                  <c:v>2.3908628210510616</c:v>
                </c:pt>
                <c:pt idx="2">
                  <c:v>2.9885785263138271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2F-48F2-8234-F577D5993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78048"/>
        <c:axId val="944878464"/>
      </c:scatterChart>
      <c:valAx>
        <c:axId val="944878048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78464"/>
        <c:crosses val="autoZero"/>
        <c:crossBetween val="midCat"/>
      </c:valAx>
      <c:valAx>
        <c:axId val="94487846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87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5000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C_m'!$Y$260:$Y$262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-3.1327302707947022</c:v>
                </c:pt>
                <c:pt idx="2">
                  <c:v>-3.9159128384933779</c:v>
                </c:pt>
              </c:numCache>
            </c:numRef>
          </c:xVal>
          <c:yVal>
            <c:numRef>
              <c:f>'C_L vs. C_m'!$Z$260:$Z$262</c:f>
              <c:numCache>
                <c:formatCode>General</c:formatCode>
                <c:ptCount val="3"/>
                <c:pt idx="0">
                  <c:v>0</c:v>
                </c:pt>
                <c:pt idx="1">
                  <c:v>1.8259358279748987</c:v>
                </c:pt>
                <c:pt idx="2">
                  <c:v>2.2824197849686234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F5-47C1-9677-740B2CC48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714000"/>
        <c:axId val="488705680"/>
      </c:scatterChart>
      <c:valAx>
        <c:axId val="488714000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05680"/>
        <c:crosses val="autoZero"/>
        <c:crossBetween val="midCat"/>
      </c:valAx>
      <c:valAx>
        <c:axId val="48870568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1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5000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C_m'!$AH$257:$AH$259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C_m'!$AG$260:$AG$262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-2.7708762180281572</c:v>
                </c:pt>
                <c:pt idx="2">
                  <c:v>-3.4635952725351964</c:v>
                </c:pt>
              </c:numCache>
            </c:numRef>
          </c:xVal>
          <c:yVal>
            <c:numRef>
              <c:f>'C_L vs. C_m'!$AH$260:$AH$262</c:f>
              <c:numCache>
                <c:formatCode>General</c:formatCode>
                <c:ptCount val="3"/>
                <c:pt idx="0">
                  <c:v>0</c:v>
                </c:pt>
                <c:pt idx="1">
                  <c:v>1.6150264223347048</c:v>
                </c:pt>
                <c:pt idx="2">
                  <c:v>2.0187830279183809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BA-4360-A920-444CBA0E9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66528"/>
        <c:axId val="689345312"/>
      </c:scatterChart>
      <c:valAx>
        <c:axId val="689366528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5312"/>
        <c:crosses val="autoZero"/>
        <c:crossBetween val="midCat"/>
      </c:valAx>
      <c:valAx>
        <c:axId val="6893453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5000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C_m'!$AP$257:$AP$259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C_m'!$AO$260:$AO$262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-2.933016467639022</c:v>
                </c:pt>
                <c:pt idx="2">
                  <c:v>-3.6662705845487777</c:v>
                </c:pt>
              </c:numCache>
            </c:numRef>
          </c:xVal>
          <c:yVal>
            <c:numRef>
              <c:f>'C_L vs. C_m'!$AP$260:$AP$262</c:f>
              <c:numCache>
                <c:formatCode>General</c:formatCode>
                <c:ptCount val="3"/>
                <c:pt idx="0">
                  <c:v>0</c:v>
                </c:pt>
                <c:pt idx="1">
                  <c:v>1.7095311084487022</c:v>
                </c:pt>
                <c:pt idx="2">
                  <c:v>2.1369138855608778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12-4D3D-A270-1CB0DCF95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14080"/>
        <c:axId val="1012122400"/>
      </c:scatterChart>
      <c:valAx>
        <c:axId val="1012114080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22400"/>
        <c:crosses val="autoZero"/>
        <c:crossBetween val="midCat"/>
      </c:valAx>
      <c:valAx>
        <c:axId val="101212240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4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Dash, Combat at 5000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C_m'!$AX$256:$AX$259</c:f>
              <c:strCache>
                <c:ptCount val="4"/>
                <c:pt idx="0">
                  <c:v>M = 0.8</c:v>
                </c:pt>
                <c:pt idx="1">
                  <c:v>dash combat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C_m'!$AW$260:$AW$262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-4.626688006084712</c:v>
                </c:pt>
                <c:pt idx="2">
                  <c:v>-5.7833600076058893</c:v>
                </c:pt>
              </c:numCache>
            </c:numRef>
          </c:xVal>
          <c:yVal>
            <c:numRef>
              <c:f>'C_L vs. C_m'!$AX$260:$AX$262</c:f>
              <c:numCache>
                <c:formatCode>General</c:formatCode>
                <c:ptCount val="3"/>
                <c:pt idx="0">
                  <c:v>0</c:v>
                </c:pt>
                <c:pt idx="1">
                  <c:v>2.6967005343325479</c:v>
                </c:pt>
                <c:pt idx="2">
                  <c:v>3.3708756679156844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D-44FE-9E17-FB1736F31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284736"/>
        <c:axId val="1008277248"/>
      </c:scatterChart>
      <c:valAx>
        <c:axId val="1008284736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77248"/>
        <c:crosses val="autoZero"/>
        <c:crossBetween val="midCat"/>
      </c:valAx>
      <c:valAx>
        <c:axId val="100827724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2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 ft,</a:t>
            </a:r>
            <a:r>
              <a:rPr lang="en-US" baseline="0"/>
              <a:t> M = 0.5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C_m'!$AH$279:$AH$282</c:f>
              <c:strCache>
                <c:ptCount val="4"/>
                <c:pt idx="0">
                  <c:v>0.5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C_m'!$AG$283:$AG$285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-2.7709231686991385</c:v>
                </c:pt>
                <c:pt idx="2">
                  <c:v>-3.463653960873923</c:v>
                </c:pt>
              </c:numCache>
            </c:numRef>
          </c:xVal>
          <c:yVal>
            <c:numRef>
              <c:f>'C_L vs. C_m'!$AH$283:$AH$285</c:f>
              <c:numCache>
                <c:formatCode>General</c:formatCode>
                <c:ptCount val="3"/>
                <c:pt idx="0">
                  <c:v>0</c:v>
                </c:pt>
                <c:pt idx="1">
                  <c:v>1.6150537878928224</c:v>
                </c:pt>
                <c:pt idx="2">
                  <c:v>2.0188172348660278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95-4F11-849E-56533B90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759344"/>
        <c:axId val="488768912"/>
      </c:scatterChart>
      <c:valAx>
        <c:axId val="488759344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68912"/>
        <c:crosses val="autoZero"/>
        <c:crossBetween val="midCat"/>
      </c:valAx>
      <c:valAx>
        <c:axId val="4887689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5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15000 ft,</a:t>
            </a:r>
            <a:r>
              <a:rPr lang="en-US" baseline="0"/>
              <a:t> M = 0.55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C_m'!$AP$279:$AP$282</c:f>
              <c:strCache>
                <c:ptCount val="4"/>
                <c:pt idx="0">
                  <c:v>0.55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C_m'!$AO$283:$AO$285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-2.9330470514446003</c:v>
                </c:pt>
                <c:pt idx="2">
                  <c:v>-3.6663088143057503</c:v>
                </c:pt>
              </c:numCache>
            </c:numRef>
          </c:xVal>
          <c:yVal>
            <c:numRef>
              <c:f>'C_L vs. C_m'!$AP$283:$AP$285</c:f>
              <c:numCache>
                <c:formatCode>General</c:formatCode>
                <c:ptCount val="3"/>
                <c:pt idx="0">
                  <c:v>0</c:v>
                </c:pt>
                <c:pt idx="1">
                  <c:v>1.7095489344539865</c:v>
                </c:pt>
                <c:pt idx="2">
                  <c:v>2.136936168067483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1D-474F-84D7-CA37F71DE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04016"/>
        <c:axId val="853101520"/>
      </c:scatterChart>
      <c:valAx>
        <c:axId val="853104016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01520"/>
        <c:crosses val="autoZero"/>
        <c:crossBetween val="midCat"/>
      </c:valAx>
      <c:valAx>
        <c:axId val="8531015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0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15000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C_m'!$Y$283:$Y$285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-3.1327376567092462</c:v>
                </c:pt>
                <c:pt idx="2">
                  <c:v>-3.9159220708865572</c:v>
                </c:pt>
              </c:numCache>
            </c:numRef>
          </c:xVal>
          <c:yVal>
            <c:numRef>
              <c:f>'C_L vs. C_m'!$Z$283:$Z$285</c:f>
              <c:numCache>
                <c:formatCode>General</c:formatCode>
                <c:ptCount val="3"/>
                <c:pt idx="0">
                  <c:v>0</c:v>
                </c:pt>
                <c:pt idx="1">
                  <c:v>1.8259401329117499</c:v>
                </c:pt>
                <c:pt idx="2">
                  <c:v>2.2824251661396873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C1-4E06-84C7-344822329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65280"/>
        <c:axId val="689368192"/>
      </c:scatterChart>
      <c:valAx>
        <c:axId val="689365280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8192"/>
        <c:crosses val="autoZero"/>
        <c:crossBetween val="midCat"/>
      </c:valAx>
      <c:valAx>
        <c:axId val="6893681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C_m'!$AP$303:$AP$305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C_m'!$AO$306:$AO$308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-2.7692345511302325</c:v>
                </c:pt>
                <c:pt idx="2">
                  <c:v>-3.4615431889127901</c:v>
                </c:pt>
              </c:numCache>
            </c:numRef>
          </c:xVal>
          <c:yVal>
            <c:numRef>
              <c:f>'C_L vs. C_m'!$AP$306:$AP$308</c:f>
              <c:numCache>
                <c:formatCode>General</c:formatCode>
                <c:ptCount val="3"/>
                <c:pt idx="0">
                  <c:v>0</c:v>
                </c:pt>
                <c:pt idx="1">
                  <c:v>1.6140695642117868</c:v>
                </c:pt>
                <c:pt idx="2">
                  <c:v>2.0175869552647332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64-41E0-9DF0-11218E3AF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45312"/>
        <c:axId val="689346560"/>
      </c:scatterChart>
      <c:valAx>
        <c:axId val="68934531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6560"/>
        <c:crosses val="autoZero"/>
        <c:crossBetween val="midCat"/>
      </c:valAx>
      <c:valAx>
        <c:axId val="68934656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20000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C_m'!$AX$303:$AX$305</c:f>
              <c:strCache>
                <c:ptCount val="3"/>
                <c:pt idx="0">
                  <c:v>climb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C_m'!$AW$306:$AW$308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-2.9319434123603174</c:v>
                </c:pt>
                <c:pt idx="2">
                  <c:v>-3.6649292654503962</c:v>
                </c:pt>
              </c:numCache>
            </c:numRef>
          </c:xVal>
          <c:yVal>
            <c:numRef>
              <c:f>'C_L vs. C_m'!$AX$306:$AX$308</c:f>
              <c:numCache>
                <c:formatCode>General</c:formatCode>
                <c:ptCount val="3"/>
                <c:pt idx="0">
                  <c:v>0</c:v>
                </c:pt>
                <c:pt idx="1">
                  <c:v>1.708905669962328</c:v>
                </c:pt>
                <c:pt idx="2">
                  <c:v>2.1361320874529097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A3-40FB-AE5F-5E9A73170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14416"/>
        <c:axId val="853112336"/>
      </c:scatterChart>
      <c:valAx>
        <c:axId val="853114416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12336"/>
        <c:crosses val="autoZero"/>
        <c:crossBetween val="midCat"/>
      </c:valAx>
      <c:valAx>
        <c:axId val="85311233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1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20000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C_m'!$Y$306:$Y$308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-3.1324703501711055</c:v>
                </c:pt>
                <c:pt idx="2">
                  <c:v>-3.915587937713882</c:v>
                </c:pt>
              </c:numCache>
            </c:numRef>
          </c:xVal>
          <c:yVal>
            <c:numRef>
              <c:f>'C_L vs. C_m'!$Z$306:$Z$308</c:f>
              <c:numCache>
                <c:formatCode>General</c:formatCode>
                <c:ptCount val="3"/>
                <c:pt idx="0">
                  <c:v>0</c:v>
                </c:pt>
                <c:pt idx="1">
                  <c:v>1.8257843312490301</c:v>
                </c:pt>
                <c:pt idx="2">
                  <c:v>2.2822304140612877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37-4E19-A71D-1D9A0D6EE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68304"/>
        <c:axId val="450874960"/>
      </c:scatterChart>
      <c:valAx>
        <c:axId val="450868304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74960"/>
        <c:crosses val="autoZero"/>
        <c:crossBetween val="midCat"/>
      </c:valAx>
      <c:valAx>
        <c:axId val="45087496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6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Maneuver 5g's at 20000 ft, M =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Maneuver at 20000 ft, M = 0.8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C_m'!$AG$306:$AG$308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-4.6395142987590168</c:v>
                </c:pt>
                <c:pt idx="2">
                  <c:v>-5.7993928734487703</c:v>
                </c:pt>
              </c:numCache>
            </c:numRef>
          </c:xVal>
          <c:yVal>
            <c:numRef>
              <c:f>'C_L vs. C_m'!$AH$306:$AH$308</c:f>
              <c:numCache>
                <c:formatCode>General</c:formatCode>
                <c:ptCount val="3"/>
                <c:pt idx="0">
                  <c:v>0</c:v>
                </c:pt>
                <c:pt idx="1">
                  <c:v>2.7041764372382149</c:v>
                </c:pt>
                <c:pt idx="2">
                  <c:v>3.3802205465477684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46-424F-A878-AD6CC5175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45024"/>
        <c:axId val="487345440"/>
      </c:scatterChart>
      <c:valAx>
        <c:axId val="487345024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5440"/>
        <c:crosses val="autoZero"/>
        <c:crossBetween val="midCat"/>
      </c:valAx>
      <c:valAx>
        <c:axId val="4873454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C_m'!$AH$325:$AH$328</c:f>
              <c:strCache>
                <c:ptCount val="4"/>
                <c:pt idx="0">
                  <c:v>0.5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C_m'!$AG$329:$AG$331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-2.7712051744920965</c:v>
                </c:pt>
                <c:pt idx="2">
                  <c:v>-3.4640064681151208</c:v>
                </c:pt>
              </c:numCache>
            </c:numRef>
          </c:xVal>
          <c:yVal>
            <c:numRef>
              <c:f>'C_L vs. C_m'!$AH$329:$AH$331</c:f>
              <c:numCache>
                <c:formatCode>General</c:formatCode>
                <c:ptCount val="3"/>
                <c:pt idx="0">
                  <c:v>0</c:v>
                </c:pt>
                <c:pt idx="1">
                  <c:v>1.6152181571287758</c:v>
                </c:pt>
                <c:pt idx="2">
                  <c:v>2.0190226964109699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4F-4AE2-9318-B8711875C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39152"/>
        <c:axId val="693124592"/>
      </c:scatterChart>
      <c:valAx>
        <c:axId val="69313915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24592"/>
        <c:crosses val="autoZero"/>
        <c:crossBetween val="midCat"/>
      </c:valAx>
      <c:valAx>
        <c:axId val="69312459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30000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C_m'!$AP$325:$AP$328</c:f>
              <c:strCache>
                <c:ptCount val="4"/>
                <c:pt idx="0">
                  <c:v>0.55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C_m'!$AO$329:$AO$331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-2.9332306359511513</c:v>
                </c:pt>
                <c:pt idx="2">
                  <c:v>-3.6665382949389391</c:v>
                </c:pt>
              </c:numCache>
            </c:numRef>
          </c:xVal>
          <c:yVal>
            <c:numRef>
              <c:f>'C_L vs. C_m'!$AP$329:$AP$331</c:f>
              <c:numCache>
                <c:formatCode>General</c:formatCode>
                <c:ptCount val="3"/>
                <c:pt idx="0">
                  <c:v>0</c:v>
                </c:pt>
                <c:pt idx="1">
                  <c:v>1.7096559380894725</c:v>
                </c:pt>
                <c:pt idx="2">
                  <c:v>2.1370699226118406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7F-453A-97FE-773313E6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382160"/>
        <c:axId val="678398800"/>
      </c:scatterChart>
      <c:valAx>
        <c:axId val="678382160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98800"/>
        <c:crosses val="autoZero"/>
        <c:crossBetween val="midCat"/>
      </c:valAx>
      <c:valAx>
        <c:axId val="67839880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8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30000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C_m'!$Y$329:$Y$331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-3.1327819674733761</c:v>
                </c:pt>
                <c:pt idx="2">
                  <c:v>-3.9159774593417205</c:v>
                </c:pt>
              </c:numCache>
            </c:numRef>
          </c:xVal>
          <c:yVal>
            <c:numRef>
              <c:f>'C_L vs. C_m'!$Z$329:$Z$331</c:f>
              <c:numCache>
                <c:formatCode>General</c:formatCode>
                <c:ptCount val="3"/>
                <c:pt idx="0">
                  <c:v>0</c:v>
                </c:pt>
                <c:pt idx="1">
                  <c:v>1.8259659597799436</c:v>
                </c:pt>
                <c:pt idx="2">
                  <c:v>2.2824574497249297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B-4E07-8A32-19216EBF1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16992"/>
        <c:axId val="1012122816"/>
      </c:scatterChart>
      <c:valAx>
        <c:axId val="101211699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22816"/>
        <c:crosses val="autoZero"/>
        <c:crossBetween val="midCat"/>
      </c:valAx>
      <c:valAx>
        <c:axId val="101212281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C_m'!$AX$348:$AX$351</c:f>
              <c:strCache>
                <c:ptCount val="4"/>
                <c:pt idx="0">
                  <c:v>M = 0.5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C_m'!$AW$352:$AW$354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-2.7712483333992162</c:v>
                </c:pt>
                <c:pt idx="2">
                  <c:v>-3.4640604167490197</c:v>
                </c:pt>
              </c:numCache>
            </c:numRef>
          </c:xVal>
          <c:yVal>
            <c:numRef>
              <c:f>'C_L vs. C_m'!$AX$352:$AX$354</c:f>
              <c:numCache>
                <c:formatCode>General</c:formatCode>
                <c:ptCount val="3"/>
                <c:pt idx="0">
                  <c:v>0</c:v>
                </c:pt>
                <c:pt idx="1">
                  <c:v>1.6152433126282904</c:v>
                </c:pt>
                <c:pt idx="2">
                  <c:v>2.0190541407853626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E6-4463-8F46-BD49AAC3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346144"/>
        <c:axId val="689367360"/>
      </c:scatterChart>
      <c:valAx>
        <c:axId val="689346144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7360"/>
        <c:crosses val="autoZero"/>
        <c:crossBetween val="midCat"/>
      </c:valAx>
      <c:valAx>
        <c:axId val="68936736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Climb at 36000 ft, M = 0.55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C_m'!$BF$348:$BF$351</c:f>
              <c:strCache>
                <c:ptCount val="4"/>
                <c:pt idx="0">
                  <c:v>M = 0.55</c:v>
                </c:pt>
                <c:pt idx="1">
                  <c:v>climb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C_m'!$BE$352:$BE$354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-2.9332587149884111</c:v>
                </c:pt>
                <c:pt idx="2">
                  <c:v>-3.6665733937355136</c:v>
                </c:pt>
              </c:numCache>
            </c:numRef>
          </c:xVal>
          <c:yVal>
            <c:numRef>
              <c:f>'C_L vs. C_m'!$BF$352:$BF$354</c:f>
              <c:numCache>
                <c:formatCode>General</c:formatCode>
                <c:ptCount val="3"/>
                <c:pt idx="0">
                  <c:v>0</c:v>
                </c:pt>
                <c:pt idx="1">
                  <c:v>1.7096723041713613</c:v>
                </c:pt>
                <c:pt idx="2">
                  <c:v>2.1370903802142016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2F-42CA-9001-AF67E0C02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32032"/>
        <c:axId val="1011628704"/>
      </c:scatterChart>
      <c:valAx>
        <c:axId val="101163203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28704"/>
        <c:crosses val="autoZero"/>
        <c:crossBetween val="midCat"/>
      </c:valAx>
      <c:valAx>
        <c:axId val="101162870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Climb at 36000 ft, M = 0.6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C_m'!$Y$352:$Y$354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-3.1327887410872521</c:v>
                </c:pt>
                <c:pt idx="2">
                  <c:v>-3.9159859263590655</c:v>
                </c:pt>
              </c:numCache>
            </c:numRef>
          </c:xVal>
          <c:yVal>
            <c:numRef>
              <c:f>'C_L vs. C_m'!$Z$352:$Z$354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2.2824623847908274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C4-4606-A7E8-9C0A4198C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37072"/>
        <c:axId val="693137904"/>
      </c:scatterChart>
      <c:valAx>
        <c:axId val="69313707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7904"/>
        <c:crosses val="autoZero"/>
        <c:crossBetween val="midCat"/>
      </c:valAx>
      <c:valAx>
        <c:axId val="69313790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C_m'!$CL$348:$CL$351</c:f>
              <c:strCache>
                <c:ptCount val="4"/>
                <c:pt idx="0">
                  <c:v>M = 0.6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C_m'!$CK$352:$CK$354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-3.1327887410872521</c:v>
                </c:pt>
                <c:pt idx="2">
                  <c:v>-3.9159859263590655</c:v>
                </c:pt>
              </c:numCache>
            </c:numRef>
          </c:xVal>
          <c:yVal>
            <c:numRef>
              <c:f>'C_L vs. C_m'!$CL$352:$CL$354</c:f>
              <c:numCache>
                <c:formatCode>General</c:formatCode>
                <c:ptCount val="3"/>
                <c:pt idx="0">
                  <c:v>0</c:v>
                </c:pt>
                <c:pt idx="1">
                  <c:v>1.8259699078326617</c:v>
                </c:pt>
                <c:pt idx="2">
                  <c:v>2.2824623847908274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83-4E55-8846-7DC6524C5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37344"/>
        <c:axId val="781815712"/>
      </c:scatterChart>
      <c:valAx>
        <c:axId val="781837344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15712"/>
        <c:crosses val="autoZero"/>
        <c:crossBetween val="midCat"/>
      </c:valAx>
      <c:valAx>
        <c:axId val="7818157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3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C_m'!$CD$348:$CD$351</c:f>
              <c:strCache>
                <c:ptCount val="4"/>
                <c:pt idx="0">
                  <c:v>M = 0.65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C_m'!$CC$352:$CC$354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-3.3818626113554133</c:v>
                </c:pt>
                <c:pt idx="2">
                  <c:v>-4.2273282641942664</c:v>
                </c:pt>
              </c:numCache>
            </c:numRef>
          </c:xVal>
          <c:yVal>
            <c:numRef>
              <c:f>'C_L vs. C_m'!$CD$352:$CD$354</c:f>
              <c:numCache>
                <c:formatCode>General</c:formatCode>
                <c:ptCount val="3"/>
                <c:pt idx="0">
                  <c:v>0</c:v>
                </c:pt>
                <c:pt idx="1">
                  <c:v>1.971144520462059</c:v>
                </c:pt>
                <c:pt idx="2">
                  <c:v>2.4639306505775735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C6-45C1-8C49-EC264B9B7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22112"/>
        <c:axId val="1078518368"/>
      </c:scatterChart>
      <c:valAx>
        <c:axId val="107852211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18368"/>
        <c:crosses val="autoZero"/>
        <c:crossBetween val="midCat"/>
      </c:valAx>
      <c:valAx>
        <c:axId val="107851836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2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C_m'!$BV$348:$BV$351</c:f>
              <c:strCache>
                <c:ptCount val="4"/>
                <c:pt idx="0">
                  <c:v>M = 0.7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C_m'!$BU$352:$BU$354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-3.6964740956253155</c:v>
                </c:pt>
                <c:pt idx="2">
                  <c:v>-4.6205926195316449</c:v>
                </c:pt>
              </c:numCache>
            </c:numRef>
          </c:xVal>
          <c:yVal>
            <c:numRef>
              <c:f>'C_L vs. C_m'!$BV$352:$BV$354</c:f>
              <c:numCache>
                <c:formatCode>General</c:formatCode>
                <c:ptCount val="3"/>
                <c:pt idx="0">
                  <c:v>0</c:v>
                </c:pt>
                <c:pt idx="1">
                  <c:v>2.1545182332825528</c:v>
                </c:pt>
                <c:pt idx="2">
                  <c:v>2.6931477916031912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E3-41C8-92DB-B8083C06D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25856"/>
        <c:axId val="1078526688"/>
      </c:scatterChart>
      <c:valAx>
        <c:axId val="1078525856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26688"/>
        <c:crosses val="autoZero"/>
        <c:crossBetween val="midCat"/>
      </c:valAx>
      <c:valAx>
        <c:axId val="107852668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2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 36000 ft, M = 0.75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C_m'!$BN$348:$BN$351</c:f>
              <c:strCache>
                <c:ptCount val="4"/>
                <c:pt idx="0">
                  <c:v>M = 0.75</c:v>
                </c:pt>
                <c:pt idx="1">
                  <c:v>Cruise</c:v>
                </c:pt>
                <c:pt idx="2">
                  <c:v>plot</c:v>
                </c:pt>
                <c:pt idx="3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C_m'!$BM$352:$BM$354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-4.0997575728966664</c:v>
                </c:pt>
                <c:pt idx="2">
                  <c:v>-5.1246969661208333</c:v>
                </c:pt>
              </c:numCache>
            </c:numRef>
          </c:xVal>
          <c:yVal>
            <c:numRef>
              <c:f>'C_L vs. C_m'!$BN$352:$BN$354</c:f>
              <c:numCache>
                <c:formatCode>General</c:formatCode>
                <c:ptCount val="3"/>
                <c:pt idx="0">
                  <c:v>0</c:v>
                </c:pt>
                <c:pt idx="1">
                  <c:v>2.3895750962512436</c:v>
                </c:pt>
                <c:pt idx="2">
                  <c:v>2.9869688703140547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E6-4DE4-AB41-4EDB1A11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15872"/>
        <c:axId val="1078530848"/>
      </c:scatterChart>
      <c:valAx>
        <c:axId val="1078515872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30848"/>
        <c:crosses val="autoZero"/>
        <c:crossBetween val="midCat"/>
      </c:valAx>
      <c:valAx>
        <c:axId val="107853084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1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 at 36000 ft, M = 0.8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C_m'!$AG$352:$AG$354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-4.6237609868046698</c:v>
                </c:pt>
                <c:pt idx="2">
                  <c:v>-5.7797012335058371</c:v>
                </c:pt>
              </c:numCache>
            </c:numRef>
          </c:xVal>
          <c:yVal>
            <c:numRef>
              <c:f>'C_L vs. C_m'!$AH$352:$AH$354</c:f>
              <c:numCache>
                <c:formatCode>General</c:formatCode>
                <c:ptCount val="3"/>
                <c:pt idx="0">
                  <c:v>0</c:v>
                </c:pt>
                <c:pt idx="1">
                  <c:v>2.6949944987308152</c:v>
                </c:pt>
                <c:pt idx="2">
                  <c:v>3.3687431234135188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BE-4EAD-B896-F89C0E8F0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114496"/>
        <c:axId val="1012111584"/>
      </c:scatterChart>
      <c:valAx>
        <c:axId val="1012114496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1584"/>
        <c:crosses val="autoZero"/>
        <c:crossBetween val="midCat"/>
      </c:valAx>
      <c:valAx>
        <c:axId val="101211158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Max Speed at 35000 ft, M = 0.85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C_m'!$AO$352:$AO$354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-5.3209259140906244</c:v>
                </c:pt>
                <c:pt idx="2">
                  <c:v>-6.651157392613281</c:v>
                </c:pt>
              </c:numCache>
            </c:numRef>
          </c:xVal>
          <c:yVal>
            <c:numRef>
              <c:f>'C_L vs. C_m'!$AP$352:$AP$354</c:f>
              <c:numCache>
                <c:formatCode>General</c:formatCode>
                <c:ptCount val="3"/>
                <c:pt idx="0">
                  <c:v>0</c:v>
                </c:pt>
                <c:pt idx="1">
                  <c:v>3.1013424153090319</c:v>
                </c:pt>
                <c:pt idx="2">
                  <c:v>3.87667801913629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CB-4EE1-AC96-AB6D6E7B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501328"/>
        <c:axId val="1006501744"/>
      </c:scatterChart>
      <c:valAx>
        <c:axId val="100650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01744"/>
        <c:crosses val="autoZero"/>
        <c:crossBetween val="midCat"/>
      </c:valAx>
      <c:valAx>
        <c:axId val="10065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0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Cruise at 40000 ft, M = 0.8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C_m'!$Y$375:$Y$377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-4.621756855434473</c:v>
                </c:pt>
                <c:pt idx="2">
                  <c:v>-5.7771960692930904</c:v>
                </c:pt>
              </c:numCache>
            </c:numRef>
          </c:xVal>
          <c:yVal>
            <c:numRef>
              <c:f>'C_L vs. C_m'!$Z$375:$Z$377</c:f>
              <c:numCache>
                <c:formatCode>General</c:formatCode>
                <c:ptCount val="3"/>
                <c:pt idx="0">
                  <c:v>0</c:v>
                </c:pt>
                <c:pt idx="1">
                  <c:v>2.6938263754145737</c:v>
                </c:pt>
                <c:pt idx="2">
                  <c:v>3.3672829692682167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97-4AAF-BFC0-E94C3CE43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19968"/>
        <c:axId val="1011640352"/>
      </c:scatterChart>
      <c:valAx>
        <c:axId val="1011619968"/>
        <c:scaling>
          <c:orientation val="minMax"/>
          <c:min val="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40352"/>
        <c:crosses val="autoZero"/>
        <c:crossBetween val="midCat"/>
      </c:valAx>
      <c:valAx>
        <c:axId val="101164035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1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Cruise at</a:t>
            </a:r>
            <a:r>
              <a:rPr lang="en-US" baseline="0"/>
              <a:t> 40000 ft, M = 0.7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'C_L vs. C_m'!$AH$372:$AH$374</c:f>
              <c:strCache>
                <c:ptCount val="3"/>
                <c:pt idx="0">
                  <c:v>Cruise</c:v>
                </c:pt>
                <c:pt idx="1">
                  <c:v>plot</c:v>
                </c:pt>
                <c:pt idx="2">
                  <c:v>C_L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'C_L vs. C_m'!$AG$375:$AG$377</c:f>
              <c:numCache>
                <c:formatCode>General</c:formatCode>
                <c:ptCount val="3"/>
                <c:pt idx="0">
                  <c:v>-3.2184201652101736E-2</c:v>
                </c:pt>
                <c:pt idx="1">
                  <c:v>-3.6959929611134692</c:v>
                </c:pt>
                <c:pt idx="2">
                  <c:v>-4.6199912013918363</c:v>
                </c:pt>
              </c:numCache>
            </c:numRef>
          </c:xVal>
          <c:yVal>
            <c:numRef>
              <c:f>'C_L vs. C_m'!$AH$375:$AH$377</c:f>
              <c:numCache>
                <c:formatCode>General</c:formatCode>
                <c:ptCount val="3"/>
                <c:pt idx="0">
                  <c:v>0</c:v>
                </c:pt>
                <c:pt idx="1">
                  <c:v>2.1542378003479188</c:v>
                </c:pt>
                <c:pt idx="2">
                  <c:v>2.6927972504348983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0-434D-A79B-1032E927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02895"/>
        <c:axId val="826904143"/>
      </c:scatterChart>
      <c:valAx>
        <c:axId val="826902895"/>
        <c:scaling>
          <c:orientation val="minMax"/>
          <c:min val="-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04143"/>
        <c:crosses val="autoZero"/>
        <c:crossBetween val="midCat"/>
      </c:valAx>
      <c:valAx>
        <c:axId val="826904143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0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Trim Drag vs. Velocity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trim!$H$27:$H$31</c:f>
              <c:numCache>
                <c:formatCode>General</c:formatCode>
                <c:ptCount val="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</c:numCache>
            </c:numRef>
          </c:xVal>
          <c:yVal>
            <c:numRef>
              <c:f>trim!$AH$27:$AH$31</c:f>
              <c:numCache>
                <c:formatCode>General</c:formatCode>
                <c:ptCount val="5"/>
                <c:pt idx="0">
                  <c:v>0.10374039415947396</c:v>
                </c:pt>
                <c:pt idx="1">
                  <c:v>0.11092351381471466</c:v>
                </c:pt>
                <c:pt idx="2">
                  <c:v>0.116082991402108</c:v>
                </c:pt>
                <c:pt idx="3">
                  <c:v>0.12068518868813874</c:v>
                </c:pt>
                <c:pt idx="4">
                  <c:v>0.12531157837278534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99-47B7-9CB9-7710D7037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146192"/>
        <c:axId val="715147024"/>
      </c:scatterChart>
      <c:valAx>
        <c:axId val="71514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147024"/>
        <c:crosses val="autoZero"/>
        <c:crossBetween val="midCat"/>
      </c:valAx>
      <c:valAx>
        <c:axId val="7151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14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7" Type="http://schemas.openxmlformats.org/officeDocument/2006/relationships/image" Target="../media/image10.JP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JPG"/><Relationship Id="rId5" Type="http://schemas.openxmlformats.org/officeDocument/2006/relationships/image" Target="../media/image8.JPG"/><Relationship Id="rId4" Type="http://schemas.openxmlformats.org/officeDocument/2006/relationships/image" Target="../media/image7.JP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.xml"/><Relationship Id="rId18" Type="http://schemas.openxmlformats.org/officeDocument/2006/relationships/image" Target="../media/image25.jpeg"/><Relationship Id="rId26" Type="http://schemas.openxmlformats.org/officeDocument/2006/relationships/image" Target="../media/image31.JPG"/><Relationship Id="rId3" Type="http://schemas.openxmlformats.org/officeDocument/2006/relationships/image" Target="../media/image13.JPG"/><Relationship Id="rId21" Type="http://schemas.openxmlformats.org/officeDocument/2006/relationships/chart" Target="../charts/chart5.xml"/><Relationship Id="rId34" Type="http://schemas.openxmlformats.org/officeDocument/2006/relationships/chart" Target="../charts/chart9.xml"/><Relationship Id="rId7" Type="http://schemas.openxmlformats.org/officeDocument/2006/relationships/chart" Target="../charts/chart2.xml"/><Relationship Id="rId12" Type="http://schemas.openxmlformats.org/officeDocument/2006/relationships/image" Target="../media/image20.JPG"/><Relationship Id="rId17" Type="http://schemas.openxmlformats.org/officeDocument/2006/relationships/image" Target="../media/image24.JPG"/><Relationship Id="rId25" Type="http://schemas.openxmlformats.org/officeDocument/2006/relationships/image" Target="../media/image30.jpeg"/><Relationship Id="rId33" Type="http://schemas.openxmlformats.org/officeDocument/2006/relationships/image" Target="../media/image35.JPG"/><Relationship Id="rId2" Type="http://schemas.openxmlformats.org/officeDocument/2006/relationships/image" Target="../media/image12.jpeg"/><Relationship Id="rId16" Type="http://schemas.openxmlformats.org/officeDocument/2006/relationships/image" Target="../media/image23.jpeg"/><Relationship Id="rId20" Type="http://schemas.openxmlformats.org/officeDocument/2006/relationships/chart" Target="../charts/chart4.xml"/><Relationship Id="rId29" Type="http://schemas.openxmlformats.org/officeDocument/2006/relationships/chart" Target="../charts/chart7.xml"/><Relationship Id="rId1" Type="http://schemas.openxmlformats.org/officeDocument/2006/relationships/image" Target="../media/image11.JPG"/><Relationship Id="rId6" Type="http://schemas.openxmlformats.org/officeDocument/2006/relationships/chart" Target="../charts/chart1.xml"/><Relationship Id="rId11" Type="http://schemas.openxmlformats.org/officeDocument/2006/relationships/image" Target="../media/image19.JPG"/><Relationship Id="rId24" Type="http://schemas.openxmlformats.org/officeDocument/2006/relationships/image" Target="../media/image29.JPG"/><Relationship Id="rId32" Type="http://schemas.openxmlformats.org/officeDocument/2006/relationships/image" Target="../media/image34.JPG"/><Relationship Id="rId5" Type="http://schemas.openxmlformats.org/officeDocument/2006/relationships/image" Target="../media/image15.JPG"/><Relationship Id="rId15" Type="http://schemas.openxmlformats.org/officeDocument/2006/relationships/image" Target="../media/image22.jpeg"/><Relationship Id="rId23" Type="http://schemas.openxmlformats.org/officeDocument/2006/relationships/image" Target="../media/image28.JPG"/><Relationship Id="rId28" Type="http://schemas.openxmlformats.org/officeDocument/2006/relationships/chart" Target="../charts/chart6.xml"/><Relationship Id="rId10" Type="http://schemas.openxmlformats.org/officeDocument/2006/relationships/image" Target="../media/image18.JPG"/><Relationship Id="rId19" Type="http://schemas.openxmlformats.org/officeDocument/2006/relationships/image" Target="../media/image26.jpeg"/><Relationship Id="rId31" Type="http://schemas.openxmlformats.org/officeDocument/2006/relationships/image" Target="../media/image33.JPG"/><Relationship Id="rId4" Type="http://schemas.openxmlformats.org/officeDocument/2006/relationships/image" Target="../media/image14.JPG"/><Relationship Id="rId9" Type="http://schemas.openxmlformats.org/officeDocument/2006/relationships/image" Target="../media/image17.JPG"/><Relationship Id="rId14" Type="http://schemas.openxmlformats.org/officeDocument/2006/relationships/image" Target="../media/image21.jpeg"/><Relationship Id="rId22" Type="http://schemas.openxmlformats.org/officeDocument/2006/relationships/image" Target="../media/image27.JPG"/><Relationship Id="rId27" Type="http://schemas.openxmlformats.org/officeDocument/2006/relationships/image" Target="../media/image32.JPG"/><Relationship Id="rId30" Type="http://schemas.openxmlformats.org/officeDocument/2006/relationships/chart" Target="../charts/chart8.xml"/><Relationship Id="rId8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G"/><Relationship Id="rId3" Type="http://schemas.openxmlformats.org/officeDocument/2006/relationships/chart" Target="../charts/chart10.xml"/><Relationship Id="rId7" Type="http://schemas.openxmlformats.org/officeDocument/2006/relationships/image" Target="../media/image39.JPG"/><Relationship Id="rId2" Type="http://schemas.openxmlformats.org/officeDocument/2006/relationships/image" Target="../media/image38.jpeg"/><Relationship Id="rId1" Type="http://schemas.openxmlformats.org/officeDocument/2006/relationships/image" Target="../media/image37.jpeg"/><Relationship Id="rId6" Type="http://schemas.openxmlformats.org/officeDocument/2006/relationships/image" Target="../media/image23.jpeg"/><Relationship Id="rId5" Type="http://schemas.openxmlformats.org/officeDocument/2006/relationships/chart" Target="../charts/chart12.xml"/><Relationship Id="rId10" Type="http://schemas.openxmlformats.org/officeDocument/2006/relationships/image" Target="../media/image42.JPG"/><Relationship Id="rId4" Type="http://schemas.openxmlformats.org/officeDocument/2006/relationships/chart" Target="../charts/chart11.xml"/><Relationship Id="rId9" Type="http://schemas.openxmlformats.org/officeDocument/2006/relationships/image" Target="../media/image41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G"/><Relationship Id="rId2" Type="http://schemas.openxmlformats.org/officeDocument/2006/relationships/image" Target="../media/image44.jpeg"/><Relationship Id="rId1" Type="http://schemas.openxmlformats.org/officeDocument/2006/relationships/image" Target="../media/image43.JPG"/><Relationship Id="rId5" Type="http://schemas.openxmlformats.org/officeDocument/2006/relationships/image" Target="../media/image47.JPG"/><Relationship Id="rId4" Type="http://schemas.openxmlformats.org/officeDocument/2006/relationships/image" Target="../media/image4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G"/><Relationship Id="rId7" Type="http://schemas.openxmlformats.org/officeDocument/2006/relationships/chart" Target="../charts/chart16.xml"/><Relationship Id="rId2" Type="http://schemas.openxmlformats.org/officeDocument/2006/relationships/image" Target="../media/image49.JPG"/><Relationship Id="rId1" Type="http://schemas.openxmlformats.org/officeDocument/2006/relationships/image" Target="../media/image48.JPG"/><Relationship Id="rId6" Type="http://schemas.openxmlformats.org/officeDocument/2006/relationships/image" Target="../media/image52.JPG"/><Relationship Id="rId5" Type="http://schemas.openxmlformats.org/officeDocument/2006/relationships/chart" Target="../charts/chart15.xml"/><Relationship Id="rId4" Type="http://schemas.openxmlformats.org/officeDocument/2006/relationships/image" Target="../media/image51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JPG"/><Relationship Id="rId2" Type="http://schemas.openxmlformats.org/officeDocument/2006/relationships/image" Target="../media/image54.JPG"/><Relationship Id="rId1" Type="http://schemas.openxmlformats.org/officeDocument/2006/relationships/image" Target="../media/image53.JP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G"/><Relationship Id="rId13" Type="http://schemas.openxmlformats.org/officeDocument/2006/relationships/image" Target="../media/image51.JPG"/><Relationship Id="rId18" Type="http://schemas.openxmlformats.org/officeDocument/2006/relationships/image" Target="../media/image68.JPG"/><Relationship Id="rId3" Type="http://schemas.openxmlformats.org/officeDocument/2006/relationships/image" Target="../media/image57.JPG"/><Relationship Id="rId7" Type="http://schemas.openxmlformats.org/officeDocument/2006/relationships/image" Target="../media/image61.JPG"/><Relationship Id="rId12" Type="http://schemas.openxmlformats.org/officeDocument/2006/relationships/image" Target="../media/image64.JPG"/><Relationship Id="rId17" Type="http://schemas.openxmlformats.org/officeDocument/2006/relationships/image" Target="../media/image52.JPG"/><Relationship Id="rId2" Type="http://schemas.openxmlformats.org/officeDocument/2006/relationships/image" Target="../media/image56.JPG"/><Relationship Id="rId16" Type="http://schemas.openxmlformats.org/officeDocument/2006/relationships/image" Target="../media/image67.jpeg"/><Relationship Id="rId1" Type="http://schemas.openxmlformats.org/officeDocument/2006/relationships/image" Target="../media/image53.JPG"/><Relationship Id="rId6" Type="http://schemas.openxmlformats.org/officeDocument/2006/relationships/image" Target="../media/image60.JPG"/><Relationship Id="rId11" Type="http://schemas.openxmlformats.org/officeDocument/2006/relationships/image" Target="../media/image55.JPG"/><Relationship Id="rId5" Type="http://schemas.openxmlformats.org/officeDocument/2006/relationships/image" Target="../media/image59.JPG"/><Relationship Id="rId15" Type="http://schemas.openxmlformats.org/officeDocument/2006/relationships/image" Target="../media/image66.JPG"/><Relationship Id="rId10" Type="http://schemas.openxmlformats.org/officeDocument/2006/relationships/image" Target="../media/image63.JPG"/><Relationship Id="rId19" Type="http://schemas.openxmlformats.org/officeDocument/2006/relationships/image" Target="../media/image69.JPG"/><Relationship Id="rId4" Type="http://schemas.openxmlformats.org/officeDocument/2006/relationships/image" Target="../media/image58.JPG"/><Relationship Id="rId9" Type="http://schemas.openxmlformats.org/officeDocument/2006/relationships/image" Target="../media/image54.JPG"/><Relationship Id="rId14" Type="http://schemas.openxmlformats.org/officeDocument/2006/relationships/image" Target="../media/image65.JP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jpeg"/><Relationship Id="rId1" Type="http://schemas.openxmlformats.org/officeDocument/2006/relationships/image" Target="../media/image70.JP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jpeg"/><Relationship Id="rId2" Type="http://schemas.openxmlformats.org/officeDocument/2006/relationships/image" Target="../media/image70.JPG"/><Relationship Id="rId1" Type="http://schemas.openxmlformats.org/officeDocument/2006/relationships/image" Target="../media/image75.jpeg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jpeg"/><Relationship Id="rId2" Type="http://schemas.openxmlformats.org/officeDocument/2006/relationships/image" Target="../media/image70.JPG"/><Relationship Id="rId1" Type="http://schemas.openxmlformats.org/officeDocument/2006/relationships/image" Target="../media/image75.jpeg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jpeg"/><Relationship Id="rId2" Type="http://schemas.openxmlformats.org/officeDocument/2006/relationships/image" Target="../media/image70.JPG"/><Relationship Id="rId1" Type="http://schemas.openxmlformats.org/officeDocument/2006/relationships/image" Target="../media/image75.jpeg"/><Relationship Id="rId4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jpeg"/><Relationship Id="rId2" Type="http://schemas.openxmlformats.org/officeDocument/2006/relationships/image" Target="../media/image70.JPG"/><Relationship Id="rId1" Type="http://schemas.openxmlformats.org/officeDocument/2006/relationships/image" Target="../media/image75.jpeg"/><Relationship Id="rId4" Type="http://schemas.openxmlformats.org/officeDocument/2006/relationships/chart" Target="../charts/chart4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jpeg"/><Relationship Id="rId2" Type="http://schemas.openxmlformats.org/officeDocument/2006/relationships/image" Target="../media/image70.JPG"/><Relationship Id="rId1" Type="http://schemas.openxmlformats.org/officeDocument/2006/relationships/image" Target="../media/image75.jpeg"/><Relationship Id="rId4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png"/><Relationship Id="rId18" Type="http://schemas.openxmlformats.org/officeDocument/2006/relationships/image" Target="../media/image92.png"/><Relationship Id="rId26" Type="http://schemas.openxmlformats.org/officeDocument/2006/relationships/image" Target="../media/image100.png"/><Relationship Id="rId39" Type="http://schemas.openxmlformats.org/officeDocument/2006/relationships/chart" Target="../charts/chart58.xml"/><Relationship Id="rId21" Type="http://schemas.openxmlformats.org/officeDocument/2006/relationships/image" Target="../media/image95.png"/><Relationship Id="rId34" Type="http://schemas.openxmlformats.org/officeDocument/2006/relationships/chart" Target="../charts/chart53.xml"/><Relationship Id="rId42" Type="http://schemas.openxmlformats.org/officeDocument/2006/relationships/chart" Target="../charts/chart61.xml"/><Relationship Id="rId47" Type="http://schemas.openxmlformats.org/officeDocument/2006/relationships/chart" Target="../charts/chart66.xml"/><Relationship Id="rId50" Type="http://schemas.openxmlformats.org/officeDocument/2006/relationships/chart" Target="../charts/chart69.xml"/><Relationship Id="rId55" Type="http://schemas.openxmlformats.org/officeDocument/2006/relationships/chart" Target="../charts/chart74.xml"/><Relationship Id="rId7" Type="http://schemas.openxmlformats.org/officeDocument/2006/relationships/image" Target="../media/image82.png"/><Relationship Id="rId2" Type="http://schemas.openxmlformats.org/officeDocument/2006/relationships/image" Target="../media/image78.png"/><Relationship Id="rId16" Type="http://schemas.openxmlformats.org/officeDocument/2006/relationships/chart" Target="../charts/chart48.xml"/><Relationship Id="rId29" Type="http://schemas.openxmlformats.org/officeDocument/2006/relationships/image" Target="../media/image103.png"/><Relationship Id="rId11" Type="http://schemas.openxmlformats.org/officeDocument/2006/relationships/image" Target="../media/image86.png"/><Relationship Id="rId24" Type="http://schemas.openxmlformats.org/officeDocument/2006/relationships/image" Target="../media/image98.png"/><Relationship Id="rId32" Type="http://schemas.openxmlformats.org/officeDocument/2006/relationships/chart" Target="../charts/chart51.xml"/><Relationship Id="rId37" Type="http://schemas.openxmlformats.org/officeDocument/2006/relationships/chart" Target="../charts/chart56.xml"/><Relationship Id="rId40" Type="http://schemas.openxmlformats.org/officeDocument/2006/relationships/chart" Target="../charts/chart59.xml"/><Relationship Id="rId45" Type="http://schemas.openxmlformats.org/officeDocument/2006/relationships/chart" Target="../charts/chart64.xml"/><Relationship Id="rId53" Type="http://schemas.openxmlformats.org/officeDocument/2006/relationships/chart" Target="../charts/chart72.xml"/><Relationship Id="rId58" Type="http://schemas.openxmlformats.org/officeDocument/2006/relationships/chart" Target="../charts/chart77.xml"/><Relationship Id="rId5" Type="http://schemas.openxmlformats.org/officeDocument/2006/relationships/chart" Target="../charts/chart47.xml"/><Relationship Id="rId19" Type="http://schemas.openxmlformats.org/officeDocument/2006/relationships/image" Target="../media/image93.png"/><Relationship Id="rId4" Type="http://schemas.openxmlformats.org/officeDocument/2006/relationships/image" Target="../media/image80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chart" Target="../charts/chart49.xml"/><Relationship Id="rId35" Type="http://schemas.openxmlformats.org/officeDocument/2006/relationships/chart" Target="../charts/chart54.xml"/><Relationship Id="rId43" Type="http://schemas.openxmlformats.org/officeDocument/2006/relationships/chart" Target="../charts/chart62.xml"/><Relationship Id="rId48" Type="http://schemas.openxmlformats.org/officeDocument/2006/relationships/chart" Target="../charts/chart67.xml"/><Relationship Id="rId56" Type="http://schemas.openxmlformats.org/officeDocument/2006/relationships/chart" Target="../charts/chart75.xml"/><Relationship Id="rId8" Type="http://schemas.openxmlformats.org/officeDocument/2006/relationships/image" Target="../media/image83.png"/><Relationship Id="rId51" Type="http://schemas.openxmlformats.org/officeDocument/2006/relationships/chart" Target="../charts/chart70.xml"/><Relationship Id="rId3" Type="http://schemas.openxmlformats.org/officeDocument/2006/relationships/image" Target="../media/image79.png"/><Relationship Id="rId12" Type="http://schemas.openxmlformats.org/officeDocument/2006/relationships/image" Target="../media/image87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chart" Target="../charts/chart52.xml"/><Relationship Id="rId38" Type="http://schemas.openxmlformats.org/officeDocument/2006/relationships/chart" Target="../charts/chart57.xml"/><Relationship Id="rId46" Type="http://schemas.openxmlformats.org/officeDocument/2006/relationships/chart" Target="../charts/chart65.xml"/><Relationship Id="rId59" Type="http://schemas.openxmlformats.org/officeDocument/2006/relationships/chart" Target="../charts/chart78.xml"/><Relationship Id="rId20" Type="http://schemas.openxmlformats.org/officeDocument/2006/relationships/image" Target="../media/image94.png"/><Relationship Id="rId41" Type="http://schemas.openxmlformats.org/officeDocument/2006/relationships/chart" Target="../charts/chart60.xml"/><Relationship Id="rId54" Type="http://schemas.openxmlformats.org/officeDocument/2006/relationships/chart" Target="../charts/chart73.xml"/><Relationship Id="rId1" Type="http://schemas.openxmlformats.org/officeDocument/2006/relationships/chart" Target="../charts/chart46.xml"/><Relationship Id="rId6" Type="http://schemas.openxmlformats.org/officeDocument/2006/relationships/image" Target="../media/image81.png"/><Relationship Id="rId15" Type="http://schemas.openxmlformats.org/officeDocument/2006/relationships/image" Target="../media/image90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chart" Target="../charts/chart55.xml"/><Relationship Id="rId49" Type="http://schemas.openxmlformats.org/officeDocument/2006/relationships/chart" Target="../charts/chart68.xml"/><Relationship Id="rId57" Type="http://schemas.openxmlformats.org/officeDocument/2006/relationships/chart" Target="../charts/chart76.xml"/><Relationship Id="rId10" Type="http://schemas.openxmlformats.org/officeDocument/2006/relationships/image" Target="../media/image85.png"/><Relationship Id="rId31" Type="http://schemas.openxmlformats.org/officeDocument/2006/relationships/chart" Target="../charts/chart50.xml"/><Relationship Id="rId44" Type="http://schemas.openxmlformats.org/officeDocument/2006/relationships/chart" Target="../charts/chart63.xml"/><Relationship Id="rId52" Type="http://schemas.openxmlformats.org/officeDocument/2006/relationships/chart" Target="../charts/chart71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18" Type="http://schemas.openxmlformats.org/officeDocument/2006/relationships/chart" Target="../charts/chart96.xml"/><Relationship Id="rId26" Type="http://schemas.openxmlformats.org/officeDocument/2006/relationships/chart" Target="../charts/chart104.xml"/><Relationship Id="rId3" Type="http://schemas.openxmlformats.org/officeDocument/2006/relationships/chart" Target="../charts/chart81.xml"/><Relationship Id="rId21" Type="http://schemas.openxmlformats.org/officeDocument/2006/relationships/chart" Target="../charts/chart99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17" Type="http://schemas.openxmlformats.org/officeDocument/2006/relationships/chart" Target="../charts/chart95.xml"/><Relationship Id="rId25" Type="http://schemas.openxmlformats.org/officeDocument/2006/relationships/chart" Target="../charts/chart103.xml"/><Relationship Id="rId2" Type="http://schemas.openxmlformats.org/officeDocument/2006/relationships/chart" Target="../charts/chart80.xml"/><Relationship Id="rId16" Type="http://schemas.openxmlformats.org/officeDocument/2006/relationships/chart" Target="../charts/chart94.xml"/><Relationship Id="rId20" Type="http://schemas.openxmlformats.org/officeDocument/2006/relationships/chart" Target="../charts/chart98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24" Type="http://schemas.openxmlformats.org/officeDocument/2006/relationships/chart" Target="../charts/chart102.xml"/><Relationship Id="rId5" Type="http://schemas.openxmlformats.org/officeDocument/2006/relationships/chart" Target="../charts/chart83.xml"/><Relationship Id="rId15" Type="http://schemas.openxmlformats.org/officeDocument/2006/relationships/chart" Target="../charts/chart93.xml"/><Relationship Id="rId23" Type="http://schemas.openxmlformats.org/officeDocument/2006/relationships/chart" Target="../charts/chart101.xml"/><Relationship Id="rId10" Type="http://schemas.openxmlformats.org/officeDocument/2006/relationships/chart" Target="../charts/chart88.xml"/><Relationship Id="rId19" Type="http://schemas.openxmlformats.org/officeDocument/2006/relationships/chart" Target="../charts/chart97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Relationship Id="rId14" Type="http://schemas.openxmlformats.org/officeDocument/2006/relationships/chart" Target="../charts/chart92.xml"/><Relationship Id="rId22" Type="http://schemas.openxmlformats.org/officeDocument/2006/relationships/chart" Target="../charts/chart100.xml"/><Relationship Id="rId27" Type="http://schemas.openxmlformats.org/officeDocument/2006/relationships/chart" Target="../charts/chart105.xml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14.xml"/><Relationship Id="rId18" Type="http://schemas.openxmlformats.org/officeDocument/2006/relationships/chart" Target="../charts/chart119.xml"/><Relationship Id="rId26" Type="http://schemas.openxmlformats.org/officeDocument/2006/relationships/chart" Target="../charts/chart127.xml"/><Relationship Id="rId3" Type="http://schemas.openxmlformats.org/officeDocument/2006/relationships/image" Target="../media/image106.png"/><Relationship Id="rId21" Type="http://schemas.openxmlformats.org/officeDocument/2006/relationships/chart" Target="../charts/chart122.xml"/><Relationship Id="rId34" Type="http://schemas.openxmlformats.org/officeDocument/2006/relationships/chart" Target="../charts/chart135.xml"/><Relationship Id="rId7" Type="http://schemas.openxmlformats.org/officeDocument/2006/relationships/chart" Target="../charts/chart108.xml"/><Relationship Id="rId12" Type="http://schemas.openxmlformats.org/officeDocument/2006/relationships/chart" Target="../charts/chart113.xml"/><Relationship Id="rId17" Type="http://schemas.openxmlformats.org/officeDocument/2006/relationships/chart" Target="../charts/chart118.xml"/><Relationship Id="rId25" Type="http://schemas.openxmlformats.org/officeDocument/2006/relationships/chart" Target="../charts/chart126.xml"/><Relationship Id="rId33" Type="http://schemas.openxmlformats.org/officeDocument/2006/relationships/chart" Target="../charts/chart134.xml"/><Relationship Id="rId2" Type="http://schemas.openxmlformats.org/officeDocument/2006/relationships/image" Target="../media/image105.png"/><Relationship Id="rId16" Type="http://schemas.openxmlformats.org/officeDocument/2006/relationships/chart" Target="../charts/chart117.xml"/><Relationship Id="rId20" Type="http://schemas.openxmlformats.org/officeDocument/2006/relationships/chart" Target="../charts/chart121.xml"/><Relationship Id="rId29" Type="http://schemas.openxmlformats.org/officeDocument/2006/relationships/chart" Target="../charts/chart130.xml"/><Relationship Id="rId1" Type="http://schemas.openxmlformats.org/officeDocument/2006/relationships/image" Target="../media/image104.png"/><Relationship Id="rId6" Type="http://schemas.openxmlformats.org/officeDocument/2006/relationships/chart" Target="../charts/chart107.xml"/><Relationship Id="rId11" Type="http://schemas.openxmlformats.org/officeDocument/2006/relationships/chart" Target="../charts/chart112.xml"/><Relationship Id="rId24" Type="http://schemas.openxmlformats.org/officeDocument/2006/relationships/chart" Target="../charts/chart125.xml"/><Relationship Id="rId32" Type="http://schemas.openxmlformats.org/officeDocument/2006/relationships/chart" Target="../charts/chart133.xml"/><Relationship Id="rId5" Type="http://schemas.openxmlformats.org/officeDocument/2006/relationships/chart" Target="../charts/chart106.xml"/><Relationship Id="rId15" Type="http://schemas.openxmlformats.org/officeDocument/2006/relationships/chart" Target="../charts/chart116.xml"/><Relationship Id="rId23" Type="http://schemas.openxmlformats.org/officeDocument/2006/relationships/chart" Target="../charts/chart124.xml"/><Relationship Id="rId28" Type="http://schemas.openxmlformats.org/officeDocument/2006/relationships/chart" Target="../charts/chart129.xml"/><Relationship Id="rId10" Type="http://schemas.openxmlformats.org/officeDocument/2006/relationships/chart" Target="../charts/chart111.xml"/><Relationship Id="rId19" Type="http://schemas.openxmlformats.org/officeDocument/2006/relationships/chart" Target="../charts/chart120.xml"/><Relationship Id="rId31" Type="http://schemas.openxmlformats.org/officeDocument/2006/relationships/chart" Target="../charts/chart132.xml"/><Relationship Id="rId4" Type="http://schemas.openxmlformats.org/officeDocument/2006/relationships/image" Target="../media/image107.png"/><Relationship Id="rId9" Type="http://schemas.openxmlformats.org/officeDocument/2006/relationships/chart" Target="../charts/chart110.xml"/><Relationship Id="rId14" Type="http://schemas.openxmlformats.org/officeDocument/2006/relationships/chart" Target="../charts/chart115.xml"/><Relationship Id="rId22" Type="http://schemas.openxmlformats.org/officeDocument/2006/relationships/chart" Target="../charts/chart123.xml"/><Relationship Id="rId27" Type="http://schemas.openxmlformats.org/officeDocument/2006/relationships/chart" Target="../charts/chart128.xml"/><Relationship Id="rId30" Type="http://schemas.openxmlformats.org/officeDocument/2006/relationships/chart" Target="../charts/chart131.xml"/><Relationship Id="rId35" Type="http://schemas.openxmlformats.org/officeDocument/2006/relationships/chart" Target="../charts/chart136.xml"/><Relationship Id="rId8" Type="http://schemas.openxmlformats.org/officeDocument/2006/relationships/chart" Target="../charts/chart109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13" Type="http://schemas.openxmlformats.org/officeDocument/2006/relationships/chart" Target="../charts/chart149.xml"/><Relationship Id="rId18" Type="http://schemas.openxmlformats.org/officeDocument/2006/relationships/chart" Target="../charts/chart154.xml"/><Relationship Id="rId26" Type="http://schemas.openxmlformats.org/officeDocument/2006/relationships/chart" Target="../charts/chart162.xml"/><Relationship Id="rId3" Type="http://schemas.openxmlformats.org/officeDocument/2006/relationships/chart" Target="../charts/chart139.xml"/><Relationship Id="rId21" Type="http://schemas.openxmlformats.org/officeDocument/2006/relationships/chart" Target="../charts/chart157.xml"/><Relationship Id="rId7" Type="http://schemas.openxmlformats.org/officeDocument/2006/relationships/chart" Target="../charts/chart143.xml"/><Relationship Id="rId12" Type="http://schemas.openxmlformats.org/officeDocument/2006/relationships/chart" Target="../charts/chart148.xml"/><Relationship Id="rId17" Type="http://schemas.openxmlformats.org/officeDocument/2006/relationships/chart" Target="../charts/chart153.xml"/><Relationship Id="rId25" Type="http://schemas.openxmlformats.org/officeDocument/2006/relationships/chart" Target="../charts/chart161.xml"/><Relationship Id="rId2" Type="http://schemas.openxmlformats.org/officeDocument/2006/relationships/chart" Target="../charts/chart138.xml"/><Relationship Id="rId16" Type="http://schemas.openxmlformats.org/officeDocument/2006/relationships/chart" Target="../charts/chart152.xml"/><Relationship Id="rId20" Type="http://schemas.openxmlformats.org/officeDocument/2006/relationships/chart" Target="../charts/chart156.xml"/><Relationship Id="rId29" Type="http://schemas.openxmlformats.org/officeDocument/2006/relationships/chart" Target="../charts/chart165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11" Type="http://schemas.openxmlformats.org/officeDocument/2006/relationships/chart" Target="../charts/chart147.xml"/><Relationship Id="rId24" Type="http://schemas.openxmlformats.org/officeDocument/2006/relationships/chart" Target="../charts/chart160.xml"/><Relationship Id="rId5" Type="http://schemas.openxmlformats.org/officeDocument/2006/relationships/chart" Target="../charts/chart141.xml"/><Relationship Id="rId15" Type="http://schemas.openxmlformats.org/officeDocument/2006/relationships/chart" Target="../charts/chart151.xml"/><Relationship Id="rId23" Type="http://schemas.openxmlformats.org/officeDocument/2006/relationships/chart" Target="../charts/chart159.xml"/><Relationship Id="rId28" Type="http://schemas.openxmlformats.org/officeDocument/2006/relationships/chart" Target="../charts/chart164.xml"/><Relationship Id="rId10" Type="http://schemas.openxmlformats.org/officeDocument/2006/relationships/chart" Target="../charts/chart146.xml"/><Relationship Id="rId19" Type="http://schemas.openxmlformats.org/officeDocument/2006/relationships/chart" Target="../charts/chart155.xml"/><Relationship Id="rId31" Type="http://schemas.openxmlformats.org/officeDocument/2006/relationships/chart" Target="../charts/chart167.xml"/><Relationship Id="rId4" Type="http://schemas.openxmlformats.org/officeDocument/2006/relationships/chart" Target="../charts/chart140.xml"/><Relationship Id="rId9" Type="http://schemas.openxmlformats.org/officeDocument/2006/relationships/chart" Target="../charts/chart145.xml"/><Relationship Id="rId14" Type="http://schemas.openxmlformats.org/officeDocument/2006/relationships/chart" Target="../charts/chart150.xml"/><Relationship Id="rId22" Type="http://schemas.openxmlformats.org/officeDocument/2006/relationships/chart" Target="../charts/chart158.xml"/><Relationship Id="rId27" Type="http://schemas.openxmlformats.org/officeDocument/2006/relationships/chart" Target="../charts/chart163.xml"/><Relationship Id="rId30" Type="http://schemas.openxmlformats.org/officeDocument/2006/relationships/chart" Target="../charts/chart16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28575</xdr:rowOff>
    </xdr:from>
    <xdr:to>
      <xdr:col>10</xdr:col>
      <xdr:colOff>104775</xdr:colOff>
      <xdr:row>13</xdr:row>
      <xdr:rowOff>133428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2158E8-840F-4784-98AA-C27A5333D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0075"/>
          <a:ext cx="5438775" cy="2390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10</xdr:col>
      <xdr:colOff>209637</xdr:colOff>
      <xdr:row>18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FB777E-46EB-4A8E-9A5D-22D4F5FC5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5696037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</xdr:row>
      <xdr:rowOff>1</xdr:rowOff>
    </xdr:from>
    <xdr:to>
      <xdr:col>10</xdr:col>
      <xdr:colOff>219075</xdr:colOff>
      <xdr:row>37</xdr:row>
      <xdr:rowOff>105175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EEBF18-76E1-4BB5-A3A6-2F5B074CB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381501"/>
          <a:ext cx="5705474" cy="3343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581025</xdr:colOff>
      <xdr:row>17</xdr:row>
      <xdr:rowOff>142875</xdr:rowOff>
    </xdr:from>
    <xdr:to>
      <xdr:col>19</xdr:col>
      <xdr:colOff>66675</xdr:colOff>
      <xdr:row>20</xdr:row>
      <xdr:rowOff>27277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5E8CF3-90BD-4AC9-B104-26921B96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1275" y="3381375"/>
          <a:ext cx="7772400" cy="455902"/>
        </a:xfrm>
        <a:prstGeom prst="rect">
          <a:avLst/>
        </a:prstGeom>
      </xdr:spPr>
    </xdr:pic>
    <xdr:clientData/>
  </xdr:twoCellAnchor>
  <xdr:twoCellAnchor editAs="oneCell">
    <xdr:from>
      <xdr:col>8</xdr:col>
      <xdr:colOff>511950</xdr:colOff>
      <xdr:row>21</xdr:row>
      <xdr:rowOff>140475</xdr:rowOff>
    </xdr:from>
    <xdr:to>
      <xdr:col>18</xdr:col>
      <xdr:colOff>607200</xdr:colOff>
      <xdr:row>24</xdr:row>
      <xdr:rowOff>31792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FF2F46-E32D-49EF-A5F7-5E6D079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2200" y="4140975"/>
          <a:ext cx="7772400" cy="462817"/>
        </a:xfrm>
        <a:prstGeom prst="rect">
          <a:avLst/>
        </a:prstGeom>
      </xdr:spPr>
    </xdr:pic>
    <xdr:clientData/>
  </xdr:twoCellAnchor>
  <xdr:twoCellAnchor editAs="oneCell">
    <xdr:from>
      <xdr:col>8</xdr:col>
      <xdr:colOff>566700</xdr:colOff>
      <xdr:row>25</xdr:row>
      <xdr:rowOff>90450</xdr:rowOff>
    </xdr:from>
    <xdr:to>
      <xdr:col>19</xdr:col>
      <xdr:colOff>52350</xdr:colOff>
      <xdr:row>27</xdr:row>
      <xdr:rowOff>184714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A32D55-0B80-4C81-B18E-FFC33FAA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6950" y="4852950"/>
          <a:ext cx="7772400" cy="475264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28</xdr:row>
      <xdr:rowOff>123825</xdr:rowOff>
    </xdr:from>
    <xdr:to>
      <xdr:col>19</xdr:col>
      <xdr:colOff>85725</xdr:colOff>
      <xdr:row>31</xdr:row>
      <xdr:rowOff>116391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0522DB-E2FE-4562-B538-C900872C8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0325" y="5457825"/>
          <a:ext cx="7772400" cy="564066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56</xdr:row>
      <xdr:rowOff>85725</xdr:rowOff>
    </xdr:from>
    <xdr:to>
      <xdr:col>11</xdr:col>
      <xdr:colOff>28575</xdr:colOff>
      <xdr:row>58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5156DA-5486-4660-A064-0E8318CDA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10753725"/>
          <a:ext cx="7210425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140475</xdr:colOff>
      <xdr:row>60</xdr:row>
      <xdr:rowOff>26175</xdr:rowOff>
    </xdr:from>
    <xdr:to>
      <xdr:col>11</xdr:col>
      <xdr:colOff>26175</xdr:colOff>
      <xdr:row>62</xdr:row>
      <xdr:rowOff>45225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6C492-C556-42FA-93C2-126009B4F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6325" y="11456175"/>
          <a:ext cx="7191375" cy="400050"/>
        </a:xfrm>
        <a:prstGeom prst="rect">
          <a:avLst/>
        </a:prstGeom>
      </xdr:spPr>
    </xdr:pic>
    <xdr:clientData/>
  </xdr:twoCellAnchor>
  <xdr:twoCellAnchor editAs="oneCell">
    <xdr:from>
      <xdr:col>4</xdr:col>
      <xdr:colOff>90450</xdr:colOff>
      <xdr:row>63</xdr:row>
      <xdr:rowOff>147600</xdr:rowOff>
    </xdr:from>
    <xdr:to>
      <xdr:col>10</xdr:col>
      <xdr:colOff>1128675</xdr:colOff>
      <xdr:row>65</xdr:row>
      <xdr:rowOff>147600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FA5195-F467-4318-A281-44B6FF1C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6300" y="12149100"/>
          <a:ext cx="7191375" cy="38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271463</xdr:colOff>
      <xdr:row>5</xdr:row>
      <xdr:rowOff>6350</xdr:rowOff>
    </xdr:from>
    <xdr:to>
      <xdr:col>11</xdr:col>
      <xdr:colOff>562168</xdr:colOff>
      <xdr:row>7</xdr:row>
      <xdr:rowOff>66181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FC5F05-93BF-45B8-A5F2-32A400B98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463" y="958850"/>
          <a:ext cx="5269105" cy="44083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10</xdr:row>
      <xdr:rowOff>47625</xdr:rowOff>
    </xdr:from>
    <xdr:to>
      <xdr:col>9</xdr:col>
      <xdr:colOff>552451</xdr:colOff>
      <xdr:row>16</xdr:row>
      <xdr:rowOff>91654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2EF1C5-853E-4181-98B7-AE5ADC2D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3420" y="1952625"/>
          <a:ext cx="2567422" cy="1187029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</xdr:colOff>
      <xdr:row>20</xdr:row>
      <xdr:rowOff>19050</xdr:rowOff>
    </xdr:from>
    <xdr:to>
      <xdr:col>11</xdr:col>
      <xdr:colOff>661643</xdr:colOff>
      <xdr:row>23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78A91A-A395-4519-B00A-46DD7307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4" y="3829050"/>
          <a:ext cx="4004919" cy="581025"/>
        </a:xfrm>
        <a:prstGeom prst="rect">
          <a:avLst/>
        </a:prstGeom>
      </xdr:spPr>
    </xdr:pic>
    <xdr:clientData/>
  </xdr:twoCellAnchor>
  <xdr:twoCellAnchor editAs="oneCell">
    <xdr:from>
      <xdr:col>9</xdr:col>
      <xdr:colOff>752476</xdr:colOff>
      <xdr:row>10</xdr:row>
      <xdr:rowOff>56258</xdr:rowOff>
    </xdr:from>
    <xdr:to>
      <xdr:col>12</xdr:col>
      <xdr:colOff>95250</xdr:colOff>
      <xdr:row>19</xdr:row>
      <xdr:rowOff>9526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ED4B296-B353-40B6-B3F2-84897B39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1" y="1961258"/>
          <a:ext cx="1457324" cy="1667768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23</xdr:row>
      <xdr:rowOff>133351</xdr:rowOff>
    </xdr:from>
    <xdr:to>
      <xdr:col>12</xdr:col>
      <xdr:colOff>109521</xdr:colOff>
      <xdr:row>31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D75054-8634-4F96-9D6A-EEC3FBA75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5375" y="4514851"/>
          <a:ext cx="4186222" cy="1495424"/>
        </a:xfrm>
        <a:prstGeom prst="rect">
          <a:avLst/>
        </a:prstGeom>
      </xdr:spPr>
    </xdr:pic>
    <xdr:clientData/>
  </xdr:twoCellAnchor>
  <xdr:twoCellAnchor>
    <xdr:from>
      <xdr:col>20</xdr:col>
      <xdr:colOff>477116</xdr:colOff>
      <xdr:row>3</xdr:row>
      <xdr:rowOff>92989</xdr:rowOff>
    </xdr:from>
    <xdr:to>
      <xdr:col>28</xdr:col>
      <xdr:colOff>594590</xdr:colOff>
      <xdr:row>25</xdr:row>
      <xdr:rowOff>99340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C2BD2AC-921A-40C6-9EC6-80AB7F6C7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352424</xdr:colOff>
      <xdr:row>10</xdr:row>
      <xdr:rowOff>52387</xdr:rowOff>
    </xdr:from>
    <xdr:to>
      <xdr:col>20</xdr:col>
      <xdr:colOff>38099</xdr:colOff>
      <xdr:row>32</xdr:row>
      <xdr:rowOff>66675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C9F7718-7E17-4265-8218-3E0D6347E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8</xdr:col>
      <xdr:colOff>208779</xdr:colOff>
      <xdr:row>42</xdr:row>
      <xdr:rowOff>83704</xdr:rowOff>
    </xdr:from>
    <xdr:to>
      <xdr:col>14</xdr:col>
      <xdr:colOff>224365</xdr:colOff>
      <xdr:row>43</xdr:row>
      <xdr:rowOff>148398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B3815A-9379-4504-A149-89FFEDDC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612" y="8084704"/>
          <a:ext cx="4236220" cy="255194"/>
        </a:xfrm>
        <a:prstGeom prst="rect">
          <a:avLst/>
        </a:prstGeom>
      </xdr:spPr>
    </xdr:pic>
    <xdr:clientData/>
  </xdr:twoCellAnchor>
  <xdr:twoCellAnchor editAs="oneCell">
    <xdr:from>
      <xdr:col>8</xdr:col>
      <xdr:colOff>254870</xdr:colOff>
      <xdr:row>44</xdr:row>
      <xdr:rowOff>69181</xdr:rowOff>
    </xdr:from>
    <xdr:to>
      <xdr:col>14</xdr:col>
      <xdr:colOff>181071</xdr:colOff>
      <xdr:row>46</xdr:row>
      <xdr:rowOff>30416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7CF5AB-8576-40D1-A549-2FACA766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4703" y="8451181"/>
          <a:ext cx="4146835" cy="342235"/>
        </a:xfrm>
        <a:prstGeom prst="rect">
          <a:avLst/>
        </a:prstGeom>
      </xdr:spPr>
    </xdr:pic>
    <xdr:clientData/>
  </xdr:twoCellAnchor>
  <xdr:twoCellAnchor editAs="oneCell">
    <xdr:from>
      <xdr:col>8</xdr:col>
      <xdr:colOff>223030</xdr:colOff>
      <xdr:row>46</xdr:row>
      <xdr:rowOff>46001</xdr:rowOff>
    </xdr:from>
    <xdr:to>
      <xdr:col>14</xdr:col>
      <xdr:colOff>241685</xdr:colOff>
      <xdr:row>47</xdr:row>
      <xdr:rowOff>138937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9B84A0-B8CE-4691-A349-0B738D331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2863" y="8809001"/>
          <a:ext cx="4239289" cy="283436"/>
        </a:xfrm>
        <a:prstGeom prst="rect">
          <a:avLst/>
        </a:prstGeom>
      </xdr:spPr>
    </xdr:pic>
    <xdr:clientData/>
  </xdr:twoCellAnchor>
  <xdr:twoCellAnchor editAs="oneCell">
    <xdr:from>
      <xdr:col>8</xdr:col>
      <xdr:colOff>243143</xdr:colOff>
      <xdr:row>47</xdr:row>
      <xdr:rowOff>178681</xdr:rowOff>
    </xdr:from>
    <xdr:to>
      <xdr:col>14</xdr:col>
      <xdr:colOff>276321</xdr:colOff>
      <xdr:row>49</xdr:row>
      <xdr:rowOff>115641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98382E-B1BD-4005-AA49-6D8AB7A4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2976" y="9132181"/>
          <a:ext cx="4253812" cy="317960"/>
        </a:xfrm>
        <a:prstGeom prst="rect">
          <a:avLst/>
        </a:prstGeom>
      </xdr:spPr>
    </xdr:pic>
    <xdr:clientData/>
  </xdr:twoCellAnchor>
  <xdr:twoCellAnchor editAs="oneCell">
    <xdr:from>
      <xdr:col>8</xdr:col>
      <xdr:colOff>165992</xdr:colOff>
      <xdr:row>34</xdr:row>
      <xdr:rowOff>110189</xdr:rowOff>
    </xdr:from>
    <xdr:to>
      <xdr:col>12</xdr:col>
      <xdr:colOff>270590</xdr:colOff>
      <xdr:row>41</xdr:row>
      <xdr:rowOff>122189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D1529E-3259-47AA-8994-28B74547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825" y="6587189"/>
          <a:ext cx="3097565" cy="1345500"/>
        </a:xfrm>
        <a:prstGeom prst="rect">
          <a:avLst/>
        </a:prstGeom>
      </xdr:spPr>
    </xdr:pic>
    <xdr:clientData/>
  </xdr:twoCellAnchor>
  <xdr:twoCellAnchor>
    <xdr:from>
      <xdr:col>15</xdr:col>
      <xdr:colOff>29634</xdr:colOff>
      <xdr:row>33</xdr:row>
      <xdr:rowOff>16934</xdr:rowOff>
    </xdr:from>
    <xdr:to>
      <xdr:col>22</xdr:col>
      <xdr:colOff>300568</xdr:colOff>
      <xdr:row>47</xdr:row>
      <xdr:rowOff>93134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E48782C-B44A-41F3-9B67-553442622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38</xdr:col>
      <xdr:colOff>278341</xdr:colOff>
      <xdr:row>70</xdr:row>
      <xdr:rowOff>7936</xdr:rowOff>
    </xdr:from>
    <xdr:to>
      <xdr:col>46</xdr:col>
      <xdr:colOff>661987</xdr:colOff>
      <xdr:row>71</xdr:row>
      <xdr:rowOff>59638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CE8B02-227B-4820-9E13-97E545392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86341" y="13342936"/>
          <a:ext cx="5260446" cy="280302"/>
        </a:xfrm>
        <a:prstGeom prst="rect">
          <a:avLst/>
        </a:prstGeom>
      </xdr:spPr>
    </xdr:pic>
    <xdr:clientData/>
  </xdr:twoCellAnchor>
  <xdr:twoCellAnchor editAs="oneCell">
    <xdr:from>
      <xdr:col>38</xdr:col>
      <xdr:colOff>293403</xdr:colOff>
      <xdr:row>72</xdr:row>
      <xdr:rowOff>7125</xdr:rowOff>
    </xdr:from>
    <xdr:to>
      <xdr:col>46</xdr:col>
      <xdr:colOff>598486</xdr:colOff>
      <xdr:row>73</xdr:row>
      <xdr:rowOff>89900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E0D4ECE-B8A7-4A97-A1E0-2B826EB0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01403" y="13761225"/>
          <a:ext cx="5181883" cy="273275"/>
        </a:xfrm>
        <a:prstGeom prst="rect">
          <a:avLst/>
        </a:prstGeom>
      </xdr:spPr>
    </xdr:pic>
    <xdr:clientData/>
  </xdr:twoCellAnchor>
  <xdr:twoCellAnchor editAs="oneCell">
    <xdr:from>
      <xdr:col>34</xdr:col>
      <xdr:colOff>238616</xdr:colOff>
      <xdr:row>57</xdr:row>
      <xdr:rowOff>35415</xdr:rowOff>
    </xdr:from>
    <xdr:to>
      <xdr:col>38</xdr:col>
      <xdr:colOff>96350</xdr:colOff>
      <xdr:row>74</xdr:row>
      <xdr:rowOff>142874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AD6DBDB-F947-4CC9-ACEB-B75B35236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08216" y="10893915"/>
          <a:ext cx="2296134" cy="3384059"/>
        </a:xfrm>
        <a:prstGeom prst="rect">
          <a:avLst/>
        </a:prstGeom>
      </xdr:spPr>
    </xdr:pic>
    <xdr:clientData/>
  </xdr:twoCellAnchor>
  <xdr:twoCellAnchor editAs="oneCell">
    <xdr:from>
      <xdr:col>38</xdr:col>
      <xdr:colOff>267759</xdr:colOff>
      <xdr:row>64</xdr:row>
      <xdr:rowOff>157508</xdr:rowOff>
    </xdr:from>
    <xdr:to>
      <xdr:col>46</xdr:col>
      <xdr:colOff>669925</xdr:colOff>
      <xdr:row>66</xdr:row>
      <xdr:rowOff>125430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B45AFAA-49C6-4DE8-8C21-6C12DF3B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75759" y="12349508"/>
          <a:ext cx="5278966" cy="348922"/>
        </a:xfrm>
        <a:prstGeom prst="rect">
          <a:avLst/>
        </a:prstGeom>
      </xdr:spPr>
    </xdr:pic>
    <xdr:clientData/>
  </xdr:twoCellAnchor>
  <xdr:twoCellAnchor editAs="oneCell">
    <xdr:from>
      <xdr:col>38</xdr:col>
      <xdr:colOff>240487</xdr:colOff>
      <xdr:row>67</xdr:row>
      <xdr:rowOff>98442</xdr:rowOff>
    </xdr:from>
    <xdr:to>
      <xdr:col>46</xdr:col>
      <xdr:colOff>686189</xdr:colOff>
      <xdr:row>69</xdr:row>
      <xdr:rowOff>47625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ECD19EA-794E-4ADB-B128-9031C326A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48487" y="12861942"/>
          <a:ext cx="5322502" cy="330183"/>
        </a:xfrm>
        <a:prstGeom prst="rect">
          <a:avLst/>
        </a:prstGeom>
      </xdr:spPr>
    </xdr:pic>
    <xdr:clientData/>
  </xdr:twoCellAnchor>
  <xdr:twoCellAnchor editAs="oneCell">
    <xdr:from>
      <xdr:col>38</xdr:col>
      <xdr:colOff>216063</xdr:colOff>
      <xdr:row>57</xdr:row>
      <xdr:rowOff>31750</xdr:rowOff>
    </xdr:from>
    <xdr:to>
      <xdr:col>44</xdr:col>
      <xdr:colOff>552339</xdr:colOff>
      <xdr:row>64</xdr:row>
      <xdr:rowOff>47625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77FAA45-CF7D-4EC3-B671-8C7A7AB26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4063" y="10890250"/>
          <a:ext cx="3993876" cy="1349375"/>
        </a:xfrm>
        <a:prstGeom prst="rect">
          <a:avLst/>
        </a:prstGeom>
      </xdr:spPr>
    </xdr:pic>
    <xdr:clientData/>
  </xdr:twoCellAnchor>
  <xdr:twoCellAnchor>
    <xdr:from>
      <xdr:col>46</xdr:col>
      <xdr:colOff>867782</xdr:colOff>
      <xdr:row>20</xdr:row>
      <xdr:rowOff>154516</xdr:rowOff>
    </xdr:from>
    <xdr:to>
      <xdr:col>58</xdr:col>
      <xdr:colOff>464684</xdr:colOff>
      <xdr:row>44</xdr:row>
      <xdr:rowOff>154516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FC39C65-1D0C-4DEC-B4C3-1EF7E1450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498763</xdr:colOff>
      <xdr:row>3</xdr:row>
      <xdr:rowOff>99580</xdr:rowOff>
    </xdr:from>
    <xdr:to>
      <xdr:col>44</xdr:col>
      <xdr:colOff>494434</xdr:colOff>
      <xdr:row>25</xdr:row>
      <xdr:rowOff>59748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D0BBF763-539C-43CF-928B-F51425D8F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5</xdr:col>
      <xdr:colOff>25977</xdr:colOff>
      <xdr:row>77</xdr:row>
      <xdr:rowOff>138545</xdr:rowOff>
    </xdr:from>
    <xdr:to>
      <xdr:col>16</xdr:col>
      <xdr:colOff>557646</xdr:colOff>
      <xdr:row>79</xdr:row>
      <xdr:rowOff>127292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9EB8C4D-16B6-4134-BA19-21421E3B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5068" y="14651181"/>
          <a:ext cx="7772400" cy="369747"/>
        </a:xfrm>
        <a:prstGeom prst="rect">
          <a:avLst/>
        </a:prstGeom>
      </xdr:spPr>
    </xdr:pic>
    <xdr:clientData/>
  </xdr:twoCellAnchor>
  <xdr:twoCellAnchor editAs="oneCell">
    <xdr:from>
      <xdr:col>5</xdr:col>
      <xdr:colOff>89386</xdr:colOff>
      <xdr:row>79</xdr:row>
      <xdr:rowOff>184636</xdr:rowOff>
    </xdr:from>
    <xdr:to>
      <xdr:col>17</xdr:col>
      <xdr:colOff>11455</xdr:colOff>
      <xdr:row>83</xdr:row>
      <xdr:rowOff>11564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373FC1-31E2-435A-80B5-5415F204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8477" y="15078272"/>
          <a:ext cx="7772400" cy="606247"/>
        </a:xfrm>
        <a:prstGeom prst="rect">
          <a:avLst/>
        </a:prstGeom>
      </xdr:spPr>
    </xdr:pic>
    <xdr:clientData/>
  </xdr:twoCellAnchor>
  <xdr:twoCellAnchor editAs="oneCell">
    <xdr:from>
      <xdr:col>5</xdr:col>
      <xdr:colOff>93914</xdr:colOff>
      <xdr:row>83</xdr:row>
      <xdr:rowOff>92182</xdr:rowOff>
    </xdr:from>
    <xdr:to>
      <xdr:col>17</xdr:col>
      <xdr:colOff>19446</xdr:colOff>
      <xdr:row>86</xdr:row>
      <xdr:rowOff>99894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13E28F-427B-4654-BFA2-E843623DC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0289" y="15770332"/>
          <a:ext cx="7812232" cy="579212"/>
        </a:xfrm>
        <a:prstGeom prst="rect">
          <a:avLst/>
        </a:prstGeom>
      </xdr:spPr>
    </xdr:pic>
    <xdr:clientData/>
  </xdr:twoCellAnchor>
  <xdr:twoCellAnchor editAs="oneCell">
    <xdr:from>
      <xdr:col>5</xdr:col>
      <xdr:colOff>161059</xdr:colOff>
      <xdr:row>86</xdr:row>
      <xdr:rowOff>168854</xdr:rowOff>
    </xdr:from>
    <xdr:to>
      <xdr:col>10</xdr:col>
      <xdr:colOff>152319</xdr:colOff>
      <xdr:row>97</xdr:row>
      <xdr:rowOff>161925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6B0D40D-E0C5-4EA7-A9CE-86F28CD98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434" y="16418504"/>
          <a:ext cx="3544085" cy="20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130</xdr:row>
      <xdr:rowOff>133350</xdr:rowOff>
    </xdr:from>
    <xdr:to>
      <xdr:col>17</xdr:col>
      <xdr:colOff>104775</xdr:colOff>
      <xdr:row>149</xdr:row>
      <xdr:rowOff>94468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1CF605-635A-4267-83A8-681CE394D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24193500"/>
          <a:ext cx="7772400" cy="3580618"/>
        </a:xfrm>
        <a:prstGeom prst="rect">
          <a:avLst/>
        </a:prstGeom>
      </xdr:spPr>
    </xdr:pic>
    <xdr:clientData/>
  </xdr:twoCellAnchor>
  <xdr:twoCellAnchor editAs="oneCell">
    <xdr:from>
      <xdr:col>22</xdr:col>
      <xdr:colOff>495300</xdr:colOff>
      <xdr:row>96</xdr:row>
      <xdr:rowOff>19050</xdr:rowOff>
    </xdr:from>
    <xdr:to>
      <xdr:col>35</xdr:col>
      <xdr:colOff>0</xdr:colOff>
      <xdr:row>121</xdr:row>
      <xdr:rowOff>115966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41B3A5-29A9-4868-98BD-97655B92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2100" y="18354675"/>
          <a:ext cx="7772400" cy="4859416"/>
        </a:xfrm>
        <a:prstGeom prst="rect">
          <a:avLst/>
        </a:prstGeom>
      </xdr:spPr>
    </xdr:pic>
    <xdr:clientData/>
  </xdr:twoCellAnchor>
  <xdr:twoCellAnchor>
    <xdr:from>
      <xdr:col>11</xdr:col>
      <xdr:colOff>57150</xdr:colOff>
      <xdr:row>57</xdr:row>
      <xdr:rowOff>33337</xdr:rowOff>
    </xdr:from>
    <xdr:to>
      <xdr:col>18</xdr:col>
      <xdr:colOff>361950</xdr:colOff>
      <xdr:row>71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38706-5448-42BC-9B5B-E8C9BFD6D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18</xdr:col>
      <xdr:colOff>410936</xdr:colOff>
      <xdr:row>57</xdr:row>
      <xdr:rowOff>36058</xdr:rowOff>
    </xdr:from>
    <xdr:to>
      <xdr:col>26</xdr:col>
      <xdr:colOff>106136</xdr:colOff>
      <xdr:row>71</xdr:row>
      <xdr:rowOff>74158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6CA0C3-5B6A-4DFC-9613-094586320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26</xdr:col>
      <xdr:colOff>133350</xdr:colOff>
      <xdr:row>57</xdr:row>
      <xdr:rowOff>25173</xdr:rowOff>
    </xdr:from>
    <xdr:to>
      <xdr:col>33</xdr:col>
      <xdr:colOff>440871</xdr:colOff>
      <xdr:row>71</xdr:row>
      <xdr:rowOff>63273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1A056-48E4-424E-8D48-29494D8EA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6</xdr:col>
      <xdr:colOff>28575</xdr:colOff>
      <xdr:row>16</xdr:row>
      <xdr:rowOff>152400</xdr:rowOff>
    </xdr:from>
    <xdr:to>
      <xdr:col>12</xdr:col>
      <xdr:colOff>485775</xdr:colOff>
      <xdr:row>20</xdr:row>
      <xdr:rowOff>25276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24686D-F99E-425F-99B1-FDEC1B9E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3200400"/>
          <a:ext cx="4648200" cy="634876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50</xdr:row>
      <xdr:rowOff>19051</xdr:rowOff>
    </xdr:from>
    <xdr:to>
      <xdr:col>14</xdr:col>
      <xdr:colOff>323850</xdr:colOff>
      <xdr:row>52</xdr:row>
      <xdr:rowOff>176641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D6F1EE-4A14-4274-9856-6B32C1A9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9544051"/>
          <a:ext cx="4381500" cy="538590"/>
        </a:xfrm>
        <a:prstGeom prst="rect">
          <a:avLst/>
        </a:prstGeom>
      </xdr:spPr>
    </xdr:pic>
    <xdr:clientData/>
  </xdr:twoCellAnchor>
  <xdr:twoCellAnchor editAs="oneCell">
    <xdr:from>
      <xdr:col>35</xdr:col>
      <xdr:colOff>142875</xdr:colOff>
      <xdr:row>96</xdr:row>
      <xdr:rowOff>57150</xdr:rowOff>
    </xdr:from>
    <xdr:to>
      <xdr:col>45</xdr:col>
      <xdr:colOff>223766</xdr:colOff>
      <xdr:row>119</xdr:row>
      <xdr:rowOff>47625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9B3521-5358-4619-A025-177236DA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1175" y="18392775"/>
          <a:ext cx="6176891" cy="4371975"/>
        </a:xfrm>
        <a:prstGeom prst="rect">
          <a:avLst/>
        </a:prstGeom>
      </xdr:spPr>
    </xdr:pic>
    <xdr:clientData/>
  </xdr:twoCellAnchor>
  <xdr:twoCellAnchor>
    <xdr:from>
      <xdr:col>35</xdr:col>
      <xdr:colOff>482601</xdr:colOff>
      <xdr:row>25</xdr:row>
      <xdr:rowOff>153458</xdr:rowOff>
    </xdr:from>
    <xdr:to>
      <xdr:col>45</xdr:col>
      <xdr:colOff>552451</xdr:colOff>
      <xdr:row>42</xdr:row>
      <xdr:rowOff>123825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1153982-1505-46A5-84FD-2D8409200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15</xdr:row>
      <xdr:rowOff>66675</xdr:rowOff>
    </xdr:from>
    <xdr:to>
      <xdr:col>15</xdr:col>
      <xdr:colOff>419100</xdr:colOff>
      <xdr:row>41</xdr:row>
      <xdr:rowOff>22316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0FCD23-0678-408F-A3E7-7B69F501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2924175"/>
          <a:ext cx="7772400" cy="5099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24913</xdr:colOff>
      <xdr:row>0</xdr:row>
      <xdr:rowOff>46159</xdr:rowOff>
    </xdr:from>
    <xdr:to>
      <xdr:col>43</xdr:col>
      <xdr:colOff>314325</xdr:colOff>
      <xdr:row>19</xdr:row>
      <xdr:rowOff>157786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2FB8A9-63B9-4AD5-82E0-5482E3DA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80213" y="46159"/>
          <a:ext cx="2727812" cy="3731127"/>
        </a:xfrm>
        <a:prstGeom prst="rect">
          <a:avLst/>
        </a:prstGeom>
      </xdr:spPr>
    </xdr:pic>
    <xdr:clientData/>
  </xdr:twoCellAnchor>
  <xdr:twoCellAnchor editAs="oneCell">
    <xdr:from>
      <xdr:col>54</xdr:col>
      <xdr:colOff>238858</xdr:colOff>
      <xdr:row>0</xdr:row>
      <xdr:rowOff>123825</xdr:rowOff>
    </xdr:from>
    <xdr:to>
      <xdr:col>67</xdr:col>
      <xdr:colOff>95070</xdr:colOff>
      <xdr:row>14</xdr:row>
      <xdr:rowOff>85724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43744A-F498-4D11-BF0F-72ECF10B4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8396" y="123825"/>
          <a:ext cx="7761962" cy="2628899"/>
        </a:xfrm>
        <a:prstGeom prst="rect">
          <a:avLst/>
        </a:prstGeom>
      </xdr:spPr>
    </xdr:pic>
    <xdr:clientData/>
  </xdr:twoCellAnchor>
  <xdr:twoCellAnchor>
    <xdr:from>
      <xdr:col>16</xdr:col>
      <xdr:colOff>93052</xdr:colOff>
      <xdr:row>0</xdr:row>
      <xdr:rowOff>117596</xdr:rowOff>
    </xdr:from>
    <xdr:to>
      <xdr:col>23</xdr:col>
      <xdr:colOff>396387</xdr:colOff>
      <xdr:row>15</xdr:row>
      <xdr:rowOff>3296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8E0252-3BDE-40BF-9721-1B9FEB260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422764</xdr:colOff>
      <xdr:row>0</xdr:row>
      <xdr:rowOff>75101</xdr:rowOff>
    </xdr:from>
    <xdr:to>
      <xdr:col>31</xdr:col>
      <xdr:colOff>117964</xdr:colOff>
      <xdr:row>14</xdr:row>
      <xdr:rowOff>151301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5D1D35-5A60-4974-B3FC-80D8E3997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182441</xdr:colOff>
      <xdr:row>0</xdr:row>
      <xdr:rowOff>81695</xdr:rowOff>
    </xdr:from>
    <xdr:to>
      <xdr:col>38</xdr:col>
      <xdr:colOff>485775</xdr:colOff>
      <xdr:row>14</xdr:row>
      <xdr:rowOff>157895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644ED7-8DE5-431A-8200-CB593238E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42</xdr:col>
      <xdr:colOff>547321</xdr:colOff>
      <xdr:row>0</xdr:row>
      <xdr:rowOff>133350</xdr:rowOff>
    </xdr:from>
    <xdr:to>
      <xdr:col>46</xdr:col>
      <xdr:colOff>243986</xdr:colOff>
      <xdr:row>17</xdr:row>
      <xdr:rowOff>39365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62AB6F-5DF8-4C59-9C31-F74FECB2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9244" y="133350"/>
          <a:ext cx="2129204" cy="3144515"/>
        </a:xfrm>
        <a:prstGeom prst="rect">
          <a:avLst/>
        </a:prstGeom>
      </xdr:spPr>
    </xdr:pic>
    <xdr:clientData/>
  </xdr:twoCellAnchor>
  <xdr:twoCellAnchor editAs="oneCell">
    <xdr:from>
      <xdr:col>46</xdr:col>
      <xdr:colOff>322385</xdr:colOff>
      <xdr:row>0</xdr:row>
      <xdr:rowOff>102228</xdr:rowOff>
    </xdr:from>
    <xdr:to>
      <xdr:col>54</xdr:col>
      <xdr:colOff>160880</xdr:colOff>
      <xdr:row>17</xdr:row>
      <xdr:rowOff>11514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11040E-B2BF-4D9F-A2FA-D309A980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26847" y="102228"/>
          <a:ext cx="4703571" cy="31477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328246</xdr:colOff>
      <xdr:row>47</xdr:row>
      <xdr:rowOff>127406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83EBD3-3D37-444C-A271-A60A3D6A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19500"/>
          <a:ext cx="7772400" cy="5461406"/>
        </a:xfrm>
        <a:prstGeom prst="rect">
          <a:avLst/>
        </a:prstGeom>
      </xdr:spPr>
    </xdr:pic>
    <xdr:clientData/>
  </xdr:twoCellAnchor>
  <xdr:twoCellAnchor editAs="oneCell">
    <xdr:from>
      <xdr:col>12</xdr:col>
      <xdr:colOff>608134</xdr:colOff>
      <xdr:row>20</xdr:row>
      <xdr:rowOff>0</xdr:rowOff>
    </xdr:from>
    <xdr:to>
      <xdr:col>24</xdr:col>
      <xdr:colOff>265234</xdr:colOff>
      <xdr:row>49</xdr:row>
      <xdr:rowOff>92252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F09182-0973-4B86-9DFB-D7338A539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2288" y="3810000"/>
          <a:ext cx="7772400" cy="561675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104775</xdr:rowOff>
    </xdr:from>
    <xdr:to>
      <xdr:col>9</xdr:col>
      <xdr:colOff>394921</xdr:colOff>
      <xdr:row>88</xdr:row>
      <xdr:rowOff>120458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35B6CD-D906-489D-A96A-11DA49A2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677775"/>
          <a:ext cx="7786321" cy="42066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733425</xdr:colOff>
      <xdr:row>0</xdr:row>
      <xdr:rowOff>0</xdr:rowOff>
    </xdr:from>
    <xdr:to>
      <xdr:col>9</xdr:col>
      <xdr:colOff>333815</xdr:colOff>
      <xdr:row>15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9DBB40-1DD2-4D5D-B37D-CB0897C7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0"/>
          <a:ext cx="2515040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142875</xdr:rowOff>
    </xdr:from>
    <xdr:to>
      <xdr:col>10</xdr:col>
      <xdr:colOff>571500</xdr:colOff>
      <xdr:row>23</xdr:row>
      <xdr:rowOff>4625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CECFD3-81DD-4A2C-880A-8122AAE6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3000375"/>
          <a:ext cx="3333750" cy="13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495301</xdr:colOff>
      <xdr:row>23</xdr:row>
      <xdr:rowOff>28576</xdr:rowOff>
    </xdr:from>
    <xdr:to>
      <xdr:col>10</xdr:col>
      <xdr:colOff>372503</xdr:colOff>
      <xdr:row>32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C587DF-A2C0-465D-8BC0-7FA7A364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1" y="4410076"/>
          <a:ext cx="3401452" cy="1952624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15</xdr:row>
      <xdr:rowOff>0</xdr:rowOff>
    </xdr:from>
    <xdr:to>
      <xdr:col>27</xdr:col>
      <xdr:colOff>61084</xdr:colOff>
      <xdr:row>51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F45DBC-D5EB-4664-A613-A6D04DAC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2857500"/>
          <a:ext cx="6585709" cy="711517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33</xdr:row>
      <xdr:rowOff>57150</xdr:rowOff>
    </xdr:from>
    <xdr:to>
      <xdr:col>10</xdr:col>
      <xdr:colOff>590550</xdr:colOff>
      <xdr:row>46</xdr:row>
      <xdr:rowOff>144268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21243B-3EBC-4AD2-A1C8-321EDF73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6534150"/>
          <a:ext cx="3790950" cy="25636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528637</xdr:colOff>
      <xdr:row>1</xdr:row>
      <xdr:rowOff>119062</xdr:rowOff>
    </xdr:from>
    <xdr:to>
      <xdr:col>12</xdr:col>
      <xdr:colOff>223837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88109-11A9-44E4-821F-0F306BBCE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471487</xdr:colOff>
      <xdr:row>1</xdr:row>
      <xdr:rowOff>90487</xdr:rowOff>
    </xdr:from>
    <xdr:to>
      <xdr:col>20</xdr:col>
      <xdr:colOff>166687</xdr:colOff>
      <xdr:row>15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1337F-98D9-45C3-9A25-CF46292F1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398463</xdr:colOff>
      <xdr:row>4</xdr:row>
      <xdr:rowOff>33337</xdr:rowOff>
    </xdr:from>
    <xdr:to>
      <xdr:col>36</xdr:col>
      <xdr:colOff>246063</xdr:colOff>
      <xdr:row>7</xdr:row>
      <xdr:rowOff>9782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3A330A-3CE8-44DF-9ADA-4C223153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5838" y="795337"/>
          <a:ext cx="7793037" cy="547945"/>
        </a:xfrm>
        <a:prstGeom prst="rect">
          <a:avLst/>
        </a:prstGeom>
      </xdr:spPr>
    </xdr:pic>
    <xdr:clientData/>
  </xdr:twoCellAnchor>
  <xdr:twoCellAnchor editAs="oneCell">
    <xdr:from>
      <xdr:col>20</xdr:col>
      <xdr:colOff>310337</xdr:colOff>
      <xdr:row>8</xdr:row>
      <xdr:rowOff>30937</xdr:rowOff>
    </xdr:from>
    <xdr:to>
      <xdr:col>33</xdr:col>
      <xdr:colOff>157936</xdr:colOff>
      <xdr:row>13</xdr:row>
      <xdr:rowOff>118406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8A34A7-DE53-49B8-9C9B-EB3129E54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6525" y="1554937"/>
          <a:ext cx="7793037" cy="1039969"/>
        </a:xfrm>
        <a:prstGeom prst="rect">
          <a:avLst/>
        </a:prstGeom>
      </xdr:spPr>
    </xdr:pic>
    <xdr:clientData/>
  </xdr:twoCellAnchor>
  <xdr:twoCellAnchor editAs="oneCell">
    <xdr:from>
      <xdr:col>20</xdr:col>
      <xdr:colOff>207961</xdr:colOff>
      <xdr:row>14</xdr:row>
      <xdr:rowOff>80962</xdr:rowOff>
    </xdr:from>
    <xdr:to>
      <xdr:col>32</xdr:col>
      <xdr:colOff>331786</xdr:colOff>
      <xdr:row>38</xdr:row>
      <xdr:rowOff>5773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3F5D6-4260-48B4-B7B0-6DBF43759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4149" y="2747962"/>
          <a:ext cx="7458075" cy="4496811"/>
        </a:xfrm>
        <a:prstGeom prst="rect">
          <a:avLst/>
        </a:prstGeom>
      </xdr:spPr>
    </xdr:pic>
    <xdr:clientData/>
  </xdr:twoCellAnchor>
  <xdr:twoCellAnchor editAs="oneCell">
    <xdr:from>
      <xdr:col>34</xdr:col>
      <xdr:colOff>373063</xdr:colOff>
      <xdr:row>0</xdr:row>
      <xdr:rowOff>123825</xdr:rowOff>
    </xdr:from>
    <xdr:to>
      <xdr:col>43</xdr:col>
      <xdr:colOff>504731</xdr:colOff>
      <xdr:row>32</xdr:row>
      <xdr:rowOff>39688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CE8A3C-E7D5-4D3C-B556-D58467A95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53501" y="123825"/>
          <a:ext cx="5632356" cy="6011863"/>
        </a:xfrm>
        <a:prstGeom prst="rect">
          <a:avLst/>
        </a:prstGeom>
      </xdr:spPr>
    </xdr:pic>
    <xdr:clientData/>
  </xdr:twoCellAnchor>
  <xdr:twoCellAnchor>
    <xdr:from>
      <xdr:col>0</xdr:col>
      <xdr:colOff>523874</xdr:colOff>
      <xdr:row>43</xdr:row>
      <xdr:rowOff>53181</xdr:rowOff>
    </xdr:from>
    <xdr:to>
      <xdr:col>7</xdr:col>
      <xdr:colOff>754061</xdr:colOff>
      <xdr:row>57</xdr:row>
      <xdr:rowOff>129381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AED4D-F34E-4651-9DA4-4AF4FFB79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20</xdr:col>
      <xdr:colOff>206375</xdr:colOff>
      <xdr:row>38</xdr:row>
      <xdr:rowOff>174625</xdr:rowOff>
    </xdr:from>
    <xdr:to>
      <xdr:col>33</xdr:col>
      <xdr:colOff>33337</xdr:colOff>
      <xdr:row>53</xdr:row>
      <xdr:rowOff>127484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EF0A14-8FC7-4DA4-AAEB-6986A212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6750" y="7413625"/>
          <a:ext cx="7772400" cy="2810359"/>
        </a:xfrm>
        <a:prstGeom prst="rect">
          <a:avLst/>
        </a:prstGeom>
      </xdr:spPr>
    </xdr:pic>
    <xdr:clientData/>
  </xdr:twoCellAnchor>
  <xdr:twoCellAnchor>
    <xdr:from>
      <xdr:col>10</xdr:col>
      <xdr:colOff>55563</xdr:colOff>
      <xdr:row>5</xdr:row>
      <xdr:rowOff>53181</xdr:rowOff>
    </xdr:from>
    <xdr:to>
      <xdr:col>22</xdr:col>
      <xdr:colOff>158751</xdr:colOff>
      <xdr:row>29</xdr:row>
      <xdr:rowOff>53181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2B6842-B7C1-4124-89B7-742D198D81C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85</xdr:col>
      <xdr:colOff>361949</xdr:colOff>
      <xdr:row>4</xdr:row>
      <xdr:rowOff>151840</xdr:rowOff>
    </xdr:from>
    <xdr:to>
      <xdr:col>97</xdr:col>
      <xdr:colOff>409574</xdr:colOff>
      <xdr:row>29</xdr:row>
      <xdr:rowOff>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52EA48-D134-46AC-80B7-9615A04CF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0067" y="913840"/>
          <a:ext cx="7309036" cy="4614160"/>
        </a:xfrm>
        <a:prstGeom prst="rect">
          <a:avLst/>
        </a:prstGeom>
      </xdr:spPr>
    </xdr:pic>
    <xdr:clientData/>
  </xdr:twoCellAnchor>
  <xdr:twoCellAnchor editAs="oneCell">
    <xdr:from>
      <xdr:col>66</xdr:col>
      <xdr:colOff>323289</xdr:colOff>
      <xdr:row>35</xdr:row>
      <xdr:rowOff>165286</xdr:rowOff>
    </xdr:from>
    <xdr:to>
      <xdr:col>79</xdr:col>
      <xdr:colOff>196742</xdr:colOff>
      <xdr:row>40</xdr:row>
      <xdr:rowOff>20696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2509CF-B6ED-40A0-B46D-813F61E5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88848" y="6832786"/>
          <a:ext cx="7739983" cy="807910"/>
        </a:xfrm>
        <a:prstGeom prst="rect">
          <a:avLst/>
        </a:prstGeom>
      </xdr:spPr>
    </xdr:pic>
    <xdr:clientData/>
  </xdr:twoCellAnchor>
  <xdr:twoCellAnchor editAs="oneCell">
    <xdr:from>
      <xdr:col>66</xdr:col>
      <xdr:colOff>218514</xdr:colOff>
      <xdr:row>41</xdr:row>
      <xdr:rowOff>12886</xdr:rowOff>
    </xdr:from>
    <xdr:to>
      <xdr:col>79</xdr:col>
      <xdr:colOff>96450</xdr:colOff>
      <xdr:row>55</xdr:row>
      <xdr:rowOff>35363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4BA165-F8E7-46CF-AA64-8848E469C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84073" y="7823386"/>
          <a:ext cx="7744466" cy="2689477"/>
        </a:xfrm>
        <a:prstGeom prst="rect">
          <a:avLst/>
        </a:prstGeom>
      </xdr:spPr>
    </xdr:pic>
    <xdr:clientData/>
  </xdr:twoCellAnchor>
  <xdr:twoCellAnchor>
    <xdr:from>
      <xdr:col>57</xdr:col>
      <xdr:colOff>487456</xdr:colOff>
      <xdr:row>4</xdr:row>
      <xdr:rowOff>180413</xdr:rowOff>
    </xdr:from>
    <xdr:to>
      <xdr:col>69</xdr:col>
      <xdr:colOff>229721</xdr:colOff>
      <xdr:row>28</xdr:row>
      <xdr:rowOff>180413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DED3A1-28A2-4E60-8D41-EE38781259A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70</xdr:col>
      <xdr:colOff>72838</xdr:colOff>
      <xdr:row>5</xdr:row>
      <xdr:rowOff>57150</xdr:rowOff>
    </xdr:from>
    <xdr:to>
      <xdr:col>82</xdr:col>
      <xdr:colOff>431426</xdr:colOff>
      <xdr:row>29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BD2CA1-8DCD-4F6A-9C80-B3D7ED8FF56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30</xdr:row>
      <xdr:rowOff>161925</xdr:rowOff>
    </xdr:from>
    <xdr:to>
      <xdr:col>8</xdr:col>
      <xdr:colOff>152400</xdr:colOff>
      <xdr:row>48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7C9380-6CA1-49D6-A78E-AF30540A3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5876925"/>
          <a:ext cx="5438775" cy="341947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219074</xdr:colOff>
      <xdr:row>100</xdr:row>
      <xdr:rowOff>76200</xdr:rowOff>
    </xdr:from>
    <xdr:to>
      <xdr:col>21</xdr:col>
      <xdr:colOff>581024</xdr:colOff>
      <xdr:row>119</xdr:row>
      <xdr:rowOff>68716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5333B2-0221-4B6E-B2E1-A0A7648A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8774" y="19126200"/>
          <a:ext cx="7400925" cy="361201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30</xdr:row>
      <xdr:rowOff>95250</xdr:rowOff>
    </xdr:from>
    <xdr:to>
      <xdr:col>14</xdr:col>
      <xdr:colOff>432986</xdr:colOff>
      <xdr:row>45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C542A3-E8FF-45D3-A098-FC61D16D1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5810250"/>
          <a:ext cx="4347761" cy="290512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</xdr:colOff>
      <xdr:row>49</xdr:row>
      <xdr:rowOff>85726</xdr:rowOff>
    </xdr:from>
    <xdr:to>
      <xdr:col>8</xdr:col>
      <xdr:colOff>314324</xdr:colOff>
      <xdr:row>83</xdr:row>
      <xdr:rowOff>140674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B930A8-D69A-419E-AA95-67D0232DB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4" y="9420226"/>
          <a:ext cx="5305425" cy="6531948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47</xdr:row>
      <xdr:rowOff>171450</xdr:rowOff>
    </xdr:from>
    <xdr:to>
      <xdr:col>20</xdr:col>
      <xdr:colOff>400050</xdr:colOff>
      <xdr:row>62</xdr:row>
      <xdr:rowOff>68936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DA4A65-EEC6-4CEA-A6EF-BF1C48A95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725" y="9124950"/>
          <a:ext cx="7772400" cy="275498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60</xdr:row>
      <xdr:rowOff>19050</xdr:rowOff>
    </xdr:from>
    <xdr:to>
      <xdr:col>20</xdr:col>
      <xdr:colOff>552450</xdr:colOff>
      <xdr:row>88</xdr:row>
      <xdr:rowOff>138576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CA4F43-CB75-456B-846E-1807440A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5" y="11449050"/>
          <a:ext cx="7772400" cy="5453526"/>
        </a:xfrm>
        <a:prstGeom prst="rect">
          <a:avLst/>
        </a:prstGeom>
      </xdr:spPr>
    </xdr:pic>
    <xdr:clientData/>
  </xdr:twoCellAnchor>
  <xdr:twoCellAnchor editAs="oneCell">
    <xdr:from>
      <xdr:col>21</xdr:col>
      <xdr:colOff>159525</xdr:colOff>
      <xdr:row>63</xdr:row>
      <xdr:rowOff>45225</xdr:rowOff>
    </xdr:from>
    <xdr:to>
      <xdr:col>34</xdr:col>
      <xdr:colOff>7125</xdr:colOff>
      <xdr:row>91</xdr:row>
      <xdr:rowOff>80901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24A0D9-26F8-4DEF-8177-0C4745785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7225" y="12046725"/>
          <a:ext cx="7772400" cy="53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9</xdr:col>
      <xdr:colOff>848518</xdr:colOff>
      <xdr:row>137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2AF37E-6B2A-4D2A-8F15-04DDAFE6B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6192500"/>
          <a:ext cx="6877843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95</xdr:row>
      <xdr:rowOff>0</xdr:rowOff>
    </xdr:from>
    <xdr:to>
      <xdr:col>22</xdr:col>
      <xdr:colOff>123825</xdr:colOff>
      <xdr:row>99</xdr:row>
      <xdr:rowOff>45910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58DD7A-8350-405E-B712-FB90C342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18097500"/>
          <a:ext cx="7772400" cy="80791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94</xdr:row>
      <xdr:rowOff>95250</xdr:rowOff>
    </xdr:from>
    <xdr:to>
      <xdr:col>35</xdr:col>
      <xdr:colOff>476250</xdr:colOff>
      <xdr:row>98</xdr:row>
      <xdr:rowOff>157812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DF9E86-AE44-4613-9EA6-9A5A619E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5950" y="18002250"/>
          <a:ext cx="7772400" cy="8245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22</xdr:col>
      <xdr:colOff>123825</xdr:colOff>
      <xdr:row>134</xdr:row>
      <xdr:rowOff>22477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99B447-4578-4D43-9840-4F0CA82EC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22860000"/>
          <a:ext cx="7772400" cy="26894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10</xdr:col>
      <xdr:colOff>342900</xdr:colOff>
      <xdr:row>184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A66A01-1AD2-422C-8E5E-B867FE550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6289000"/>
          <a:ext cx="7353300" cy="8801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23</xdr:col>
      <xdr:colOff>123825</xdr:colOff>
      <xdr:row>188</xdr:row>
      <xdr:rowOff>142468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2F25DE-6014-43D1-BBEE-38D0D2DD8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26289000"/>
          <a:ext cx="7772400" cy="96674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22</xdr:col>
      <xdr:colOff>123825</xdr:colOff>
      <xdr:row>138</xdr:row>
      <xdr:rowOff>38803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5A5F88A-A627-49AD-B8F2-58CE8AB0E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25717500"/>
          <a:ext cx="7772400" cy="610303"/>
        </a:xfrm>
        <a:prstGeom prst="rect">
          <a:avLst/>
        </a:prstGeom>
      </xdr:spPr>
    </xdr:pic>
    <xdr:clientData/>
  </xdr:twoCellAnchor>
  <xdr:twoCellAnchor editAs="oneCell">
    <xdr:from>
      <xdr:col>21</xdr:col>
      <xdr:colOff>244929</xdr:colOff>
      <xdr:row>40</xdr:row>
      <xdr:rowOff>179294</xdr:rowOff>
    </xdr:from>
    <xdr:to>
      <xdr:col>29</xdr:col>
      <xdr:colOff>80282</xdr:colOff>
      <xdr:row>57</xdr:row>
      <xdr:rowOff>106250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D37C4F1-592C-40DD-87AD-326F4054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5786" y="7799294"/>
          <a:ext cx="4733925" cy="3165456"/>
        </a:xfrm>
        <a:prstGeom prst="rect">
          <a:avLst/>
        </a:prstGeom>
      </xdr:spPr>
    </xdr:pic>
    <xdr:clientData/>
  </xdr:twoCellAnchor>
  <xdr:twoCellAnchor editAs="oneCell">
    <xdr:from>
      <xdr:col>24</xdr:col>
      <xdr:colOff>586790</xdr:colOff>
      <xdr:row>23</xdr:row>
      <xdr:rowOff>176893</xdr:rowOff>
    </xdr:from>
    <xdr:to>
      <xdr:col>29</xdr:col>
      <xdr:colOff>465811</xdr:colOff>
      <xdr:row>37</xdr:row>
      <xdr:rowOff>26893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3215AE-88BA-4966-908A-2F9C4451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4611" y="4558393"/>
          <a:ext cx="2940629" cy="2517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149678</xdr:colOff>
      <xdr:row>29</xdr:row>
      <xdr:rowOff>176893</xdr:rowOff>
    </xdr:from>
    <xdr:to>
      <xdr:col>30</xdr:col>
      <xdr:colOff>397328</xdr:colOff>
      <xdr:row>44</xdr:row>
      <xdr:rowOff>129752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41CE734-2913-4F2D-90FE-9F50594B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6678" y="5701393"/>
          <a:ext cx="7772400" cy="28103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9</xdr:col>
      <xdr:colOff>483769</xdr:colOff>
      <xdr:row>242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8ED7E-441C-4893-9BC8-B97850146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7464" y="36195000"/>
          <a:ext cx="6525341" cy="1005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449035</xdr:colOff>
      <xdr:row>100</xdr:row>
      <xdr:rowOff>108857</xdr:rowOff>
    </xdr:from>
    <xdr:to>
      <xdr:col>36</xdr:col>
      <xdr:colOff>261256</xdr:colOff>
      <xdr:row>132</xdr:row>
      <xdr:rowOff>50565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4A5D594-5248-4671-A06E-F31103F72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4535" y="19158857"/>
          <a:ext cx="7772400" cy="60377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1</xdr:row>
      <xdr:rowOff>0</xdr:rowOff>
    </xdr:from>
    <xdr:to>
      <xdr:col>35</xdr:col>
      <xdr:colOff>342900</xdr:colOff>
      <xdr:row>16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70875F6-C98E-4AEE-9A57-BF5D32A80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17</xdr:row>
      <xdr:rowOff>0</xdr:rowOff>
    </xdr:from>
    <xdr:to>
      <xdr:col>34</xdr:col>
      <xdr:colOff>304800</xdr:colOff>
      <xdr:row>31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9C291AC-5E76-400E-A7A9-F413B9DD3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32</xdr:row>
      <xdr:rowOff>0</xdr:rowOff>
    </xdr:from>
    <xdr:to>
      <xdr:col>34</xdr:col>
      <xdr:colOff>304800</xdr:colOff>
      <xdr:row>46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706924-E754-4197-A571-F0D0B53B7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342900</xdr:colOff>
      <xdr:row>1</xdr:row>
      <xdr:rowOff>123825</xdr:rowOff>
    </xdr:from>
    <xdr:to>
      <xdr:col>44</xdr:col>
      <xdr:colOff>38100</xdr:colOff>
      <xdr:row>16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A461C62-B209-4A6B-AA49-A83C0A758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276225</xdr:colOff>
      <xdr:row>1</xdr:row>
      <xdr:rowOff>123825</xdr:rowOff>
    </xdr:from>
    <xdr:to>
      <xdr:col>7</xdr:col>
      <xdr:colOff>523875</xdr:colOff>
      <xdr:row>14</xdr:row>
      <xdr:rowOff>142875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E4BA776-729E-4F40-945F-03750A039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238125</xdr:colOff>
      <xdr:row>15</xdr:row>
      <xdr:rowOff>95250</xdr:rowOff>
    </xdr:from>
    <xdr:to>
      <xdr:col>7</xdr:col>
      <xdr:colOff>542925</xdr:colOff>
      <xdr:row>29</xdr:row>
      <xdr:rowOff>171450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3BB199C-48FC-4399-90B1-0E660210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95250</xdr:colOff>
      <xdr:row>2</xdr:row>
      <xdr:rowOff>19050</xdr:rowOff>
    </xdr:from>
    <xdr:to>
      <xdr:col>25</xdr:col>
      <xdr:colOff>400050</xdr:colOff>
      <xdr:row>16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81EFAAF-9CD1-465F-8CA8-087047C5D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166686</xdr:colOff>
      <xdr:row>1</xdr:row>
      <xdr:rowOff>134937</xdr:rowOff>
    </xdr:from>
    <xdr:to>
      <xdr:col>16</xdr:col>
      <xdr:colOff>468311</xdr:colOff>
      <xdr:row>16</xdr:row>
      <xdr:rowOff>31750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D9181E7-6537-4B91-9217-1DFF66F82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182562</xdr:colOff>
      <xdr:row>16</xdr:row>
      <xdr:rowOff>87313</xdr:rowOff>
    </xdr:from>
    <xdr:to>
      <xdr:col>16</xdr:col>
      <xdr:colOff>460375</xdr:colOff>
      <xdr:row>30</xdr:row>
      <xdr:rowOff>163513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B18279B-1D7C-4D71-8E39-CD7D97A69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231775</xdr:colOff>
      <xdr:row>99</xdr:row>
      <xdr:rowOff>76200</xdr:rowOff>
    </xdr:from>
    <xdr:to>
      <xdr:col>57</xdr:col>
      <xdr:colOff>570103</xdr:colOff>
      <xdr:row>123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8999124-90CD-4D50-BA6D-D4FB73CBB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222250</xdr:colOff>
      <xdr:row>123</xdr:row>
      <xdr:rowOff>180975</xdr:rowOff>
    </xdr:from>
    <xdr:to>
      <xdr:col>57</xdr:col>
      <xdr:colOff>560578</xdr:colOff>
      <xdr:row>147</xdr:row>
      <xdr:rowOff>180975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7E7C2BC-B11B-4FA2-8D1E-144AA5654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301625</xdr:colOff>
      <xdr:row>1</xdr:row>
      <xdr:rowOff>23813</xdr:rowOff>
    </xdr:from>
    <xdr:to>
      <xdr:col>58</xdr:col>
      <xdr:colOff>30353</xdr:colOff>
      <xdr:row>25</xdr:row>
      <xdr:rowOff>23813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62B30EA-03D1-4B80-BA12-6AFD4EDB9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282575</xdr:colOff>
      <xdr:row>25</xdr:row>
      <xdr:rowOff>165099</xdr:rowOff>
    </xdr:from>
    <xdr:to>
      <xdr:col>58</xdr:col>
      <xdr:colOff>11303</xdr:colOff>
      <xdr:row>49</xdr:row>
      <xdr:rowOff>136524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1402837-0071-4B33-8607-F2795CB8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247650</xdr:colOff>
      <xdr:row>50</xdr:row>
      <xdr:rowOff>87313</xdr:rowOff>
    </xdr:from>
    <xdr:to>
      <xdr:col>57</xdr:col>
      <xdr:colOff>585978</xdr:colOff>
      <xdr:row>74</xdr:row>
      <xdr:rowOff>87313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B4254BD-6394-4011-B2DC-56FA67281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236537</xdr:colOff>
      <xdr:row>74</xdr:row>
      <xdr:rowOff>190499</xdr:rowOff>
    </xdr:from>
    <xdr:to>
      <xdr:col>57</xdr:col>
      <xdr:colOff>574865</xdr:colOff>
      <xdr:row>98</xdr:row>
      <xdr:rowOff>190499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1BF6E87-9388-4ABE-9D26-C0A3F0CE4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166686</xdr:colOff>
      <xdr:row>31</xdr:row>
      <xdr:rowOff>31750</xdr:rowOff>
    </xdr:from>
    <xdr:to>
      <xdr:col>16</xdr:col>
      <xdr:colOff>460374</xdr:colOff>
      <xdr:row>45</xdr:row>
      <xdr:rowOff>107950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778A5FD-F792-4F5E-9138-3C8594EDF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62</xdr:col>
      <xdr:colOff>79375</xdr:colOff>
      <xdr:row>1</xdr:row>
      <xdr:rowOff>134938</xdr:rowOff>
    </xdr:from>
    <xdr:to>
      <xdr:col>69</xdr:col>
      <xdr:colOff>373062</xdr:colOff>
      <xdr:row>16</xdr:row>
      <xdr:rowOff>20638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1FB47D5-2CE6-47A0-A8B2-201D9C61B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582614</xdr:colOff>
      <xdr:row>0</xdr:row>
      <xdr:rowOff>68261</xdr:rowOff>
    </xdr:from>
    <xdr:to>
      <xdr:col>20</xdr:col>
      <xdr:colOff>437219</xdr:colOff>
      <xdr:row>1</xdr:row>
      <xdr:rowOff>96836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9A047-6803-4423-82CB-1FED0E181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1802" y="68261"/>
          <a:ext cx="3521730" cy="219075"/>
        </a:xfrm>
        <a:prstGeom prst="rect">
          <a:avLst/>
        </a:prstGeom>
      </xdr:spPr>
    </xdr:pic>
    <xdr:clientData/>
  </xdr:twoCellAnchor>
  <xdr:twoCellAnchor editAs="oneCell">
    <xdr:from>
      <xdr:col>20</xdr:col>
      <xdr:colOff>269875</xdr:colOff>
      <xdr:row>0</xdr:row>
      <xdr:rowOff>0</xdr:rowOff>
    </xdr:from>
    <xdr:to>
      <xdr:col>24</xdr:col>
      <xdr:colOff>31749</xdr:colOff>
      <xdr:row>14</xdr:row>
      <xdr:rowOff>152300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7F566E-A923-4AF3-AF87-63C7B096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6188" y="0"/>
          <a:ext cx="2206625" cy="281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73916</xdr:colOff>
      <xdr:row>1</xdr:row>
      <xdr:rowOff>86246</xdr:rowOff>
    </xdr:from>
    <xdr:to>
      <xdr:col>23</xdr:col>
      <xdr:colOff>323022</xdr:colOff>
      <xdr:row>14</xdr:row>
      <xdr:rowOff>149087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C441DD-523C-4146-BE64-A8F27C657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6090" y="276746"/>
          <a:ext cx="5152410" cy="2539341"/>
        </a:xfrm>
        <a:prstGeom prst="rect">
          <a:avLst/>
        </a:prstGeom>
      </xdr:spPr>
    </xdr:pic>
    <xdr:clientData/>
  </xdr:twoCellAnchor>
  <xdr:twoCellAnchor>
    <xdr:from>
      <xdr:col>17</xdr:col>
      <xdr:colOff>260900</xdr:colOff>
      <xdr:row>193</xdr:row>
      <xdr:rowOff>77857</xdr:rowOff>
    </xdr:from>
    <xdr:to>
      <xdr:col>24</xdr:col>
      <xdr:colOff>542509</xdr:colOff>
      <xdr:row>207</xdr:row>
      <xdr:rowOff>154057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6680E-F430-437E-A518-F2B1DBB55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32</xdr:col>
      <xdr:colOff>472108</xdr:colOff>
      <xdr:row>1</xdr:row>
      <xdr:rowOff>0</xdr:rowOff>
    </xdr:from>
    <xdr:to>
      <xdr:col>38</xdr:col>
      <xdr:colOff>253896</xdr:colOff>
      <xdr:row>14</xdr:row>
      <xdr:rowOff>77509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CAFBB9-59F2-4265-8363-ACFEE81DD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33804" y="190500"/>
          <a:ext cx="3459266" cy="2554009"/>
        </a:xfrm>
        <a:prstGeom prst="rect">
          <a:avLst/>
        </a:prstGeom>
      </xdr:spPr>
    </xdr:pic>
    <xdr:clientData/>
  </xdr:twoCellAnchor>
  <xdr:twoCellAnchor editAs="oneCell">
    <xdr:from>
      <xdr:col>38</xdr:col>
      <xdr:colOff>579783</xdr:colOff>
      <xdr:row>2</xdr:row>
      <xdr:rowOff>124240</xdr:rowOff>
    </xdr:from>
    <xdr:to>
      <xdr:col>41</xdr:col>
      <xdr:colOff>471539</xdr:colOff>
      <xdr:row>13</xdr:row>
      <xdr:rowOff>148352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702FEE-91B7-4F2E-BD09-5980FD7D5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18957" y="505240"/>
          <a:ext cx="1730495" cy="211961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</xdr:row>
      <xdr:rowOff>152400</xdr:rowOff>
    </xdr:from>
    <xdr:to>
      <xdr:col>14</xdr:col>
      <xdr:colOff>304800</xdr:colOff>
      <xdr:row>11</xdr:row>
      <xdr:rowOff>105361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DC3720-60D5-40D9-9C12-EC0C40CEB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342900"/>
          <a:ext cx="2581275" cy="1857961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304801</xdr:colOff>
      <xdr:row>0</xdr:row>
      <xdr:rowOff>28574</xdr:rowOff>
    </xdr:from>
    <xdr:to>
      <xdr:col>15</xdr:col>
      <xdr:colOff>159406</xdr:colOff>
      <xdr:row>1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2BFDFD-5595-43BC-B1D4-72046DB37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6" y="28574"/>
          <a:ext cx="3512205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587375</xdr:colOff>
      <xdr:row>0</xdr:row>
      <xdr:rowOff>31751</xdr:rowOff>
    </xdr:from>
    <xdr:to>
      <xdr:col>18</xdr:col>
      <xdr:colOff>277812</xdr:colOff>
      <xdr:row>14</xdr:row>
      <xdr:rowOff>92778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4A8557-A462-493F-A3D8-B702BB1B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6563" y="31751"/>
          <a:ext cx="2135187" cy="2728027"/>
        </a:xfrm>
        <a:prstGeom prst="rect">
          <a:avLst/>
        </a:prstGeom>
      </xdr:spPr>
    </xdr:pic>
    <xdr:clientData/>
  </xdr:twoCellAnchor>
  <xdr:twoCellAnchor>
    <xdr:from>
      <xdr:col>18</xdr:col>
      <xdr:colOff>569082</xdr:colOff>
      <xdr:row>119</xdr:row>
      <xdr:rowOff>165307</xdr:rowOff>
    </xdr:from>
    <xdr:to>
      <xdr:col>26</xdr:col>
      <xdr:colOff>265042</xdr:colOff>
      <xdr:row>134</xdr:row>
      <xdr:rowOff>82826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E6C618-31D1-4323-8E90-50BAB8ABF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535609</xdr:colOff>
      <xdr:row>47</xdr:row>
      <xdr:rowOff>107362</xdr:rowOff>
    </xdr:from>
    <xdr:to>
      <xdr:col>17</xdr:col>
      <xdr:colOff>216384</xdr:colOff>
      <xdr:row>61</xdr:row>
      <xdr:rowOff>183562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5236E3-A87C-4149-9EB7-69019CDB9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99909</xdr:colOff>
      <xdr:row>47</xdr:row>
      <xdr:rowOff>148432</xdr:rowOff>
    </xdr:from>
    <xdr:to>
      <xdr:col>25</xdr:col>
      <xdr:colOff>393597</xdr:colOff>
      <xdr:row>62</xdr:row>
      <xdr:rowOff>34132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82D7E7-8095-444C-8750-7AFED644A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138112</xdr:colOff>
      <xdr:row>1</xdr:row>
      <xdr:rowOff>80963</xdr:rowOff>
    </xdr:from>
    <xdr:to>
      <xdr:col>14</xdr:col>
      <xdr:colOff>492125</xdr:colOff>
      <xdr:row>14</xdr:row>
      <xdr:rowOff>52868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DB88BE-A4D8-4B0E-ABC8-4E07B353B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1362" y="271463"/>
          <a:ext cx="3409950" cy="244840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304801</xdr:colOff>
      <xdr:row>0</xdr:row>
      <xdr:rowOff>28574</xdr:rowOff>
    </xdr:from>
    <xdr:to>
      <xdr:col>15</xdr:col>
      <xdr:colOff>159406</xdr:colOff>
      <xdr:row>1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FCA009-5FDC-4767-9612-84154B69D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6" y="28574"/>
          <a:ext cx="3512205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587375</xdr:colOff>
      <xdr:row>0</xdr:row>
      <xdr:rowOff>31751</xdr:rowOff>
    </xdr:from>
    <xdr:to>
      <xdr:col>18</xdr:col>
      <xdr:colOff>349250</xdr:colOff>
      <xdr:row>14</xdr:row>
      <xdr:rowOff>184051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28F71F-6B71-4E7A-8022-3649017A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2750" y="31751"/>
          <a:ext cx="2200275" cy="2819300"/>
        </a:xfrm>
        <a:prstGeom prst="rect">
          <a:avLst/>
        </a:prstGeom>
      </xdr:spPr>
    </xdr:pic>
    <xdr:clientData/>
  </xdr:twoCellAnchor>
  <xdr:twoCellAnchor>
    <xdr:from>
      <xdr:col>43</xdr:col>
      <xdr:colOff>182562</xdr:colOff>
      <xdr:row>147</xdr:row>
      <xdr:rowOff>13493</xdr:rowOff>
    </xdr:from>
    <xdr:to>
      <xdr:col>50</xdr:col>
      <xdr:colOff>476249</xdr:colOff>
      <xdr:row>161</xdr:row>
      <xdr:rowOff>89693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3C249A-6F1E-477F-80C9-02D551D27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273844</xdr:colOff>
      <xdr:row>96</xdr:row>
      <xdr:rowOff>180180</xdr:rowOff>
    </xdr:from>
    <xdr:to>
      <xdr:col>25</xdr:col>
      <xdr:colOff>567530</xdr:colOff>
      <xdr:row>111</xdr:row>
      <xdr:rowOff>39687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C7067D-9AE7-4B9A-8A15-179CB50EF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488156</xdr:colOff>
      <xdr:row>152</xdr:row>
      <xdr:rowOff>180181</xdr:rowOff>
    </xdr:from>
    <xdr:to>
      <xdr:col>32</xdr:col>
      <xdr:colOff>170656</xdr:colOff>
      <xdr:row>167</xdr:row>
      <xdr:rowOff>65881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F3732C-244C-4DB7-8D7C-A4ACC600A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</xdr:row>
      <xdr:rowOff>152400</xdr:rowOff>
    </xdr:from>
    <xdr:to>
      <xdr:col>14</xdr:col>
      <xdr:colOff>304800</xdr:colOff>
      <xdr:row>11</xdr:row>
      <xdr:rowOff>105361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A48FF-FDDF-47A5-8E57-2AFB0D10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342900"/>
          <a:ext cx="2581275" cy="1857961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304801</xdr:colOff>
      <xdr:row>0</xdr:row>
      <xdr:rowOff>28574</xdr:rowOff>
    </xdr:from>
    <xdr:to>
      <xdr:col>15</xdr:col>
      <xdr:colOff>159406</xdr:colOff>
      <xdr:row>1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624CA-6503-42FD-8D5C-FBAC473C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6" y="28574"/>
          <a:ext cx="3512205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587375</xdr:colOff>
      <xdr:row>0</xdr:row>
      <xdr:rowOff>31751</xdr:rowOff>
    </xdr:from>
    <xdr:to>
      <xdr:col>18</xdr:col>
      <xdr:colOff>349250</xdr:colOff>
      <xdr:row>14</xdr:row>
      <xdr:rowOff>184051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8D02AD-50B6-45E7-9359-C481DF398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2750" y="31751"/>
          <a:ext cx="2200275" cy="2819300"/>
        </a:xfrm>
        <a:prstGeom prst="rect">
          <a:avLst/>
        </a:prstGeom>
      </xdr:spPr>
    </xdr:pic>
    <xdr:clientData/>
  </xdr:twoCellAnchor>
  <xdr:twoCellAnchor>
    <xdr:from>
      <xdr:col>16</xdr:col>
      <xdr:colOff>496957</xdr:colOff>
      <xdr:row>28</xdr:row>
      <xdr:rowOff>16566</xdr:rowOff>
    </xdr:from>
    <xdr:to>
      <xdr:col>24</xdr:col>
      <xdr:colOff>176764</xdr:colOff>
      <xdr:row>42</xdr:row>
      <xdr:rowOff>92766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29A604-46FF-4DD7-950A-7A8A24FA2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</xdr:row>
      <xdr:rowOff>152400</xdr:rowOff>
    </xdr:from>
    <xdr:to>
      <xdr:col>14</xdr:col>
      <xdr:colOff>304800</xdr:colOff>
      <xdr:row>11</xdr:row>
      <xdr:rowOff>105361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05A059-4023-4642-A9BA-AA71D30FB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342900"/>
          <a:ext cx="2581275" cy="1857961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304801</xdr:colOff>
      <xdr:row>0</xdr:row>
      <xdr:rowOff>28574</xdr:rowOff>
    </xdr:from>
    <xdr:to>
      <xdr:col>15</xdr:col>
      <xdr:colOff>159406</xdr:colOff>
      <xdr:row>1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B303EF-2857-43F6-A969-2D2A4E15D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6" y="28574"/>
          <a:ext cx="3512205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587375</xdr:colOff>
      <xdr:row>0</xdr:row>
      <xdr:rowOff>31751</xdr:rowOff>
    </xdr:from>
    <xdr:to>
      <xdr:col>18</xdr:col>
      <xdr:colOff>349250</xdr:colOff>
      <xdr:row>14</xdr:row>
      <xdr:rowOff>184051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D19952-075D-4ED6-AA61-4202D7E4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2750" y="31751"/>
          <a:ext cx="2200275" cy="2819300"/>
        </a:xfrm>
        <a:prstGeom prst="rect">
          <a:avLst/>
        </a:prstGeom>
      </xdr:spPr>
    </xdr:pic>
    <xdr:clientData/>
  </xdr:twoCellAnchor>
  <xdr:twoCellAnchor>
    <xdr:from>
      <xdr:col>14</xdr:col>
      <xdr:colOff>538370</xdr:colOff>
      <xdr:row>26</xdr:row>
      <xdr:rowOff>66261</xdr:rowOff>
    </xdr:from>
    <xdr:to>
      <xdr:col>22</xdr:col>
      <xdr:colOff>218178</xdr:colOff>
      <xdr:row>40</xdr:row>
      <xdr:rowOff>142461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D711AF-F52D-48D0-8F78-2E4080FCB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</xdr:row>
      <xdr:rowOff>160337</xdr:rowOff>
    </xdr:from>
    <xdr:to>
      <xdr:col>14</xdr:col>
      <xdr:colOff>396876</xdr:colOff>
      <xdr:row>14</xdr:row>
      <xdr:rowOff>80948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ABFF16-D33A-488F-9B7E-32DC012C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551" y="350837"/>
          <a:ext cx="3338512" cy="2397111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304801</xdr:colOff>
      <xdr:row>0</xdr:row>
      <xdr:rowOff>28574</xdr:rowOff>
    </xdr:from>
    <xdr:to>
      <xdr:col>15</xdr:col>
      <xdr:colOff>159406</xdr:colOff>
      <xdr:row>1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E823-FCEC-4385-9EF5-FAE3142CF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6" y="28574"/>
          <a:ext cx="3512205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587375</xdr:colOff>
      <xdr:row>0</xdr:row>
      <xdr:rowOff>31751</xdr:rowOff>
    </xdr:from>
    <xdr:to>
      <xdr:col>18</xdr:col>
      <xdr:colOff>349250</xdr:colOff>
      <xdr:row>14</xdr:row>
      <xdr:rowOff>184051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89EE8A-A82E-49A0-B484-BBEEF019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2750" y="31751"/>
          <a:ext cx="2200275" cy="2819300"/>
        </a:xfrm>
        <a:prstGeom prst="rect">
          <a:avLst/>
        </a:prstGeom>
      </xdr:spPr>
    </xdr:pic>
    <xdr:clientData/>
  </xdr:twoCellAnchor>
  <xdr:twoCellAnchor>
    <xdr:from>
      <xdr:col>19</xdr:col>
      <xdr:colOff>384968</xdr:colOff>
      <xdr:row>120</xdr:row>
      <xdr:rowOff>158751</xdr:rowOff>
    </xdr:from>
    <xdr:to>
      <xdr:col>27</xdr:col>
      <xdr:colOff>67469</xdr:colOff>
      <xdr:row>135</xdr:row>
      <xdr:rowOff>137319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ADD285-3EF0-41B9-8446-EC26A98B2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400050</xdr:colOff>
      <xdr:row>1</xdr:row>
      <xdr:rowOff>119061</xdr:rowOff>
    </xdr:from>
    <xdr:to>
      <xdr:col>21</xdr:col>
      <xdr:colOff>333375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8A199-A484-45B9-9E2E-9215E8268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200026</xdr:colOff>
      <xdr:row>10</xdr:row>
      <xdr:rowOff>133350</xdr:rowOff>
    </xdr:from>
    <xdr:to>
      <xdr:col>11</xdr:col>
      <xdr:colOff>304802</xdr:colOff>
      <xdr:row>27</xdr:row>
      <xdr:rowOff>9752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6D9D35-0496-4F6C-BE44-DF507C33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1" y="1847850"/>
          <a:ext cx="3905250" cy="311490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27</xdr:row>
      <xdr:rowOff>133350</xdr:rowOff>
    </xdr:from>
    <xdr:to>
      <xdr:col>15</xdr:col>
      <xdr:colOff>316351</xdr:colOff>
      <xdr:row>30</xdr:row>
      <xdr:rowOff>123755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ACFFB1-2951-4720-991F-C73B74A7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00" y="5086350"/>
          <a:ext cx="7228571" cy="5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30</xdr:row>
      <xdr:rowOff>123826</xdr:rowOff>
    </xdr:from>
    <xdr:to>
      <xdr:col>11</xdr:col>
      <xdr:colOff>180976</xdr:colOff>
      <xdr:row>44</xdr:row>
      <xdr:rowOff>135988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677577-F1CB-4A61-92E6-793DD631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0" y="5648326"/>
          <a:ext cx="3857625" cy="2679162"/>
        </a:xfrm>
        <a:prstGeom prst="rect">
          <a:avLst/>
        </a:prstGeom>
      </xdr:spPr>
    </xdr:pic>
    <xdr:clientData/>
  </xdr:twoCellAnchor>
  <xdr:twoCellAnchor>
    <xdr:from>
      <xdr:col>15</xdr:col>
      <xdr:colOff>571500</xdr:colOff>
      <xdr:row>85</xdr:row>
      <xdr:rowOff>109537</xdr:rowOff>
    </xdr:from>
    <xdr:to>
      <xdr:col>22</xdr:col>
      <xdr:colOff>123825</xdr:colOff>
      <xdr:row>99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E3FAD42-1DF0-4F81-9489-94C8CAFA2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484910</xdr:colOff>
      <xdr:row>88</xdr:row>
      <xdr:rowOff>129886</xdr:rowOff>
    </xdr:from>
    <xdr:to>
      <xdr:col>9</xdr:col>
      <xdr:colOff>212148</xdr:colOff>
      <xdr:row>106</xdr:row>
      <xdr:rowOff>134449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B7DE87-9D0A-44F1-98D5-DFDB029E4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4410" y="14036386"/>
          <a:ext cx="2294658" cy="3433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1</xdr:rowOff>
    </xdr:from>
    <xdr:to>
      <xdr:col>15</xdr:col>
      <xdr:colOff>154020</xdr:colOff>
      <xdr:row>106</xdr:row>
      <xdr:rowOff>60615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3AD637-CD89-4DFA-A4A4-5801B3ACE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60182" y="13906501"/>
          <a:ext cx="3864109" cy="3489614"/>
        </a:xfrm>
        <a:prstGeom prst="rect">
          <a:avLst/>
        </a:prstGeom>
      </xdr:spPr>
    </xdr:pic>
    <xdr:clientData/>
  </xdr:twoCellAnchor>
  <xdr:twoCellAnchor editAs="oneCell">
    <xdr:from>
      <xdr:col>6</xdr:col>
      <xdr:colOff>71438</xdr:colOff>
      <xdr:row>107</xdr:row>
      <xdr:rowOff>15875</xdr:rowOff>
    </xdr:from>
    <xdr:to>
      <xdr:col>10</xdr:col>
      <xdr:colOff>309563</xdr:colOff>
      <xdr:row>118</xdr:row>
      <xdr:rowOff>117214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849E09-41E7-4483-97CA-61270B5B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10626" y="20399375"/>
          <a:ext cx="2825750" cy="21968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</xdr:row>
      <xdr:rowOff>1</xdr:rowOff>
    </xdr:from>
    <xdr:to>
      <xdr:col>14</xdr:col>
      <xdr:colOff>769327</xdr:colOff>
      <xdr:row>119</xdr:row>
      <xdr:rowOff>73227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415006-C681-4DAE-9243-DF333CAC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6318" y="17526001"/>
          <a:ext cx="2996046" cy="2359226"/>
        </a:xfrm>
        <a:prstGeom prst="rect">
          <a:avLst/>
        </a:prstGeom>
      </xdr:spPr>
    </xdr:pic>
    <xdr:clientData/>
  </xdr:twoCellAnchor>
  <xdr:twoCellAnchor editAs="oneCell">
    <xdr:from>
      <xdr:col>11</xdr:col>
      <xdr:colOff>415637</xdr:colOff>
      <xdr:row>126</xdr:row>
      <xdr:rowOff>155864</xdr:rowOff>
    </xdr:from>
    <xdr:to>
      <xdr:col>15</xdr:col>
      <xdr:colOff>306848</xdr:colOff>
      <xdr:row>135</xdr:row>
      <xdr:rowOff>111125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FC0548-9DBD-45D4-BABB-5D7651FCE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10762" y="24158864"/>
          <a:ext cx="3002711" cy="1677699"/>
        </a:xfrm>
        <a:prstGeom prst="rect">
          <a:avLst/>
        </a:prstGeom>
      </xdr:spPr>
    </xdr:pic>
    <xdr:clientData/>
  </xdr:twoCellAnchor>
  <xdr:twoCellAnchor editAs="oneCell">
    <xdr:from>
      <xdr:col>11</xdr:col>
      <xdr:colOff>398318</xdr:colOff>
      <xdr:row>156</xdr:row>
      <xdr:rowOff>112567</xdr:rowOff>
    </xdr:from>
    <xdr:to>
      <xdr:col>16</xdr:col>
      <xdr:colOff>444114</xdr:colOff>
      <xdr:row>169</xdr:row>
      <xdr:rowOff>25976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7ECE5E-E347-468A-928C-7F6D77197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64636" y="22989885"/>
          <a:ext cx="3966366" cy="2389909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</xdr:colOff>
      <xdr:row>132</xdr:row>
      <xdr:rowOff>138545</xdr:rowOff>
    </xdr:from>
    <xdr:to>
      <xdr:col>11</xdr:col>
      <xdr:colOff>38967</xdr:colOff>
      <xdr:row>148</xdr:row>
      <xdr:rowOff>153420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F04495-CBDC-4295-87EB-36C940071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49" y="22435704"/>
          <a:ext cx="3723410" cy="3059627"/>
        </a:xfrm>
        <a:prstGeom prst="rect">
          <a:avLst/>
        </a:prstGeom>
      </xdr:spPr>
    </xdr:pic>
    <xdr:clientData/>
  </xdr:twoCellAnchor>
  <xdr:twoCellAnchor editAs="oneCell">
    <xdr:from>
      <xdr:col>5</xdr:col>
      <xdr:colOff>129886</xdr:colOff>
      <xdr:row>127</xdr:row>
      <xdr:rowOff>25978</xdr:rowOff>
    </xdr:from>
    <xdr:to>
      <xdr:col>11</xdr:col>
      <xdr:colOff>56285</xdr:colOff>
      <xdr:row>131</xdr:row>
      <xdr:rowOff>173877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AAE194-0F18-4FFF-9E20-3A305260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59386" y="21361978"/>
          <a:ext cx="3706091" cy="918558"/>
        </a:xfrm>
        <a:prstGeom prst="rect">
          <a:avLst/>
        </a:prstGeom>
      </xdr:spPr>
    </xdr:pic>
    <xdr:clientData/>
  </xdr:twoCellAnchor>
  <xdr:twoCellAnchor editAs="oneCell">
    <xdr:from>
      <xdr:col>52</xdr:col>
      <xdr:colOff>462583</xdr:colOff>
      <xdr:row>347</xdr:row>
      <xdr:rowOff>179422</xdr:rowOff>
    </xdr:from>
    <xdr:to>
      <xdr:col>71</xdr:col>
      <xdr:colOff>343897</xdr:colOff>
      <xdr:row>357</xdr:row>
      <xdr:rowOff>188708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9F015E-E46A-4DEB-8E0E-7B0C342C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409605" y="66680487"/>
          <a:ext cx="11526662" cy="1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207</xdr:row>
      <xdr:rowOff>104775</xdr:rowOff>
    </xdr:from>
    <xdr:to>
      <xdr:col>16</xdr:col>
      <xdr:colOff>181386</xdr:colOff>
      <xdr:row>259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DF7CFBD-03DD-49C9-8E4A-F76625FC6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96325" y="39595425"/>
          <a:ext cx="7344186" cy="10125075"/>
        </a:xfrm>
        <a:prstGeom prst="rect">
          <a:avLst/>
        </a:prstGeom>
      </xdr:spPr>
    </xdr:pic>
    <xdr:clientData/>
  </xdr:twoCellAnchor>
  <xdr:twoCellAnchor>
    <xdr:from>
      <xdr:col>12</xdr:col>
      <xdr:colOff>47624</xdr:colOff>
      <xdr:row>31</xdr:row>
      <xdr:rowOff>57943</xdr:rowOff>
    </xdr:from>
    <xdr:to>
      <xdr:col>21</xdr:col>
      <xdr:colOff>771524</xdr:colOff>
      <xdr:row>56</xdr:row>
      <xdr:rowOff>142875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054A1FC-5261-45BB-AC5A-77FE11477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14</xdr:col>
      <xdr:colOff>656166</xdr:colOff>
      <xdr:row>219</xdr:row>
      <xdr:rowOff>87312</xdr:rowOff>
    </xdr:from>
    <xdr:to>
      <xdr:col>21</xdr:col>
      <xdr:colOff>59267</xdr:colOff>
      <xdr:row>239</xdr:row>
      <xdr:rowOff>50051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900065-0363-403C-BD9A-0385B66B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21416" y="41891479"/>
          <a:ext cx="5037668" cy="3857405"/>
        </a:xfrm>
        <a:prstGeom prst="rect">
          <a:avLst/>
        </a:prstGeom>
      </xdr:spPr>
    </xdr:pic>
    <xdr:clientData/>
  </xdr:twoCellAnchor>
  <xdr:twoCellAnchor editAs="oneCell">
    <xdr:from>
      <xdr:col>22</xdr:col>
      <xdr:colOff>235481</xdr:colOff>
      <xdr:row>217</xdr:row>
      <xdr:rowOff>137585</xdr:rowOff>
    </xdr:from>
    <xdr:to>
      <xdr:col>28</xdr:col>
      <xdr:colOff>677716</xdr:colOff>
      <xdr:row>233</xdr:row>
      <xdr:rowOff>10584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C73DC4-7B24-4591-994B-860CFF087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878148" y="41560752"/>
          <a:ext cx="4961548" cy="2942165"/>
        </a:xfrm>
        <a:prstGeom prst="rect">
          <a:avLst/>
        </a:prstGeom>
      </xdr:spPr>
    </xdr:pic>
    <xdr:clientData/>
  </xdr:twoCellAnchor>
  <xdr:twoCellAnchor editAs="oneCell">
    <xdr:from>
      <xdr:col>31</xdr:col>
      <xdr:colOff>227545</xdr:colOff>
      <xdr:row>222</xdr:row>
      <xdr:rowOff>18518</xdr:rowOff>
    </xdr:from>
    <xdr:to>
      <xdr:col>40</xdr:col>
      <xdr:colOff>74084</xdr:colOff>
      <xdr:row>239</xdr:row>
      <xdr:rowOff>33111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812367A-0C8B-4EE9-B7BE-30D2C62C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394712" y="42394185"/>
          <a:ext cx="5371038" cy="3337759"/>
        </a:xfrm>
        <a:prstGeom prst="rect">
          <a:avLst/>
        </a:prstGeom>
      </xdr:spPr>
    </xdr:pic>
    <xdr:clientData/>
  </xdr:twoCellAnchor>
  <xdr:twoCellAnchor editAs="oneCell">
    <xdr:from>
      <xdr:col>16</xdr:col>
      <xdr:colOff>470959</xdr:colOff>
      <xdr:row>240</xdr:row>
      <xdr:rowOff>63501</xdr:rowOff>
    </xdr:from>
    <xdr:to>
      <xdr:col>23</xdr:col>
      <xdr:colOff>738717</xdr:colOff>
      <xdr:row>249</xdr:row>
      <xdr:rowOff>176369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F54558D-030C-44AC-AF6B-913FBFFF4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29542" y="45952834"/>
          <a:ext cx="5688542" cy="1869702"/>
        </a:xfrm>
        <a:prstGeom prst="rect">
          <a:avLst/>
        </a:prstGeom>
      </xdr:spPr>
    </xdr:pic>
    <xdr:clientData/>
  </xdr:twoCellAnchor>
  <xdr:twoCellAnchor editAs="oneCell">
    <xdr:from>
      <xdr:col>26</xdr:col>
      <xdr:colOff>191824</xdr:colOff>
      <xdr:row>242</xdr:row>
      <xdr:rowOff>169334</xdr:rowOff>
    </xdr:from>
    <xdr:to>
      <xdr:col>30</xdr:col>
      <xdr:colOff>75608</xdr:colOff>
      <xdr:row>264</xdr:row>
      <xdr:rowOff>11905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210002-B6CA-40CF-9A56-C0C15ACE6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182668" y="46460834"/>
          <a:ext cx="2749153" cy="4105009"/>
        </a:xfrm>
        <a:prstGeom prst="rect">
          <a:avLst/>
        </a:prstGeom>
      </xdr:spPr>
    </xdr:pic>
    <xdr:clientData/>
  </xdr:twoCellAnchor>
  <xdr:twoCellAnchor editAs="oneCell">
    <xdr:from>
      <xdr:col>17</xdr:col>
      <xdr:colOff>26456</xdr:colOff>
      <xdr:row>247</xdr:row>
      <xdr:rowOff>47628</xdr:rowOff>
    </xdr:from>
    <xdr:to>
      <xdr:col>22</xdr:col>
      <xdr:colOff>402167</xdr:colOff>
      <xdr:row>260</xdr:row>
      <xdr:rowOff>68512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26FFF7-FCC2-4039-92CC-3C9DF6C7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38019" y="47303534"/>
          <a:ext cx="4507179" cy="2533103"/>
        </a:xfrm>
        <a:prstGeom prst="rect">
          <a:avLst/>
        </a:prstGeom>
      </xdr:spPr>
    </xdr:pic>
    <xdr:clientData/>
  </xdr:twoCellAnchor>
  <xdr:twoCellAnchor editAs="oneCell">
    <xdr:from>
      <xdr:col>31</xdr:col>
      <xdr:colOff>171978</xdr:colOff>
      <xdr:row>240</xdr:row>
      <xdr:rowOff>134937</xdr:rowOff>
    </xdr:from>
    <xdr:to>
      <xdr:col>40</xdr:col>
      <xdr:colOff>360113</xdr:colOff>
      <xdr:row>257</xdr:row>
      <xdr:rowOff>105834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7EE957F-69C6-4D6E-B064-7D4523700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339145" y="46024270"/>
          <a:ext cx="5712634" cy="3294064"/>
        </a:xfrm>
        <a:prstGeom prst="rect">
          <a:avLst/>
        </a:prstGeom>
      </xdr:spPr>
    </xdr:pic>
    <xdr:clientData/>
  </xdr:twoCellAnchor>
  <xdr:twoCellAnchor editAs="oneCell">
    <xdr:from>
      <xdr:col>32</xdr:col>
      <xdr:colOff>130990</xdr:colOff>
      <xdr:row>252</xdr:row>
      <xdr:rowOff>28574</xdr:rowOff>
    </xdr:from>
    <xdr:to>
      <xdr:col>40</xdr:col>
      <xdr:colOff>120651</xdr:colOff>
      <xdr:row>271</xdr:row>
      <xdr:rowOff>97736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BACFDF-BA10-4077-9017-4A069F21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600965" y="48253649"/>
          <a:ext cx="4866460" cy="3726762"/>
        </a:xfrm>
        <a:prstGeom prst="rect">
          <a:avLst/>
        </a:prstGeom>
      </xdr:spPr>
    </xdr:pic>
    <xdr:clientData/>
  </xdr:twoCellAnchor>
  <xdr:twoCellAnchor editAs="oneCell">
    <xdr:from>
      <xdr:col>41</xdr:col>
      <xdr:colOff>42335</xdr:colOff>
      <xdr:row>244</xdr:row>
      <xdr:rowOff>52919</xdr:rowOff>
    </xdr:from>
    <xdr:to>
      <xdr:col>46</xdr:col>
      <xdr:colOff>582083</xdr:colOff>
      <xdr:row>263</xdr:row>
      <xdr:rowOff>32951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9436EC2-C072-4E0C-BCF2-FD9BD121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347835" y="46736002"/>
          <a:ext cx="3608915" cy="3663032"/>
        </a:xfrm>
        <a:prstGeom prst="rect">
          <a:avLst/>
        </a:prstGeom>
      </xdr:spPr>
    </xdr:pic>
    <xdr:clientData/>
  </xdr:twoCellAnchor>
  <xdr:twoCellAnchor editAs="oneCell">
    <xdr:from>
      <xdr:col>40</xdr:col>
      <xdr:colOff>394758</xdr:colOff>
      <xdr:row>264</xdr:row>
      <xdr:rowOff>167745</xdr:rowOff>
    </xdr:from>
    <xdr:to>
      <xdr:col>47</xdr:col>
      <xdr:colOff>241300</xdr:colOff>
      <xdr:row>283</xdr:row>
      <xdr:rowOff>30296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ED0F5D-78C0-4AE6-9AF6-7C533E377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950958" y="50707395"/>
          <a:ext cx="4113743" cy="3577301"/>
        </a:xfrm>
        <a:prstGeom prst="rect">
          <a:avLst/>
        </a:prstGeom>
      </xdr:spPr>
    </xdr:pic>
    <xdr:clientData/>
  </xdr:twoCellAnchor>
  <xdr:twoCellAnchor editAs="oneCell">
    <xdr:from>
      <xdr:col>61</xdr:col>
      <xdr:colOff>499649</xdr:colOff>
      <xdr:row>323</xdr:row>
      <xdr:rowOff>18236</xdr:rowOff>
    </xdr:from>
    <xdr:to>
      <xdr:col>71</xdr:col>
      <xdr:colOff>278775</xdr:colOff>
      <xdr:row>347</xdr:row>
      <xdr:rowOff>56351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7806ECC-5E6F-4E70-A890-B18344B16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962888" y="61939019"/>
          <a:ext cx="5908257" cy="4618397"/>
        </a:xfrm>
        <a:prstGeom prst="rect">
          <a:avLst/>
        </a:prstGeom>
      </xdr:spPr>
    </xdr:pic>
    <xdr:clientData/>
  </xdr:twoCellAnchor>
  <xdr:twoCellAnchor editAs="oneCell">
    <xdr:from>
      <xdr:col>44</xdr:col>
      <xdr:colOff>512233</xdr:colOff>
      <xdr:row>283</xdr:row>
      <xdr:rowOff>101600</xdr:rowOff>
    </xdr:from>
    <xdr:to>
      <xdr:col>58</xdr:col>
      <xdr:colOff>464345</xdr:colOff>
      <xdr:row>322</xdr:row>
      <xdr:rowOff>106878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1E3280-4FD4-4D8E-8182-C655C3965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789702" y="54358381"/>
          <a:ext cx="8453173" cy="7532796"/>
        </a:xfrm>
        <a:prstGeom prst="rect">
          <a:avLst/>
        </a:prstGeom>
      </xdr:spPr>
    </xdr:pic>
    <xdr:clientData/>
  </xdr:twoCellAnchor>
  <xdr:twoCellAnchor editAs="oneCell">
    <xdr:from>
      <xdr:col>52</xdr:col>
      <xdr:colOff>445941</xdr:colOff>
      <xdr:row>327</xdr:row>
      <xdr:rowOff>140896</xdr:rowOff>
    </xdr:from>
    <xdr:to>
      <xdr:col>64</xdr:col>
      <xdr:colOff>275670</xdr:colOff>
      <xdr:row>346</xdr:row>
      <xdr:rowOff>174766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BE0D8D-44C3-40A8-AC31-F601782E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392963" y="62823679"/>
          <a:ext cx="7184685" cy="3661652"/>
        </a:xfrm>
        <a:prstGeom prst="rect">
          <a:avLst/>
        </a:prstGeom>
      </xdr:spPr>
    </xdr:pic>
    <xdr:clientData/>
  </xdr:twoCellAnchor>
  <xdr:twoCellAnchor>
    <xdr:from>
      <xdr:col>12</xdr:col>
      <xdr:colOff>146188</xdr:colOff>
      <xdr:row>296</xdr:row>
      <xdr:rowOff>165030</xdr:rowOff>
    </xdr:from>
    <xdr:to>
      <xdr:col>18</xdr:col>
      <xdr:colOff>174763</xdr:colOff>
      <xdr:row>311</xdr:row>
      <xdr:rowOff>32923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6A69475-5B23-4C1A-869F-FF8E1178A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</xdr:col>
      <xdr:colOff>364435</xdr:colOff>
      <xdr:row>296</xdr:row>
      <xdr:rowOff>185530</xdr:rowOff>
    </xdr:from>
    <xdr:to>
      <xdr:col>34</xdr:col>
      <xdr:colOff>295275</xdr:colOff>
      <xdr:row>312</xdr:row>
      <xdr:rowOff>38100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9AFAA9D-2FF1-4119-9863-E4C1D4FA7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32</xdr:col>
      <xdr:colOff>198783</xdr:colOff>
      <xdr:row>338</xdr:row>
      <xdr:rowOff>102704</xdr:rowOff>
    </xdr:from>
    <xdr:to>
      <xdr:col>39</xdr:col>
      <xdr:colOff>478332</xdr:colOff>
      <xdr:row>352</xdr:row>
      <xdr:rowOff>169379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9CCE82B-8B6C-4CFD-8698-E85235034A1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40</xdr:col>
      <xdr:colOff>86968</xdr:colOff>
      <xdr:row>338</xdr:row>
      <xdr:rowOff>77855</xdr:rowOff>
    </xdr:from>
    <xdr:to>
      <xdr:col>47</xdr:col>
      <xdr:colOff>368576</xdr:colOff>
      <xdr:row>352</xdr:row>
      <xdr:rowOff>145773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F318A3B6-231D-4F31-B2F8-FE56EEFAA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30</xdr:col>
      <xdr:colOff>538368</xdr:colOff>
      <xdr:row>370</xdr:row>
      <xdr:rowOff>152400</xdr:rowOff>
    </xdr:from>
    <xdr:to>
      <xdr:col>38</xdr:col>
      <xdr:colOff>207064</xdr:colOff>
      <xdr:row>385</xdr:row>
      <xdr:rowOff>38100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F76A3C5A-3E09-4726-9FC6-CB64E82E3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30</xdr:col>
      <xdr:colOff>140804</xdr:colOff>
      <xdr:row>394</xdr:row>
      <xdr:rowOff>152400</xdr:rowOff>
    </xdr:from>
    <xdr:to>
      <xdr:col>37</xdr:col>
      <xdr:colOff>422413</xdr:colOff>
      <xdr:row>409</xdr:row>
      <xdr:rowOff>38100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ECC04BA-8BF4-4BDC-BB21-E8036B38E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30</xdr:col>
      <xdr:colOff>161510</xdr:colOff>
      <xdr:row>420</xdr:row>
      <xdr:rowOff>11595</xdr:rowOff>
    </xdr:from>
    <xdr:to>
      <xdr:col>37</xdr:col>
      <xdr:colOff>443119</xdr:colOff>
      <xdr:row>434</xdr:row>
      <xdr:rowOff>87795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EECF4AA9-1480-449B-ACEB-F6C369D7A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29</xdr:col>
      <xdr:colOff>252619</xdr:colOff>
      <xdr:row>469</xdr:row>
      <xdr:rowOff>53009</xdr:rowOff>
    </xdr:from>
    <xdr:to>
      <xdr:col>36</xdr:col>
      <xdr:colOff>534228</xdr:colOff>
      <xdr:row>483</xdr:row>
      <xdr:rowOff>129209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A5AD634-7150-4890-8652-94E295367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37</xdr:col>
      <xdr:colOff>15737</xdr:colOff>
      <xdr:row>469</xdr:row>
      <xdr:rowOff>56323</xdr:rowOff>
    </xdr:from>
    <xdr:to>
      <xdr:col>44</xdr:col>
      <xdr:colOff>297346</xdr:colOff>
      <xdr:row>483</xdr:row>
      <xdr:rowOff>132523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570818C-6FFF-4411-84C3-0863733E8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30</xdr:col>
      <xdr:colOff>45554</xdr:colOff>
      <xdr:row>444</xdr:row>
      <xdr:rowOff>61291</xdr:rowOff>
    </xdr:from>
    <xdr:to>
      <xdr:col>37</xdr:col>
      <xdr:colOff>327163</xdr:colOff>
      <xdr:row>458</xdr:row>
      <xdr:rowOff>137491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E60D707-D037-4FE0-9C2A-6C805E307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426968</xdr:colOff>
      <xdr:row>419</xdr:row>
      <xdr:rowOff>94007</xdr:rowOff>
    </xdr:from>
    <xdr:to>
      <xdr:col>62</xdr:col>
      <xdr:colOff>95664</xdr:colOff>
      <xdr:row>433</xdr:row>
      <xdr:rowOff>170207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9399946-7AE5-4B1D-B5A3-11BCD5515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30</xdr:col>
      <xdr:colOff>20706</xdr:colOff>
      <xdr:row>494</xdr:row>
      <xdr:rowOff>44726</xdr:rowOff>
    </xdr:from>
    <xdr:to>
      <xdr:col>37</xdr:col>
      <xdr:colOff>302315</xdr:colOff>
      <xdr:row>508</xdr:row>
      <xdr:rowOff>120926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5CD440BF-BE42-4F75-8E55-829364F7F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44</xdr:col>
      <xdr:colOff>600489</xdr:colOff>
      <xdr:row>469</xdr:row>
      <xdr:rowOff>127553</xdr:rowOff>
    </xdr:from>
    <xdr:to>
      <xdr:col>52</xdr:col>
      <xdr:colOff>269184</xdr:colOff>
      <xdr:row>484</xdr:row>
      <xdr:rowOff>13253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E9116703-CBCF-4A02-9676-86351F90E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38</xdr:col>
      <xdr:colOff>571500</xdr:colOff>
      <xdr:row>370</xdr:row>
      <xdr:rowOff>80962</xdr:rowOff>
    </xdr:from>
    <xdr:to>
      <xdr:col>46</xdr:col>
      <xdr:colOff>266700</xdr:colOff>
      <xdr:row>384</xdr:row>
      <xdr:rowOff>157162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9E98515-A4F1-4F00-A695-098F8D05B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47</xdr:col>
      <xdr:colOff>57150</xdr:colOff>
      <xdr:row>370</xdr:row>
      <xdr:rowOff>71437</xdr:rowOff>
    </xdr:from>
    <xdr:to>
      <xdr:col>54</xdr:col>
      <xdr:colOff>361950</xdr:colOff>
      <xdr:row>384</xdr:row>
      <xdr:rowOff>147637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A157000A-CC7B-4B5A-8319-24149336B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54</xdr:col>
      <xdr:colOff>600075</xdr:colOff>
      <xdr:row>370</xdr:row>
      <xdr:rowOff>42862</xdr:rowOff>
    </xdr:from>
    <xdr:to>
      <xdr:col>62</xdr:col>
      <xdr:colOff>295275</xdr:colOff>
      <xdr:row>384</xdr:row>
      <xdr:rowOff>119062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CBEC2C2-1C22-4E59-899C-F0891669B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48</xdr:col>
      <xdr:colOff>19050</xdr:colOff>
      <xdr:row>338</xdr:row>
      <xdr:rowOff>33337</xdr:rowOff>
    </xdr:from>
    <xdr:to>
      <xdr:col>55</xdr:col>
      <xdr:colOff>323850</xdr:colOff>
      <xdr:row>352</xdr:row>
      <xdr:rowOff>100012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83F0B26B-A436-47A1-B6B5-55556E08A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39</xdr:col>
      <xdr:colOff>76200</xdr:colOff>
      <xdr:row>394</xdr:row>
      <xdr:rowOff>128587</xdr:rowOff>
    </xdr:from>
    <xdr:to>
      <xdr:col>46</xdr:col>
      <xdr:colOff>381000</xdr:colOff>
      <xdr:row>409</xdr:row>
      <xdr:rowOff>14287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F378E46-330A-4B2F-9429-3B65AED32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47</xdr:col>
      <xdr:colOff>180975</xdr:colOff>
      <xdr:row>394</xdr:row>
      <xdr:rowOff>90487</xdr:rowOff>
    </xdr:from>
    <xdr:to>
      <xdr:col>54</xdr:col>
      <xdr:colOff>485775</xdr:colOff>
      <xdr:row>408</xdr:row>
      <xdr:rowOff>166687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DFDE5E33-57A7-441E-9591-0C70C503E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38</xdr:col>
      <xdr:colOff>600075</xdr:colOff>
      <xdr:row>419</xdr:row>
      <xdr:rowOff>71437</xdr:rowOff>
    </xdr:from>
    <xdr:to>
      <xdr:col>46</xdr:col>
      <xdr:colOff>295275</xdr:colOff>
      <xdr:row>433</xdr:row>
      <xdr:rowOff>147637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B46D3937-F72C-4D04-B413-B5FA9B358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46</xdr:col>
      <xdr:colOff>476250</xdr:colOff>
      <xdr:row>419</xdr:row>
      <xdr:rowOff>71437</xdr:rowOff>
    </xdr:from>
    <xdr:to>
      <xdr:col>54</xdr:col>
      <xdr:colOff>171450</xdr:colOff>
      <xdr:row>433</xdr:row>
      <xdr:rowOff>147637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C2287AD9-8E7A-4E33-A35C-945EB8867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39</xdr:col>
      <xdr:colOff>38100</xdr:colOff>
      <xdr:row>444</xdr:row>
      <xdr:rowOff>109537</xdr:rowOff>
    </xdr:from>
    <xdr:to>
      <xdr:col>46</xdr:col>
      <xdr:colOff>342900</xdr:colOff>
      <xdr:row>458</xdr:row>
      <xdr:rowOff>185737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E1686E0-0E1B-4654-9F8E-0E7DBCCB1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47</xdr:col>
      <xdr:colOff>76200</xdr:colOff>
      <xdr:row>444</xdr:row>
      <xdr:rowOff>109537</xdr:rowOff>
    </xdr:from>
    <xdr:to>
      <xdr:col>54</xdr:col>
      <xdr:colOff>381000</xdr:colOff>
      <xdr:row>458</xdr:row>
      <xdr:rowOff>185737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3E57829-B672-44E2-9DC7-EC0338CF6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53</xdr:col>
      <xdr:colOff>66675</xdr:colOff>
      <xdr:row>470</xdr:row>
      <xdr:rowOff>71437</xdr:rowOff>
    </xdr:from>
    <xdr:to>
      <xdr:col>60</xdr:col>
      <xdr:colOff>371475</xdr:colOff>
      <xdr:row>484</xdr:row>
      <xdr:rowOff>147637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4F5722EC-3F52-452C-BD81-8411F2D47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60</xdr:col>
      <xdr:colOff>552450</xdr:colOff>
      <xdr:row>470</xdr:row>
      <xdr:rowOff>71437</xdr:rowOff>
    </xdr:from>
    <xdr:to>
      <xdr:col>68</xdr:col>
      <xdr:colOff>247650</xdr:colOff>
      <xdr:row>484</xdr:row>
      <xdr:rowOff>147637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65B98A1-FEC6-4433-AA43-E919DD988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69</xdr:col>
      <xdr:colOff>28575</xdr:colOff>
      <xdr:row>470</xdr:row>
      <xdr:rowOff>23812</xdr:rowOff>
    </xdr:from>
    <xdr:to>
      <xdr:col>76</xdr:col>
      <xdr:colOff>333375</xdr:colOff>
      <xdr:row>484</xdr:row>
      <xdr:rowOff>100012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6E39135-AAB1-4B41-853B-C18C610DF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77</xdr:col>
      <xdr:colOff>123825</xdr:colOff>
      <xdr:row>470</xdr:row>
      <xdr:rowOff>52387</xdr:rowOff>
    </xdr:from>
    <xdr:to>
      <xdr:col>84</xdr:col>
      <xdr:colOff>428625</xdr:colOff>
      <xdr:row>484</xdr:row>
      <xdr:rowOff>128587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8DE8BB5-F402-4CF4-A8F3-58F9F1F90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85</xdr:col>
      <xdr:colOff>9525</xdr:colOff>
      <xdr:row>470</xdr:row>
      <xdr:rowOff>14287</xdr:rowOff>
    </xdr:from>
    <xdr:to>
      <xdr:col>92</xdr:col>
      <xdr:colOff>314325</xdr:colOff>
      <xdr:row>484</xdr:row>
      <xdr:rowOff>90487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783A075B-B0E2-4992-A72B-AA232EA76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93</xdr:col>
      <xdr:colOff>104775</xdr:colOff>
      <xdr:row>470</xdr:row>
      <xdr:rowOff>23812</xdr:rowOff>
    </xdr:from>
    <xdr:to>
      <xdr:col>100</xdr:col>
      <xdr:colOff>409575</xdr:colOff>
      <xdr:row>484</xdr:row>
      <xdr:rowOff>100012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5CE33BCA-7278-40EE-B508-716F6764A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36</xdr:col>
      <xdr:colOff>80962</xdr:colOff>
      <xdr:row>302</xdr:row>
      <xdr:rowOff>138112</xdr:rowOff>
    </xdr:from>
    <xdr:to>
      <xdr:col>43</xdr:col>
      <xdr:colOff>323850</xdr:colOff>
      <xdr:row>317</xdr:row>
      <xdr:rowOff>114300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1CC08605-41D3-4376-A610-723727351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338328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DFBF5-7CE1-475A-915D-6416FF176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28574</xdr:colOff>
      <xdr:row>0</xdr:row>
      <xdr:rowOff>0</xdr:rowOff>
    </xdr:from>
    <xdr:to>
      <xdr:col>25</xdr:col>
      <xdr:colOff>366902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F6A5EA-46E4-4012-9258-48951C9E2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85725</xdr:colOff>
      <xdr:row>0</xdr:row>
      <xdr:rowOff>0</xdr:rowOff>
    </xdr:from>
    <xdr:to>
      <xdr:col>38</xdr:col>
      <xdr:colOff>424053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72E886-208A-4C88-A0A6-C5C5C625F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19049</xdr:colOff>
      <xdr:row>25</xdr:row>
      <xdr:rowOff>28575</xdr:rowOff>
    </xdr:from>
    <xdr:to>
      <xdr:col>38</xdr:col>
      <xdr:colOff>357377</xdr:colOff>
      <xdr:row>49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7500A3-24B1-432E-B1F9-DD8DE2BDF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25</xdr:row>
      <xdr:rowOff>19050</xdr:rowOff>
    </xdr:from>
    <xdr:to>
      <xdr:col>12</xdr:col>
      <xdr:colOff>338328</xdr:colOff>
      <xdr:row>49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8DB290-1F86-49F6-9599-C3C7B5158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28575</xdr:colOff>
      <xdr:row>25</xdr:row>
      <xdr:rowOff>19050</xdr:rowOff>
    </xdr:from>
    <xdr:to>
      <xdr:col>25</xdr:col>
      <xdr:colOff>366903</xdr:colOff>
      <xdr:row>49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D4D8E3B-CF56-4EB7-BFEE-A4E2E65BB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28575</xdr:colOff>
      <xdr:row>25</xdr:row>
      <xdr:rowOff>19050</xdr:rowOff>
    </xdr:from>
    <xdr:to>
      <xdr:col>51</xdr:col>
      <xdr:colOff>366903</xdr:colOff>
      <xdr:row>49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60FBBB-21EF-4D0B-AD26-55073ACCE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76199</xdr:colOff>
      <xdr:row>50</xdr:row>
      <xdr:rowOff>28575</xdr:rowOff>
    </xdr:from>
    <xdr:to>
      <xdr:col>38</xdr:col>
      <xdr:colOff>414527</xdr:colOff>
      <xdr:row>74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CFFCC3-590A-4E1A-95FF-83AD138B5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50</xdr:row>
      <xdr:rowOff>38100</xdr:rowOff>
    </xdr:from>
    <xdr:to>
      <xdr:col>12</xdr:col>
      <xdr:colOff>338328</xdr:colOff>
      <xdr:row>74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30E5EF1-130D-40D2-B437-D05E79411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50</xdr:row>
      <xdr:rowOff>9525</xdr:rowOff>
    </xdr:from>
    <xdr:to>
      <xdr:col>25</xdr:col>
      <xdr:colOff>366903</xdr:colOff>
      <xdr:row>74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E10E3DF-AA20-4604-99E6-CE4D6D199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19049</xdr:colOff>
      <xdr:row>75</xdr:row>
      <xdr:rowOff>28575</xdr:rowOff>
    </xdr:from>
    <xdr:to>
      <xdr:col>38</xdr:col>
      <xdr:colOff>357377</xdr:colOff>
      <xdr:row>99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285056B-A7CA-4323-A2A4-783A52B97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75</xdr:row>
      <xdr:rowOff>28575</xdr:rowOff>
    </xdr:from>
    <xdr:to>
      <xdr:col>12</xdr:col>
      <xdr:colOff>338328</xdr:colOff>
      <xdr:row>99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2A2CA8-2EB4-4892-AE89-4F0CABB811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28575</xdr:colOff>
      <xdr:row>75</xdr:row>
      <xdr:rowOff>9525</xdr:rowOff>
    </xdr:from>
    <xdr:to>
      <xdr:col>25</xdr:col>
      <xdr:colOff>366903</xdr:colOff>
      <xdr:row>99</xdr:row>
      <xdr:rowOff>9525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9EC53F9-EDC0-4E3D-A6D8-FA85C71ED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39</xdr:col>
      <xdr:colOff>38099</xdr:colOff>
      <xdr:row>75</xdr:row>
      <xdr:rowOff>28575</xdr:rowOff>
    </xdr:from>
    <xdr:to>
      <xdr:col>51</xdr:col>
      <xdr:colOff>376427</xdr:colOff>
      <xdr:row>99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179BD16-950C-461E-ADA9-34E3DD661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9524</xdr:colOff>
      <xdr:row>100</xdr:row>
      <xdr:rowOff>9525</xdr:rowOff>
    </xdr:from>
    <xdr:to>
      <xdr:col>38</xdr:col>
      <xdr:colOff>347852</xdr:colOff>
      <xdr:row>124</xdr:row>
      <xdr:rowOff>9525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0E39758-A100-450F-8BC7-E0E30C073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100</xdr:row>
      <xdr:rowOff>38721</xdr:rowOff>
    </xdr:from>
    <xdr:to>
      <xdr:col>12</xdr:col>
      <xdr:colOff>338328</xdr:colOff>
      <xdr:row>124</xdr:row>
      <xdr:rowOff>38721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769E42C-7DF5-4A80-9592-2626847BB8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19050</xdr:colOff>
      <xdr:row>100</xdr:row>
      <xdr:rowOff>38721</xdr:rowOff>
    </xdr:from>
    <xdr:to>
      <xdr:col>25</xdr:col>
      <xdr:colOff>357378</xdr:colOff>
      <xdr:row>124</xdr:row>
      <xdr:rowOff>38721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AC3B005-CD38-4A99-9C5E-4B48821DF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125</xdr:row>
      <xdr:rowOff>28575</xdr:rowOff>
    </xdr:from>
    <xdr:to>
      <xdr:col>12</xdr:col>
      <xdr:colOff>338328</xdr:colOff>
      <xdr:row>149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C8BBD0B-C196-445B-8116-66B0F0D8D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</xdr:col>
      <xdr:colOff>28575</xdr:colOff>
      <xdr:row>125</xdr:row>
      <xdr:rowOff>19050</xdr:rowOff>
    </xdr:from>
    <xdr:to>
      <xdr:col>25</xdr:col>
      <xdr:colOff>366903</xdr:colOff>
      <xdr:row>149</xdr:row>
      <xdr:rowOff>19050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D36A062-B0A1-4285-AD18-84B74549F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</xdr:col>
      <xdr:colOff>28574</xdr:colOff>
      <xdr:row>125</xdr:row>
      <xdr:rowOff>19050</xdr:rowOff>
    </xdr:from>
    <xdr:to>
      <xdr:col>38</xdr:col>
      <xdr:colOff>366902</xdr:colOff>
      <xdr:row>149</xdr:row>
      <xdr:rowOff>19050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DE15CFA-C9E2-4894-A040-EC2D47159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78</xdr:col>
      <xdr:colOff>33249</xdr:colOff>
      <xdr:row>125</xdr:row>
      <xdr:rowOff>15114</xdr:rowOff>
    </xdr:from>
    <xdr:to>
      <xdr:col>90</xdr:col>
      <xdr:colOff>371577</xdr:colOff>
      <xdr:row>149</xdr:row>
      <xdr:rowOff>15114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807E9F0-FBDC-498D-AE93-228F3EDCF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65</xdr:col>
      <xdr:colOff>26445</xdr:colOff>
      <xdr:row>125</xdr:row>
      <xdr:rowOff>34164</xdr:rowOff>
    </xdr:from>
    <xdr:to>
      <xdr:col>77</xdr:col>
      <xdr:colOff>364773</xdr:colOff>
      <xdr:row>149</xdr:row>
      <xdr:rowOff>34164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5FFD745-14F9-4DA4-8E1A-AE0872FD0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52</xdr:col>
      <xdr:colOff>19641</xdr:colOff>
      <xdr:row>125</xdr:row>
      <xdr:rowOff>24639</xdr:rowOff>
    </xdr:from>
    <xdr:to>
      <xdr:col>64</xdr:col>
      <xdr:colOff>357969</xdr:colOff>
      <xdr:row>149</xdr:row>
      <xdr:rowOff>24639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C49DB37-995E-427A-A880-4A2B5C4DF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39</xdr:col>
      <xdr:colOff>41413</xdr:colOff>
      <xdr:row>125</xdr:row>
      <xdr:rowOff>15114</xdr:rowOff>
    </xdr:from>
    <xdr:to>
      <xdr:col>51</xdr:col>
      <xdr:colOff>379741</xdr:colOff>
      <xdr:row>149</xdr:row>
      <xdr:rowOff>15114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2B6278E-BC27-43DF-8050-1D7A4FE42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150</xdr:row>
      <xdr:rowOff>47625</xdr:rowOff>
    </xdr:from>
    <xdr:to>
      <xdr:col>12</xdr:col>
      <xdr:colOff>338328</xdr:colOff>
      <xdr:row>174</xdr:row>
      <xdr:rowOff>47625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A46486D-15F4-41B5-B777-87AD3C3E4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90</xdr:col>
      <xdr:colOff>609599</xdr:colOff>
      <xdr:row>125</xdr:row>
      <xdr:rowOff>0</xdr:rowOff>
    </xdr:from>
    <xdr:to>
      <xdr:col>103</xdr:col>
      <xdr:colOff>297897</xdr:colOff>
      <xdr:row>149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BED4F0B-5D60-4BBB-BDA0-C360B24D1B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104</xdr:col>
      <xdr:colOff>0</xdr:colOff>
      <xdr:row>125</xdr:row>
      <xdr:rowOff>0</xdr:rowOff>
    </xdr:from>
    <xdr:to>
      <xdr:col>116</xdr:col>
      <xdr:colOff>338328</xdr:colOff>
      <xdr:row>149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1187415-083A-424B-BDCA-122E2C98E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484910</xdr:colOff>
      <xdr:row>0</xdr:row>
      <xdr:rowOff>120363</xdr:rowOff>
    </xdr:from>
    <xdr:to>
      <xdr:col>16</xdr:col>
      <xdr:colOff>99381</xdr:colOff>
      <xdr:row>9</xdr:row>
      <xdr:rowOff>158463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92C16-42EF-450D-874A-61C859E14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7685" y="120363"/>
          <a:ext cx="4872271" cy="1752600"/>
        </a:xfrm>
        <a:prstGeom prst="rect">
          <a:avLst/>
        </a:prstGeom>
      </xdr:spPr>
    </xdr:pic>
    <xdr:clientData/>
  </xdr:twoCellAnchor>
  <xdr:twoCellAnchor editAs="oneCell">
    <xdr:from>
      <xdr:col>26</xdr:col>
      <xdr:colOff>162791</xdr:colOff>
      <xdr:row>48</xdr:row>
      <xdr:rowOff>83127</xdr:rowOff>
    </xdr:from>
    <xdr:to>
      <xdr:col>34</xdr:col>
      <xdr:colOff>119309</xdr:colOff>
      <xdr:row>63</xdr:row>
      <xdr:rowOff>187902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BE09-DDCE-4690-9D32-A740C507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94191" y="9227127"/>
          <a:ext cx="5090493" cy="2962275"/>
        </a:xfrm>
        <a:prstGeom prst="rect">
          <a:avLst/>
        </a:prstGeom>
      </xdr:spPr>
    </xdr:pic>
    <xdr:clientData/>
  </xdr:twoCellAnchor>
  <xdr:twoCellAnchor editAs="oneCell">
    <xdr:from>
      <xdr:col>37</xdr:col>
      <xdr:colOff>522143</xdr:colOff>
      <xdr:row>110</xdr:row>
      <xdr:rowOff>51954</xdr:rowOff>
    </xdr:from>
    <xdr:to>
      <xdr:col>47</xdr:col>
      <xdr:colOff>273086</xdr:colOff>
      <xdr:row>125</xdr:row>
      <xdr:rowOff>63210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0D6DF1-E5D2-4765-9307-C66BF146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16318" y="21045054"/>
          <a:ext cx="5846943" cy="2887806"/>
        </a:xfrm>
        <a:prstGeom prst="rect">
          <a:avLst/>
        </a:prstGeom>
      </xdr:spPr>
    </xdr:pic>
    <xdr:clientData/>
  </xdr:twoCellAnchor>
  <xdr:twoCellAnchor editAs="oneCell">
    <xdr:from>
      <xdr:col>37</xdr:col>
      <xdr:colOff>576229</xdr:colOff>
      <xdr:row>126</xdr:row>
      <xdr:rowOff>76333</xdr:rowOff>
    </xdr:from>
    <xdr:to>
      <xdr:col>47</xdr:col>
      <xdr:colOff>265604</xdr:colOff>
      <xdr:row>150</xdr:row>
      <xdr:rowOff>96982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9554B-7441-4215-8510-672DD4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170404" y="24136483"/>
          <a:ext cx="5785375" cy="4592649"/>
        </a:xfrm>
        <a:prstGeom prst="rect">
          <a:avLst/>
        </a:prstGeom>
      </xdr:spPr>
    </xdr:pic>
    <xdr:clientData/>
  </xdr:twoCellAnchor>
  <xdr:twoCellAnchor>
    <xdr:from>
      <xdr:col>17</xdr:col>
      <xdr:colOff>659820</xdr:colOff>
      <xdr:row>19</xdr:row>
      <xdr:rowOff>128154</xdr:rowOff>
    </xdr:from>
    <xdr:to>
      <xdr:col>29</xdr:col>
      <xdr:colOff>207573</xdr:colOff>
      <xdr:row>43</xdr:row>
      <xdr:rowOff>128154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EBBDD-1191-4B26-A7AB-7FFF1AF20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949502</xdr:colOff>
      <xdr:row>34</xdr:row>
      <xdr:rowOff>114299</xdr:rowOff>
    </xdr:from>
    <xdr:to>
      <xdr:col>16</xdr:col>
      <xdr:colOff>630605</xdr:colOff>
      <xdr:row>58</xdr:row>
      <xdr:rowOff>114299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CE81D7-0B3E-4C39-88F4-4F9EFA144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142875</xdr:colOff>
      <xdr:row>208</xdr:row>
      <xdr:rowOff>100012</xdr:rowOff>
    </xdr:from>
    <xdr:to>
      <xdr:col>36</xdr:col>
      <xdr:colOff>224028</xdr:colOff>
      <xdr:row>232</xdr:row>
      <xdr:rowOff>100012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33B1B5A-E6FC-4466-8DD8-C1E11398A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28575</xdr:colOff>
      <xdr:row>239</xdr:row>
      <xdr:rowOff>90487</xdr:rowOff>
    </xdr:from>
    <xdr:to>
      <xdr:col>31</xdr:col>
      <xdr:colOff>76200</xdr:colOff>
      <xdr:row>253</xdr:row>
      <xdr:rowOff>166687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C9BD38-C534-4AAD-96EB-BDB96C92D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61912</xdr:colOff>
      <xdr:row>239</xdr:row>
      <xdr:rowOff>71437</xdr:rowOff>
    </xdr:from>
    <xdr:to>
      <xdr:col>39</xdr:col>
      <xdr:colOff>366712</xdr:colOff>
      <xdr:row>253</xdr:row>
      <xdr:rowOff>147637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D11A2B-FA98-4287-97B9-062A65E72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52387</xdr:colOff>
      <xdr:row>262</xdr:row>
      <xdr:rowOff>61912</xdr:rowOff>
    </xdr:from>
    <xdr:to>
      <xdr:col>31</xdr:col>
      <xdr:colOff>100012</xdr:colOff>
      <xdr:row>276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9AC8D12-9CF5-46C3-80BA-482674796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128587</xdr:colOff>
      <xdr:row>285</xdr:row>
      <xdr:rowOff>61912</xdr:rowOff>
    </xdr:from>
    <xdr:to>
      <xdr:col>31</xdr:col>
      <xdr:colOff>176212</xdr:colOff>
      <xdr:row>299</xdr:row>
      <xdr:rowOff>138112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CBA601E-2E05-457A-A08F-393325D1F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71437</xdr:colOff>
      <xdr:row>308</xdr:row>
      <xdr:rowOff>80962</xdr:rowOff>
    </xdr:from>
    <xdr:to>
      <xdr:col>31</xdr:col>
      <xdr:colOff>119062</xdr:colOff>
      <xdr:row>322</xdr:row>
      <xdr:rowOff>157162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A5229D2-3AA7-4EA4-A746-DC7A6DC1D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32</xdr:col>
      <xdr:colOff>33337</xdr:colOff>
      <xdr:row>308</xdr:row>
      <xdr:rowOff>52387</xdr:rowOff>
    </xdr:from>
    <xdr:to>
      <xdr:col>39</xdr:col>
      <xdr:colOff>338137</xdr:colOff>
      <xdr:row>322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2ECCAE-42C8-4517-8E42-27E04BC15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23812</xdr:colOff>
      <xdr:row>331</xdr:row>
      <xdr:rowOff>90487</xdr:rowOff>
    </xdr:from>
    <xdr:to>
      <xdr:col>31</xdr:col>
      <xdr:colOff>71437</xdr:colOff>
      <xdr:row>345</xdr:row>
      <xdr:rowOff>166687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106C93-D2E6-4D94-9967-FBE269E3A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14287</xdr:colOff>
      <xdr:row>354</xdr:row>
      <xdr:rowOff>61912</xdr:rowOff>
    </xdr:from>
    <xdr:to>
      <xdr:col>31</xdr:col>
      <xdr:colOff>61912</xdr:colOff>
      <xdr:row>368</xdr:row>
      <xdr:rowOff>138112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1983E42-91F3-48C7-91CE-17C6A35C8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33337</xdr:colOff>
      <xdr:row>354</xdr:row>
      <xdr:rowOff>42862</xdr:rowOff>
    </xdr:from>
    <xdr:to>
      <xdr:col>39</xdr:col>
      <xdr:colOff>338137</xdr:colOff>
      <xdr:row>368</xdr:row>
      <xdr:rowOff>119062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8777F1A-5C1A-4F25-9FFB-9B58F62E9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40</xdr:col>
      <xdr:colOff>52387</xdr:colOff>
      <xdr:row>354</xdr:row>
      <xdr:rowOff>52387</xdr:rowOff>
    </xdr:from>
    <xdr:to>
      <xdr:col>47</xdr:col>
      <xdr:colOff>357187</xdr:colOff>
      <xdr:row>368</xdr:row>
      <xdr:rowOff>128587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3482ABB-1411-4EB8-97DE-96590BC3E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42862</xdr:colOff>
      <xdr:row>377</xdr:row>
      <xdr:rowOff>80962</xdr:rowOff>
    </xdr:from>
    <xdr:to>
      <xdr:col>31</xdr:col>
      <xdr:colOff>90487</xdr:colOff>
      <xdr:row>391</xdr:row>
      <xdr:rowOff>157162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102D330-6A01-4EEB-9061-F3B29417A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47</xdr:col>
      <xdr:colOff>561975</xdr:colOff>
      <xdr:row>354</xdr:row>
      <xdr:rowOff>90487</xdr:rowOff>
    </xdr:from>
    <xdr:to>
      <xdr:col>55</xdr:col>
      <xdr:colOff>257175</xdr:colOff>
      <xdr:row>368</xdr:row>
      <xdr:rowOff>166687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EE96CFC-CB17-4165-9B54-0135611BC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56</xdr:col>
      <xdr:colOff>47625</xdr:colOff>
      <xdr:row>354</xdr:row>
      <xdr:rowOff>138112</xdr:rowOff>
    </xdr:from>
    <xdr:to>
      <xdr:col>63</xdr:col>
      <xdr:colOff>352425</xdr:colOff>
      <xdr:row>369</xdr:row>
      <xdr:rowOff>23812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B15FA1B-1F5A-4D66-863D-1856E3B66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119062</xdr:colOff>
      <xdr:row>331</xdr:row>
      <xdr:rowOff>42862</xdr:rowOff>
    </xdr:from>
    <xdr:to>
      <xdr:col>39</xdr:col>
      <xdr:colOff>423862</xdr:colOff>
      <xdr:row>345</xdr:row>
      <xdr:rowOff>119062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E091DBE-8D04-4804-A8BF-B9E7D3286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40</xdr:col>
      <xdr:colOff>90487</xdr:colOff>
      <xdr:row>331</xdr:row>
      <xdr:rowOff>52387</xdr:rowOff>
    </xdr:from>
    <xdr:to>
      <xdr:col>47</xdr:col>
      <xdr:colOff>395287</xdr:colOff>
      <xdr:row>345</xdr:row>
      <xdr:rowOff>128587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25928DC-B8DC-4A63-8C12-0405D2F1D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39</xdr:col>
      <xdr:colOff>576262</xdr:colOff>
      <xdr:row>308</xdr:row>
      <xdr:rowOff>128587</xdr:rowOff>
    </xdr:from>
    <xdr:to>
      <xdr:col>47</xdr:col>
      <xdr:colOff>271462</xdr:colOff>
      <xdr:row>323</xdr:row>
      <xdr:rowOff>14287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A5B8A76-F489-4966-B449-822757972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48</xdr:col>
      <xdr:colOff>100012</xdr:colOff>
      <xdr:row>308</xdr:row>
      <xdr:rowOff>128587</xdr:rowOff>
    </xdr:from>
    <xdr:to>
      <xdr:col>55</xdr:col>
      <xdr:colOff>404812</xdr:colOff>
      <xdr:row>323</xdr:row>
      <xdr:rowOff>14287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3E39F3E-39BE-466E-ADC8-38B96DA5A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32</xdr:col>
      <xdr:colOff>80962</xdr:colOff>
      <xdr:row>262</xdr:row>
      <xdr:rowOff>90487</xdr:rowOff>
    </xdr:from>
    <xdr:to>
      <xdr:col>39</xdr:col>
      <xdr:colOff>385762</xdr:colOff>
      <xdr:row>276</xdr:row>
      <xdr:rowOff>166687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2F7711B-0ECB-4563-9683-74E474597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40</xdr:col>
      <xdr:colOff>52387</xdr:colOff>
      <xdr:row>262</xdr:row>
      <xdr:rowOff>80962</xdr:rowOff>
    </xdr:from>
    <xdr:to>
      <xdr:col>47</xdr:col>
      <xdr:colOff>357187</xdr:colOff>
      <xdr:row>276</xdr:row>
      <xdr:rowOff>157162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B4606A8-E80B-4180-8A12-50FD4F129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32</xdr:col>
      <xdr:colOff>100012</xdr:colOff>
      <xdr:row>285</xdr:row>
      <xdr:rowOff>128587</xdr:rowOff>
    </xdr:from>
    <xdr:to>
      <xdr:col>39</xdr:col>
      <xdr:colOff>404812</xdr:colOff>
      <xdr:row>300</xdr:row>
      <xdr:rowOff>14287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45B8F0C-F049-4F9B-AFA8-52B4445DD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40</xdr:col>
      <xdr:colOff>42862</xdr:colOff>
      <xdr:row>285</xdr:row>
      <xdr:rowOff>14287</xdr:rowOff>
    </xdr:from>
    <xdr:to>
      <xdr:col>47</xdr:col>
      <xdr:colOff>347662</xdr:colOff>
      <xdr:row>299</xdr:row>
      <xdr:rowOff>90487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001B51E-FEA3-4BCB-9AF3-07BDC8FBF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40</xdr:col>
      <xdr:colOff>38100</xdr:colOff>
      <xdr:row>239</xdr:row>
      <xdr:rowOff>33337</xdr:rowOff>
    </xdr:from>
    <xdr:to>
      <xdr:col>47</xdr:col>
      <xdr:colOff>342900</xdr:colOff>
      <xdr:row>253</xdr:row>
      <xdr:rowOff>109537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80B4576-07CD-4438-9981-658809746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48</xdr:col>
      <xdr:colOff>38100</xdr:colOff>
      <xdr:row>262</xdr:row>
      <xdr:rowOff>52387</xdr:rowOff>
    </xdr:from>
    <xdr:to>
      <xdr:col>55</xdr:col>
      <xdr:colOff>342900</xdr:colOff>
      <xdr:row>276</xdr:row>
      <xdr:rowOff>128587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3CAFDE5-2779-4264-A956-9735CAA62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64</xdr:col>
      <xdr:colOff>66675</xdr:colOff>
      <xdr:row>354</xdr:row>
      <xdr:rowOff>147637</xdr:rowOff>
    </xdr:from>
    <xdr:to>
      <xdr:col>71</xdr:col>
      <xdr:colOff>371475</xdr:colOff>
      <xdr:row>369</xdr:row>
      <xdr:rowOff>33337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7B92667-1A84-47C4-8F89-5A71C4DE7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72</xdr:col>
      <xdr:colOff>38100</xdr:colOff>
      <xdr:row>354</xdr:row>
      <xdr:rowOff>109537</xdr:rowOff>
    </xdr:from>
    <xdr:to>
      <xdr:col>79</xdr:col>
      <xdr:colOff>342900</xdr:colOff>
      <xdr:row>368</xdr:row>
      <xdr:rowOff>185737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7AB7DAD-2BF0-4DFA-98F6-A9F033D7A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80</xdr:col>
      <xdr:colOff>104775</xdr:colOff>
      <xdr:row>354</xdr:row>
      <xdr:rowOff>109537</xdr:rowOff>
    </xdr:from>
    <xdr:to>
      <xdr:col>87</xdr:col>
      <xdr:colOff>409575</xdr:colOff>
      <xdr:row>368</xdr:row>
      <xdr:rowOff>185737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77CA6855-36BB-457E-80CB-7FA44AF57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85725</xdr:colOff>
      <xdr:row>354</xdr:row>
      <xdr:rowOff>61912</xdr:rowOff>
    </xdr:from>
    <xdr:to>
      <xdr:col>95</xdr:col>
      <xdr:colOff>390525</xdr:colOff>
      <xdr:row>368</xdr:row>
      <xdr:rowOff>138112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F233987C-1516-4EF7-A23F-03F4EBC9C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32</xdr:col>
      <xdr:colOff>47625</xdr:colOff>
      <xdr:row>377</xdr:row>
      <xdr:rowOff>33337</xdr:rowOff>
    </xdr:from>
    <xdr:to>
      <xdr:col>39</xdr:col>
      <xdr:colOff>352425</xdr:colOff>
      <xdr:row>391</xdr:row>
      <xdr:rowOff>109537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E7F4950-B1B0-4838-9409-5F766409C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338328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F0BED-2AAC-43AE-8B72-BB7F920F5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338328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9792A-9C3F-42E1-BE2A-DF86A2376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0</xdr:row>
      <xdr:rowOff>0</xdr:rowOff>
    </xdr:from>
    <xdr:to>
      <xdr:col>38</xdr:col>
      <xdr:colOff>338328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7B642-832C-4AB8-A261-2471525E8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12</xdr:col>
      <xdr:colOff>338328</xdr:colOff>
      <xdr:row>49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5AA198-BBFC-48F3-95B7-40AE9BCC3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25</xdr:col>
      <xdr:colOff>338328</xdr:colOff>
      <xdr:row>49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2DAF36-5854-47B7-B65A-0B08B93EF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25</xdr:row>
      <xdr:rowOff>0</xdr:rowOff>
    </xdr:from>
    <xdr:to>
      <xdr:col>38</xdr:col>
      <xdr:colOff>338328</xdr:colOff>
      <xdr:row>49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D58522-5FF0-46DB-9C9D-C30CC2552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9525</xdr:colOff>
      <xdr:row>49</xdr:row>
      <xdr:rowOff>171450</xdr:rowOff>
    </xdr:from>
    <xdr:to>
      <xdr:col>38</xdr:col>
      <xdr:colOff>347853</xdr:colOff>
      <xdr:row>73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222C12-1E6A-45C4-AFEE-F00D07C50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49</xdr:row>
      <xdr:rowOff>180975</xdr:rowOff>
    </xdr:from>
    <xdr:to>
      <xdr:col>12</xdr:col>
      <xdr:colOff>338328</xdr:colOff>
      <xdr:row>73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96E6B54-C75B-4A20-8BBF-DF1A8035B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49</xdr:row>
      <xdr:rowOff>180975</xdr:rowOff>
    </xdr:from>
    <xdr:to>
      <xdr:col>25</xdr:col>
      <xdr:colOff>338328</xdr:colOff>
      <xdr:row>73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121DE4-2BE3-4AB9-9E3C-220054ADD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0</xdr:colOff>
      <xdr:row>50</xdr:row>
      <xdr:rowOff>0</xdr:rowOff>
    </xdr:from>
    <xdr:to>
      <xdr:col>51</xdr:col>
      <xdr:colOff>338328</xdr:colOff>
      <xdr:row>74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C492ED7-76D8-4AE3-BEDD-5F3D34DFC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75</xdr:row>
      <xdr:rowOff>0</xdr:rowOff>
    </xdr:from>
    <xdr:to>
      <xdr:col>12</xdr:col>
      <xdr:colOff>338328</xdr:colOff>
      <xdr:row>99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1C2F475-8A59-4CC8-AD59-9D57FD72E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0</xdr:colOff>
      <xdr:row>75</xdr:row>
      <xdr:rowOff>0</xdr:rowOff>
    </xdr:from>
    <xdr:to>
      <xdr:col>25</xdr:col>
      <xdr:colOff>338328</xdr:colOff>
      <xdr:row>99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81667F3-CB44-482E-9765-A93E64684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75</xdr:row>
      <xdr:rowOff>0</xdr:rowOff>
    </xdr:from>
    <xdr:to>
      <xdr:col>38</xdr:col>
      <xdr:colOff>338328</xdr:colOff>
      <xdr:row>99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14FE0B6-0F77-41C7-A85A-E00378951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100</xdr:row>
      <xdr:rowOff>0</xdr:rowOff>
    </xdr:from>
    <xdr:to>
      <xdr:col>12</xdr:col>
      <xdr:colOff>338328</xdr:colOff>
      <xdr:row>124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11B86ED-6D14-4F71-A16F-F41DF6B0F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0</xdr:colOff>
      <xdr:row>100</xdr:row>
      <xdr:rowOff>0</xdr:rowOff>
    </xdr:from>
    <xdr:to>
      <xdr:col>25</xdr:col>
      <xdr:colOff>338328</xdr:colOff>
      <xdr:row>124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BCA0339-A46D-48CC-BE80-071551FD7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100</xdr:row>
      <xdr:rowOff>0</xdr:rowOff>
    </xdr:from>
    <xdr:to>
      <xdr:col>38</xdr:col>
      <xdr:colOff>338328</xdr:colOff>
      <xdr:row>124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F2B028A-FD26-4D0A-83C8-B7EB4EE3C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39</xdr:col>
      <xdr:colOff>0</xdr:colOff>
      <xdr:row>100</xdr:row>
      <xdr:rowOff>0</xdr:rowOff>
    </xdr:from>
    <xdr:to>
      <xdr:col>51</xdr:col>
      <xdr:colOff>338328</xdr:colOff>
      <xdr:row>124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527B10C-BB82-414D-8F71-F27CA5BFB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125</xdr:row>
      <xdr:rowOff>0</xdr:rowOff>
    </xdr:from>
    <xdr:to>
      <xdr:col>12</xdr:col>
      <xdr:colOff>338328</xdr:colOff>
      <xdr:row>149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5F3E50C-3BF3-4A5A-87B4-64416D0A6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</xdr:col>
      <xdr:colOff>0</xdr:colOff>
      <xdr:row>125</xdr:row>
      <xdr:rowOff>0</xdr:rowOff>
    </xdr:from>
    <xdr:to>
      <xdr:col>25</xdr:col>
      <xdr:colOff>338328</xdr:colOff>
      <xdr:row>149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4E7D71E-EDFB-4E99-9E45-F2C303E28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</xdr:col>
      <xdr:colOff>0</xdr:colOff>
      <xdr:row>125</xdr:row>
      <xdr:rowOff>0</xdr:rowOff>
    </xdr:from>
    <xdr:to>
      <xdr:col>38</xdr:col>
      <xdr:colOff>338328</xdr:colOff>
      <xdr:row>149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61D026F-D4E2-4428-9C44-0EA9BF709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150</xdr:row>
      <xdr:rowOff>0</xdr:rowOff>
    </xdr:from>
    <xdr:to>
      <xdr:col>12</xdr:col>
      <xdr:colOff>414528</xdr:colOff>
      <xdr:row>174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385B6DB-742C-465D-9336-2BC093A62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600075</xdr:colOff>
      <xdr:row>149</xdr:row>
      <xdr:rowOff>180975</xdr:rowOff>
    </xdr:from>
    <xdr:to>
      <xdr:col>25</xdr:col>
      <xdr:colOff>411353</xdr:colOff>
      <xdr:row>173</xdr:row>
      <xdr:rowOff>180975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C45B301-840A-4415-97A1-CFFE367A0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150</xdr:row>
      <xdr:rowOff>0</xdr:rowOff>
    </xdr:from>
    <xdr:to>
      <xdr:col>38</xdr:col>
      <xdr:colOff>414528</xdr:colOff>
      <xdr:row>174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C0B9AEB-384E-4516-9C20-572CD2648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39</xdr:col>
      <xdr:colOff>0</xdr:colOff>
      <xdr:row>150</xdr:row>
      <xdr:rowOff>0</xdr:rowOff>
    </xdr:from>
    <xdr:to>
      <xdr:col>51</xdr:col>
      <xdr:colOff>414528</xdr:colOff>
      <xdr:row>174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94F9178-9DF3-4539-8DA5-F83803B40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52</xdr:col>
      <xdr:colOff>31750</xdr:colOff>
      <xdr:row>150</xdr:row>
      <xdr:rowOff>15875</xdr:rowOff>
    </xdr:from>
    <xdr:to>
      <xdr:col>64</xdr:col>
      <xdr:colOff>446278</xdr:colOff>
      <xdr:row>174</xdr:row>
      <xdr:rowOff>15875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4A00316-C7EA-4D58-BB1F-FC555170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65</xdr:col>
      <xdr:colOff>31750</xdr:colOff>
      <xdr:row>150</xdr:row>
      <xdr:rowOff>15875</xdr:rowOff>
    </xdr:from>
    <xdr:to>
      <xdr:col>77</xdr:col>
      <xdr:colOff>446278</xdr:colOff>
      <xdr:row>174</xdr:row>
      <xdr:rowOff>15875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920202A-D633-422E-9F66-DFA65E656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78</xdr:col>
      <xdr:colOff>47625</xdr:colOff>
      <xdr:row>150</xdr:row>
      <xdr:rowOff>0</xdr:rowOff>
    </xdr:from>
    <xdr:to>
      <xdr:col>90</xdr:col>
      <xdr:colOff>462153</xdr:colOff>
      <xdr:row>174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A06EFC4-EF29-4CDE-88A5-3C2281DD5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91</xdr:col>
      <xdr:colOff>25400</xdr:colOff>
      <xdr:row>149</xdr:row>
      <xdr:rowOff>184150</xdr:rowOff>
    </xdr:from>
    <xdr:to>
      <xdr:col>103</xdr:col>
      <xdr:colOff>439928</xdr:colOff>
      <xdr:row>173</xdr:row>
      <xdr:rowOff>184150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BB6FB3D-DBFE-49BF-A557-F87CC73A2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104</xdr:col>
      <xdr:colOff>0</xdr:colOff>
      <xdr:row>150</xdr:row>
      <xdr:rowOff>0</xdr:rowOff>
    </xdr:from>
    <xdr:to>
      <xdr:col>116</xdr:col>
      <xdr:colOff>414528</xdr:colOff>
      <xdr:row>174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54AAC33-F747-465F-99D3-CFCEE7786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0</xdr:colOff>
      <xdr:row>175</xdr:row>
      <xdr:rowOff>0</xdr:rowOff>
    </xdr:from>
    <xdr:to>
      <xdr:col>12</xdr:col>
      <xdr:colOff>414528</xdr:colOff>
      <xdr:row>199</xdr:row>
      <xdr:rowOff>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8FE6A92-CF90-4A7A-A04E-184FC12B5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0</xdr:colOff>
      <xdr:row>175</xdr:row>
      <xdr:rowOff>0</xdr:rowOff>
    </xdr:from>
    <xdr:to>
      <xdr:col>25</xdr:col>
      <xdr:colOff>322385</xdr:colOff>
      <xdr:row>199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F7BEDB5-0890-495E-893C-DC56279380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114300</xdr:colOff>
      <xdr:row>0</xdr:row>
      <xdr:rowOff>138112</xdr:rowOff>
    </xdr:from>
    <xdr:to>
      <xdr:col>30</xdr:col>
      <xdr:colOff>371475</xdr:colOff>
      <xdr:row>22</xdr:row>
      <xdr:rowOff>124777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100DB-6453-4106-85A6-E9C2BC248CF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pdas.com/e2.html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B54FE-C051-4A10-BF89-1B319EDCFA42}">
  <dimension ref="A1:G46"/>
  <sheetViews>
    <sheetView topLeftCell="A13" zoomScale="130" zoomScaleNormal="130" workbookViewId="0">
      <selection activeCell="J43" sqref="J43"/>
    </sheetView>
  </sheetViews>
  <sheetFormatPr defaultRowHeight="15" x14ac:dyDescent="0.25"/>
  <sheetData>
    <row r="1" spans="1:4" x14ac:dyDescent="0.25">
      <c r="A1" t="s">
        <v>901</v>
      </c>
      <c r="C1" t="s">
        <v>929</v>
      </c>
    </row>
    <row r="15" spans="1:4" x14ac:dyDescent="0.25">
      <c r="A15" t="s">
        <v>902</v>
      </c>
      <c r="D15" t="s">
        <v>930</v>
      </c>
    </row>
    <row r="20" spans="1:3" x14ac:dyDescent="0.25">
      <c r="A20" t="s">
        <v>928</v>
      </c>
      <c r="C20" t="s">
        <v>938</v>
      </c>
    </row>
    <row r="39" spans="1:7" x14ac:dyDescent="0.25">
      <c r="A39" t="s">
        <v>1005</v>
      </c>
    </row>
    <row r="40" spans="1:7" x14ac:dyDescent="0.25">
      <c r="A40" t="s">
        <v>1004</v>
      </c>
      <c r="D40" t="s">
        <v>1079</v>
      </c>
    </row>
    <row r="41" spans="1:7" x14ac:dyDescent="0.25">
      <c r="A41" t="s">
        <v>1071</v>
      </c>
    </row>
    <row r="42" spans="1:7" x14ac:dyDescent="0.25">
      <c r="A42" t="s">
        <v>1072</v>
      </c>
      <c r="G42" t="s">
        <v>1078</v>
      </c>
    </row>
    <row r="43" spans="1:7" x14ac:dyDescent="0.25">
      <c r="A43" t="s">
        <v>1073</v>
      </c>
    </row>
    <row r="44" spans="1:7" x14ac:dyDescent="0.25">
      <c r="A44" t="s">
        <v>1074</v>
      </c>
    </row>
    <row r="45" spans="1:7" x14ac:dyDescent="0.25">
      <c r="A45" t="s">
        <v>1075</v>
      </c>
    </row>
    <row r="46" spans="1:7" x14ac:dyDescent="0.25">
      <c r="A46" t="s">
        <v>1076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D3E82-7405-47B2-90DA-48AC72CE3747}">
  <dimension ref="A1:AA74"/>
  <sheetViews>
    <sheetView zoomScaleNormal="100" workbookViewId="0">
      <selection activeCell="U48" sqref="U48"/>
    </sheetView>
  </sheetViews>
  <sheetFormatPr defaultRowHeight="15" x14ac:dyDescent="0.25"/>
  <cols>
    <col min="1" max="1" width="19.85546875" bestFit="1" customWidth="1"/>
    <col min="2" max="2" width="14.7109375" bestFit="1" customWidth="1"/>
    <col min="3" max="3" width="27.7109375" bestFit="1" customWidth="1"/>
    <col min="4" max="4" width="11.140625" bestFit="1" customWidth="1"/>
    <col min="5" max="5" width="19" bestFit="1" customWidth="1"/>
    <col min="6" max="6" width="16.42578125" bestFit="1" customWidth="1"/>
    <col min="7" max="7" width="19" bestFit="1" customWidth="1"/>
    <col min="8" max="8" width="16.42578125" bestFit="1" customWidth="1"/>
    <col min="10" max="10" width="12.28515625" bestFit="1" customWidth="1"/>
    <col min="11" max="11" width="17.28515625" bestFit="1" customWidth="1"/>
    <col min="12" max="12" width="10" bestFit="1" customWidth="1"/>
    <col min="13" max="13" width="11.42578125" bestFit="1" customWidth="1"/>
    <col min="15" max="15" width="10.5703125" bestFit="1" customWidth="1"/>
    <col min="16" max="16" width="9.7109375" bestFit="1" customWidth="1"/>
    <col min="17" max="17" width="16.42578125" bestFit="1" customWidth="1"/>
    <col min="20" max="20" width="12" bestFit="1" customWidth="1"/>
  </cols>
  <sheetData>
    <row r="1" spans="1:17" x14ac:dyDescent="0.25">
      <c r="A1" s="1" t="s">
        <v>21</v>
      </c>
      <c r="B1" s="17">
        <v>3640</v>
      </c>
      <c r="C1" s="1" t="s">
        <v>13</v>
      </c>
      <c r="D1" s="16">
        <f>D2+D4+D3</f>
        <v>276.3</v>
      </c>
      <c r="E1" s="1" t="s">
        <v>30</v>
      </c>
      <c r="F1" s="17">
        <v>10734</v>
      </c>
      <c r="G1" s="1" t="s">
        <v>39</v>
      </c>
      <c r="H1" s="16">
        <v>1884</v>
      </c>
      <c r="I1" s="295" t="s">
        <v>48</v>
      </c>
      <c r="J1" s="296"/>
      <c r="K1" s="296"/>
      <c r="L1" s="296"/>
      <c r="M1" s="295" t="s">
        <v>78</v>
      </c>
      <c r="N1" s="296"/>
      <c r="O1" s="296"/>
      <c r="P1" s="297"/>
    </row>
    <row r="2" spans="1:17" x14ac:dyDescent="0.25">
      <c r="A2" s="4" t="s">
        <v>22</v>
      </c>
      <c r="B2" s="6">
        <v>1200</v>
      </c>
      <c r="C2" s="4" t="s">
        <v>18</v>
      </c>
      <c r="D2" s="5">
        <v>200</v>
      </c>
      <c r="E2" s="4" t="s">
        <v>31</v>
      </c>
      <c r="F2" s="6">
        <v>2106</v>
      </c>
      <c r="G2" s="4" t="s">
        <v>32</v>
      </c>
      <c r="H2" s="5">
        <v>382</v>
      </c>
      <c r="I2" s="14" t="s">
        <v>49</v>
      </c>
      <c r="J2" s="5" t="s">
        <v>50</v>
      </c>
      <c r="K2" s="5" t="s">
        <v>51</v>
      </c>
      <c r="L2" s="5"/>
      <c r="M2" s="14" t="s">
        <v>49</v>
      </c>
      <c r="N2" s="5" t="s">
        <v>50</v>
      </c>
      <c r="O2" s="5" t="s">
        <v>51</v>
      </c>
      <c r="P2" s="6"/>
    </row>
    <row r="3" spans="1:17" x14ac:dyDescent="0.25">
      <c r="A3" s="4" t="s">
        <v>23</v>
      </c>
      <c r="B3" s="6">
        <v>300</v>
      </c>
      <c r="C3" s="4" t="s">
        <v>19</v>
      </c>
      <c r="D3" s="5">
        <v>26.3</v>
      </c>
      <c r="E3" s="4" t="s">
        <v>32</v>
      </c>
      <c r="F3" s="6">
        <v>382</v>
      </c>
      <c r="G3" s="4" t="s">
        <v>33</v>
      </c>
      <c r="H3" s="5">
        <v>80</v>
      </c>
      <c r="I3" s="14" t="s">
        <v>52</v>
      </c>
      <c r="J3" s="15">
        <v>52000</v>
      </c>
      <c r="K3" s="5" t="s">
        <v>53</v>
      </c>
      <c r="L3" s="5">
        <v>0.99</v>
      </c>
      <c r="M3" s="14" t="s">
        <v>52</v>
      </c>
      <c r="N3" s="15">
        <v>52000</v>
      </c>
      <c r="O3" s="5" t="s">
        <v>79</v>
      </c>
      <c r="P3" s="6">
        <v>0.99</v>
      </c>
    </row>
    <row r="4" spans="1:17" x14ac:dyDescent="0.25">
      <c r="A4" s="4" t="s">
        <v>24</v>
      </c>
      <c r="B4" s="6">
        <v>25.5</v>
      </c>
      <c r="C4" s="7" t="s">
        <v>20</v>
      </c>
      <c r="D4" s="8">
        <v>50</v>
      </c>
      <c r="E4" s="4" t="s">
        <v>33</v>
      </c>
      <c r="F4" s="6">
        <v>80</v>
      </c>
      <c r="G4" s="4" t="s">
        <v>36</v>
      </c>
      <c r="H4" s="5">
        <v>578</v>
      </c>
      <c r="I4" s="14" t="s">
        <v>54</v>
      </c>
      <c r="J4" s="15">
        <v>51480</v>
      </c>
      <c r="K4" s="5" t="s">
        <v>55</v>
      </c>
      <c r="L4" s="5">
        <v>0.98</v>
      </c>
      <c r="M4" s="14" t="s">
        <v>54</v>
      </c>
      <c r="N4" s="15">
        <v>51480</v>
      </c>
      <c r="O4" s="5" t="s">
        <v>55</v>
      </c>
      <c r="P4" s="6">
        <v>0.98</v>
      </c>
    </row>
    <row r="5" spans="1:17" x14ac:dyDescent="0.25">
      <c r="A5" s="4" t="s">
        <v>25</v>
      </c>
      <c r="B5" s="6">
        <v>274.5</v>
      </c>
      <c r="E5" s="4" t="s">
        <v>34</v>
      </c>
      <c r="F5" s="6">
        <v>6372</v>
      </c>
      <c r="G5" s="4" t="s">
        <v>37</v>
      </c>
      <c r="H5" s="5">
        <v>394</v>
      </c>
      <c r="I5" s="14" t="s">
        <v>56</v>
      </c>
      <c r="J5" s="15">
        <v>50450.400000000001</v>
      </c>
      <c r="K5" s="5" t="s">
        <v>57</v>
      </c>
      <c r="L5" s="5">
        <v>0.93</v>
      </c>
      <c r="M5" s="14" t="s">
        <v>56</v>
      </c>
      <c r="N5" s="15">
        <v>50450.400000000001</v>
      </c>
      <c r="O5" s="5" t="s">
        <v>57</v>
      </c>
      <c r="P5" s="32">
        <v>0.63200000000000001</v>
      </c>
      <c r="Q5" t="s">
        <v>175</v>
      </c>
    </row>
    <row r="6" spans="1:17" x14ac:dyDescent="0.25">
      <c r="A6" s="7" t="s">
        <v>26</v>
      </c>
      <c r="B6" s="9">
        <v>1840</v>
      </c>
      <c r="E6" s="4" t="s">
        <v>35</v>
      </c>
      <c r="F6" s="6">
        <v>372</v>
      </c>
      <c r="G6" s="7" t="s">
        <v>38</v>
      </c>
      <c r="H6" s="8">
        <v>450</v>
      </c>
      <c r="I6" s="14" t="s">
        <v>58</v>
      </c>
      <c r="J6" s="15">
        <v>47031.78</v>
      </c>
      <c r="K6" s="5" t="s">
        <v>59</v>
      </c>
      <c r="L6" s="5">
        <v>0.99</v>
      </c>
      <c r="M6" s="14" t="s">
        <v>58</v>
      </c>
      <c r="N6" s="15">
        <v>21736.32</v>
      </c>
      <c r="O6" s="5" t="s">
        <v>59</v>
      </c>
      <c r="P6" s="6">
        <v>0.99</v>
      </c>
    </row>
    <row r="7" spans="1:17" x14ac:dyDescent="0.25">
      <c r="E7" s="4" t="s">
        <v>36</v>
      </c>
      <c r="F7" s="6">
        <v>578</v>
      </c>
      <c r="I7" s="14" t="s">
        <v>60</v>
      </c>
      <c r="J7" s="15">
        <v>46561.46</v>
      </c>
      <c r="K7" s="5" t="s">
        <v>61</v>
      </c>
      <c r="L7" s="5">
        <v>0.99</v>
      </c>
      <c r="M7" s="14" t="s">
        <v>60</v>
      </c>
      <c r="N7" s="15">
        <v>21518.959999999999</v>
      </c>
      <c r="O7" s="5" t="s">
        <v>80</v>
      </c>
      <c r="P7" s="6">
        <v>0.99</v>
      </c>
    </row>
    <row r="8" spans="1:17" x14ac:dyDescent="0.25">
      <c r="E8" s="4" t="s">
        <v>37</v>
      </c>
      <c r="F8" s="6">
        <v>394</v>
      </c>
      <c r="H8">
        <v>0.86</v>
      </c>
      <c r="I8" s="14" t="s">
        <v>62</v>
      </c>
      <c r="J8" s="15">
        <v>46158.61</v>
      </c>
      <c r="K8" s="5" t="s">
        <v>63</v>
      </c>
      <c r="L8" s="33"/>
      <c r="M8" s="14" t="s">
        <v>62</v>
      </c>
      <c r="N8" s="15">
        <v>21295.97</v>
      </c>
      <c r="O8" s="5" t="s">
        <v>81</v>
      </c>
      <c r="P8" s="6">
        <v>0.99</v>
      </c>
    </row>
    <row r="9" spans="1:17" x14ac:dyDescent="0.25">
      <c r="E9" s="7" t="s">
        <v>38</v>
      </c>
      <c r="F9" s="9">
        <v>450</v>
      </c>
      <c r="I9" s="14" t="s">
        <v>64</v>
      </c>
      <c r="J9" s="15">
        <v>39786.61</v>
      </c>
      <c r="K9" s="5" t="s">
        <v>65</v>
      </c>
      <c r="L9" s="5">
        <v>0.99</v>
      </c>
      <c r="M9" s="14" t="s">
        <v>64</v>
      </c>
      <c r="N9" s="15">
        <v>21125.599999999999</v>
      </c>
      <c r="O9" s="5" t="s">
        <v>77</v>
      </c>
      <c r="P9" s="21">
        <f>PRODUCT(P3:P8)</f>
        <v>0.5949547447536</v>
      </c>
    </row>
    <row r="10" spans="1:17" x14ac:dyDescent="0.25">
      <c r="I10" s="14" t="s">
        <v>66</v>
      </c>
      <c r="J10" s="15">
        <v>39442.370000000003</v>
      </c>
      <c r="K10" s="5" t="s">
        <v>67</v>
      </c>
      <c r="L10" s="5">
        <v>0.98</v>
      </c>
      <c r="M10" s="19" t="s">
        <v>0</v>
      </c>
      <c r="N10" s="8"/>
      <c r="O10" s="20" t="s">
        <v>43</v>
      </c>
      <c r="P10" s="9">
        <f>(1-P9)*N10</f>
        <v>0</v>
      </c>
    </row>
    <row r="11" spans="1:17" x14ac:dyDescent="0.25">
      <c r="I11" s="14" t="s">
        <v>68</v>
      </c>
      <c r="J11" s="15">
        <v>38653.519999999997</v>
      </c>
      <c r="K11" s="5" t="s">
        <v>69</v>
      </c>
      <c r="L11" s="6">
        <v>0.93</v>
      </c>
    </row>
    <row r="12" spans="1:17" x14ac:dyDescent="0.25">
      <c r="I12" s="14" t="s">
        <v>70</v>
      </c>
      <c r="J12" s="15">
        <v>36034.28</v>
      </c>
      <c r="K12" s="5" t="s">
        <v>71</v>
      </c>
      <c r="L12" s="6">
        <v>0.99</v>
      </c>
    </row>
    <row r="13" spans="1:17" x14ac:dyDescent="0.25">
      <c r="I13" s="14" t="s">
        <v>72</v>
      </c>
      <c r="J13" s="15">
        <v>35673.94</v>
      </c>
      <c r="K13" s="5" t="s">
        <v>73</v>
      </c>
      <c r="L13" s="6">
        <v>0.99</v>
      </c>
    </row>
    <row r="14" spans="1:17" x14ac:dyDescent="0.25">
      <c r="I14" s="14" t="s">
        <v>74</v>
      </c>
      <c r="J14" s="15">
        <v>35304.26</v>
      </c>
      <c r="K14" s="5" t="s">
        <v>75</v>
      </c>
      <c r="L14" s="6">
        <v>0.99</v>
      </c>
    </row>
    <row r="15" spans="1:17" x14ac:dyDescent="0.25">
      <c r="I15" s="14" t="s">
        <v>76</v>
      </c>
      <c r="J15" s="15">
        <v>35021.83</v>
      </c>
      <c r="K15" s="5" t="s">
        <v>77</v>
      </c>
      <c r="L15" s="21">
        <f>PRODUCT(L3:L7,L9:L14)</f>
        <v>0.77422004395632726</v>
      </c>
    </row>
    <row r="16" spans="1:17" x14ac:dyDescent="0.25">
      <c r="I16" s="19" t="s">
        <v>0</v>
      </c>
      <c r="J16" s="8"/>
      <c r="K16" s="20" t="s">
        <v>43</v>
      </c>
      <c r="L16" s="9">
        <f>(1-L15)*J16</f>
        <v>0</v>
      </c>
    </row>
    <row r="17" spans="1:8" x14ac:dyDescent="0.25">
      <c r="A17" s="301" t="s">
        <v>512</v>
      </c>
      <c r="B17" s="301"/>
      <c r="C17" s="301"/>
      <c r="D17" s="301"/>
      <c r="E17" s="301"/>
      <c r="F17" s="301"/>
      <c r="G17" s="301"/>
      <c r="H17" s="301"/>
    </row>
    <row r="18" spans="1:8" x14ac:dyDescent="0.25">
      <c r="A18" s="299" t="s">
        <v>84</v>
      </c>
      <c r="B18" s="298"/>
      <c r="C18" s="298"/>
      <c r="D18" s="300"/>
      <c r="E18" s="299" t="s">
        <v>85</v>
      </c>
      <c r="F18" s="298"/>
      <c r="G18" s="298"/>
      <c r="H18" s="300"/>
    </row>
    <row r="19" spans="1:8" x14ac:dyDescent="0.25">
      <c r="A19" s="1" t="s">
        <v>0</v>
      </c>
      <c r="B19" s="16">
        <f>B20+B22+B21</f>
        <v>26052.187780205473</v>
      </c>
      <c r="C19" s="2" t="s">
        <v>1</v>
      </c>
      <c r="D19" s="3" t="s">
        <v>27</v>
      </c>
      <c r="E19" s="1" t="s">
        <v>0</v>
      </c>
      <c r="F19" s="16">
        <f>F20+F22+F21</f>
        <v>27862.785389943201</v>
      </c>
      <c r="G19" s="2" t="s">
        <v>1</v>
      </c>
      <c r="H19" s="3" t="s">
        <v>27</v>
      </c>
    </row>
    <row r="20" spans="1:8" x14ac:dyDescent="0.25">
      <c r="A20" s="4" t="s">
        <v>2</v>
      </c>
      <c r="B20" s="5">
        <f>B23</f>
        <v>4029.1899780218364</v>
      </c>
      <c r="C20" s="5" t="s">
        <v>5</v>
      </c>
      <c r="D20" s="6"/>
      <c r="E20" s="4" t="s">
        <v>2</v>
      </c>
      <c r="F20" s="5">
        <f>F23</f>
        <v>5726.5226276232006</v>
      </c>
      <c r="G20" s="5" t="s">
        <v>5</v>
      </c>
      <c r="H20" s="6"/>
    </row>
    <row r="21" spans="1:8" x14ac:dyDescent="0.25">
      <c r="A21" s="4" t="s">
        <v>3</v>
      </c>
      <c r="B21" s="5">
        <f>B30</f>
        <v>11288.997802183636</v>
      </c>
      <c r="C21" s="5" t="s">
        <v>6</v>
      </c>
      <c r="D21" s="6"/>
      <c r="E21" s="4" t="s">
        <v>3</v>
      </c>
      <c r="F21" s="5">
        <f>F30</f>
        <v>20252.262762319999</v>
      </c>
      <c r="G21" s="5" t="s">
        <v>6</v>
      </c>
      <c r="H21" s="6"/>
    </row>
    <row r="22" spans="1:8" x14ac:dyDescent="0.25">
      <c r="A22" s="7" t="s">
        <v>4</v>
      </c>
      <c r="B22" s="8">
        <f>F1</f>
        <v>10734</v>
      </c>
      <c r="C22" s="8" t="s">
        <v>7</v>
      </c>
      <c r="D22" s="9"/>
      <c r="E22" s="7" t="s">
        <v>4</v>
      </c>
      <c r="F22" s="8">
        <f>H1</f>
        <v>1884</v>
      </c>
      <c r="G22" s="8" t="s">
        <v>7</v>
      </c>
      <c r="H22" s="9"/>
    </row>
    <row r="23" spans="1:8" x14ac:dyDescent="0.25">
      <c r="A23" s="1" t="s">
        <v>2</v>
      </c>
      <c r="B23" s="16">
        <f>B24+B25+B26</f>
        <v>4029.1899780218364</v>
      </c>
      <c r="C23" s="2" t="s">
        <v>5</v>
      </c>
      <c r="D23" s="3" t="s">
        <v>28</v>
      </c>
      <c r="E23" s="1" t="s">
        <v>2</v>
      </c>
      <c r="F23" s="16">
        <f>F24+F25+F26</f>
        <v>5726.5226276232006</v>
      </c>
      <c r="G23" s="2" t="s">
        <v>5</v>
      </c>
      <c r="H23" s="3" t="s">
        <v>28</v>
      </c>
    </row>
    <row r="24" spans="1:8" x14ac:dyDescent="0.25">
      <c r="A24" s="4" t="s">
        <v>8</v>
      </c>
      <c r="B24" s="5">
        <f>B27</f>
        <v>3640</v>
      </c>
      <c r="C24" s="5" t="s">
        <v>11</v>
      </c>
      <c r="D24" s="6"/>
      <c r="E24" s="4" t="s">
        <v>8</v>
      </c>
      <c r="F24" s="5">
        <f>F27</f>
        <v>3640</v>
      </c>
      <c r="G24" s="5" t="s">
        <v>11</v>
      </c>
      <c r="H24" s="6"/>
    </row>
    <row r="25" spans="1:8" x14ac:dyDescent="0.25">
      <c r="A25" s="4" t="s">
        <v>9</v>
      </c>
      <c r="B25" s="5">
        <f>0.01*B21</f>
        <v>112.88997802183636</v>
      </c>
      <c r="C25" s="5" t="s">
        <v>12</v>
      </c>
      <c r="D25" s="6"/>
      <c r="E25" s="4" t="s">
        <v>9</v>
      </c>
      <c r="F25" s="5">
        <f>0.01*F21</f>
        <v>202.52262762319998</v>
      </c>
      <c r="G25" s="5" t="s">
        <v>12</v>
      </c>
      <c r="H25" s="6"/>
    </row>
    <row r="26" spans="1:8" x14ac:dyDescent="0.25">
      <c r="A26" s="7" t="s">
        <v>10</v>
      </c>
      <c r="B26" s="8">
        <f>D1</f>
        <v>276.3</v>
      </c>
      <c r="C26" s="8" t="s">
        <v>13</v>
      </c>
      <c r="D26" s="9"/>
      <c r="E26" s="7" t="s">
        <v>10</v>
      </c>
      <c r="F26" s="8">
        <f>H1</f>
        <v>1884</v>
      </c>
      <c r="G26" s="8" t="s">
        <v>13</v>
      </c>
      <c r="H26" s="9"/>
    </row>
    <row r="27" spans="1:8" x14ac:dyDescent="0.25">
      <c r="A27" s="1" t="s">
        <v>8</v>
      </c>
      <c r="B27" s="16">
        <f>B28+B29</f>
        <v>3640</v>
      </c>
      <c r="C27" s="2" t="s">
        <v>11</v>
      </c>
      <c r="D27" s="3" t="s">
        <v>29</v>
      </c>
      <c r="E27" s="1" t="s">
        <v>8</v>
      </c>
      <c r="F27" s="16">
        <f>F28+F29</f>
        <v>3640</v>
      </c>
      <c r="G27" s="2" t="s">
        <v>11</v>
      </c>
      <c r="H27" s="3" t="s">
        <v>29</v>
      </c>
    </row>
    <row r="28" spans="1:8" x14ac:dyDescent="0.25">
      <c r="A28" s="4" t="s">
        <v>14</v>
      </c>
      <c r="B28" s="5"/>
      <c r="C28" s="5" t="s">
        <v>16</v>
      </c>
      <c r="D28" s="6"/>
      <c r="E28" s="4" t="s">
        <v>14</v>
      </c>
      <c r="F28" s="5"/>
      <c r="G28" s="5" t="s">
        <v>16</v>
      </c>
      <c r="H28" s="6"/>
    </row>
    <row r="29" spans="1:8" x14ac:dyDescent="0.25">
      <c r="A29" s="7" t="s">
        <v>15</v>
      </c>
      <c r="B29" s="8">
        <f>B1</f>
        <v>3640</v>
      </c>
      <c r="C29" s="8" t="s">
        <v>17</v>
      </c>
      <c r="D29" s="9"/>
      <c r="E29" s="7" t="s">
        <v>15</v>
      </c>
      <c r="F29" s="8">
        <f>B1</f>
        <v>3640</v>
      </c>
      <c r="G29" s="8" t="s">
        <v>17</v>
      </c>
      <c r="H29" s="9"/>
    </row>
    <row r="30" spans="1:8" x14ac:dyDescent="0.25">
      <c r="A30" s="12" t="s">
        <v>3</v>
      </c>
      <c r="B30" s="16">
        <f>B31+B32</f>
        <v>11288.997802183636</v>
      </c>
      <c r="C30" s="2" t="s">
        <v>6</v>
      </c>
      <c r="D30" s="13" t="s">
        <v>47</v>
      </c>
      <c r="E30" s="12" t="s">
        <v>3</v>
      </c>
      <c r="F30" s="16">
        <f>F31+F32</f>
        <v>20252.262762319999</v>
      </c>
      <c r="G30" s="2" t="s">
        <v>6</v>
      </c>
      <c r="H30" s="13" t="s">
        <v>47</v>
      </c>
    </row>
    <row r="31" spans="1:8" x14ac:dyDescent="0.25">
      <c r="A31" s="4" t="s">
        <v>43</v>
      </c>
      <c r="B31" s="5">
        <f>B48</f>
        <v>11288.997802183636</v>
      </c>
      <c r="C31" s="5" t="s">
        <v>45</v>
      </c>
      <c r="D31" s="6"/>
      <c r="E31" s="4" t="s">
        <v>43</v>
      </c>
      <c r="F31" s="5">
        <f>K48</f>
        <v>20252.262762319999</v>
      </c>
      <c r="G31" s="5" t="s">
        <v>45</v>
      </c>
      <c r="H31" s="6"/>
    </row>
    <row r="32" spans="1:8" x14ac:dyDescent="0.25">
      <c r="A32" s="7" t="s">
        <v>44</v>
      </c>
      <c r="B32" s="8"/>
      <c r="C32" s="8" t="s">
        <v>46</v>
      </c>
      <c r="D32" s="9"/>
      <c r="E32" s="7" t="s">
        <v>44</v>
      </c>
      <c r="F32" s="8"/>
      <c r="G32" s="8" t="s">
        <v>46</v>
      </c>
      <c r="H32" s="9"/>
    </row>
    <row r="34" spans="1:27" x14ac:dyDescent="0.25">
      <c r="A34" s="295" t="s">
        <v>84</v>
      </c>
      <c r="B34" s="296"/>
      <c r="C34" s="296"/>
      <c r="D34" s="296"/>
      <c r="E34" s="296"/>
      <c r="F34" s="296"/>
      <c r="G34" s="296"/>
      <c r="H34" s="296"/>
      <c r="I34" s="297"/>
      <c r="J34" s="295" t="s">
        <v>85</v>
      </c>
      <c r="K34" s="296"/>
      <c r="L34" s="296"/>
      <c r="M34" s="296"/>
      <c r="N34" s="296"/>
      <c r="O34" s="296"/>
      <c r="P34" s="296"/>
      <c r="Q34" s="296"/>
      <c r="R34" s="297"/>
      <c r="T34" s="1" t="s">
        <v>382</v>
      </c>
      <c r="U34" s="2"/>
      <c r="V34" s="2"/>
      <c r="W34" s="3"/>
    </row>
    <row r="35" spans="1:27" x14ac:dyDescent="0.25">
      <c r="A35" s="22" t="s">
        <v>41</v>
      </c>
      <c r="B35" s="23" t="s">
        <v>3</v>
      </c>
      <c r="C35" s="23" t="s">
        <v>4</v>
      </c>
      <c r="D35" s="24" t="s">
        <v>40</v>
      </c>
      <c r="E35" s="25" t="s">
        <v>9</v>
      </c>
      <c r="F35" s="25" t="s">
        <v>10</v>
      </c>
      <c r="G35" s="24" t="s">
        <v>42</v>
      </c>
      <c r="H35" s="23" t="s">
        <v>82</v>
      </c>
      <c r="I35" s="34" t="s">
        <v>83</v>
      </c>
      <c r="J35" s="22" t="s">
        <v>41</v>
      </c>
      <c r="K35" s="23" t="s">
        <v>3</v>
      </c>
      <c r="L35" s="23" t="s">
        <v>4</v>
      </c>
      <c r="M35" s="24" t="s">
        <v>40</v>
      </c>
      <c r="N35" s="25" t="s">
        <v>9</v>
      </c>
      <c r="O35" s="25" t="s">
        <v>10</v>
      </c>
      <c r="P35" s="24" t="s">
        <v>42</v>
      </c>
      <c r="Q35" s="23" t="s">
        <v>82</v>
      </c>
      <c r="R35" s="34" t="s">
        <v>83</v>
      </c>
      <c r="T35" s="14" t="s">
        <v>383</v>
      </c>
      <c r="U35" s="5">
        <v>6.47</v>
      </c>
      <c r="V35" s="5" t="s">
        <v>384</v>
      </c>
      <c r="W35" s="6"/>
    </row>
    <row r="36" spans="1:27" x14ac:dyDescent="0.25">
      <c r="A36" s="14">
        <v>20000</v>
      </c>
      <c r="B36" s="5">
        <f t="shared" ref="B36:B42" si="0">(1-$L$15)*A36</f>
        <v>4515.5991208734549</v>
      </c>
      <c r="C36" s="5">
        <f t="shared" ref="C36:C41" si="1">$F$1</f>
        <v>10734</v>
      </c>
      <c r="D36" s="5">
        <f t="shared" ref="D36:D41" si="2">A36-B36-C36</f>
        <v>4750.4008791265442</v>
      </c>
      <c r="E36" s="5">
        <f t="shared" ref="E36:E41" si="3">0.01*B36</f>
        <v>45.155991208734548</v>
      </c>
      <c r="F36" s="5">
        <f t="shared" ref="F36:F41" si="4">$B$26</f>
        <v>276.3</v>
      </c>
      <c r="G36" s="5">
        <f t="shared" ref="G36:G41" si="5">D36-E36-F36</f>
        <v>4428.9448879178099</v>
      </c>
      <c r="H36" s="5">
        <f t="shared" ref="H36:H41" si="6">10^((LOG10(A36)--0.2009)/1.1037)</f>
        <v>11993.434000700317</v>
      </c>
      <c r="I36" s="30">
        <f>(H36-G36)/((H36+G36)/2)*100</f>
        <v>92.124157700748626</v>
      </c>
      <c r="J36" s="14">
        <v>20000</v>
      </c>
      <c r="K36" s="5">
        <f t="shared" ref="K36:K42" si="7">(1-$P$9)*J36</f>
        <v>8100.9051049279997</v>
      </c>
      <c r="L36" s="5">
        <f t="shared" ref="L36:L41" si="8">$H$1</f>
        <v>1884</v>
      </c>
      <c r="M36" s="5">
        <f t="shared" ref="M36:M41" si="9">J36-K36-L36</f>
        <v>10015.094895072001</v>
      </c>
      <c r="N36" s="5">
        <f t="shared" ref="N36:N41" si="10">0.01*K36</f>
        <v>81.009051049280004</v>
      </c>
      <c r="O36" s="5">
        <f t="shared" ref="O36:O41" si="11">$B$26</f>
        <v>276.3</v>
      </c>
      <c r="P36" s="5">
        <f t="shared" ref="P36:P41" si="12">M36-N36-O36</f>
        <v>9657.7858440227228</v>
      </c>
      <c r="Q36" s="5">
        <f t="shared" ref="Q36:Q41" si="13">10^((LOG10(J36)--0.2009)/1.1037)</f>
        <v>11993.434000700317</v>
      </c>
      <c r="R36" s="30">
        <f>(Q36-P36)/((Q36+P36)/2)*100</f>
        <v>21.575210758823385</v>
      </c>
      <c r="S36">
        <v>52500</v>
      </c>
      <c r="T36" s="14"/>
      <c r="U36" s="5" t="s">
        <v>385</v>
      </c>
      <c r="V36" s="5" t="s">
        <v>386</v>
      </c>
      <c r="W36" s="6"/>
      <c r="X36" t="s">
        <v>548</v>
      </c>
      <c r="Y36" t="s">
        <v>633</v>
      </c>
      <c r="AA36" t="s">
        <v>638</v>
      </c>
    </row>
    <row r="37" spans="1:27" x14ac:dyDescent="0.25">
      <c r="A37" s="14">
        <v>22500</v>
      </c>
      <c r="B37" s="5">
        <f t="shared" si="0"/>
        <v>5080.0490109826369</v>
      </c>
      <c r="C37" s="5">
        <f t="shared" si="1"/>
        <v>10734</v>
      </c>
      <c r="D37" s="5">
        <f t="shared" si="2"/>
        <v>6685.9509890173649</v>
      </c>
      <c r="E37" s="5">
        <f t="shared" si="3"/>
        <v>50.80049010982637</v>
      </c>
      <c r="F37" s="5">
        <f t="shared" si="4"/>
        <v>276.3</v>
      </c>
      <c r="G37" s="5">
        <f t="shared" si="5"/>
        <v>6358.8504989075382</v>
      </c>
      <c r="H37" s="5">
        <f t="shared" si="6"/>
        <v>13344.120352319327</v>
      </c>
      <c r="I37" s="30">
        <f t="shared" ref="I37:I52" si="14">(H37-G37)/((H37+G37)/2)*100</f>
        <v>70.905752296505369</v>
      </c>
      <c r="J37" s="14">
        <v>22500</v>
      </c>
      <c r="K37" s="5">
        <f t="shared" si="7"/>
        <v>9113.518243044</v>
      </c>
      <c r="L37" s="5">
        <f t="shared" si="8"/>
        <v>1884</v>
      </c>
      <c r="M37" s="5">
        <f t="shared" si="9"/>
        <v>11502.481756956</v>
      </c>
      <c r="N37" s="5">
        <f t="shared" si="10"/>
        <v>91.135182430439997</v>
      </c>
      <c r="O37" s="5">
        <f t="shared" si="11"/>
        <v>276.3</v>
      </c>
      <c r="P37" s="5">
        <f t="shared" si="12"/>
        <v>11135.046574525561</v>
      </c>
      <c r="Q37" s="5">
        <f t="shared" si="13"/>
        <v>13344.120352319327</v>
      </c>
      <c r="R37" s="30">
        <f t="shared" ref="R37:R52" si="15">(Q37-P37)/((Q37+P37)/2)*100</f>
        <v>18.04860258844187</v>
      </c>
      <c r="T37" s="14" t="s">
        <v>3</v>
      </c>
      <c r="U37" s="5">
        <v>11854</v>
      </c>
      <c r="V37" s="5">
        <v>21265</v>
      </c>
      <c r="W37" s="6" t="s">
        <v>146</v>
      </c>
      <c r="X37" t="s">
        <v>549</v>
      </c>
      <c r="Y37" t="s">
        <v>634</v>
      </c>
      <c r="AA37" t="s">
        <v>637</v>
      </c>
    </row>
    <row r="38" spans="1:27" x14ac:dyDescent="0.25">
      <c r="A38" s="14">
        <v>25000</v>
      </c>
      <c r="B38" s="5">
        <f t="shared" si="0"/>
        <v>5644.498901091818</v>
      </c>
      <c r="C38" s="5">
        <f t="shared" si="1"/>
        <v>10734</v>
      </c>
      <c r="D38" s="5">
        <f t="shared" si="2"/>
        <v>8621.501098908182</v>
      </c>
      <c r="E38" s="5">
        <f t="shared" si="3"/>
        <v>56.444989010918178</v>
      </c>
      <c r="F38" s="5">
        <f t="shared" si="4"/>
        <v>276.3</v>
      </c>
      <c r="G38" s="5">
        <f t="shared" si="5"/>
        <v>8288.7561098972637</v>
      </c>
      <c r="H38" s="5">
        <f t="shared" si="6"/>
        <v>14680.749166362481</v>
      </c>
      <c r="I38" s="30">
        <f t="shared" si="14"/>
        <v>55.656340696825502</v>
      </c>
      <c r="J38" s="14">
        <v>25000</v>
      </c>
      <c r="K38" s="5">
        <f t="shared" si="7"/>
        <v>10126.131381159999</v>
      </c>
      <c r="L38" s="5">
        <f t="shared" si="8"/>
        <v>1884</v>
      </c>
      <c r="M38" s="5">
        <f t="shared" si="9"/>
        <v>12989.868618840001</v>
      </c>
      <c r="N38" s="5">
        <f t="shared" si="10"/>
        <v>101.26131381159999</v>
      </c>
      <c r="O38" s="5">
        <f t="shared" si="11"/>
        <v>276.3</v>
      </c>
      <c r="P38" s="5">
        <f t="shared" si="12"/>
        <v>12612.307305028402</v>
      </c>
      <c r="Q38" s="5">
        <f t="shared" si="13"/>
        <v>14680.749166362481</v>
      </c>
      <c r="R38" s="30">
        <f t="shared" si="15"/>
        <v>15.15727535684587</v>
      </c>
      <c r="T38" s="14" t="s">
        <v>387</v>
      </c>
      <c r="U38" s="5">
        <f>U37/U35</f>
        <v>1832.1483771251933</v>
      </c>
      <c r="V38" s="5">
        <f>V37/U35</f>
        <v>3286.7078825347762</v>
      </c>
      <c r="W38" s="6" t="s">
        <v>388</v>
      </c>
      <c r="Y38">
        <f>80.2083+98.9236</f>
        <v>179.13189999999997</v>
      </c>
    </row>
    <row r="39" spans="1:27" x14ac:dyDescent="0.25">
      <c r="A39" s="14">
        <v>27500</v>
      </c>
      <c r="B39" s="5">
        <f t="shared" si="0"/>
        <v>6208.9487912009999</v>
      </c>
      <c r="C39" s="5">
        <f t="shared" si="1"/>
        <v>10734</v>
      </c>
      <c r="D39" s="5">
        <f t="shared" si="2"/>
        <v>10557.051208798999</v>
      </c>
      <c r="E39" s="5">
        <f t="shared" si="3"/>
        <v>62.08948791201</v>
      </c>
      <c r="F39" s="5">
        <f t="shared" si="4"/>
        <v>276.3</v>
      </c>
      <c r="G39" s="5">
        <f t="shared" si="5"/>
        <v>10218.66172088699</v>
      </c>
      <c r="H39" s="5">
        <f t="shared" si="6"/>
        <v>16004.856472161389</v>
      </c>
      <c r="I39" s="30">
        <f t="shared" si="14"/>
        <v>44.129812854846207</v>
      </c>
      <c r="J39" s="14">
        <v>27500</v>
      </c>
      <c r="K39" s="5">
        <f t="shared" si="7"/>
        <v>11138.744519276001</v>
      </c>
      <c r="L39" s="5">
        <f t="shared" si="8"/>
        <v>1884</v>
      </c>
      <c r="M39" s="5">
        <f t="shared" si="9"/>
        <v>14477.255480723999</v>
      </c>
      <c r="N39" s="5">
        <f t="shared" si="10"/>
        <v>111.38744519276001</v>
      </c>
      <c r="O39" s="5">
        <f t="shared" si="11"/>
        <v>276.3</v>
      </c>
      <c r="P39" s="5">
        <f t="shared" si="12"/>
        <v>14089.56803553124</v>
      </c>
      <c r="Q39" s="5">
        <f t="shared" si="13"/>
        <v>16004.856472161389</v>
      </c>
      <c r="R39" s="30">
        <f t="shared" si="15"/>
        <v>12.728526748471767</v>
      </c>
      <c r="T39" s="14"/>
      <c r="U39" s="5">
        <f>U38/7.481</f>
        <v>244.90688104868244</v>
      </c>
      <c r="V39" s="5">
        <f>V38/7.481</f>
        <v>439.34071414714293</v>
      </c>
      <c r="W39" s="6" t="s">
        <v>389</v>
      </c>
    </row>
    <row r="40" spans="1:27" x14ac:dyDescent="0.25">
      <c r="A40" s="14">
        <v>30000</v>
      </c>
      <c r="B40" s="5">
        <f t="shared" si="0"/>
        <v>6773.3986813101819</v>
      </c>
      <c r="C40" s="5">
        <f t="shared" si="1"/>
        <v>10734</v>
      </c>
      <c r="D40" s="5">
        <f t="shared" si="2"/>
        <v>12492.60131868982</v>
      </c>
      <c r="E40" s="5">
        <f t="shared" si="3"/>
        <v>67.733986813101822</v>
      </c>
      <c r="F40" s="5">
        <f t="shared" si="4"/>
        <v>276.3</v>
      </c>
      <c r="G40" s="5">
        <f t="shared" si="5"/>
        <v>12148.567331876719</v>
      </c>
      <c r="H40" s="5">
        <f t="shared" si="6"/>
        <v>17317.685829833925</v>
      </c>
      <c r="I40" s="30">
        <f t="shared" si="14"/>
        <v>35.085007038995499</v>
      </c>
      <c r="J40" s="14">
        <v>30000</v>
      </c>
      <c r="K40" s="5">
        <f t="shared" si="7"/>
        <v>12151.357657392</v>
      </c>
      <c r="L40" s="5">
        <f t="shared" si="8"/>
        <v>1884</v>
      </c>
      <c r="M40" s="5">
        <f t="shared" si="9"/>
        <v>15964.642342608</v>
      </c>
      <c r="N40" s="5">
        <f t="shared" si="10"/>
        <v>121.51357657392001</v>
      </c>
      <c r="O40" s="5">
        <f t="shared" si="11"/>
        <v>276.3</v>
      </c>
      <c r="P40" s="5">
        <f t="shared" si="12"/>
        <v>15566.828766034081</v>
      </c>
      <c r="Q40" s="5">
        <f t="shared" si="13"/>
        <v>17317.685829833925</v>
      </c>
      <c r="R40" s="30">
        <f t="shared" si="15"/>
        <v>10.648520042438708</v>
      </c>
      <c r="T40" s="18" t="s">
        <v>390</v>
      </c>
      <c r="U40" s="5">
        <f>370*2+600</f>
        <v>1340</v>
      </c>
      <c r="V40" s="5">
        <f>370*2+600</f>
        <v>1340</v>
      </c>
      <c r="W40" s="6" t="s">
        <v>388</v>
      </c>
    </row>
    <row r="41" spans="1:27" x14ac:dyDescent="0.25">
      <c r="A41" s="14">
        <v>32500</v>
      </c>
      <c r="B41" s="5">
        <f t="shared" si="0"/>
        <v>7337.8485714193639</v>
      </c>
      <c r="C41" s="5">
        <f t="shared" si="1"/>
        <v>10734</v>
      </c>
      <c r="D41" s="5">
        <f t="shared" si="2"/>
        <v>14428.151428580637</v>
      </c>
      <c r="E41" s="5">
        <f t="shared" si="3"/>
        <v>73.378485714193644</v>
      </c>
      <c r="F41" s="5">
        <f t="shared" si="4"/>
        <v>276.3</v>
      </c>
      <c r="G41" s="5">
        <f t="shared" si="5"/>
        <v>14078.472942866443</v>
      </c>
      <c r="H41" s="5">
        <f t="shared" si="6"/>
        <v>18620.263837469054</v>
      </c>
      <c r="I41" s="30">
        <f t="shared" si="14"/>
        <v>27.77961072388565</v>
      </c>
      <c r="J41" s="14">
        <v>32500</v>
      </c>
      <c r="K41" s="5">
        <f t="shared" si="7"/>
        <v>13163.970795507999</v>
      </c>
      <c r="L41" s="5">
        <f t="shared" si="8"/>
        <v>1884</v>
      </c>
      <c r="M41" s="5">
        <f t="shared" si="9"/>
        <v>17452.029204491999</v>
      </c>
      <c r="N41" s="5">
        <f t="shared" si="10"/>
        <v>131.63970795507998</v>
      </c>
      <c r="O41" s="5">
        <f t="shared" si="11"/>
        <v>276.3</v>
      </c>
      <c r="P41" s="5">
        <f t="shared" si="12"/>
        <v>17044.089496536919</v>
      </c>
      <c r="Q41" s="5">
        <f t="shared" si="13"/>
        <v>18620.263837469054</v>
      </c>
      <c r="R41" s="30">
        <f t="shared" si="15"/>
        <v>8.8389340817193638</v>
      </c>
      <c r="T41" s="14"/>
      <c r="U41" s="5">
        <f>U40/7.481</f>
        <v>179.12043844405829</v>
      </c>
      <c r="V41" s="5">
        <f>V40/7.481</f>
        <v>179.12043844405829</v>
      </c>
      <c r="W41" s="6" t="s">
        <v>389</v>
      </c>
    </row>
    <row r="42" spans="1:27" s="29" customFormat="1" x14ac:dyDescent="0.25">
      <c r="A42" s="18">
        <v>35000</v>
      </c>
      <c r="B42" s="11">
        <f t="shared" si="0"/>
        <v>7902.2984615285459</v>
      </c>
      <c r="C42" s="11">
        <f>$F$1</f>
        <v>10734</v>
      </c>
      <c r="D42" s="11">
        <f>A42-B42-C42</f>
        <v>16363.701538471454</v>
      </c>
      <c r="E42" s="11">
        <f>0.01*B42</f>
        <v>79.022984615285466</v>
      </c>
      <c r="F42" s="11">
        <f>$B$26</f>
        <v>276.3</v>
      </c>
      <c r="G42" s="11">
        <f>D42-E42-F42</f>
        <v>16008.37855385617</v>
      </c>
      <c r="H42" s="11">
        <f t="shared" ref="H42:H52" si="16">10^((LOG10(A42)--0.2009)/1.1037)</f>
        <v>19913.451808193047</v>
      </c>
      <c r="I42" s="31">
        <f t="shared" si="14"/>
        <v>21.742061665446307</v>
      </c>
      <c r="J42" s="18">
        <v>35000</v>
      </c>
      <c r="K42" s="11">
        <f t="shared" si="7"/>
        <v>14176.583933624001</v>
      </c>
      <c r="L42" s="11">
        <f>$H$1</f>
        <v>1884</v>
      </c>
      <c r="M42" s="11">
        <f>J42-K42-L42</f>
        <v>18939.416066375998</v>
      </c>
      <c r="N42" s="11">
        <f>0.01*K42</f>
        <v>141.76583933624002</v>
      </c>
      <c r="O42" s="11">
        <f>$B$26</f>
        <v>276.3</v>
      </c>
      <c r="P42" s="11">
        <f>M42-N42-O42</f>
        <v>18521.350227039758</v>
      </c>
      <c r="Q42" s="11">
        <f t="shared" ref="Q42:Q52" si="17">10^((LOG10(J42)--0.2009)/1.1037)</f>
        <v>19913.451808193047</v>
      </c>
      <c r="R42" s="30">
        <f t="shared" si="15"/>
        <v>7.2439638423383217</v>
      </c>
      <c r="T42" s="18" t="s">
        <v>391</v>
      </c>
      <c r="U42" s="27">
        <f>U38-U40</f>
        <v>492.14837712519329</v>
      </c>
      <c r="V42" s="27">
        <f>V38-V40</f>
        <v>1946.7078825347762</v>
      </c>
      <c r="W42" s="6" t="s">
        <v>388</v>
      </c>
    </row>
    <row r="43" spans="1:27" x14ac:dyDescent="0.25">
      <c r="A43" s="14">
        <v>37500</v>
      </c>
      <c r="B43" s="5">
        <f t="shared" ref="B43:B51" si="18">(1-$L$15)*A43</f>
        <v>8466.748351637727</v>
      </c>
      <c r="C43" s="5">
        <f t="shared" ref="C43:C52" si="19">$F$1</f>
        <v>10734</v>
      </c>
      <c r="D43" s="5">
        <f t="shared" ref="D43:D52" si="20">A43-B43-C43</f>
        <v>18299.251648362275</v>
      </c>
      <c r="E43" s="5">
        <f t="shared" ref="E43:E52" si="21">0.01*B43</f>
        <v>84.667483516377274</v>
      </c>
      <c r="F43" s="5">
        <f t="shared" ref="F43:F52" si="22">$B$26</f>
        <v>276.3</v>
      </c>
      <c r="G43" s="5">
        <f t="shared" ref="G43:G52" si="23">D43-E43-F43</f>
        <v>17938.2841648459</v>
      </c>
      <c r="H43" s="5">
        <f t="shared" si="16"/>
        <v>21197.982312223208</v>
      </c>
      <c r="I43" s="30">
        <f t="shared" si="14"/>
        <v>16.658196812346652</v>
      </c>
      <c r="J43" s="14">
        <v>37500</v>
      </c>
      <c r="K43" s="5">
        <f t="shared" ref="K43:K52" si="24">(1-$P$9)*J43</f>
        <v>15189.19707174</v>
      </c>
      <c r="L43" s="5">
        <f t="shared" ref="L43:L52" si="25">$H$1</f>
        <v>1884</v>
      </c>
      <c r="M43" s="5">
        <f t="shared" ref="M43:M52" si="26">J43-K43-L43</f>
        <v>20426.80292826</v>
      </c>
      <c r="N43" s="5">
        <f t="shared" ref="N43:N52" si="27">0.01*K43</f>
        <v>151.8919707174</v>
      </c>
      <c r="O43" s="5">
        <f t="shared" ref="O43:O52" si="28">$B$26</f>
        <v>276.3</v>
      </c>
      <c r="P43" s="5">
        <f t="shared" ref="P43:P52" si="29">M43-N43-O43</f>
        <v>19998.610957542602</v>
      </c>
      <c r="Q43" s="5">
        <f t="shared" si="17"/>
        <v>21197.982312223208</v>
      </c>
      <c r="R43" s="30">
        <f t="shared" si="15"/>
        <v>5.8226725051113659</v>
      </c>
      <c r="T43" s="10"/>
      <c r="U43" s="94">
        <f>U42/7.481</f>
        <v>65.786442604624156</v>
      </c>
      <c r="V43" s="94">
        <f>V42/7.481</f>
        <v>260.22027570308467</v>
      </c>
      <c r="W43" s="9" t="s">
        <v>389</v>
      </c>
    </row>
    <row r="44" spans="1:27" x14ac:dyDescent="0.25">
      <c r="A44" s="14">
        <v>40000</v>
      </c>
      <c r="B44" s="5">
        <f t="shared" si="18"/>
        <v>9031.1982417469098</v>
      </c>
      <c r="C44" s="5">
        <f t="shared" si="19"/>
        <v>10734</v>
      </c>
      <c r="D44" s="5">
        <f t="shared" si="20"/>
        <v>20234.801758253088</v>
      </c>
      <c r="E44" s="5">
        <f t="shared" si="21"/>
        <v>90.311982417469096</v>
      </c>
      <c r="F44" s="5">
        <f t="shared" si="22"/>
        <v>276.3</v>
      </c>
      <c r="G44" s="5">
        <f t="shared" si="23"/>
        <v>19868.189775835621</v>
      </c>
      <c r="H44" s="5">
        <f t="shared" si="16"/>
        <v>22474.485734738304</v>
      </c>
      <c r="I44" s="30">
        <f t="shared" si="14"/>
        <v>12.310492558515023</v>
      </c>
      <c r="J44" s="14">
        <v>40000</v>
      </c>
      <c r="K44" s="5">
        <f t="shared" si="24"/>
        <v>16201.810209855999</v>
      </c>
      <c r="L44" s="5">
        <f t="shared" si="25"/>
        <v>1884</v>
      </c>
      <c r="M44" s="5">
        <f t="shared" si="26"/>
        <v>21914.189790144002</v>
      </c>
      <c r="N44" s="5">
        <f t="shared" si="27"/>
        <v>162.01810209856001</v>
      </c>
      <c r="O44" s="5">
        <f t="shared" si="28"/>
        <v>276.3</v>
      </c>
      <c r="P44" s="5">
        <f t="shared" si="29"/>
        <v>21475.871688045445</v>
      </c>
      <c r="Q44" s="5">
        <f t="shared" si="17"/>
        <v>22474.485734738304</v>
      </c>
      <c r="R44" s="30">
        <f t="shared" si="15"/>
        <v>4.544281799970892</v>
      </c>
    </row>
    <row r="45" spans="1:27" x14ac:dyDescent="0.25">
      <c r="A45" s="14">
        <v>42500</v>
      </c>
      <c r="B45" s="5">
        <f t="shared" si="18"/>
        <v>9595.6481318560909</v>
      </c>
      <c r="C45" s="5">
        <f t="shared" si="19"/>
        <v>10734</v>
      </c>
      <c r="D45" s="5">
        <f t="shared" si="20"/>
        <v>22170.351868143909</v>
      </c>
      <c r="E45" s="5">
        <f t="shared" si="21"/>
        <v>95.956481318560918</v>
      </c>
      <c r="F45" s="5">
        <f t="shared" si="22"/>
        <v>276.3</v>
      </c>
      <c r="G45" s="5">
        <f t="shared" si="23"/>
        <v>21798.095386825349</v>
      </c>
      <c r="H45" s="5">
        <f t="shared" si="16"/>
        <v>23743.510033430004</v>
      </c>
      <c r="I45" s="30">
        <f t="shared" si="14"/>
        <v>8.5434609898025293</v>
      </c>
      <c r="J45" s="14">
        <v>42500</v>
      </c>
      <c r="K45" s="5">
        <f t="shared" si="24"/>
        <v>17214.423347971999</v>
      </c>
      <c r="L45" s="5">
        <f t="shared" si="25"/>
        <v>1884</v>
      </c>
      <c r="M45" s="5">
        <f t="shared" si="26"/>
        <v>23401.576652028001</v>
      </c>
      <c r="N45" s="5">
        <f t="shared" si="27"/>
        <v>172.14423347971999</v>
      </c>
      <c r="O45" s="5">
        <f t="shared" si="28"/>
        <v>276.3</v>
      </c>
      <c r="P45" s="5">
        <f t="shared" si="29"/>
        <v>22953.132418548281</v>
      </c>
      <c r="Q45" s="5">
        <f t="shared" si="17"/>
        <v>23743.510033430004</v>
      </c>
      <c r="R45" s="30">
        <f t="shared" si="15"/>
        <v>3.3851582185786855</v>
      </c>
    </row>
    <row r="46" spans="1:27" x14ac:dyDescent="0.25">
      <c r="A46" s="14">
        <v>45000</v>
      </c>
      <c r="B46" s="5">
        <f t="shared" si="18"/>
        <v>10160.098021965274</v>
      </c>
      <c r="C46" s="5">
        <f t="shared" si="19"/>
        <v>10734</v>
      </c>
      <c r="D46" s="5">
        <f t="shared" si="20"/>
        <v>24105.90197803473</v>
      </c>
      <c r="E46" s="5">
        <f t="shared" si="21"/>
        <v>101.60098021965274</v>
      </c>
      <c r="F46" s="5">
        <f t="shared" si="22"/>
        <v>276.3</v>
      </c>
      <c r="G46" s="5">
        <f t="shared" si="23"/>
        <v>23728.000997815077</v>
      </c>
      <c r="H46" s="5">
        <f t="shared" si="16"/>
        <v>25005.535735913414</v>
      </c>
      <c r="I46" s="30">
        <f t="shared" si="14"/>
        <v>5.2429387387932156</v>
      </c>
      <c r="J46" s="14">
        <v>45000</v>
      </c>
      <c r="K46" s="5">
        <f t="shared" si="24"/>
        <v>18227.036486088</v>
      </c>
      <c r="L46" s="5">
        <f t="shared" si="25"/>
        <v>1884</v>
      </c>
      <c r="M46" s="5">
        <f t="shared" si="26"/>
        <v>24888.963513912</v>
      </c>
      <c r="N46" s="5">
        <f t="shared" si="27"/>
        <v>182.27036486087999</v>
      </c>
      <c r="O46" s="5">
        <f t="shared" si="28"/>
        <v>276.3</v>
      </c>
      <c r="P46" s="5">
        <f t="shared" si="29"/>
        <v>24430.39314905112</v>
      </c>
      <c r="Q46" s="5">
        <f t="shared" si="17"/>
        <v>25005.535735913414</v>
      </c>
      <c r="R46" s="30">
        <f t="shared" si="15"/>
        <v>2.3268201886147537</v>
      </c>
      <c r="V46">
        <v>578</v>
      </c>
    </row>
    <row r="47" spans="1:27" x14ac:dyDescent="0.25">
      <c r="A47" s="14">
        <v>47500</v>
      </c>
      <c r="B47" s="5">
        <f t="shared" si="18"/>
        <v>10724.547912074455</v>
      </c>
      <c r="C47" s="5">
        <f t="shared" si="19"/>
        <v>10734</v>
      </c>
      <c r="D47" s="5">
        <f t="shared" si="20"/>
        <v>26041.452087925543</v>
      </c>
      <c r="E47" s="5">
        <f t="shared" si="21"/>
        <v>107.24547912074455</v>
      </c>
      <c r="F47" s="5">
        <f t="shared" si="22"/>
        <v>276.3</v>
      </c>
      <c r="G47" s="5">
        <f t="shared" si="23"/>
        <v>25657.906608804798</v>
      </c>
      <c r="H47" s="5">
        <f t="shared" si="16"/>
        <v>26260.987525325341</v>
      </c>
      <c r="I47" s="30">
        <f t="shared" si="14"/>
        <v>2.3231654933269965</v>
      </c>
      <c r="J47" s="14">
        <v>47500</v>
      </c>
      <c r="K47" s="5">
        <f t="shared" si="24"/>
        <v>19239.649624204001</v>
      </c>
      <c r="L47" s="5">
        <f t="shared" si="25"/>
        <v>1884</v>
      </c>
      <c r="M47" s="5">
        <f t="shared" si="26"/>
        <v>26376.350375795999</v>
      </c>
      <c r="N47" s="5">
        <f t="shared" si="27"/>
        <v>192.39649624204003</v>
      </c>
      <c r="O47" s="5">
        <f t="shared" si="28"/>
        <v>276.3</v>
      </c>
      <c r="P47" s="5">
        <f t="shared" si="29"/>
        <v>25907.65387955396</v>
      </c>
      <c r="Q47" s="5">
        <f t="shared" si="17"/>
        <v>26260.987525325341</v>
      </c>
      <c r="R47" s="30">
        <f t="shared" si="15"/>
        <v>1.354582508787872</v>
      </c>
    </row>
    <row r="48" spans="1:27" s="29" customFormat="1" x14ac:dyDescent="0.25">
      <c r="A48" s="18">
        <v>50000</v>
      </c>
      <c r="B48" s="11">
        <f t="shared" si="18"/>
        <v>11288.997802183636</v>
      </c>
      <c r="C48" s="11">
        <f t="shared" si="19"/>
        <v>10734</v>
      </c>
      <c r="D48" s="11">
        <f t="shared" si="20"/>
        <v>27977.002197816364</v>
      </c>
      <c r="E48" s="11">
        <f t="shared" si="21"/>
        <v>112.88997802183636</v>
      </c>
      <c r="F48" s="11">
        <f t="shared" si="22"/>
        <v>276.3</v>
      </c>
      <c r="G48" s="11">
        <f t="shared" si="23"/>
        <v>27587.812219794527</v>
      </c>
      <c r="H48" s="11">
        <f t="shared" si="16"/>
        <v>27510.243329426616</v>
      </c>
      <c r="I48" s="31">
        <f t="shared" si="14"/>
        <v>-0.28156670719029608</v>
      </c>
      <c r="J48" s="18">
        <v>50000</v>
      </c>
      <c r="K48" s="11">
        <f>(1-$P$9)*J48</f>
        <v>20252.262762319999</v>
      </c>
      <c r="L48" s="11">
        <f t="shared" si="25"/>
        <v>1884</v>
      </c>
      <c r="M48" s="11">
        <f t="shared" si="26"/>
        <v>27863.737237680001</v>
      </c>
      <c r="N48" s="11">
        <f t="shared" si="27"/>
        <v>202.52262762319998</v>
      </c>
      <c r="O48" s="11">
        <f t="shared" si="28"/>
        <v>276.3</v>
      </c>
      <c r="P48" s="11">
        <f t="shared" si="29"/>
        <v>27384.914610056803</v>
      </c>
      <c r="Q48" s="11">
        <f t="shared" si="17"/>
        <v>27510.243329426616</v>
      </c>
      <c r="R48" s="31">
        <f t="shared" si="15"/>
        <v>0.4566111987799551</v>
      </c>
    </row>
    <row r="49" spans="1:18" x14ac:dyDescent="0.25">
      <c r="A49" s="219">
        <v>52500</v>
      </c>
      <c r="B49" s="184">
        <f t="shared" si="18"/>
        <v>11853.447692292819</v>
      </c>
      <c r="C49" s="184">
        <f t="shared" si="19"/>
        <v>10734</v>
      </c>
      <c r="D49" s="184">
        <f t="shared" si="20"/>
        <v>29912.552307707185</v>
      </c>
      <c r="E49" s="184">
        <f t="shared" si="21"/>
        <v>118.53447692292819</v>
      </c>
      <c r="F49" s="184">
        <f t="shared" si="22"/>
        <v>276.3</v>
      </c>
      <c r="G49" s="184">
        <f t="shared" si="23"/>
        <v>29517.717830784259</v>
      </c>
      <c r="H49" s="184">
        <f t="shared" si="16"/>
        <v>28753.641549341817</v>
      </c>
      <c r="I49" s="220">
        <f t="shared" si="14"/>
        <v>-2.6224762544428852</v>
      </c>
      <c r="J49" s="219">
        <v>52500</v>
      </c>
      <c r="K49" s="184">
        <f t="shared" si="24"/>
        <v>21264.875900436</v>
      </c>
      <c r="L49" s="184">
        <f t="shared" si="25"/>
        <v>1884</v>
      </c>
      <c r="M49" s="184">
        <f t="shared" si="26"/>
        <v>29351.124099564</v>
      </c>
      <c r="N49" s="184">
        <f t="shared" si="27"/>
        <v>212.64875900436002</v>
      </c>
      <c r="O49" s="184">
        <f t="shared" si="28"/>
        <v>276.3</v>
      </c>
      <c r="P49" s="184">
        <f t="shared" si="29"/>
        <v>28862.175340559639</v>
      </c>
      <c r="Q49" s="184">
        <f t="shared" si="17"/>
        <v>28753.641549341817</v>
      </c>
      <c r="R49" s="220">
        <f t="shared" si="15"/>
        <v>-0.37674998664071752</v>
      </c>
    </row>
    <row r="50" spans="1:18" x14ac:dyDescent="0.25">
      <c r="A50" s="14">
        <v>55000</v>
      </c>
      <c r="B50" s="5">
        <f t="shared" si="18"/>
        <v>12417.897582402</v>
      </c>
      <c r="C50" s="5">
        <f t="shared" si="19"/>
        <v>10734</v>
      </c>
      <c r="D50" s="5">
        <f t="shared" si="20"/>
        <v>31848.102417597998</v>
      </c>
      <c r="E50" s="5">
        <f t="shared" si="21"/>
        <v>124.17897582402</v>
      </c>
      <c r="F50" s="5">
        <f t="shared" si="22"/>
        <v>276.3</v>
      </c>
      <c r="G50" s="5">
        <f t="shared" si="23"/>
        <v>31447.62344177398</v>
      </c>
      <c r="H50" s="5">
        <f t="shared" si="16"/>
        <v>29991.486879330838</v>
      </c>
      <c r="I50" s="30">
        <f t="shared" si="14"/>
        <v>-4.7400965112704352</v>
      </c>
      <c r="J50" s="14">
        <v>55000</v>
      </c>
      <c r="K50" s="5">
        <f t="shared" si="24"/>
        <v>22277.489038552001</v>
      </c>
      <c r="L50" s="5">
        <f t="shared" si="25"/>
        <v>1884</v>
      </c>
      <c r="M50" s="5">
        <f t="shared" si="26"/>
        <v>30838.510961447999</v>
      </c>
      <c r="N50" s="5">
        <f t="shared" si="27"/>
        <v>222.77489038552002</v>
      </c>
      <c r="O50" s="5">
        <f t="shared" si="28"/>
        <v>276.3</v>
      </c>
      <c r="P50" s="5">
        <f t="shared" si="29"/>
        <v>30339.436071062479</v>
      </c>
      <c r="Q50" s="5">
        <f t="shared" si="17"/>
        <v>29991.486879330838</v>
      </c>
      <c r="R50" s="30">
        <f t="shared" si="15"/>
        <v>-1.1534688173682994</v>
      </c>
    </row>
    <row r="51" spans="1:18" x14ac:dyDescent="0.25">
      <c r="A51" s="14">
        <v>57500</v>
      </c>
      <c r="B51" s="5">
        <f t="shared" si="18"/>
        <v>12982.347472511183</v>
      </c>
      <c r="C51" s="5">
        <f t="shared" si="19"/>
        <v>10734</v>
      </c>
      <c r="D51" s="5">
        <f t="shared" si="20"/>
        <v>33783.652527488819</v>
      </c>
      <c r="E51" s="5">
        <f t="shared" si="21"/>
        <v>129.82347472511182</v>
      </c>
      <c r="F51" s="5">
        <f t="shared" si="22"/>
        <v>276.3</v>
      </c>
      <c r="G51" s="5">
        <f t="shared" si="23"/>
        <v>33377.529052763704</v>
      </c>
      <c r="H51" s="5">
        <f t="shared" si="16"/>
        <v>31224.055043874483</v>
      </c>
      <c r="I51" s="30">
        <f t="shared" si="14"/>
        <v>-6.6669387105672735</v>
      </c>
      <c r="J51" s="14">
        <v>57500</v>
      </c>
      <c r="K51" s="5">
        <f t="shared" si="24"/>
        <v>23290.102176667999</v>
      </c>
      <c r="L51" s="5">
        <f t="shared" si="25"/>
        <v>1884</v>
      </c>
      <c r="M51" s="5">
        <f t="shared" si="26"/>
        <v>32325.897823332001</v>
      </c>
      <c r="N51" s="5">
        <f t="shared" si="27"/>
        <v>232.90102176668</v>
      </c>
      <c r="O51" s="5">
        <f t="shared" si="28"/>
        <v>276.3</v>
      </c>
      <c r="P51" s="5">
        <f t="shared" si="29"/>
        <v>31816.696801565322</v>
      </c>
      <c r="Q51" s="5">
        <f t="shared" si="17"/>
        <v>31224.055043874483</v>
      </c>
      <c r="R51" s="30">
        <f t="shared" si="15"/>
        <v>-1.8801861981083239</v>
      </c>
    </row>
    <row r="52" spans="1:18" x14ac:dyDescent="0.25">
      <c r="A52" s="10">
        <v>60000</v>
      </c>
      <c r="B52" s="8">
        <f>(1-$L$15)*A52</f>
        <v>13546.797362620364</v>
      </c>
      <c r="C52" s="8">
        <f t="shared" si="19"/>
        <v>10734</v>
      </c>
      <c r="D52" s="8">
        <f t="shared" si="20"/>
        <v>35719.20263737964</v>
      </c>
      <c r="E52" s="8">
        <f t="shared" si="21"/>
        <v>135.46797362620364</v>
      </c>
      <c r="F52" s="8">
        <f t="shared" si="22"/>
        <v>276.3</v>
      </c>
      <c r="G52" s="8">
        <f t="shared" si="23"/>
        <v>35307.434663753433</v>
      </c>
      <c r="H52" s="8">
        <f t="shared" si="16"/>
        <v>32451.596691869556</v>
      </c>
      <c r="I52" s="69">
        <f t="shared" si="14"/>
        <v>-8.4293943250028036</v>
      </c>
      <c r="J52" s="10">
        <v>60000</v>
      </c>
      <c r="K52" s="8">
        <f t="shared" si="24"/>
        <v>24302.715314784</v>
      </c>
      <c r="L52" s="8">
        <f t="shared" si="25"/>
        <v>1884</v>
      </c>
      <c r="M52" s="8">
        <f t="shared" si="26"/>
        <v>33813.284685216</v>
      </c>
      <c r="N52" s="8">
        <f t="shared" si="27"/>
        <v>243.02715314784001</v>
      </c>
      <c r="O52" s="8">
        <f t="shared" si="28"/>
        <v>276.3</v>
      </c>
      <c r="P52" s="8">
        <f t="shared" si="29"/>
        <v>33293.957532068154</v>
      </c>
      <c r="Q52" s="8">
        <f t="shared" si="17"/>
        <v>32451.596691869556</v>
      </c>
      <c r="R52" s="69">
        <f t="shared" si="15"/>
        <v>-2.5624876089093735</v>
      </c>
    </row>
    <row r="53" spans="1:18" x14ac:dyDescent="0.25">
      <c r="A53" s="8"/>
      <c r="B53" s="8"/>
      <c r="C53" s="8"/>
      <c r="D53" s="8"/>
      <c r="E53" s="5"/>
      <c r="F53" s="5"/>
      <c r="G53" s="5"/>
      <c r="H53" s="5"/>
      <c r="I53" s="40"/>
      <c r="J53" s="5"/>
      <c r="K53" s="5"/>
      <c r="L53" s="5"/>
      <c r="M53" s="5"/>
      <c r="N53" s="5"/>
      <c r="O53" s="5"/>
      <c r="P53" s="5"/>
      <c r="Q53" s="5"/>
      <c r="R53" s="40"/>
    </row>
    <row r="54" spans="1:18" x14ac:dyDescent="0.25">
      <c r="A54" s="298" t="s">
        <v>84</v>
      </c>
      <c r="B54" s="298"/>
      <c r="C54" s="299" t="s">
        <v>85</v>
      </c>
      <c r="D54" s="300"/>
    </row>
    <row r="55" spans="1:18" x14ac:dyDescent="0.25">
      <c r="A55" s="38" t="s">
        <v>87</v>
      </c>
      <c r="B55" s="39">
        <v>-0.2009</v>
      </c>
      <c r="C55" s="38" t="s">
        <v>87</v>
      </c>
      <c r="D55" s="39">
        <v>-0.2009</v>
      </c>
    </row>
    <row r="56" spans="1:18" x14ac:dyDescent="0.25">
      <c r="A56" s="38" t="s">
        <v>88</v>
      </c>
      <c r="B56" s="39">
        <v>1.1036999999999999</v>
      </c>
      <c r="C56" s="38" t="s">
        <v>88</v>
      </c>
      <c r="D56" s="39">
        <v>1.1036999999999999</v>
      </c>
    </row>
    <row r="57" spans="1:18" x14ac:dyDescent="0.25">
      <c r="A57" s="1" t="s">
        <v>89</v>
      </c>
      <c r="B57" s="3">
        <f>(1-(1+B58)*(1-B59)-B60)</f>
        <v>0.77422004395632726</v>
      </c>
      <c r="C57" s="1" t="s">
        <v>89</v>
      </c>
      <c r="D57" s="3">
        <f>(1-(1+D58)*(1-D59)-D60)</f>
        <v>0.5949547447536</v>
      </c>
    </row>
    <row r="58" spans="1:18" x14ac:dyDescent="0.25">
      <c r="A58" s="4" t="s">
        <v>90</v>
      </c>
      <c r="B58" s="6"/>
      <c r="C58" s="4" t="s">
        <v>90</v>
      </c>
      <c r="D58" s="6"/>
    </row>
    <row r="59" spans="1:18" x14ac:dyDescent="0.25">
      <c r="A59" s="4" t="s">
        <v>91</v>
      </c>
      <c r="B59" s="6">
        <f>L15</f>
        <v>0.77422004395632726</v>
      </c>
      <c r="C59" s="4" t="s">
        <v>91</v>
      </c>
      <c r="D59" s="6">
        <f>P9</f>
        <v>0.5949547447536</v>
      </c>
    </row>
    <row r="60" spans="1:18" x14ac:dyDescent="0.25">
      <c r="A60" s="7" t="s">
        <v>92</v>
      </c>
      <c r="B60" s="9"/>
      <c r="C60" s="7" t="s">
        <v>92</v>
      </c>
      <c r="D60" s="9"/>
    </row>
    <row r="61" spans="1:18" x14ac:dyDescent="0.25">
      <c r="A61" s="35" t="s">
        <v>93</v>
      </c>
      <c r="B61" s="3">
        <f>B62+B63</f>
        <v>11010.3</v>
      </c>
      <c r="C61" s="35" t="s">
        <v>93</v>
      </c>
      <c r="D61" s="3">
        <f>D62+D63</f>
        <v>2160.3000000000002</v>
      </c>
    </row>
    <row r="62" spans="1:18" x14ac:dyDescent="0.25">
      <c r="A62" s="36" t="s">
        <v>4</v>
      </c>
      <c r="B62" s="6">
        <f>F1</f>
        <v>10734</v>
      </c>
      <c r="C62" s="36" t="s">
        <v>4</v>
      </c>
      <c r="D62" s="6">
        <f>H1</f>
        <v>1884</v>
      </c>
    </row>
    <row r="63" spans="1:18" x14ac:dyDescent="0.25">
      <c r="A63" s="37" t="s">
        <v>10</v>
      </c>
      <c r="B63" s="9">
        <f>D1</f>
        <v>276.3</v>
      </c>
      <c r="C63" s="37" t="s">
        <v>10</v>
      </c>
      <c r="D63" s="9">
        <f>D1</f>
        <v>276.3</v>
      </c>
    </row>
    <row r="64" spans="1:18" x14ac:dyDescent="0.25">
      <c r="A64" s="35" t="s">
        <v>86</v>
      </c>
      <c r="B64" s="3">
        <f>B65+B66*LOG10(B67*B69-B68)</f>
        <v>4.7022770720474325</v>
      </c>
      <c r="C64" s="35" t="s">
        <v>86</v>
      </c>
      <c r="D64" s="3">
        <f>D65+D66*LOG10(D67*D69-D68)</f>
        <v>4.7003131259754936</v>
      </c>
    </row>
    <row r="65" spans="1:4" x14ac:dyDescent="0.25">
      <c r="A65" s="36" t="s">
        <v>87</v>
      </c>
      <c r="B65" s="6">
        <f>B55</f>
        <v>-0.2009</v>
      </c>
      <c r="C65" s="36" t="s">
        <v>87</v>
      </c>
      <c r="D65" s="6">
        <f>D55</f>
        <v>-0.2009</v>
      </c>
    </row>
    <row r="66" spans="1:4" x14ac:dyDescent="0.25">
      <c r="A66" s="36" t="s">
        <v>88</v>
      </c>
      <c r="B66" s="6">
        <f>B56</f>
        <v>1.1036999999999999</v>
      </c>
      <c r="C66" s="36" t="s">
        <v>88</v>
      </c>
      <c r="D66" s="6">
        <f>D56</f>
        <v>1.1036999999999999</v>
      </c>
    </row>
    <row r="67" spans="1:4" x14ac:dyDescent="0.25">
      <c r="A67" s="36" t="s">
        <v>89</v>
      </c>
      <c r="B67" s="6">
        <f>B57</f>
        <v>0.77422004395632726</v>
      </c>
      <c r="C67" s="36" t="s">
        <v>89</v>
      </c>
      <c r="D67" s="6">
        <f>D57</f>
        <v>0.5949547447536</v>
      </c>
    </row>
    <row r="68" spans="1:4" x14ac:dyDescent="0.25">
      <c r="A68" s="36" t="s">
        <v>93</v>
      </c>
      <c r="B68" s="6">
        <f>B61</f>
        <v>11010.3</v>
      </c>
      <c r="C68" s="36" t="s">
        <v>93</v>
      </c>
      <c r="D68" s="6">
        <f>D61</f>
        <v>2160.3000000000002</v>
      </c>
    </row>
    <row r="69" spans="1:4" x14ac:dyDescent="0.25">
      <c r="A69" s="37" t="s">
        <v>0</v>
      </c>
      <c r="B69" s="41">
        <v>50000</v>
      </c>
      <c r="C69" s="37" t="s">
        <v>0</v>
      </c>
      <c r="D69" s="41">
        <v>50000</v>
      </c>
    </row>
    <row r="71" spans="1:4" x14ac:dyDescent="0.25">
      <c r="A71" s="35" t="s">
        <v>192</v>
      </c>
      <c r="B71" s="3">
        <f>D48+B72+B73</f>
        <v>39112.400879126544</v>
      </c>
    </row>
    <row r="72" spans="1:4" x14ac:dyDescent="0.25">
      <c r="A72" s="36" t="s">
        <v>4</v>
      </c>
      <c r="B72" s="6">
        <f>F1-F5</f>
        <v>4362</v>
      </c>
    </row>
    <row r="73" spans="1:4" x14ac:dyDescent="0.25">
      <c r="A73" s="36" t="s">
        <v>193</v>
      </c>
      <c r="B73" s="6">
        <f>B48*0.6</f>
        <v>6773.398681310181</v>
      </c>
    </row>
    <row r="74" spans="1:4" x14ac:dyDescent="0.25">
      <c r="A74" s="50" t="s">
        <v>199</v>
      </c>
      <c r="B74" s="9">
        <f>1/(B71/A48)</f>
        <v>1.2783669341731443</v>
      </c>
    </row>
  </sheetData>
  <mergeCells count="9">
    <mergeCell ref="M1:P1"/>
    <mergeCell ref="A34:I34"/>
    <mergeCell ref="J34:R34"/>
    <mergeCell ref="A54:B54"/>
    <mergeCell ref="C54:D54"/>
    <mergeCell ref="A18:D18"/>
    <mergeCell ref="E18:H18"/>
    <mergeCell ref="I1:L1"/>
    <mergeCell ref="A17:H1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3812-5257-4991-A4DD-BCDFB4CD9F90}">
  <dimension ref="A1:BA156"/>
  <sheetViews>
    <sheetView topLeftCell="A109" zoomScaleNormal="100" workbookViewId="0">
      <selection activeCell="A131" sqref="A131:E156"/>
    </sheetView>
  </sheetViews>
  <sheetFormatPr defaultRowHeight="15" x14ac:dyDescent="0.25"/>
  <cols>
    <col min="1" max="1" width="16.5703125" bestFit="1" customWidth="1"/>
    <col min="2" max="2" width="9.5703125" bestFit="1" customWidth="1"/>
    <col min="3" max="3" width="12.85546875" bestFit="1" customWidth="1"/>
    <col min="4" max="4" width="30.5703125" bestFit="1" customWidth="1"/>
    <col min="5" max="5" width="12" bestFit="1" customWidth="1"/>
    <col min="6" max="6" width="9.7109375" bestFit="1" customWidth="1"/>
    <col min="9" max="9" width="12.85546875" bestFit="1" customWidth="1"/>
    <col min="10" max="10" width="12.42578125" bestFit="1" customWidth="1"/>
    <col min="12" max="12" width="10.140625" bestFit="1" customWidth="1"/>
    <col min="30" max="30" width="10.28515625" customWidth="1"/>
    <col min="33" max="33" width="13.140625" bestFit="1" customWidth="1"/>
    <col min="47" max="47" width="19.7109375" bestFit="1" customWidth="1"/>
  </cols>
  <sheetData>
    <row r="1" spans="1:53" x14ac:dyDescent="0.25">
      <c r="A1" s="1" t="s">
        <v>94</v>
      </c>
      <c r="B1" s="2">
        <v>1.5</v>
      </c>
      <c r="C1" s="3" t="s">
        <v>97</v>
      </c>
      <c r="D1" s="2" t="s">
        <v>158</v>
      </c>
      <c r="E1" s="51"/>
      <c r="AU1" t="s">
        <v>939</v>
      </c>
    </row>
    <row r="2" spans="1:53" x14ac:dyDescent="0.25">
      <c r="A2" s="14" t="s">
        <v>95</v>
      </c>
      <c r="B2" s="5">
        <v>1.9</v>
      </c>
      <c r="C2" s="6" t="s">
        <v>98</v>
      </c>
      <c r="D2" s="8" t="s">
        <v>159</v>
      </c>
      <c r="E2" s="52"/>
      <c r="AU2" s="295" t="s">
        <v>927</v>
      </c>
      <c r="AV2" s="296"/>
      <c r="AW2" s="297"/>
      <c r="AY2" s="302" t="s">
        <v>940</v>
      </c>
      <c r="AZ2" s="302"/>
      <c r="BA2" s="302"/>
    </row>
    <row r="3" spans="1:53" x14ac:dyDescent="0.25">
      <c r="A3" s="10" t="s">
        <v>96</v>
      </c>
      <c r="B3" s="8">
        <v>2.4</v>
      </c>
      <c r="C3" s="9" t="s">
        <v>99</v>
      </c>
      <c r="AU3" s="14" t="s">
        <v>153</v>
      </c>
      <c r="AV3" s="5">
        <v>542</v>
      </c>
      <c r="AW3" s="6" t="s">
        <v>150</v>
      </c>
    </row>
    <row r="4" spans="1:53" x14ac:dyDescent="0.25">
      <c r="AU4" s="14" t="s">
        <v>143</v>
      </c>
      <c r="AV4" s="5">
        <v>46.5</v>
      </c>
      <c r="AW4" s="6" t="s">
        <v>124</v>
      </c>
    </row>
    <row r="5" spans="1:53" x14ac:dyDescent="0.25">
      <c r="A5" s="295" t="s">
        <v>103</v>
      </c>
      <c r="B5" s="296"/>
      <c r="C5" s="297"/>
      <c r="D5" s="3" t="s">
        <v>118</v>
      </c>
      <c r="AU5" s="14" t="s">
        <v>268</v>
      </c>
      <c r="AV5" s="5">
        <v>4</v>
      </c>
      <c r="AW5" s="6"/>
    </row>
    <row r="6" spans="1:53" x14ac:dyDescent="0.25">
      <c r="A6" s="14" t="s">
        <v>101</v>
      </c>
      <c r="B6" s="5">
        <f>(B8*B9*B7^2)/2</f>
        <v>0</v>
      </c>
      <c r="C6" s="5"/>
      <c r="D6" s="6" t="s">
        <v>102</v>
      </c>
      <c r="AU6" s="14" t="s">
        <v>550</v>
      </c>
      <c r="AV6" s="11">
        <v>30</v>
      </c>
      <c r="AW6" s="6" t="s">
        <v>490</v>
      </c>
    </row>
    <row r="7" spans="1:53" x14ac:dyDescent="0.25">
      <c r="A7" s="4" t="s">
        <v>100</v>
      </c>
      <c r="B7" s="5"/>
      <c r="C7" s="5" t="s">
        <v>150</v>
      </c>
      <c r="D7" s="6" t="s">
        <v>103</v>
      </c>
      <c r="AU7" s="14" t="s">
        <v>449</v>
      </c>
      <c r="AV7" s="5">
        <f>200/12</f>
        <v>16.666666666666668</v>
      </c>
      <c r="AW7" s="6" t="s">
        <v>124</v>
      </c>
    </row>
    <row r="8" spans="1:53" x14ac:dyDescent="0.25">
      <c r="A8" s="4" t="s">
        <v>177</v>
      </c>
      <c r="B8" s="5"/>
      <c r="C8" s="5" t="s">
        <v>165</v>
      </c>
      <c r="D8" s="6" t="s">
        <v>104</v>
      </c>
      <c r="AU8" s="14" t="s">
        <v>450</v>
      </c>
      <c r="AV8" s="5">
        <f>AV7*AV9</f>
        <v>6.6666666666666679</v>
      </c>
      <c r="AW8" s="6" t="s">
        <v>124</v>
      </c>
    </row>
    <row r="9" spans="1:53" x14ac:dyDescent="0.25">
      <c r="A9" s="7" t="s">
        <v>94</v>
      </c>
      <c r="B9" s="8">
        <f>B1</f>
        <v>1.5</v>
      </c>
      <c r="C9" s="8"/>
      <c r="D9" s="9" t="s">
        <v>105</v>
      </c>
      <c r="AU9" s="14" t="s">
        <v>484</v>
      </c>
      <c r="AV9" s="5">
        <v>0.4</v>
      </c>
      <c r="AW9" s="6"/>
    </row>
    <row r="10" spans="1:53" x14ac:dyDescent="0.25">
      <c r="AU10" s="14" t="s">
        <v>941</v>
      </c>
      <c r="AV10" s="5">
        <v>12.381</v>
      </c>
      <c r="AW10" s="6" t="s">
        <v>124</v>
      </c>
    </row>
    <row r="11" spans="1:53" x14ac:dyDescent="0.25">
      <c r="A11" s="305" t="s">
        <v>111</v>
      </c>
      <c r="B11" s="306"/>
      <c r="C11" s="306"/>
      <c r="D11" s="67" t="s">
        <v>205</v>
      </c>
      <c r="E11" s="2" t="s">
        <v>119</v>
      </c>
      <c r="F11" s="3"/>
      <c r="AU11" s="18" t="s">
        <v>942</v>
      </c>
      <c r="AV11" s="5">
        <v>9.9642999999999997</v>
      </c>
      <c r="AW11" s="124" t="s">
        <v>124</v>
      </c>
    </row>
    <row r="12" spans="1:53" x14ac:dyDescent="0.25">
      <c r="A12" s="46" t="s">
        <v>106</v>
      </c>
      <c r="B12" s="5">
        <v>4.4699999999999997E-2</v>
      </c>
      <c r="C12" s="5"/>
      <c r="D12" s="5"/>
      <c r="E12" s="5"/>
      <c r="F12" s="6"/>
      <c r="AU12" s="18" t="s">
        <v>752</v>
      </c>
      <c r="AV12" s="5">
        <v>0.25</v>
      </c>
      <c r="AW12" s="6"/>
    </row>
    <row r="13" spans="1:53" x14ac:dyDescent="0.25">
      <c r="A13" s="46" t="s">
        <v>107</v>
      </c>
      <c r="B13" s="5">
        <f>0.75*((5+B14)/(4+B14))</f>
        <v>0.89150943396226412</v>
      </c>
      <c r="C13" s="5"/>
      <c r="D13" s="5"/>
      <c r="E13" s="5"/>
      <c r="F13" s="6"/>
      <c r="AU13" s="209" t="s">
        <v>791</v>
      </c>
      <c r="AV13" s="5">
        <v>25.2</v>
      </c>
      <c r="AW13" s="124" t="s">
        <v>490</v>
      </c>
    </row>
    <row r="14" spans="1:53" x14ac:dyDescent="0.25">
      <c r="A14" s="59" t="s">
        <v>176</v>
      </c>
      <c r="B14" s="27">
        <v>1.3</v>
      </c>
      <c r="C14" s="5"/>
      <c r="D14" s="63" t="s">
        <v>112</v>
      </c>
      <c r="E14" s="5"/>
      <c r="F14" s="6"/>
      <c r="AU14" s="210" t="s">
        <v>410</v>
      </c>
      <c r="AV14" s="8">
        <v>24.1</v>
      </c>
      <c r="AW14" s="150" t="s">
        <v>490</v>
      </c>
    </row>
    <row r="15" spans="1:53" x14ac:dyDescent="0.25">
      <c r="A15" s="45" t="s">
        <v>108</v>
      </c>
      <c r="B15" s="33">
        <v>2500</v>
      </c>
      <c r="C15" s="5" t="s">
        <v>124</v>
      </c>
      <c r="D15" s="5" t="s">
        <v>113</v>
      </c>
      <c r="E15" s="5"/>
      <c r="F15" s="6"/>
      <c r="AU15" s="18" t="s">
        <v>1070</v>
      </c>
      <c r="AV15" s="11">
        <v>4.1500000000000004</v>
      </c>
      <c r="AW15" s="124" t="s">
        <v>647</v>
      </c>
    </row>
    <row r="16" spans="1:53" x14ac:dyDescent="0.25">
      <c r="A16" s="60" t="s">
        <v>177</v>
      </c>
      <c r="B16" s="5">
        <v>2.3770000000000002E-3</v>
      </c>
      <c r="C16" s="5" t="s">
        <v>123</v>
      </c>
      <c r="D16" s="5" t="s">
        <v>104</v>
      </c>
      <c r="E16" s="5"/>
      <c r="F16" s="6"/>
    </row>
    <row r="17" spans="1:35" x14ac:dyDescent="0.25">
      <c r="A17" s="45" t="s">
        <v>95</v>
      </c>
      <c r="B17" s="5">
        <f>B2</f>
        <v>1.9</v>
      </c>
      <c r="C17" s="5"/>
      <c r="D17" s="5" t="s">
        <v>114</v>
      </c>
      <c r="E17" s="5"/>
      <c r="F17" s="6"/>
    </row>
    <row r="18" spans="1:35" x14ac:dyDescent="0.25">
      <c r="A18" s="45" t="s">
        <v>109</v>
      </c>
      <c r="B18" s="5">
        <v>2.5000000000000001E-2</v>
      </c>
      <c r="C18" s="5"/>
      <c r="D18" s="5" t="s">
        <v>115</v>
      </c>
      <c r="E18" s="5"/>
      <c r="F18" s="6"/>
    </row>
    <row r="19" spans="1:35" x14ac:dyDescent="0.25">
      <c r="A19" s="45" t="s">
        <v>110</v>
      </c>
      <c r="B19" s="27">
        <f>B66</f>
        <v>2.9895544226705487E-2</v>
      </c>
      <c r="C19" s="5"/>
      <c r="D19" s="5" t="s">
        <v>136</v>
      </c>
      <c r="E19" s="5"/>
      <c r="F19" s="6"/>
    </row>
    <row r="20" spans="1:35" x14ac:dyDescent="0.25">
      <c r="A20" s="42" t="s">
        <v>95</v>
      </c>
      <c r="B20" s="48">
        <v>1.9</v>
      </c>
      <c r="C20" s="5">
        <v>1.6</v>
      </c>
      <c r="D20" s="5">
        <v>1.8</v>
      </c>
      <c r="E20" s="5">
        <v>2</v>
      </c>
      <c r="F20" s="6">
        <v>2.2000000000000002</v>
      </c>
    </row>
    <row r="21" spans="1:35" x14ac:dyDescent="0.25">
      <c r="A21" s="42" t="s">
        <v>116</v>
      </c>
      <c r="B21" s="43" t="s">
        <v>117</v>
      </c>
      <c r="C21" s="43" t="s">
        <v>117</v>
      </c>
      <c r="D21" s="43" t="s">
        <v>117</v>
      </c>
      <c r="E21" s="43" t="s">
        <v>117</v>
      </c>
      <c r="F21" s="44" t="s">
        <v>117</v>
      </c>
    </row>
    <row r="22" spans="1:35" x14ac:dyDescent="0.25">
      <c r="A22" s="14">
        <v>25</v>
      </c>
      <c r="B22" s="5">
        <f>((($B$12*A22)/($B$15*$B$16*$B$17))+0.72*$B$19+$B$18)/$B$13</f>
        <v>0.16320591888866853</v>
      </c>
      <c r="C22" s="5">
        <f>((($B$12*A22)/($B$15*$B$16*1.6))+0.72*$B$19+$B$18)/$B$13</f>
        <v>0.1840220526180277</v>
      </c>
      <c r="D22" s="5">
        <f>((($B$12*A22)/($B$15*$B$16*1.8))+0.72*$B$19+$B$18)/$B$13</f>
        <v>0.16937366221588607</v>
      </c>
      <c r="E22" s="5">
        <f>((($B$12*A22)/($B$15*$B$16*2))+0.72*$B$19+$B$18)/$B$13</f>
        <v>0.15765494989417278</v>
      </c>
      <c r="F22" s="6">
        <f>((($B$12*A22)/($B$15*$B$16*2.2))+0.72*$B$19+$B$18)/$B$13</f>
        <v>0.14806691254004367</v>
      </c>
    </row>
    <row r="23" spans="1:35" x14ac:dyDescent="0.25">
      <c r="A23" s="14">
        <v>50</v>
      </c>
      <c r="B23" s="5">
        <f t="shared" ref="B23:B33" si="0">((($B$12*A23)/($B$15*$B$16*$B$17))+0.72*$B$19+$B$18)/$B$13</f>
        <v>0.27422529877858404</v>
      </c>
      <c r="C23" s="5">
        <f t="shared" ref="C23:C33" si="1">((($B$12*A23)/($B$15*$B$16*1.6))+0.72*$B$19+$B$18)/$B$13</f>
        <v>0.31585756623730238</v>
      </c>
      <c r="D23" s="5">
        <f t="shared" ref="D23:D33" si="2">((($B$12*A23)/($B$15*$B$16*1.8))+0.72*$B$19+$B$18)/$B$13</f>
        <v>0.28656078543301911</v>
      </c>
      <c r="E23" s="5">
        <f t="shared" ref="E23:E33" si="3">((($B$12*A23)/($B$15*$B$16*2))+0.72*$B$19+$B$18)/$B$13</f>
        <v>0.26312336078959248</v>
      </c>
      <c r="F23" s="6">
        <f t="shared" ref="F23:F33" si="4">((($B$12*A23)/($B$15*$B$16*2.2))+0.72*$B$19+$B$18)/$B$13</f>
        <v>0.24394728608133431</v>
      </c>
    </row>
    <row r="24" spans="1:35" x14ac:dyDescent="0.25">
      <c r="A24" s="14">
        <v>75</v>
      </c>
      <c r="B24" s="5">
        <f t="shared" si="0"/>
        <v>0.3852446786684996</v>
      </c>
      <c r="C24" s="5">
        <f t="shared" si="1"/>
        <v>0.44769307985657697</v>
      </c>
      <c r="D24" s="5">
        <f t="shared" si="2"/>
        <v>0.40374790865015209</v>
      </c>
      <c r="E24" s="5">
        <f t="shared" si="3"/>
        <v>0.36859177168501223</v>
      </c>
      <c r="F24" s="6">
        <f t="shared" si="4"/>
        <v>0.33982765962262501</v>
      </c>
    </row>
    <row r="25" spans="1:35" x14ac:dyDescent="0.25">
      <c r="A25" s="14">
        <v>100</v>
      </c>
      <c r="B25" s="5">
        <f t="shared" si="0"/>
        <v>0.49626405855841504</v>
      </c>
      <c r="C25" s="5">
        <f t="shared" si="1"/>
        <v>0.57952859347585162</v>
      </c>
      <c r="D25" s="5">
        <f t="shared" si="2"/>
        <v>0.52093503186728518</v>
      </c>
      <c r="E25" s="5">
        <f t="shared" si="3"/>
        <v>0.47406018258043198</v>
      </c>
      <c r="F25" s="6">
        <f t="shared" si="4"/>
        <v>0.43570803316391565</v>
      </c>
    </row>
    <row r="26" spans="1:35" x14ac:dyDescent="0.25">
      <c r="A26" s="14">
        <v>125</v>
      </c>
      <c r="B26" s="5">
        <f t="shared" si="0"/>
        <v>0.60728343844833055</v>
      </c>
      <c r="C26" s="5">
        <f t="shared" si="1"/>
        <v>0.71136410709512632</v>
      </c>
      <c r="D26" s="5">
        <f t="shared" si="2"/>
        <v>0.63812215508441816</v>
      </c>
      <c r="E26" s="5">
        <f t="shared" si="3"/>
        <v>0.57952859347585162</v>
      </c>
      <c r="F26" s="6">
        <f t="shared" si="4"/>
        <v>0.53158840670520624</v>
      </c>
    </row>
    <row r="27" spans="1:35" x14ac:dyDescent="0.25">
      <c r="A27" s="14">
        <v>150</v>
      </c>
      <c r="B27" s="5">
        <f t="shared" si="0"/>
        <v>0.71830281833824605</v>
      </c>
      <c r="C27" s="5">
        <f t="shared" si="1"/>
        <v>0.84319962071440091</v>
      </c>
      <c r="D27" s="5">
        <f t="shared" si="2"/>
        <v>0.75530927830155103</v>
      </c>
      <c r="E27" s="5">
        <f t="shared" si="3"/>
        <v>0.68499700437127131</v>
      </c>
      <c r="F27" s="6">
        <f t="shared" si="4"/>
        <v>0.62746878024649688</v>
      </c>
      <c r="AD27" t="s">
        <v>229</v>
      </c>
      <c r="AE27" t="s">
        <v>230</v>
      </c>
      <c r="AG27" t="s">
        <v>231</v>
      </c>
      <c r="AH27" t="s">
        <v>232</v>
      </c>
    </row>
    <row r="28" spans="1:35" x14ac:dyDescent="0.25">
      <c r="A28" s="14">
        <v>175</v>
      </c>
      <c r="B28" s="5">
        <f t="shared" si="0"/>
        <v>0.82932219822816156</v>
      </c>
      <c r="C28" s="5">
        <f t="shared" si="1"/>
        <v>0.97503513433367572</v>
      </c>
      <c r="D28" s="5">
        <f t="shared" si="2"/>
        <v>0.87249640151868413</v>
      </c>
      <c r="E28" s="5">
        <f t="shared" si="3"/>
        <v>0.79046541526669112</v>
      </c>
      <c r="F28" s="6">
        <f t="shared" si="4"/>
        <v>0.72334915378778752</v>
      </c>
      <c r="AD28" s="1" t="s">
        <v>153</v>
      </c>
      <c r="AE28" s="2">
        <v>489</v>
      </c>
      <c r="AF28" s="2" t="s">
        <v>150</v>
      </c>
      <c r="AG28" s="3" t="s">
        <v>154</v>
      </c>
    </row>
    <row r="29" spans="1:35" x14ac:dyDescent="0.25">
      <c r="A29" s="14">
        <v>200</v>
      </c>
      <c r="B29" s="5">
        <f t="shared" si="0"/>
        <v>0.94034157811807706</v>
      </c>
      <c r="C29" s="5">
        <f t="shared" si="1"/>
        <v>1.1068706479529502</v>
      </c>
      <c r="D29" s="5">
        <f t="shared" si="2"/>
        <v>0.98968352473581722</v>
      </c>
      <c r="E29" s="5">
        <f t="shared" si="3"/>
        <v>0.89593382616211081</v>
      </c>
      <c r="F29" s="6">
        <f t="shared" si="4"/>
        <v>0.81922952732907828</v>
      </c>
      <c r="AD29" s="14" t="s">
        <v>353</v>
      </c>
      <c r="AE29" s="5">
        <f>27455*2</f>
        <v>54910</v>
      </c>
      <c r="AF29" s="5" t="s">
        <v>369</v>
      </c>
      <c r="AG29" s="6" t="s">
        <v>358</v>
      </c>
    </row>
    <row r="30" spans="1:35" x14ac:dyDescent="0.25">
      <c r="A30" s="14">
        <v>225</v>
      </c>
      <c r="B30" s="5">
        <f t="shared" si="0"/>
        <v>1.0513609580079926</v>
      </c>
      <c r="C30" s="5">
        <f t="shared" si="1"/>
        <v>1.2387061615722248</v>
      </c>
      <c r="D30" s="5">
        <f t="shared" si="2"/>
        <v>1.1068706479529502</v>
      </c>
      <c r="E30" s="5">
        <f t="shared" si="3"/>
        <v>1.0014022370575306</v>
      </c>
      <c r="F30" s="6">
        <f t="shared" si="4"/>
        <v>0.91510990087036892</v>
      </c>
      <c r="AD30" s="10" t="s">
        <v>368</v>
      </c>
      <c r="AE30" s="8">
        <v>27455</v>
      </c>
      <c r="AF30" s="8" t="s">
        <v>369</v>
      </c>
      <c r="AG30" s="9" t="s">
        <v>370</v>
      </c>
    </row>
    <row r="31" spans="1:35" x14ac:dyDescent="0.25">
      <c r="A31" s="14">
        <v>250</v>
      </c>
      <c r="B31" s="5">
        <f t="shared" si="0"/>
        <v>1.1623803378979078</v>
      </c>
      <c r="C31" s="5">
        <f t="shared" si="1"/>
        <v>1.3705416751914994</v>
      </c>
      <c r="D31" s="5">
        <f t="shared" si="2"/>
        <v>1.2240577711700831</v>
      </c>
      <c r="E31" s="5">
        <f t="shared" si="3"/>
        <v>1.1068706479529502</v>
      </c>
      <c r="F31" s="6">
        <f t="shared" si="4"/>
        <v>1.0109902744116595</v>
      </c>
    </row>
    <row r="32" spans="1:35" x14ac:dyDescent="0.25">
      <c r="A32" s="14">
        <v>275</v>
      </c>
      <c r="B32" s="5">
        <f t="shared" si="0"/>
        <v>1.2733997177878233</v>
      </c>
      <c r="C32" s="5">
        <f t="shared" si="1"/>
        <v>1.502377188810774</v>
      </c>
      <c r="D32" s="5">
        <f t="shared" si="2"/>
        <v>1.3412448943872159</v>
      </c>
      <c r="E32" s="5">
        <f t="shared" si="3"/>
        <v>1.2123390588483698</v>
      </c>
      <c r="F32" s="6">
        <f t="shared" si="4"/>
        <v>1.1068706479529502</v>
      </c>
      <c r="AD32" s="295" t="s">
        <v>552</v>
      </c>
      <c r="AE32" s="296"/>
      <c r="AF32" s="296"/>
      <c r="AG32" s="1" t="s">
        <v>768</v>
      </c>
      <c r="AH32" s="2"/>
      <c r="AI32" s="3"/>
    </row>
    <row r="33" spans="1:35" x14ac:dyDescent="0.25">
      <c r="A33" s="10">
        <v>300</v>
      </c>
      <c r="B33" s="8">
        <f t="shared" si="0"/>
        <v>1.3844190976777389</v>
      </c>
      <c r="C33" s="8">
        <f t="shared" si="1"/>
        <v>1.6342127024300486</v>
      </c>
      <c r="D33" s="8">
        <f t="shared" si="2"/>
        <v>1.458432017604349</v>
      </c>
      <c r="E33" s="8">
        <f t="shared" si="3"/>
        <v>1.3178074697437894</v>
      </c>
      <c r="F33" s="9">
        <f t="shared" si="4"/>
        <v>1.2027510214942405</v>
      </c>
      <c r="AD33" s="14" t="s">
        <v>153</v>
      </c>
      <c r="AE33" s="5">
        <v>540</v>
      </c>
      <c r="AF33" s="5" t="s">
        <v>150</v>
      </c>
      <c r="AG33" s="14" t="s">
        <v>153</v>
      </c>
      <c r="AH33" s="5"/>
      <c r="AI33" s="6" t="s">
        <v>150</v>
      </c>
    </row>
    <row r="34" spans="1:35" x14ac:dyDescent="0.25">
      <c r="AD34" s="14" t="s">
        <v>143</v>
      </c>
      <c r="AE34" s="5">
        <v>46.5</v>
      </c>
      <c r="AF34" s="5" t="s">
        <v>124</v>
      </c>
      <c r="AG34" s="14" t="s">
        <v>143</v>
      </c>
      <c r="AH34" s="5"/>
      <c r="AI34" s="6" t="s">
        <v>124</v>
      </c>
    </row>
    <row r="35" spans="1:35" x14ac:dyDescent="0.25">
      <c r="A35" s="295" t="s">
        <v>120</v>
      </c>
      <c r="B35" s="296"/>
      <c r="C35" s="296"/>
      <c r="D35" s="68" t="s">
        <v>206</v>
      </c>
      <c r="E35" s="2" t="s">
        <v>139</v>
      </c>
      <c r="F35" s="2"/>
      <c r="G35" s="2"/>
      <c r="H35" s="3"/>
      <c r="AD35" s="14" t="s">
        <v>268</v>
      </c>
      <c r="AE35" s="5">
        <v>4</v>
      </c>
      <c r="AF35" s="5"/>
      <c r="AG35" s="14" t="s">
        <v>268</v>
      </c>
      <c r="AH35" s="5">
        <v>3.927</v>
      </c>
      <c r="AI35" s="6"/>
    </row>
    <row r="36" spans="1:35" x14ac:dyDescent="0.25">
      <c r="A36" s="14" t="s">
        <v>121</v>
      </c>
      <c r="B36" s="27">
        <v>0.76</v>
      </c>
      <c r="C36" s="5"/>
      <c r="D36" s="63" t="s">
        <v>122</v>
      </c>
      <c r="E36" s="5"/>
      <c r="F36" s="5"/>
      <c r="G36" s="5"/>
      <c r="H36" s="6"/>
      <c r="AD36" s="14" t="s">
        <v>550</v>
      </c>
      <c r="AE36" s="5">
        <v>30</v>
      </c>
      <c r="AF36" s="5" t="s">
        <v>490</v>
      </c>
      <c r="AG36" s="14" t="s">
        <v>550</v>
      </c>
      <c r="AH36" s="5"/>
      <c r="AI36" s="6" t="s">
        <v>490</v>
      </c>
    </row>
    <row r="37" spans="1:35" x14ac:dyDescent="0.25">
      <c r="A37" s="14" t="s">
        <v>125</v>
      </c>
      <c r="B37" s="33">
        <v>2500</v>
      </c>
      <c r="C37" s="5" t="s">
        <v>124</v>
      </c>
      <c r="D37" s="5" t="s">
        <v>120</v>
      </c>
      <c r="E37" s="11" t="s">
        <v>250</v>
      </c>
      <c r="F37" s="5"/>
      <c r="G37" s="5"/>
      <c r="H37" s="6"/>
      <c r="AD37" s="14" t="s">
        <v>449</v>
      </c>
      <c r="AE37" s="5">
        <v>13.67</v>
      </c>
      <c r="AF37" s="5" t="s">
        <v>124</v>
      </c>
      <c r="AG37" s="14" t="s">
        <v>449</v>
      </c>
      <c r="AH37" s="5"/>
      <c r="AI37" s="6" t="s">
        <v>124</v>
      </c>
    </row>
    <row r="38" spans="1:35" x14ac:dyDescent="0.25">
      <c r="A38" s="14" t="s">
        <v>127</v>
      </c>
      <c r="B38" s="5">
        <f>1.938*B37</f>
        <v>4845</v>
      </c>
      <c r="C38" s="5" t="s">
        <v>124</v>
      </c>
      <c r="D38" s="5" t="s">
        <v>128</v>
      </c>
      <c r="E38" s="11" t="s">
        <v>247</v>
      </c>
      <c r="F38" s="5"/>
      <c r="G38" s="5"/>
      <c r="H38" s="6"/>
      <c r="AD38" s="14" t="s">
        <v>450</v>
      </c>
      <c r="AE38" s="5">
        <v>5.4669999999999996</v>
      </c>
      <c r="AF38" s="5" t="s">
        <v>124</v>
      </c>
      <c r="AG38" s="14" t="s">
        <v>450</v>
      </c>
      <c r="AH38" s="5"/>
      <c r="AI38" s="6" t="s">
        <v>124</v>
      </c>
    </row>
    <row r="39" spans="1:35" x14ac:dyDescent="0.25">
      <c r="A39" s="14" t="s">
        <v>129</v>
      </c>
      <c r="B39" s="5">
        <f>B38/0.6</f>
        <v>8075</v>
      </c>
      <c r="C39" s="5" t="s">
        <v>124</v>
      </c>
      <c r="D39" s="5" t="s">
        <v>130</v>
      </c>
      <c r="E39" s="11" t="s">
        <v>251</v>
      </c>
      <c r="F39" s="5"/>
      <c r="G39" s="5"/>
      <c r="H39" s="6"/>
      <c r="AD39" s="14" t="s">
        <v>484</v>
      </c>
      <c r="AE39" s="5">
        <v>0.4</v>
      </c>
      <c r="AF39" s="5"/>
      <c r="AG39" s="14" t="s">
        <v>484</v>
      </c>
      <c r="AH39" s="5"/>
      <c r="AI39" s="6"/>
    </row>
    <row r="40" spans="1:35" x14ac:dyDescent="0.25">
      <c r="A40" s="14" t="s">
        <v>126</v>
      </c>
      <c r="B40" s="5">
        <f>(B39/0.3)^0.5</f>
        <v>164.06299603099617</v>
      </c>
      <c r="C40" s="5" t="s">
        <v>131</v>
      </c>
      <c r="D40" s="5" t="s">
        <v>132</v>
      </c>
      <c r="E40" s="11" t="s">
        <v>249</v>
      </c>
      <c r="F40" s="5"/>
      <c r="G40" s="5"/>
      <c r="H40" s="6"/>
      <c r="AD40" s="14" t="s">
        <v>551</v>
      </c>
      <c r="AE40" s="5">
        <v>11.73725</v>
      </c>
      <c r="AF40" s="5" t="s">
        <v>124</v>
      </c>
      <c r="AG40" s="14" t="s">
        <v>551</v>
      </c>
      <c r="AH40" s="5"/>
      <c r="AI40" s="6" t="s">
        <v>124</v>
      </c>
    </row>
    <row r="41" spans="1:35" x14ac:dyDescent="0.25">
      <c r="A41" s="14"/>
      <c r="B41" s="5">
        <f>B40*1.688</f>
        <v>276.93833730032151</v>
      </c>
      <c r="C41" s="5" t="s">
        <v>135</v>
      </c>
      <c r="D41" s="5"/>
      <c r="E41" s="5"/>
      <c r="F41" s="5"/>
      <c r="G41" s="5"/>
      <c r="H41" s="6"/>
      <c r="AD41" s="18" t="s">
        <v>469</v>
      </c>
      <c r="AE41" s="11">
        <v>10.941166669999999</v>
      </c>
      <c r="AF41" s="11" t="s">
        <v>124</v>
      </c>
      <c r="AG41" s="18" t="s">
        <v>469</v>
      </c>
      <c r="AH41" s="11"/>
      <c r="AI41" s="124" t="s">
        <v>124</v>
      </c>
    </row>
    <row r="42" spans="1:35" x14ac:dyDescent="0.25">
      <c r="A42" s="14" t="s">
        <v>133</v>
      </c>
      <c r="B42" s="5">
        <f>B40/1.3</f>
        <v>126.20230463922782</v>
      </c>
      <c r="C42" s="5" t="s">
        <v>131</v>
      </c>
      <c r="D42" s="5" t="s">
        <v>134</v>
      </c>
      <c r="E42" s="11" t="s">
        <v>252</v>
      </c>
      <c r="F42" s="5"/>
      <c r="G42" s="5"/>
      <c r="H42" s="6"/>
      <c r="AD42" s="19" t="s">
        <v>752</v>
      </c>
      <c r="AE42" s="20">
        <v>0.25</v>
      </c>
      <c r="AF42" s="8"/>
      <c r="AG42" s="19" t="s">
        <v>752</v>
      </c>
      <c r="AH42" s="20"/>
      <c r="AI42" s="9"/>
    </row>
    <row r="43" spans="1:35" x14ac:dyDescent="0.25">
      <c r="A43" s="14"/>
      <c r="B43" s="5">
        <f>B42*1.688</f>
        <v>213.02949023101655</v>
      </c>
      <c r="C43" s="5" t="s">
        <v>135</v>
      </c>
      <c r="D43" s="5"/>
      <c r="E43" s="5"/>
      <c r="F43" s="5"/>
      <c r="G43" s="5"/>
      <c r="H43" s="6"/>
    </row>
    <row r="44" spans="1:35" x14ac:dyDescent="0.25">
      <c r="A44" s="45" t="s">
        <v>177</v>
      </c>
      <c r="B44" s="5">
        <v>2.3770000000000002E-3</v>
      </c>
      <c r="C44" s="5" t="s">
        <v>123</v>
      </c>
      <c r="D44" s="5" t="s">
        <v>104</v>
      </c>
      <c r="E44" s="11" t="s">
        <v>253</v>
      </c>
      <c r="F44" s="5"/>
      <c r="G44" s="5"/>
      <c r="H44" s="6"/>
      <c r="AD44" s="295" t="s">
        <v>927</v>
      </c>
      <c r="AE44" s="296"/>
      <c r="AF44" s="297"/>
    </row>
    <row r="45" spans="1:35" x14ac:dyDescent="0.25">
      <c r="A45" s="14" t="s">
        <v>96</v>
      </c>
      <c r="B45" s="5">
        <v>1.8</v>
      </c>
      <c r="C45" s="5">
        <v>2</v>
      </c>
      <c r="D45" s="5">
        <v>2.2000000000000002</v>
      </c>
      <c r="E45" s="43">
        <v>2.4</v>
      </c>
      <c r="F45" s="5">
        <v>2.6</v>
      </c>
      <c r="G45" s="5">
        <v>2.8</v>
      </c>
      <c r="H45" s="6">
        <v>3</v>
      </c>
      <c r="AD45" s="14" t="s">
        <v>153</v>
      </c>
      <c r="AE45" s="5">
        <v>542</v>
      </c>
      <c r="AF45" s="6" t="s">
        <v>150</v>
      </c>
    </row>
    <row r="46" spans="1:35" x14ac:dyDescent="0.25">
      <c r="A46" s="47" t="s">
        <v>117</v>
      </c>
      <c r="B46" s="43" t="s">
        <v>116</v>
      </c>
      <c r="C46" s="43" t="s">
        <v>116</v>
      </c>
      <c r="D46" s="43" t="s">
        <v>116</v>
      </c>
      <c r="E46" s="43" t="s">
        <v>116</v>
      </c>
      <c r="F46" s="43" t="s">
        <v>116</v>
      </c>
      <c r="G46" s="43" t="s">
        <v>116</v>
      </c>
      <c r="H46" s="44" t="s">
        <v>116</v>
      </c>
      <c r="AD46" s="14" t="s">
        <v>143</v>
      </c>
      <c r="AE46" s="5">
        <v>46.5</v>
      </c>
      <c r="AF46" s="6" t="s">
        <v>124</v>
      </c>
    </row>
    <row r="47" spans="1:35" x14ac:dyDescent="0.25">
      <c r="A47" s="14">
        <v>0</v>
      </c>
      <c r="B47" s="5">
        <f>(($B$43^(2)*$B$44*B45)/2)/$B$36</f>
        <v>127.74313057988164</v>
      </c>
      <c r="C47" s="5">
        <f t="shared" ref="C47:H47" si="5">(($B$43^(2)*$B$44*C45)/2)/$B$36</f>
        <v>141.93681175542403</v>
      </c>
      <c r="D47" s="5">
        <f t="shared" si="5"/>
        <v>156.13049293096645</v>
      </c>
      <c r="E47" s="5">
        <f t="shared" si="5"/>
        <v>170.32417410650885</v>
      </c>
      <c r="F47" s="5">
        <f t="shared" si="5"/>
        <v>184.51785528205124</v>
      </c>
      <c r="G47" s="5">
        <f t="shared" si="5"/>
        <v>198.71153645759364</v>
      </c>
      <c r="H47" s="6">
        <f t="shared" si="5"/>
        <v>212.90521763313609</v>
      </c>
      <c r="AD47" s="14" t="s">
        <v>268</v>
      </c>
      <c r="AE47" s="5">
        <v>4</v>
      </c>
      <c r="AF47" s="6"/>
    </row>
    <row r="48" spans="1:35" x14ac:dyDescent="0.25">
      <c r="A48" s="14">
        <v>0.2</v>
      </c>
      <c r="B48" s="5">
        <v>127.74313057988164</v>
      </c>
      <c r="C48" s="5">
        <v>141.93681175542403</v>
      </c>
      <c r="D48" s="5">
        <v>156.13049293096645</v>
      </c>
      <c r="E48" s="5">
        <v>170.32417410650885</v>
      </c>
      <c r="F48" s="5">
        <v>184.51785528205124</v>
      </c>
      <c r="G48" s="5">
        <v>198.71153645759364</v>
      </c>
      <c r="H48" s="6">
        <v>212.90521763313609</v>
      </c>
      <c r="AD48" s="14" t="s">
        <v>550</v>
      </c>
      <c r="AE48" s="5"/>
      <c r="AF48" s="6" t="s">
        <v>490</v>
      </c>
    </row>
    <row r="49" spans="1:32" x14ac:dyDescent="0.25">
      <c r="A49" s="14">
        <v>0.4</v>
      </c>
      <c r="B49" s="5">
        <v>127.74313057988164</v>
      </c>
      <c r="C49" s="5">
        <v>141.93681175542403</v>
      </c>
      <c r="D49" s="5">
        <v>156.13049293096645</v>
      </c>
      <c r="E49" s="5">
        <v>170.32417410650885</v>
      </c>
      <c r="F49" s="5">
        <v>184.51785528205124</v>
      </c>
      <c r="G49" s="5">
        <v>198.71153645759364</v>
      </c>
      <c r="H49" s="6">
        <v>212.90521763313609</v>
      </c>
      <c r="AD49" s="14" t="s">
        <v>449</v>
      </c>
      <c r="AE49" s="5">
        <f>165/12</f>
        <v>13.75</v>
      </c>
      <c r="AF49" s="6" t="s">
        <v>124</v>
      </c>
    </row>
    <row r="50" spans="1:32" x14ac:dyDescent="0.25">
      <c r="A50" s="14">
        <v>0.6</v>
      </c>
      <c r="B50" s="5">
        <v>127.74313057988164</v>
      </c>
      <c r="C50" s="5">
        <v>141.93681175542403</v>
      </c>
      <c r="D50" s="5">
        <v>156.13049293096645</v>
      </c>
      <c r="E50" s="5">
        <v>170.32417410650885</v>
      </c>
      <c r="F50" s="5">
        <v>184.51785528205124</v>
      </c>
      <c r="G50" s="5">
        <v>198.71153645759364</v>
      </c>
      <c r="H50" s="6">
        <v>212.90521763313609</v>
      </c>
      <c r="AD50" s="14" t="s">
        <v>450</v>
      </c>
      <c r="AE50" s="5">
        <f>66/12</f>
        <v>5.5</v>
      </c>
      <c r="AF50" s="6" t="s">
        <v>124</v>
      </c>
    </row>
    <row r="51" spans="1:32" x14ac:dyDescent="0.25">
      <c r="A51" s="14">
        <v>0.8</v>
      </c>
      <c r="B51" s="5">
        <v>127.74313057988164</v>
      </c>
      <c r="C51" s="5">
        <v>141.93681175542403</v>
      </c>
      <c r="D51" s="5">
        <v>156.13049293096645</v>
      </c>
      <c r="E51" s="5">
        <v>170.32417410650885</v>
      </c>
      <c r="F51" s="5">
        <v>184.51785528205124</v>
      </c>
      <c r="G51" s="5">
        <v>198.71153645759364</v>
      </c>
      <c r="H51" s="6">
        <v>212.90521763313609</v>
      </c>
      <c r="AD51" s="14" t="s">
        <v>484</v>
      </c>
      <c r="AE51" s="5">
        <v>0.4</v>
      </c>
      <c r="AF51" s="6"/>
    </row>
    <row r="52" spans="1:32" x14ac:dyDescent="0.25">
      <c r="A52" s="14">
        <v>1</v>
      </c>
      <c r="B52" s="5">
        <v>127.74313057988164</v>
      </c>
      <c r="C52" s="5">
        <v>141.93681175542403</v>
      </c>
      <c r="D52" s="5">
        <v>156.13049293096645</v>
      </c>
      <c r="E52" s="5">
        <v>170.32417410650885</v>
      </c>
      <c r="F52" s="5">
        <v>184.51785528205124</v>
      </c>
      <c r="G52" s="5">
        <v>198.71153645759364</v>
      </c>
      <c r="H52" s="6">
        <v>212.90521763313609</v>
      </c>
      <c r="AD52" s="14" t="s">
        <v>551</v>
      </c>
      <c r="AE52" s="5">
        <f>141.4/12</f>
        <v>11.783333333333333</v>
      </c>
      <c r="AF52" s="6" t="s">
        <v>124</v>
      </c>
    </row>
    <row r="53" spans="1:32" x14ac:dyDescent="0.25">
      <c r="A53" s="14">
        <v>1.2</v>
      </c>
      <c r="B53" s="5">
        <v>127.74313057988164</v>
      </c>
      <c r="C53" s="5">
        <v>141.93681175542403</v>
      </c>
      <c r="D53" s="5">
        <v>156.13049293096645</v>
      </c>
      <c r="E53" s="5">
        <v>170.32417410650885</v>
      </c>
      <c r="F53" s="5">
        <v>184.51785528205124</v>
      </c>
      <c r="G53" s="5">
        <v>198.71153645759364</v>
      </c>
      <c r="H53" s="6">
        <v>212.90521763313609</v>
      </c>
      <c r="AD53" s="18" t="s">
        <v>469</v>
      </c>
      <c r="AE53" s="5">
        <f>131.157/12</f>
        <v>10.92975</v>
      </c>
      <c r="AF53" s="124" t="s">
        <v>124</v>
      </c>
    </row>
    <row r="54" spans="1:32" x14ac:dyDescent="0.25">
      <c r="A54" s="14">
        <v>1.4</v>
      </c>
      <c r="B54" s="5">
        <v>127.74313057988164</v>
      </c>
      <c r="C54" s="5">
        <v>141.93681175542403</v>
      </c>
      <c r="D54" s="5">
        <v>156.13049293096645</v>
      </c>
      <c r="E54" s="5">
        <v>170.32417410650885</v>
      </c>
      <c r="F54" s="5">
        <v>184.51785528205124</v>
      </c>
      <c r="G54" s="5">
        <v>198.71153645759364</v>
      </c>
      <c r="H54" s="6">
        <v>212.90521763313609</v>
      </c>
      <c r="AD54" s="19" t="s">
        <v>752</v>
      </c>
      <c r="AE54" s="8"/>
      <c r="AF54" s="9">
        <v>0.25</v>
      </c>
    </row>
    <row r="55" spans="1:32" x14ac:dyDescent="0.25">
      <c r="A55" s="14">
        <v>1.6</v>
      </c>
      <c r="B55" s="5">
        <v>127.74313057988164</v>
      </c>
      <c r="C55" s="5">
        <v>141.93681175542403</v>
      </c>
      <c r="D55" s="5">
        <v>156.13049293096645</v>
      </c>
      <c r="E55" s="5">
        <v>170.32417410650885</v>
      </c>
      <c r="F55" s="5">
        <v>184.51785528205124</v>
      </c>
      <c r="G55" s="5">
        <v>198.71153645759364</v>
      </c>
      <c r="H55" s="6">
        <v>212.90521763313609</v>
      </c>
    </row>
    <row r="56" spans="1:32" x14ac:dyDescent="0.25">
      <c r="A56" s="10">
        <v>1.8</v>
      </c>
      <c r="B56" s="8">
        <v>127.74313057988164</v>
      </c>
      <c r="C56" s="8">
        <v>141.93681175542403</v>
      </c>
      <c r="D56" s="8">
        <v>156.13049293096645</v>
      </c>
      <c r="E56" s="8">
        <v>170.32417410650885</v>
      </c>
      <c r="F56" s="8">
        <v>184.51785528205124</v>
      </c>
      <c r="G56" s="8">
        <v>198.71153645759364</v>
      </c>
      <c r="H56" s="9">
        <v>212.90521763313609</v>
      </c>
    </row>
    <row r="58" spans="1:32" x14ac:dyDescent="0.25">
      <c r="A58" s="303" t="s">
        <v>137</v>
      </c>
      <c r="B58" s="304"/>
      <c r="C58" s="304"/>
      <c r="D58" s="304"/>
      <c r="E58" s="2" t="s">
        <v>138</v>
      </c>
      <c r="F58" s="2"/>
      <c r="G58" s="2" t="s">
        <v>160</v>
      </c>
      <c r="H58" s="2" t="s">
        <v>161</v>
      </c>
      <c r="I58" s="2" t="s">
        <v>162</v>
      </c>
      <c r="J58" s="2" t="s">
        <v>163</v>
      </c>
      <c r="K58" s="3" t="s">
        <v>246</v>
      </c>
    </row>
    <row r="59" spans="1:32" x14ac:dyDescent="0.25">
      <c r="A59" s="14" t="s">
        <v>140</v>
      </c>
      <c r="B59" s="27">
        <v>3.0000000000000001E-3</v>
      </c>
      <c r="C59" s="5"/>
      <c r="D59" s="5" t="s">
        <v>141</v>
      </c>
      <c r="E59" s="5"/>
      <c r="F59" s="5" t="s">
        <v>244</v>
      </c>
      <c r="G59" s="5" t="s">
        <v>245</v>
      </c>
      <c r="H59" s="5" t="s">
        <v>245</v>
      </c>
      <c r="I59" s="5" t="s">
        <v>245</v>
      </c>
      <c r="J59" s="5" t="s">
        <v>245</v>
      </c>
      <c r="K59" s="6" t="s">
        <v>245</v>
      </c>
    </row>
    <row r="60" spans="1:32" x14ac:dyDescent="0.25">
      <c r="A60" s="14" t="s">
        <v>142</v>
      </c>
      <c r="B60" s="27">
        <v>-2.5228999999999999</v>
      </c>
      <c r="C60" s="5"/>
      <c r="D60" s="5"/>
      <c r="E60" s="5"/>
      <c r="F60" s="5">
        <v>0</v>
      </c>
      <c r="G60" s="5">
        <f>$B$72+((F60^2)/$C$72)</f>
        <v>2.9895544226705487E-2</v>
      </c>
      <c r="H60" s="5">
        <f>$B$73+((F60^2)/$C$73)</f>
        <v>4.4895544226705483E-2</v>
      </c>
      <c r="I60" s="5">
        <f>$B$74+((F60^2)/$C$74)</f>
        <v>9.4895544226705486E-2</v>
      </c>
      <c r="J60" s="5">
        <f>$B$75+((F60^2)/$C$75)</f>
        <v>4.9895544226705488E-2</v>
      </c>
      <c r="K60" s="6">
        <f>$B$76+((F60^2)/$C$76)</f>
        <v>0.11489554422670549</v>
      </c>
    </row>
    <row r="61" spans="1:32" x14ac:dyDescent="0.25">
      <c r="A61" s="14" t="s">
        <v>143</v>
      </c>
      <c r="B61" s="27">
        <v>1</v>
      </c>
      <c r="C61" s="5"/>
      <c r="D61" s="5"/>
      <c r="E61" s="5"/>
      <c r="F61" s="5">
        <v>0.2</v>
      </c>
      <c r="G61" s="5">
        <f t="shared" ref="G61:G75" si="6">$B$72+((F61^2)/$C$72)</f>
        <v>3.3753845877418101E-2</v>
      </c>
      <c r="H61" s="5">
        <f t="shared" ref="H61:H75" si="7">$B$73+((F61^2)/$C$73)</f>
        <v>4.9002768564560845E-2</v>
      </c>
      <c r="I61" s="5">
        <f t="shared" ref="I61:I75" si="8">$B$74+((F61^2)/$C$74)</f>
        <v>9.9286025415447426E-2</v>
      </c>
      <c r="J61" s="5">
        <f t="shared" ref="J61:J75" si="9">$B$75+((F61^2)/$C$75)</f>
        <v>5.3078643088543397E-2</v>
      </c>
      <c r="K61" s="6">
        <f t="shared" ref="K61:K75" si="10">$B$76+((F61^2)/$C$76)</f>
        <v>0.11913967604248937</v>
      </c>
    </row>
    <row r="62" spans="1:32" x14ac:dyDescent="0.25">
      <c r="A62" s="14" t="s">
        <v>145</v>
      </c>
      <c r="B62" s="5">
        <v>0.1628</v>
      </c>
      <c r="C62" s="5"/>
      <c r="D62" s="5"/>
      <c r="E62" s="5"/>
      <c r="F62" s="5">
        <v>0.4</v>
      </c>
      <c r="G62" s="5">
        <f t="shared" si="6"/>
        <v>4.5328750829555946E-2</v>
      </c>
      <c r="H62" s="5">
        <f t="shared" si="7"/>
        <v>6.1324441578126943E-2</v>
      </c>
      <c r="I62" s="5">
        <f t="shared" si="8"/>
        <v>0.11245746898167325</v>
      </c>
      <c r="J62" s="5">
        <f t="shared" si="9"/>
        <v>6.2627939674057123E-2</v>
      </c>
      <c r="K62" s="6">
        <f t="shared" si="10"/>
        <v>0.13187207148984101</v>
      </c>
    </row>
    <row r="63" spans="1:32" x14ac:dyDescent="0.25">
      <c r="A63" s="14" t="s">
        <v>144</v>
      </c>
      <c r="B63" s="5">
        <v>0.73160000000000003</v>
      </c>
      <c r="C63" s="5"/>
      <c r="D63" s="5"/>
      <c r="E63" s="5"/>
      <c r="F63" s="5">
        <v>0.6</v>
      </c>
      <c r="G63" s="5">
        <f t="shared" si="6"/>
        <v>6.4620259083119011E-2</v>
      </c>
      <c r="H63" s="5">
        <f t="shared" si="7"/>
        <v>8.1860563267403763E-2</v>
      </c>
      <c r="I63" s="5">
        <f t="shared" si="8"/>
        <v>0.13440987492538295</v>
      </c>
      <c r="J63" s="5">
        <f t="shared" si="9"/>
        <v>7.8543433983246647E-2</v>
      </c>
      <c r="K63" s="6">
        <f t="shared" si="10"/>
        <v>0.15309273056876038</v>
      </c>
    </row>
    <row r="64" spans="1:32" x14ac:dyDescent="0.25">
      <c r="A64" s="14" t="s">
        <v>148</v>
      </c>
      <c r="B64" s="5">
        <f>10^(B62+B63*LOG10(B65))</f>
        <v>3986.2676499172449</v>
      </c>
      <c r="C64" s="5" t="s">
        <v>150</v>
      </c>
      <c r="D64" s="5" t="s">
        <v>149</v>
      </c>
      <c r="E64" s="5"/>
      <c r="F64" s="5">
        <v>0.8</v>
      </c>
      <c r="G64" s="5">
        <f t="shared" si="6"/>
        <v>9.1628370638107332E-2</v>
      </c>
      <c r="H64" s="5">
        <f t="shared" si="7"/>
        <v>0.11061113363239132</v>
      </c>
      <c r="I64" s="5">
        <f t="shared" si="8"/>
        <v>0.16514324324657653</v>
      </c>
      <c r="J64" s="5">
        <f t="shared" si="9"/>
        <v>0.10082512601611202</v>
      </c>
      <c r="K64" s="6">
        <f t="shared" si="10"/>
        <v>0.18280165327924752</v>
      </c>
    </row>
    <row r="65" spans="1:11" x14ac:dyDescent="0.25">
      <c r="A65" s="4" t="s">
        <v>0</v>
      </c>
      <c r="B65" s="27">
        <v>50000</v>
      </c>
      <c r="C65" s="5" t="s">
        <v>146</v>
      </c>
      <c r="D65" s="5" t="s">
        <v>147</v>
      </c>
      <c r="E65" s="5"/>
      <c r="F65" s="5">
        <v>1</v>
      </c>
      <c r="G65" s="5">
        <f t="shared" si="6"/>
        <v>0.12635308549452084</v>
      </c>
      <c r="H65" s="5">
        <f t="shared" si="7"/>
        <v>0.14757615267308957</v>
      </c>
      <c r="I65" s="5">
        <f t="shared" si="8"/>
        <v>0.204657573945254</v>
      </c>
      <c r="J65" s="5">
        <f t="shared" si="9"/>
        <v>0.12947301577265316</v>
      </c>
      <c r="K65" s="6">
        <f t="shared" si="10"/>
        <v>0.2209988396213024</v>
      </c>
    </row>
    <row r="66" spans="1:11" x14ac:dyDescent="0.25">
      <c r="A66" s="14" t="s">
        <v>110</v>
      </c>
      <c r="B66" s="58">
        <f>B67/B68</f>
        <v>2.9895544226705487E-2</v>
      </c>
      <c r="C66" s="5"/>
      <c r="D66" s="5" t="s">
        <v>136</v>
      </c>
      <c r="E66" s="5"/>
      <c r="F66" s="5">
        <v>1.2</v>
      </c>
      <c r="G66" s="5">
        <f t="shared" si="6"/>
        <v>0.16879440365235959</v>
      </c>
      <c r="H66" s="5">
        <f t="shared" si="7"/>
        <v>0.19275562038949856</v>
      </c>
      <c r="I66" s="5">
        <f t="shared" si="8"/>
        <v>0.25295286702141534</v>
      </c>
      <c r="J66" s="5">
        <f t="shared" si="9"/>
        <v>0.16448710325287014</v>
      </c>
      <c r="K66" s="6">
        <f t="shared" si="10"/>
        <v>0.26768428959492502</v>
      </c>
    </row>
    <row r="67" spans="1:11" x14ac:dyDescent="0.25">
      <c r="A67" s="4" t="s">
        <v>151</v>
      </c>
      <c r="B67" s="5">
        <f>10^(B60+B61*LOG10(B64))</f>
        <v>11.958217690682195</v>
      </c>
      <c r="C67" s="5" t="s">
        <v>150</v>
      </c>
      <c r="D67" s="5" t="s">
        <v>152</v>
      </c>
      <c r="E67" s="5"/>
      <c r="F67" s="5">
        <v>1.4</v>
      </c>
      <c r="G67" s="5">
        <f t="shared" si="6"/>
        <v>0.21895232511162357</v>
      </c>
      <c r="H67" s="5">
        <f t="shared" si="7"/>
        <v>0.24614953678161827</v>
      </c>
      <c r="I67" s="5">
        <f t="shared" si="8"/>
        <v>0.31002912247506054</v>
      </c>
      <c r="J67" s="5">
        <f t="shared" si="9"/>
        <v>0.20586738845676289</v>
      </c>
      <c r="K67" s="6">
        <f t="shared" si="10"/>
        <v>0.32285800320011537</v>
      </c>
    </row>
    <row r="68" spans="1:11" x14ac:dyDescent="0.25">
      <c r="A68" s="4" t="s">
        <v>153</v>
      </c>
      <c r="B68" s="27">
        <v>400</v>
      </c>
      <c r="C68" s="5" t="s">
        <v>150</v>
      </c>
      <c r="D68" s="5" t="s">
        <v>154</v>
      </c>
      <c r="E68" s="5"/>
      <c r="F68" s="5">
        <v>1.6</v>
      </c>
      <c r="G68" s="5">
        <f t="shared" si="6"/>
        <v>0.27682684987231287</v>
      </c>
      <c r="H68" s="5">
        <f t="shared" si="7"/>
        <v>0.30775790184944884</v>
      </c>
      <c r="I68" s="5">
        <f t="shared" si="8"/>
        <v>0.37588634030618973</v>
      </c>
      <c r="J68" s="5">
        <f t="shared" si="9"/>
        <v>0.25361387138433156</v>
      </c>
      <c r="K68" s="6">
        <f t="shared" si="10"/>
        <v>0.38651998043687363</v>
      </c>
    </row>
    <row r="69" spans="1:11" x14ac:dyDescent="0.25">
      <c r="A69" s="4" t="s">
        <v>87</v>
      </c>
      <c r="B69" s="27">
        <v>4</v>
      </c>
      <c r="C69" s="5"/>
      <c r="D69" s="5" t="s">
        <v>156</v>
      </c>
      <c r="E69" s="5"/>
      <c r="F69" s="5">
        <v>1.8</v>
      </c>
      <c r="G69" s="5">
        <f t="shared" si="6"/>
        <v>0.34241797793442724</v>
      </c>
      <c r="H69" s="5">
        <f t="shared" si="7"/>
        <v>0.37758071559299</v>
      </c>
      <c r="I69" s="5">
        <f t="shared" si="8"/>
        <v>0.45052452051480268</v>
      </c>
      <c r="J69" s="5">
        <f t="shared" si="9"/>
        <v>0.30772655203557597</v>
      </c>
      <c r="K69" s="6">
        <f t="shared" si="10"/>
        <v>0.45867022130519947</v>
      </c>
    </row>
    <row r="70" spans="1:11" x14ac:dyDescent="0.25">
      <c r="A70" s="4" t="s">
        <v>155</v>
      </c>
      <c r="B70" s="5"/>
      <c r="C70" s="5"/>
      <c r="D70" s="5" t="s">
        <v>157</v>
      </c>
      <c r="E70" s="5"/>
      <c r="F70" s="5">
        <v>2</v>
      </c>
      <c r="G70" s="5">
        <f t="shared" si="6"/>
        <v>0.41572570929796693</v>
      </c>
      <c r="H70" s="5">
        <f t="shared" si="7"/>
        <v>0.45561797801224185</v>
      </c>
      <c r="I70" s="5">
        <f t="shared" si="8"/>
        <v>0.53394366310089958</v>
      </c>
      <c r="J70" s="5">
        <f t="shared" si="9"/>
        <v>0.36820543041049619</v>
      </c>
      <c r="K70" s="6">
        <f t="shared" si="10"/>
        <v>0.53930872580509304</v>
      </c>
    </row>
    <row r="71" spans="1:11" ht="18" x14ac:dyDescent="0.3">
      <c r="A71" s="14"/>
      <c r="B71" s="5" t="s">
        <v>110</v>
      </c>
      <c r="C71" s="49" t="s">
        <v>164</v>
      </c>
      <c r="D71" s="5"/>
      <c r="E71" s="5"/>
      <c r="F71" s="5">
        <v>2.2000000000000002</v>
      </c>
      <c r="G71" s="5">
        <f t="shared" si="6"/>
        <v>0.49675004396293188</v>
      </c>
      <c r="H71" s="5">
        <f t="shared" si="7"/>
        <v>0.54186968910720457</v>
      </c>
      <c r="I71" s="5">
        <f t="shared" si="8"/>
        <v>0.62614376806448035</v>
      </c>
      <c r="J71" s="5">
        <f t="shared" si="9"/>
        <v>0.43505050650909227</v>
      </c>
      <c r="K71" s="6">
        <f t="shared" si="10"/>
        <v>0.62843549393655451</v>
      </c>
    </row>
    <row r="72" spans="1:11" x14ac:dyDescent="0.25">
      <c r="A72" s="46" t="s">
        <v>160</v>
      </c>
      <c r="B72" s="5">
        <f>B66</f>
        <v>2.9895544226705487E-2</v>
      </c>
      <c r="C72" s="5">
        <f>PI()*$B$69*0.825</f>
        <v>10.367255756846317</v>
      </c>
      <c r="D72" s="5"/>
      <c r="E72" s="5"/>
      <c r="F72" s="5">
        <v>2.4</v>
      </c>
      <c r="G72" s="5">
        <f t="shared" si="6"/>
        <v>0.58549098192932192</v>
      </c>
      <c r="H72" s="5">
        <f t="shared" si="7"/>
        <v>0.63633584887787786</v>
      </c>
      <c r="I72" s="5">
        <f t="shared" si="8"/>
        <v>0.72712483540554484</v>
      </c>
      <c r="J72" s="5">
        <f t="shared" si="9"/>
        <v>0.50826178033136404</v>
      </c>
      <c r="K72" s="6">
        <f t="shared" si="10"/>
        <v>0.7260505256995835</v>
      </c>
    </row>
    <row r="73" spans="1:11" x14ac:dyDescent="0.25">
      <c r="A73" s="46" t="s">
        <v>161</v>
      </c>
      <c r="B73" s="5">
        <f>B66+0.015</f>
        <v>4.4895544226705483E-2</v>
      </c>
      <c r="C73" s="5">
        <f>PI()*$B$69*0.775</f>
        <v>9.7389372261283587</v>
      </c>
      <c r="D73" s="5"/>
      <c r="E73" s="5"/>
      <c r="F73" s="5">
        <v>2.6</v>
      </c>
      <c r="G73" s="5">
        <f t="shared" si="6"/>
        <v>0.68194852319713739</v>
      </c>
      <c r="H73" s="5">
        <f t="shared" si="7"/>
        <v>0.73901645732426202</v>
      </c>
      <c r="I73" s="5">
        <f t="shared" si="8"/>
        <v>0.83688686512409349</v>
      </c>
      <c r="J73" s="5">
        <f t="shared" si="9"/>
        <v>0.58783925187731179</v>
      </c>
      <c r="K73" s="6">
        <f t="shared" si="10"/>
        <v>0.83215382109418057</v>
      </c>
    </row>
    <row r="74" spans="1:11" x14ac:dyDescent="0.25">
      <c r="A74" s="46" t="s">
        <v>162</v>
      </c>
      <c r="B74" s="5">
        <f>B66+0.065</f>
        <v>9.4895544226705486E-2</v>
      </c>
      <c r="C74" s="5">
        <f>PI()*$B$69*0.725</f>
        <v>9.1106186954104</v>
      </c>
      <c r="D74" s="5"/>
      <c r="E74" s="5"/>
      <c r="F74" s="5">
        <v>2.8</v>
      </c>
      <c r="G74" s="5">
        <f t="shared" si="6"/>
        <v>0.78612266776637785</v>
      </c>
      <c r="H74" s="5">
        <f t="shared" si="7"/>
        <v>0.84991151444635671</v>
      </c>
      <c r="I74" s="5">
        <f t="shared" si="8"/>
        <v>0.95542985722012563</v>
      </c>
      <c r="J74" s="5">
        <f t="shared" si="9"/>
        <v>0.67378292114693517</v>
      </c>
      <c r="K74" s="6">
        <f t="shared" si="10"/>
        <v>0.94674538012034504</v>
      </c>
    </row>
    <row r="75" spans="1:11" x14ac:dyDescent="0.25">
      <c r="A75" s="46" t="s">
        <v>163</v>
      </c>
      <c r="B75" s="5">
        <f>B66+0.02</f>
        <v>4.9895544226705488E-2</v>
      </c>
      <c r="C75" s="5">
        <f>PI()*$B$69</f>
        <v>12.566370614359172</v>
      </c>
      <c r="D75" s="5"/>
      <c r="E75" s="5"/>
      <c r="F75" s="5">
        <v>3</v>
      </c>
      <c r="G75" s="5">
        <f t="shared" si="6"/>
        <v>0.89801341563704373</v>
      </c>
      <c r="H75" s="5">
        <f t="shared" si="7"/>
        <v>0.96902102024416237</v>
      </c>
      <c r="I75" s="5">
        <f t="shared" si="8"/>
        <v>1.0827538116936422</v>
      </c>
      <c r="J75" s="5">
        <f t="shared" si="9"/>
        <v>0.76609278814023452</v>
      </c>
      <c r="K75" s="6">
        <f t="shared" si="10"/>
        <v>1.0698252027780775</v>
      </c>
    </row>
    <row r="76" spans="1:11" x14ac:dyDescent="0.25">
      <c r="A76" s="50" t="s">
        <v>246</v>
      </c>
      <c r="B76" s="8">
        <f>B66+0.065+0.02</f>
        <v>0.11489554422670549</v>
      </c>
      <c r="C76" s="8">
        <f>PI()*B69*0.75</f>
        <v>9.4247779607693793</v>
      </c>
      <c r="D76" s="8"/>
      <c r="E76" s="8"/>
      <c r="F76" s="8"/>
      <c r="G76" s="8"/>
      <c r="H76" s="8"/>
      <c r="I76" s="8"/>
      <c r="J76" s="8"/>
      <c r="K76" s="9"/>
    </row>
    <row r="77" spans="1:11" x14ac:dyDescent="0.25">
      <c r="A77" s="75"/>
      <c r="B77" s="5"/>
      <c r="C77" s="5"/>
      <c r="D77" s="5"/>
      <c r="E77" s="5"/>
      <c r="F77" s="5"/>
      <c r="G77" s="5"/>
      <c r="H77" s="5"/>
      <c r="I77" s="5"/>
      <c r="J77" s="5"/>
      <c r="K77" s="5"/>
    </row>
    <row r="78" spans="1:11" x14ac:dyDescent="0.25">
      <c r="A78" s="305" t="s">
        <v>166</v>
      </c>
      <c r="B78" s="306"/>
      <c r="C78" s="306"/>
      <c r="D78" s="67" t="s">
        <v>205</v>
      </c>
      <c r="E78" s="3" t="s">
        <v>167</v>
      </c>
    </row>
    <row r="79" spans="1:11" x14ac:dyDescent="0.25">
      <c r="A79" s="46" t="s">
        <v>168</v>
      </c>
      <c r="B79" s="33">
        <v>300</v>
      </c>
      <c r="C79" s="5" t="s">
        <v>169</v>
      </c>
      <c r="D79" s="5" t="s">
        <v>170</v>
      </c>
      <c r="E79" s="6" t="s">
        <v>250</v>
      </c>
    </row>
    <row r="80" spans="1:11" x14ac:dyDescent="0.25">
      <c r="A80" s="46" t="s">
        <v>177</v>
      </c>
      <c r="B80" s="33">
        <v>5.8699999999999996E-4</v>
      </c>
      <c r="C80" s="5" t="s">
        <v>123</v>
      </c>
      <c r="D80" s="5" t="s">
        <v>171</v>
      </c>
      <c r="E80" s="6" t="s">
        <v>250</v>
      </c>
    </row>
    <row r="81" spans="1:5" x14ac:dyDescent="0.25">
      <c r="A81" s="46" t="s">
        <v>110</v>
      </c>
      <c r="B81" s="53">
        <f>B66</f>
        <v>2.9895544226705487E-2</v>
      </c>
      <c r="C81" s="5"/>
      <c r="D81" s="5" t="s">
        <v>136</v>
      </c>
      <c r="E81" s="6"/>
    </row>
    <row r="82" spans="1:5" ht="15.75" x14ac:dyDescent="0.25">
      <c r="A82" s="54" t="s">
        <v>172</v>
      </c>
      <c r="B82" s="55">
        <f>PI()*B83*B84</f>
        <v>10.367255756846317</v>
      </c>
      <c r="C82" s="5"/>
      <c r="D82" s="5"/>
      <c r="E82" s="6"/>
    </row>
    <row r="83" spans="1:5" x14ac:dyDescent="0.25">
      <c r="A83" s="56" t="s">
        <v>87</v>
      </c>
      <c r="B83" s="27">
        <f>B69</f>
        <v>4</v>
      </c>
      <c r="C83" s="5"/>
      <c r="D83" s="5" t="s">
        <v>156</v>
      </c>
      <c r="E83" s="6"/>
    </row>
    <row r="84" spans="1:5" x14ac:dyDescent="0.25">
      <c r="A84" s="56" t="s">
        <v>155</v>
      </c>
      <c r="B84" s="5">
        <v>0.82499999999999996</v>
      </c>
      <c r="C84" s="5"/>
      <c r="D84" s="5" t="s">
        <v>173</v>
      </c>
      <c r="E84" s="6"/>
    </row>
    <row r="85" spans="1:5" x14ac:dyDescent="0.25">
      <c r="A85" s="54" t="s">
        <v>174</v>
      </c>
      <c r="B85" s="5">
        <f>0.5*(B82/B81)^0.5</f>
        <v>9.3110504266402234</v>
      </c>
      <c r="C85" s="5"/>
      <c r="D85" s="5"/>
      <c r="E85" s="6"/>
    </row>
    <row r="86" spans="1:5" x14ac:dyDescent="0.25">
      <c r="A86" s="57" t="s">
        <v>116</v>
      </c>
      <c r="B86" s="43" t="s">
        <v>117</v>
      </c>
      <c r="C86" s="5"/>
      <c r="D86" s="5"/>
      <c r="E86" s="6"/>
    </row>
    <row r="87" spans="1:5" x14ac:dyDescent="0.25">
      <c r="A87" s="14">
        <v>25</v>
      </c>
      <c r="B87" s="5">
        <f>($B$79/(SQRT((2*A87)/($B$80*SQRT($B$81*$B$82)))))+(1/(0.5*SQRT(($B$82/$B$81))))</f>
        <v>0.87435954686456541</v>
      </c>
      <c r="C87" s="5"/>
      <c r="D87" s="5"/>
      <c r="E87" s="6"/>
    </row>
    <row r="88" spans="1:5" x14ac:dyDescent="0.25">
      <c r="A88" s="14">
        <v>50</v>
      </c>
      <c r="B88" s="5">
        <f t="shared" ref="B88:B98" si="11">($B$79/(SQRT((2*A88)/($B$80*SQRT($B$81*$B$82)))))+(1/(0.5*SQRT(($B$82/$B$81))))</f>
        <v>0.64972208208169979</v>
      </c>
      <c r="C88" s="5"/>
      <c r="D88" s="5"/>
      <c r="E88" s="6"/>
    </row>
    <row r="89" spans="1:5" x14ac:dyDescent="0.25">
      <c r="A89" s="14">
        <v>75</v>
      </c>
      <c r="B89" s="5">
        <f t="shared" si="11"/>
        <v>0.55020399145420429</v>
      </c>
      <c r="C89" s="5"/>
      <c r="D89" s="5"/>
      <c r="E89" s="6"/>
    </row>
    <row r="90" spans="1:5" x14ac:dyDescent="0.25">
      <c r="A90" s="14">
        <v>100</v>
      </c>
      <c r="B90" s="5">
        <f t="shared" si="11"/>
        <v>0.49087940742518105</v>
      </c>
      <c r="C90" s="5"/>
      <c r="D90" s="5"/>
      <c r="E90" s="6"/>
    </row>
    <row r="91" spans="1:5" x14ac:dyDescent="0.25">
      <c r="A91" s="14">
        <v>125</v>
      </c>
      <c r="B91" s="5">
        <f t="shared" si="11"/>
        <v>0.45039433190882133</v>
      </c>
      <c r="C91" s="5"/>
      <c r="D91" s="5"/>
      <c r="E91" s="6"/>
    </row>
    <row r="92" spans="1:5" x14ac:dyDescent="0.25">
      <c r="A92" s="14">
        <v>150</v>
      </c>
      <c r="B92" s="5">
        <f t="shared" si="11"/>
        <v>0.42050949069174171</v>
      </c>
      <c r="C92" s="5"/>
      <c r="D92" s="5"/>
      <c r="E92" s="6"/>
    </row>
    <row r="93" spans="1:5" x14ac:dyDescent="0.25">
      <c r="A93" s="14">
        <v>175</v>
      </c>
      <c r="B93" s="5">
        <f t="shared" si="11"/>
        <v>0.39728300561122043</v>
      </c>
      <c r="C93" s="5"/>
      <c r="D93" s="5"/>
      <c r="E93" s="6"/>
    </row>
    <row r="94" spans="1:5" x14ac:dyDescent="0.25">
      <c r="A94" s="14">
        <v>200</v>
      </c>
      <c r="B94" s="5">
        <f t="shared" si="11"/>
        <v>0.37856067503374824</v>
      </c>
      <c r="C94" s="5"/>
      <c r="D94" s="5"/>
      <c r="E94" s="6"/>
    </row>
    <row r="95" spans="1:5" x14ac:dyDescent="0.25">
      <c r="A95" s="14">
        <v>225</v>
      </c>
      <c r="B95" s="5">
        <f t="shared" si="11"/>
        <v>0.36305269427871961</v>
      </c>
      <c r="C95" s="5"/>
      <c r="D95" s="5"/>
      <c r="E95" s="6"/>
    </row>
    <row r="96" spans="1:5" x14ac:dyDescent="0.25">
      <c r="A96" s="14">
        <v>250</v>
      </c>
      <c r="B96" s="5">
        <f t="shared" si="11"/>
        <v>0.34993340359928077</v>
      </c>
      <c r="C96" s="5"/>
      <c r="D96" s="5"/>
      <c r="E96" s="6"/>
    </row>
    <row r="97" spans="1:15" x14ac:dyDescent="0.25">
      <c r="A97" s="14">
        <v>275</v>
      </c>
      <c r="B97" s="5">
        <f t="shared" si="11"/>
        <v>0.33864649290827081</v>
      </c>
      <c r="C97" s="5"/>
      <c r="D97" s="5"/>
      <c r="E97" s="6"/>
    </row>
    <row r="98" spans="1:15" x14ac:dyDescent="0.25">
      <c r="A98" s="10">
        <v>300</v>
      </c>
      <c r="B98" s="8">
        <f t="shared" si="11"/>
        <v>0.32880162972000049</v>
      </c>
      <c r="C98" s="8"/>
      <c r="D98" s="8"/>
      <c r="E98" s="9"/>
    </row>
    <row r="100" spans="1:15" x14ac:dyDescent="0.25">
      <c r="A100" s="295" t="s">
        <v>178</v>
      </c>
      <c r="B100" s="296"/>
      <c r="C100" s="296"/>
      <c r="D100" s="68" t="s">
        <v>205</v>
      </c>
      <c r="E100" s="3" t="s">
        <v>179</v>
      </c>
    </row>
    <row r="101" spans="1:15" x14ac:dyDescent="0.25">
      <c r="A101" s="45" t="s">
        <v>184</v>
      </c>
      <c r="B101" s="25">
        <f>(B103*B106^2)/2</f>
        <v>435.81826555621114</v>
      </c>
      <c r="C101" s="25"/>
      <c r="D101" s="65" t="s">
        <v>185</v>
      </c>
      <c r="E101" s="6"/>
    </row>
    <row r="102" spans="1:15" x14ac:dyDescent="0.25">
      <c r="A102" s="64" t="s">
        <v>180</v>
      </c>
      <c r="B102" s="33">
        <v>20000</v>
      </c>
      <c r="C102" s="5" t="s">
        <v>124</v>
      </c>
      <c r="D102" s="5" t="s">
        <v>181</v>
      </c>
      <c r="E102" s="6"/>
    </row>
    <row r="103" spans="1:15" x14ac:dyDescent="0.25">
      <c r="A103" s="61" t="s">
        <v>177</v>
      </c>
      <c r="B103" s="33">
        <v>1.2669999999999999E-3</v>
      </c>
      <c r="C103" s="5" t="s">
        <v>123</v>
      </c>
      <c r="D103" s="5" t="s">
        <v>104</v>
      </c>
      <c r="E103" s="6"/>
    </row>
    <row r="104" spans="1:15" x14ac:dyDescent="0.25">
      <c r="A104" s="61" t="s">
        <v>142</v>
      </c>
      <c r="B104" s="33">
        <v>1036.7867000000001</v>
      </c>
      <c r="C104" s="5" t="s">
        <v>135</v>
      </c>
      <c r="D104" s="5" t="s">
        <v>190</v>
      </c>
      <c r="E104" s="6"/>
    </row>
    <row r="105" spans="1:15" x14ac:dyDescent="0.25">
      <c r="A105" s="4" t="s">
        <v>182</v>
      </c>
      <c r="B105" s="27">
        <v>0.8</v>
      </c>
      <c r="C105" s="5"/>
      <c r="D105" s="63" t="s">
        <v>183</v>
      </c>
      <c r="E105" s="6"/>
    </row>
    <row r="106" spans="1:15" x14ac:dyDescent="0.25">
      <c r="A106" s="66" t="s">
        <v>191</v>
      </c>
      <c r="B106" s="27">
        <f>B105*B104</f>
        <v>829.42936000000009</v>
      </c>
      <c r="C106" s="5"/>
      <c r="D106" s="11" t="s">
        <v>204</v>
      </c>
      <c r="E106" s="6"/>
    </row>
    <row r="107" spans="1:15" x14ac:dyDescent="0.25">
      <c r="A107" s="14" t="s">
        <v>110</v>
      </c>
      <c r="B107" s="5">
        <f>B66</f>
        <v>2.9895544226705487E-2</v>
      </c>
      <c r="C107" s="5"/>
      <c r="D107" s="5" t="s">
        <v>136</v>
      </c>
      <c r="E107" s="6"/>
    </row>
    <row r="108" spans="1:15" x14ac:dyDescent="0.25">
      <c r="A108" s="14" t="s">
        <v>186</v>
      </c>
      <c r="B108" s="33">
        <v>5</v>
      </c>
      <c r="C108" s="5" t="s">
        <v>187</v>
      </c>
      <c r="D108" s="5" t="s">
        <v>188</v>
      </c>
      <c r="E108" s="6"/>
    </row>
    <row r="109" spans="1:15" x14ac:dyDescent="0.25">
      <c r="A109" s="14" t="s">
        <v>189</v>
      </c>
      <c r="B109" s="5">
        <f>PI()*B110*B111</f>
        <v>10.367255756846317</v>
      </c>
      <c r="C109" s="5"/>
      <c r="D109" s="5"/>
      <c r="E109" s="6"/>
    </row>
    <row r="110" spans="1:15" x14ac:dyDescent="0.25">
      <c r="A110" s="4" t="s">
        <v>87</v>
      </c>
      <c r="B110" s="27">
        <f>B69</f>
        <v>4</v>
      </c>
      <c r="C110" s="5"/>
      <c r="D110" s="5" t="s">
        <v>156</v>
      </c>
      <c r="E110" s="6"/>
    </row>
    <row r="111" spans="1:15" x14ac:dyDescent="0.25">
      <c r="A111" s="4" t="s">
        <v>155</v>
      </c>
      <c r="B111" s="5">
        <v>0.82499999999999996</v>
      </c>
      <c r="C111" s="5"/>
      <c r="D111" s="5" t="s">
        <v>173</v>
      </c>
      <c r="E111" s="6"/>
    </row>
    <row r="112" spans="1:15" x14ac:dyDescent="0.25">
      <c r="A112" s="14" t="s">
        <v>196</v>
      </c>
      <c r="B112" s="27">
        <v>1.25</v>
      </c>
      <c r="C112" s="5"/>
      <c r="D112" s="63" t="s">
        <v>197</v>
      </c>
      <c r="E112" s="6"/>
      <c r="F112" t="s">
        <v>545</v>
      </c>
      <c r="I112" t="s">
        <v>546</v>
      </c>
      <c r="L112" t="s">
        <v>547</v>
      </c>
      <c r="O112" t="s">
        <v>1077</v>
      </c>
    </row>
    <row r="113" spans="1:19" x14ac:dyDescent="0.25">
      <c r="A113" s="46" t="s">
        <v>199</v>
      </c>
      <c r="B113" s="27">
        <f>'Weight Estimates'!B74</f>
        <v>1.2783669341731443</v>
      </c>
      <c r="C113" s="5"/>
      <c r="D113" s="11" t="s">
        <v>198</v>
      </c>
      <c r="E113" s="6"/>
      <c r="F113" t="s">
        <v>0</v>
      </c>
      <c r="G113">
        <v>50000</v>
      </c>
      <c r="I113" t="s">
        <v>0</v>
      </c>
      <c r="J113">
        <v>51800</v>
      </c>
      <c r="L113" t="s">
        <v>0</v>
      </c>
      <c r="M113">
        <v>51960</v>
      </c>
      <c r="O113" t="s">
        <v>0</v>
      </c>
      <c r="P113">
        <v>56374</v>
      </c>
      <c r="R113" s="5" t="s">
        <v>116</v>
      </c>
      <c r="S113" s="11" t="s">
        <v>117</v>
      </c>
    </row>
    <row r="114" spans="1:19" x14ac:dyDescent="0.25">
      <c r="A114" s="62" t="s">
        <v>194</v>
      </c>
      <c r="B114" s="5" t="s">
        <v>195</v>
      </c>
      <c r="C114" s="5" t="s">
        <v>116</v>
      </c>
      <c r="D114" s="11" t="s">
        <v>117</v>
      </c>
      <c r="E114" s="6"/>
      <c r="F114" s="11" t="s">
        <v>154</v>
      </c>
      <c r="G114" s="11" t="s">
        <v>358</v>
      </c>
      <c r="H114" s="11" t="s">
        <v>359</v>
      </c>
      <c r="I114" s="11" t="s">
        <v>154</v>
      </c>
      <c r="J114" s="11" t="s">
        <v>543</v>
      </c>
      <c r="K114" s="11" t="s">
        <v>544</v>
      </c>
      <c r="L114" s="11" t="s">
        <v>154</v>
      </c>
      <c r="M114" s="11" t="s">
        <v>543</v>
      </c>
      <c r="N114" s="11" t="s">
        <v>544</v>
      </c>
      <c r="O114" s="11" t="s">
        <v>154</v>
      </c>
      <c r="P114" s="11" t="s">
        <v>543</v>
      </c>
      <c r="Q114" s="11" t="s">
        <v>544</v>
      </c>
      <c r="R114">
        <v>95.877520062985823</v>
      </c>
      <c r="S114">
        <v>0</v>
      </c>
    </row>
    <row r="115" spans="1:19" x14ac:dyDescent="0.25">
      <c r="A115" s="14">
        <v>25</v>
      </c>
      <c r="B115" s="5">
        <f>(($B$101*$B$107)/A115)+((A115*$B$108^2)/($B$109*$B$101))</f>
        <v>0.65948918557992098</v>
      </c>
      <c r="C115" s="5">
        <f>A115*$B$113</f>
        <v>31.959173354328605</v>
      </c>
      <c r="D115" s="5">
        <f>B115*$B$112</f>
        <v>0.82436148197490122</v>
      </c>
      <c r="E115" s="6"/>
      <c r="F115">
        <f>$G$113/C115</f>
        <v>1564.496035165062</v>
      </c>
      <c r="G115">
        <f>50000*D115</f>
        <v>41218.074098745063</v>
      </c>
      <c r="H115">
        <f>G115/2</f>
        <v>20609.037049372531</v>
      </c>
      <c r="I115">
        <f>51800/C115</f>
        <v>1620.8178924310043</v>
      </c>
      <c r="J115">
        <f>51800*D115</f>
        <v>42701.924766299882</v>
      </c>
      <c r="K115">
        <f>J115/2</f>
        <v>21350.962383149941</v>
      </c>
      <c r="L115">
        <f>$M$113/C115</f>
        <v>1625.8242797435325</v>
      </c>
      <c r="M115">
        <f>$M$113*D115</f>
        <v>42833.822603415865</v>
      </c>
      <c r="N115">
        <f>M115/2</f>
        <v>21416.911301707933</v>
      </c>
      <c r="O115">
        <f>$P$113/C115</f>
        <v>1763.9379897279041</v>
      </c>
      <c r="P115">
        <f>$P$113*D115</f>
        <v>46472.554184853085</v>
      </c>
      <c r="Q115">
        <f>P115/2</f>
        <v>23236.277092426542</v>
      </c>
      <c r="R115">
        <v>95.877520062985823</v>
      </c>
      <c r="S115">
        <f>$D$117</f>
        <v>0.73588121489246539</v>
      </c>
    </row>
    <row r="116" spans="1:19" x14ac:dyDescent="0.25">
      <c r="A116" s="14">
        <v>50</v>
      </c>
      <c r="B116" s="5">
        <f t="shared" ref="B116:B129" si="12">(($B$101*$B$107)/A116)+((A116*$B$108^2)/($B$109*$B$101))</f>
        <v>0.53723691719533473</v>
      </c>
      <c r="C116" s="5">
        <f t="shared" ref="C116:C129" si="13">A116*$B$113</f>
        <v>63.918346708657211</v>
      </c>
      <c r="D116" s="5">
        <f t="shared" ref="D116:D129" si="14">B116*$B$112</f>
        <v>0.67154614649416844</v>
      </c>
      <c r="E116" s="6"/>
      <c r="F116">
        <f t="shared" ref="F116:F129" si="15">$G$113/C116</f>
        <v>782.24801758253102</v>
      </c>
      <c r="G116">
        <f t="shared" ref="G116:G129" si="16">50000*D116</f>
        <v>33577.307324708425</v>
      </c>
      <c r="H116">
        <f t="shared" ref="H116:H129" si="17">G116/2</f>
        <v>16788.653662354212</v>
      </c>
      <c r="I116">
        <f t="shared" ref="I116:I129" si="18">51800/C116</f>
        <v>810.40894621550217</v>
      </c>
      <c r="J116">
        <f t="shared" ref="J116:J129" si="19">51800*D116</f>
        <v>34786.090388397926</v>
      </c>
      <c r="K116">
        <f t="shared" ref="K116:K129" si="20">J116/2</f>
        <v>17393.045194198963</v>
      </c>
      <c r="L116">
        <f t="shared" ref="L116:L129" si="21">$M$113/C116</f>
        <v>812.91213987176627</v>
      </c>
      <c r="M116">
        <f>$M$113*D116</f>
        <v>34893.537771836993</v>
      </c>
      <c r="N116">
        <f t="shared" ref="N116:N129" si="22">M116/2</f>
        <v>17446.768885918496</v>
      </c>
      <c r="O116">
        <f t="shared" ref="O116:O129" si="23">$P$113/C116</f>
        <v>881.96899486395205</v>
      </c>
      <c r="P116">
        <f t="shared" ref="P116:P129" si="24">$P$113*D116</f>
        <v>37857.742462462251</v>
      </c>
      <c r="Q116">
        <f t="shared" ref="Q116:Q129" si="25">P116/2</f>
        <v>18928.871231231125</v>
      </c>
      <c r="R116">
        <v>0</v>
      </c>
      <c r="S116">
        <f t="shared" ref="S116:S117" si="26">$D$117</f>
        <v>0.73588121489246539</v>
      </c>
    </row>
    <row r="117" spans="1:19" x14ac:dyDescent="0.25">
      <c r="A117" s="83">
        <v>75</v>
      </c>
      <c r="B117" s="58">
        <f t="shared" si="12"/>
        <v>0.58870497191397231</v>
      </c>
      <c r="C117" s="58">
        <f t="shared" si="13"/>
        <v>95.877520062985823</v>
      </c>
      <c r="D117" s="58">
        <f>B117*$B$112</f>
        <v>0.73588121489246539</v>
      </c>
      <c r="E117" s="6"/>
      <c r="F117">
        <f t="shared" si="15"/>
        <v>521.49867838835394</v>
      </c>
      <c r="G117">
        <f t="shared" si="16"/>
        <v>36794.060744623268</v>
      </c>
      <c r="H117">
        <f t="shared" si="17"/>
        <v>18397.030372311634</v>
      </c>
      <c r="I117" s="28">
        <f t="shared" si="18"/>
        <v>540.2726308103347</v>
      </c>
      <c r="J117" s="28">
        <f t="shared" si="19"/>
        <v>38118.646931429706</v>
      </c>
      <c r="K117" s="28">
        <f t="shared" si="20"/>
        <v>19059.323465714853</v>
      </c>
      <c r="L117" s="28">
        <f t="shared" si="21"/>
        <v>541.94142658117744</v>
      </c>
      <c r="M117" s="28">
        <f>$M$113*D117</f>
        <v>38236.387925812502</v>
      </c>
      <c r="N117" s="28">
        <f t="shared" si="22"/>
        <v>19118.193962906251</v>
      </c>
      <c r="O117" s="28">
        <f t="shared" si="23"/>
        <v>587.97932990930133</v>
      </c>
      <c r="P117" s="28">
        <f t="shared" si="24"/>
        <v>41484.567608347847</v>
      </c>
      <c r="Q117" s="28">
        <f t="shared" si="25"/>
        <v>20742.283804173923</v>
      </c>
      <c r="R117">
        <v>95.877520062985823</v>
      </c>
      <c r="S117">
        <f t="shared" si="26"/>
        <v>0.73588121489246539</v>
      </c>
    </row>
    <row r="118" spans="1:19" x14ac:dyDescent="0.25">
      <c r="A118" s="14">
        <v>80</v>
      </c>
      <c r="B118" s="5">
        <f>(($B$101*$B$107)/A118)+((A118*$B$108^2)/($B$109*$B$101))</f>
        <v>0.60551309497407069</v>
      </c>
      <c r="C118" s="5">
        <f>A118*$B$113</f>
        <v>102.26935473385154</v>
      </c>
      <c r="D118" s="5">
        <f>B118*$B$112</f>
        <v>0.75689136871758833</v>
      </c>
      <c r="E118" s="6"/>
      <c r="F118" s="28">
        <f>$G$113/C118</f>
        <v>488.90501098908186</v>
      </c>
      <c r="G118" s="28">
        <f>50000*D118</f>
        <v>37844.568435879417</v>
      </c>
      <c r="H118" s="28">
        <f>G118/2</f>
        <v>18922.284217939708</v>
      </c>
      <c r="I118">
        <f t="shared" si="18"/>
        <v>506.50559138468878</v>
      </c>
      <c r="J118">
        <f t="shared" si="19"/>
        <v>39206.972899571076</v>
      </c>
      <c r="K118">
        <f t="shared" si="20"/>
        <v>19603.486449785538</v>
      </c>
      <c r="L118">
        <f t="shared" si="21"/>
        <v>508.07008741985385</v>
      </c>
      <c r="M118">
        <f t="shared" ref="M118:M129" si="27">$M$113*D118</f>
        <v>39328.075518565893</v>
      </c>
      <c r="N118">
        <f t="shared" si="22"/>
        <v>19664.037759282946</v>
      </c>
      <c r="O118">
        <f t="shared" si="23"/>
        <v>551.23062178996997</v>
      </c>
      <c r="P118">
        <f t="shared" si="24"/>
        <v>42668.994020085323</v>
      </c>
      <c r="Q118">
        <f t="shared" si="25"/>
        <v>21334.497010042662</v>
      </c>
    </row>
    <row r="119" spans="1:19" x14ac:dyDescent="0.25">
      <c r="A119" s="14">
        <v>90</v>
      </c>
      <c r="B119" s="11">
        <f>(($B$101*$B$107)/A119)+((A119*$B$108^2)/($B$109*$B$101))</f>
        <v>0.64274851449225134</v>
      </c>
      <c r="C119" s="11">
        <f>A119*$B$113</f>
        <v>115.05302407558298</v>
      </c>
      <c r="D119" s="11">
        <f>B119*$B$112</f>
        <v>0.80343564311531424</v>
      </c>
      <c r="E119" s="6"/>
      <c r="F119">
        <f t="shared" si="15"/>
        <v>434.58223199029499</v>
      </c>
      <c r="G119">
        <f t="shared" si="16"/>
        <v>40171.782155765715</v>
      </c>
      <c r="H119">
        <f t="shared" si="17"/>
        <v>20085.891077882858</v>
      </c>
      <c r="I119">
        <f t="shared" si="18"/>
        <v>450.22719234194562</v>
      </c>
      <c r="J119">
        <f t="shared" si="19"/>
        <v>41617.966313373276</v>
      </c>
      <c r="K119">
        <f t="shared" si="20"/>
        <v>20808.983156686638</v>
      </c>
      <c r="L119">
        <f t="shared" si="21"/>
        <v>451.61785548431459</v>
      </c>
      <c r="M119">
        <f t="shared" si="27"/>
        <v>41746.516016271729</v>
      </c>
      <c r="N119">
        <f t="shared" si="22"/>
        <v>20873.258008135865</v>
      </c>
      <c r="O119">
        <f t="shared" si="23"/>
        <v>489.98277492441781</v>
      </c>
      <c r="P119">
        <f t="shared" si="24"/>
        <v>45292.880944982724</v>
      </c>
      <c r="Q119">
        <f t="shared" si="25"/>
        <v>22646.440472491362</v>
      </c>
    </row>
    <row r="120" spans="1:19" x14ac:dyDescent="0.25">
      <c r="A120" s="18">
        <v>95</v>
      </c>
      <c r="B120" s="11">
        <f>(($B$101*$B$107)/A120)+((A120*$B$108^2)/($B$109*$B$101))</f>
        <v>0.66279484532949318</v>
      </c>
      <c r="C120" s="11">
        <f>A120*$B$113</f>
        <v>121.4448587464487</v>
      </c>
      <c r="D120" s="11">
        <f>B120*$B$112</f>
        <v>0.82849355666186653</v>
      </c>
      <c r="E120" s="6"/>
      <c r="F120">
        <f t="shared" si="15"/>
        <v>411.70948293817423</v>
      </c>
      <c r="G120">
        <f t="shared" si="16"/>
        <v>41424.677833093323</v>
      </c>
      <c r="H120">
        <f t="shared" si="17"/>
        <v>20712.338916546661</v>
      </c>
      <c r="I120">
        <f t="shared" si="18"/>
        <v>426.53102432394849</v>
      </c>
      <c r="J120">
        <f t="shared" si="19"/>
        <v>42915.966235084685</v>
      </c>
      <c r="K120">
        <f t="shared" si="20"/>
        <v>21457.983117542342</v>
      </c>
      <c r="L120">
        <f t="shared" si="21"/>
        <v>427.84849466935066</v>
      </c>
      <c r="M120">
        <f t="shared" si="27"/>
        <v>43048.525204150588</v>
      </c>
      <c r="N120">
        <f t="shared" si="22"/>
        <v>21524.262602075294</v>
      </c>
      <c r="O120">
        <f t="shared" si="23"/>
        <v>464.19420782313267</v>
      </c>
      <c r="P120">
        <f t="shared" si="24"/>
        <v>46705.495763256062</v>
      </c>
      <c r="Q120">
        <f t="shared" si="25"/>
        <v>23352.747881628031</v>
      </c>
    </row>
    <row r="121" spans="1:19" x14ac:dyDescent="0.25">
      <c r="A121" s="14">
        <v>100</v>
      </c>
      <c r="B121" s="5">
        <f t="shared" si="12"/>
        <v>0.6836031074084159</v>
      </c>
      <c r="C121" s="5">
        <f t="shared" si="13"/>
        <v>127.83669341731442</v>
      </c>
      <c r="D121" s="5">
        <f t="shared" si="14"/>
        <v>0.85450388426051993</v>
      </c>
      <c r="E121" s="6"/>
      <c r="F121">
        <f t="shared" si="15"/>
        <v>391.12400879126551</v>
      </c>
      <c r="G121">
        <f t="shared" si="16"/>
        <v>42725.194213025999</v>
      </c>
      <c r="H121">
        <f t="shared" si="17"/>
        <v>21362.597106513</v>
      </c>
      <c r="I121">
        <f t="shared" si="18"/>
        <v>405.20447310775108</v>
      </c>
      <c r="J121">
        <f t="shared" si="19"/>
        <v>44263.30120469493</v>
      </c>
      <c r="K121">
        <f t="shared" si="20"/>
        <v>22131.650602347465</v>
      </c>
      <c r="L121">
        <f t="shared" si="21"/>
        <v>406.45606993588314</v>
      </c>
      <c r="M121">
        <f t="shared" si="27"/>
        <v>44400.021826176613</v>
      </c>
      <c r="N121">
        <f t="shared" si="22"/>
        <v>22200.010913088307</v>
      </c>
      <c r="O121">
        <f t="shared" si="23"/>
        <v>440.98449743197602</v>
      </c>
      <c r="P121">
        <f t="shared" si="24"/>
        <v>48171.80197130255</v>
      </c>
      <c r="Q121">
        <f t="shared" si="25"/>
        <v>24085.900985651275</v>
      </c>
    </row>
    <row r="122" spans="1:19" x14ac:dyDescent="0.25">
      <c r="A122" s="18">
        <v>125</v>
      </c>
      <c r="B122" s="11">
        <f t="shared" si="12"/>
        <v>0.79587327521318174</v>
      </c>
      <c r="C122" s="5">
        <f t="shared" si="13"/>
        <v>159.79586677164303</v>
      </c>
      <c r="D122" s="5">
        <f t="shared" si="14"/>
        <v>0.9948415940164772</v>
      </c>
      <c r="E122" s="6"/>
      <c r="F122">
        <f t="shared" si="15"/>
        <v>312.89920703301237</v>
      </c>
      <c r="G122">
        <f t="shared" si="16"/>
        <v>49742.079700823859</v>
      </c>
      <c r="H122">
        <f t="shared" si="17"/>
        <v>24871.039850411929</v>
      </c>
      <c r="I122">
        <f t="shared" si="18"/>
        <v>324.16357848620083</v>
      </c>
      <c r="J122">
        <f t="shared" si="19"/>
        <v>51532.79457005352</v>
      </c>
      <c r="K122">
        <f t="shared" si="20"/>
        <v>25766.39728502676</v>
      </c>
      <c r="L122">
        <f t="shared" si="21"/>
        <v>325.16485594870647</v>
      </c>
      <c r="M122">
        <f t="shared" si="27"/>
        <v>51691.969225096153</v>
      </c>
      <c r="N122">
        <f t="shared" si="22"/>
        <v>25845.984612548076</v>
      </c>
      <c r="O122">
        <f t="shared" si="23"/>
        <v>352.78759794558084</v>
      </c>
      <c r="P122">
        <f t="shared" si="24"/>
        <v>56083.200021084886</v>
      </c>
      <c r="Q122">
        <f t="shared" si="25"/>
        <v>28041.600010542443</v>
      </c>
    </row>
    <row r="123" spans="1:19" x14ac:dyDescent="0.25">
      <c r="A123" s="14">
        <v>150</v>
      </c>
      <c r="B123" s="5">
        <f t="shared" si="12"/>
        <v>0.91682945917310887</v>
      </c>
      <c r="C123" s="5">
        <f t="shared" si="13"/>
        <v>191.75504012597165</v>
      </c>
      <c r="D123" s="5">
        <f t="shared" si="14"/>
        <v>1.1460368239663861</v>
      </c>
      <c r="E123" s="6"/>
      <c r="F123">
        <f t="shared" si="15"/>
        <v>260.74933919417697</v>
      </c>
      <c r="G123">
        <f t="shared" si="16"/>
        <v>57301.8411983193</v>
      </c>
      <c r="H123">
        <f t="shared" si="17"/>
        <v>28650.92059915965</v>
      </c>
      <c r="I123">
        <f t="shared" si="18"/>
        <v>270.13631540516735</v>
      </c>
      <c r="J123">
        <f t="shared" si="19"/>
        <v>59364.707481458798</v>
      </c>
      <c r="K123">
        <f t="shared" si="20"/>
        <v>29682.353740729399</v>
      </c>
      <c r="L123">
        <f t="shared" si="21"/>
        <v>270.97071329058872</v>
      </c>
      <c r="M123">
        <f t="shared" si="27"/>
        <v>59548.073373293417</v>
      </c>
      <c r="N123">
        <f t="shared" si="22"/>
        <v>29774.036686646708</v>
      </c>
      <c r="O123">
        <f t="shared" si="23"/>
        <v>293.98966495465066</v>
      </c>
      <c r="P123">
        <f t="shared" si="24"/>
        <v>64606.679914281049</v>
      </c>
      <c r="Q123">
        <f t="shared" si="25"/>
        <v>32303.339957140524</v>
      </c>
    </row>
    <row r="124" spans="1:19" x14ac:dyDescent="0.25">
      <c r="A124" s="14">
        <v>175</v>
      </c>
      <c r="B124" s="5">
        <f t="shared" si="12"/>
        <v>1.0427490809359852</v>
      </c>
      <c r="C124" s="5">
        <f t="shared" si="13"/>
        <v>223.71421348030026</v>
      </c>
      <c r="D124" s="5">
        <f t="shared" si="14"/>
        <v>1.3034363511699816</v>
      </c>
      <c r="E124" s="6"/>
      <c r="F124">
        <f t="shared" si="15"/>
        <v>223.49943359500884</v>
      </c>
      <c r="G124">
        <f t="shared" si="16"/>
        <v>65171.817558499082</v>
      </c>
      <c r="H124">
        <f t="shared" si="17"/>
        <v>32585.908779249541</v>
      </c>
      <c r="I124">
        <f t="shared" si="18"/>
        <v>231.54541320442917</v>
      </c>
      <c r="J124">
        <f t="shared" si="19"/>
        <v>67518.002990605048</v>
      </c>
      <c r="K124">
        <f t="shared" si="20"/>
        <v>33759.001495302524</v>
      </c>
      <c r="L124">
        <f t="shared" si="21"/>
        <v>232.2606113919332</v>
      </c>
      <c r="M124">
        <f t="shared" si="27"/>
        <v>67726.552806792242</v>
      </c>
      <c r="N124">
        <f t="shared" si="22"/>
        <v>33863.276403396121</v>
      </c>
      <c r="O124">
        <f t="shared" si="23"/>
        <v>251.99114138970057</v>
      </c>
      <c r="P124">
        <f t="shared" si="24"/>
        <v>73479.920860856539</v>
      </c>
      <c r="Q124">
        <f t="shared" si="25"/>
        <v>36739.960430428269</v>
      </c>
    </row>
    <row r="125" spans="1:19" x14ac:dyDescent="0.25">
      <c r="A125" s="14">
        <v>200</v>
      </c>
      <c r="B125" s="5">
        <f t="shared" si="12"/>
        <v>1.1717708513257048</v>
      </c>
      <c r="C125" s="5">
        <f t="shared" si="13"/>
        <v>255.67338683462884</v>
      </c>
      <c r="D125" s="5">
        <f t="shared" si="14"/>
        <v>1.4647135641571309</v>
      </c>
      <c r="E125" s="6"/>
      <c r="F125">
        <f t="shared" si="15"/>
        <v>195.56200439563275</v>
      </c>
      <c r="G125">
        <f t="shared" si="16"/>
        <v>73235.678207856545</v>
      </c>
      <c r="H125">
        <f t="shared" si="17"/>
        <v>36617.839103928272</v>
      </c>
      <c r="I125">
        <f t="shared" si="18"/>
        <v>202.60223655387554</v>
      </c>
      <c r="J125">
        <f t="shared" si="19"/>
        <v>75872.162623339376</v>
      </c>
      <c r="K125">
        <f t="shared" si="20"/>
        <v>37936.081311669688</v>
      </c>
      <c r="L125">
        <f t="shared" si="21"/>
        <v>203.22803496794157</v>
      </c>
      <c r="M125">
        <f t="shared" si="27"/>
        <v>76106.516793604518</v>
      </c>
      <c r="N125">
        <f t="shared" si="22"/>
        <v>38053.258396802259</v>
      </c>
      <c r="O125">
        <f t="shared" si="23"/>
        <v>220.49224871598801</v>
      </c>
      <c r="P125">
        <f t="shared" si="24"/>
        <v>82571.762465794105</v>
      </c>
      <c r="Q125">
        <f t="shared" si="25"/>
        <v>41285.881232897053</v>
      </c>
    </row>
    <row r="126" spans="1:19" x14ac:dyDescent="0.25">
      <c r="A126" s="14">
        <v>225</v>
      </c>
      <c r="B126" s="5">
        <f t="shared" si="12"/>
        <v>1.3028607207999867</v>
      </c>
      <c r="C126" s="5">
        <f t="shared" si="13"/>
        <v>287.63256018895748</v>
      </c>
      <c r="D126" s="5">
        <f t="shared" si="14"/>
        <v>1.6285759009999834</v>
      </c>
      <c r="E126" s="6"/>
      <c r="F126">
        <f t="shared" si="15"/>
        <v>173.83289279611799</v>
      </c>
      <c r="G126">
        <f t="shared" si="16"/>
        <v>81428.795049999171</v>
      </c>
      <c r="H126">
        <f t="shared" si="17"/>
        <v>40714.397524999586</v>
      </c>
      <c r="I126">
        <f t="shared" si="18"/>
        <v>180.09087693677824</v>
      </c>
      <c r="J126">
        <f t="shared" si="19"/>
        <v>84360.231671799134</v>
      </c>
      <c r="K126">
        <f t="shared" si="20"/>
        <v>42180.115835899567</v>
      </c>
      <c r="L126">
        <f t="shared" si="21"/>
        <v>180.64714219372581</v>
      </c>
      <c r="M126">
        <f t="shared" si="27"/>
        <v>84620.803815959138</v>
      </c>
      <c r="N126">
        <f t="shared" si="22"/>
        <v>42310.401907979569</v>
      </c>
      <c r="O126">
        <f t="shared" si="23"/>
        <v>195.99310996976712</v>
      </c>
      <c r="P126">
        <f t="shared" si="24"/>
        <v>91809.337842973066</v>
      </c>
      <c r="Q126">
        <f t="shared" si="25"/>
        <v>45904.668921486533</v>
      </c>
    </row>
    <row r="127" spans="1:19" x14ac:dyDescent="0.25">
      <c r="A127" s="14">
        <v>250</v>
      </c>
      <c r="B127" s="5">
        <f t="shared" si="12"/>
        <v>1.435398259633462</v>
      </c>
      <c r="C127" s="5">
        <f t="shared" si="13"/>
        <v>319.59173354328607</v>
      </c>
      <c r="D127" s="5">
        <f t="shared" si="14"/>
        <v>1.7942478245418276</v>
      </c>
      <c r="E127" s="6"/>
      <c r="F127">
        <f t="shared" si="15"/>
        <v>156.44960351650619</v>
      </c>
      <c r="G127">
        <f t="shared" si="16"/>
        <v>89712.391227091386</v>
      </c>
      <c r="H127">
        <f t="shared" si="17"/>
        <v>44856.195613545693</v>
      </c>
      <c r="I127">
        <f t="shared" si="18"/>
        <v>162.08178924310042</v>
      </c>
      <c r="J127">
        <f t="shared" si="19"/>
        <v>92942.037311266671</v>
      </c>
      <c r="K127">
        <f t="shared" si="20"/>
        <v>46471.018655633336</v>
      </c>
      <c r="L127">
        <f t="shared" si="21"/>
        <v>162.58242797435324</v>
      </c>
      <c r="M127">
        <f t="shared" si="27"/>
        <v>93229.116963193359</v>
      </c>
      <c r="N127">
        <f t="shared" si="22"/>
        <v>46614.558481596679</v>
      </c>
      <c r="O127">
        <f t="shared" si="23"/>
        <v>176.39379897279042</v>
      </c>
      <c r="P127">
        <f t="shared" si="24"/>
        <v>101148.926860721</v>
      </c>
      <c r="Q127">
        <f t="shared" si="25"/>
        <v>50574.463430360498</v>
      </c>
    </row>
    <row r="128" spans="1:19" x14ac:dyDescent="0.25">
      <c r="A128" s="14">
        <v>275</v>
      </c>
      <c r="B128" s="5">
        <f t="shared" si="12"/>
        <v>1.5689886489099873</v>
      </c>
      <c r="C128" s="5">
        <f t="shared" si="13"/>
        <v>351.55090689761465</v>
      </c>
      <c r="D128" s="5">
        <f t="shared" si="14"/>
        <v>1.9612358111374841</v>
      </c>
      <c r="E128" s="6"/>
      <c r="F128">
        <f t="shared" si="15"/>
        <v>142.22691228773292</v>
      </c>
      <c r="G128">
        <f t="shared" si="16"/>
        <v>98061.790556874214</v>
      </c>
      <c r="H128">
        <f t="shared" si="17"/>
        <v>49030.895278437107</v>
      </c>
      <c r="I128">
        <f t="shared" si="18"/>
        <v>147.34708113009131</v>
      </c>
      <c r="J128">
        <f t="shared" si="19"/>
        <v>101592.01501692168</v>
      </c>
      <c r="K128">
        <f t="shared" si="20"/>
        <v>50796.00750846084</v>
      </c>
      <c r="L128">
        <f t="shared" si="21"/>
        <v>147.80220724941205</v>
      </c>
      <c r="M128">
        <f t="shared" si="27"/>
        <v>101905.81274670367</v>
      </c>
      <c r="N128">
        <f t="shared" si="22"/>
        <v>50952.906373351834</v>
      </c>
      <c r="O128">
        <f t="shared" si="23"/>
        <v>160.35799906617311</v>
      </c>
      <c r="P128">
        <f t="shared" si="24"/>
        <v>110562.70761706453</v>
      </c>
      <c r="Q128">
        <f t="shared" si="25"/>
        <v>55281.353808532265</v>
      </c>
    </row>
    <row r="129" spans="1:17" x14ac:dyDescent="0.25">
      <c r="A129" s="10">
        <v>300</v>
      </c>
      <c r="B129" s="8">
        <f t="shared" si="12"/>
        <v>1.7033686760187998</v>
      </c>
      <c r="C129" s="8">
        <f t="shared" si="13"/>
        <v>383.51008025194329</v>
      </c>
      <c r="D129" s="8">
        <f t="shared" si="14"/>
        <v>2.1292108450234997</v>
      </c>
      <c r="E129" s="9"/>
      <c r="F129">
        <f t="shared" si="15"/>
        <v>130.37466959708848</v>
      </c>
      <c r="G129">
        <f t="shared" si="16"/>
        <v>106460.54225117498</v>
      </c>
      <c r="H129">
        <f t="shared" si="17"/>
        <v>53230.271125587489</v>
      </c>
      <c r="I129">
        <f t="shared" si="18"/>
        <v>135.06815770258368</v>
      </c>
      <c r="J129">
        <f t="shared" si="19"/>
        <v>110293.12177221729</v>
      </c>
      <c r="K129">
        <f t="shared" si="20"/>
        <v>55146.560886108644</v>
      </c>
      <c r="L129">
        <f t="shared" si="21"/>
        <v>135.48535664529436</v>
      </c>
      <c r="M129">
        <f t="shared" si="27"/>
        <v>110633.79550742105</v>
      </c>
      <c r="N129">
        <f t="shared" si="22"/>
        <v>55316.897753710524</v>
      </c>
      <c r="O129">
        <f t="shared" si="23"/>
        <v>146.99483247732533</v>
      </c>
      <c r="P129">
        <f t="shared" si="24"/>
        <v>120032.13217735477</v>
      </c>
      <c r="Q129">
        <f t="shared" si="25"/>
        <v>60016.066088677384</v>
      </c>
    </row>
    <row r="131" spans="1:17" x14ac:dyDescent="0.25">
      <c r="A131" s="295" t="s">
        <v>201</v>
      </c>
      <c r="B131" s="296"/>
      <c r="C131" s="296"/>
      <c r="D131" s="68" t="s">
        <v>205</v>
      </c>
      <c r="E131" s="3" t="s">
        <v>200</v>
      </c>
    </row>
    <row r="132" spans="1:17" x14ac:dyDescent="0.25">
      <c r="A132" s="45" t="s">
        <v>184</v>
      </c>
      <c r="B132" s="25">
        <f>(B134*B137^2)/2</f>
        <v>250.34312993158358</v>
      </c>
      <c r="C132" s="25"/>
      <c r="D132" s="65" t="s">
        <v>185</v>
      </c>
      <c r="E132" s="6"/>
    </row>
    <row r="133" spans="1:17" x14ac:dyDescent="0.25">
      <c r="A133" s="4" t="s">
        <v>180</v>
      </c>
      <c r="B133" s="33">
        <v>35000</v>
      </c>
      <c r="C133" s="5" t="s">
        <v>124</v>
      </c>
      <c r="D133" s="5" t="s">
        <v>202</v>
      </c>
      <c r="E133" s="6"/>
    </row>
    <row r="134" spans="1:17" x14ac:dyDescent="0.25">
      <c r="A134" s="61" t="s">
        <v>177</v>
      </c>
      <c r="B134" s="33">
        <v>7.3800000000000005E-4</v>
      </c>
      <c r="C134" s="5" t="s">
        <v>123</v>
      </c>
      <c r="D134" s="5" t="s">
        <v>104</v>
      </c>
      <c r="E134" s="6"/>
    </row>
    <row r="135" spans="1:17" x14ac:dyDescent="0.25">
      <c r="A135" s="61" t="s">
        <v>142</v>
      </c>
      <c r="B135" s="33">
        <v>969.02666999999997</v>
      </c>
      <c r="C135" s="5" t="s">
        <v>135</v>
      </c>
      <c r="D135" s="5" t="s">
        <v>190</v>
      </c>
      <c r="E135" s="6"/>
    </row>
    <row r="136" spans="1:17" x14ac:dyDescent="0.25">
      <c r="A136" s="4" t="s">
        <v>182</v>
      </c>
      <c r="B136" s="33">
        <v>0.85</v>
      </c>
      <c r="C136" s="5"/>
      <c r="D136" s="5" t="s">
        <v>203</v>
      </c>
      <c r="E136" s="6"/>
    </row>
    <row r="137" spans="1:17" x14ac:dyDescent="0.25">
      <c r="A137" s="66" t="s">
        <v>191</v>
      </c>
      <c r="B137" s="33">
        <f>B136*B135</f>
        <v>823.67266949999998</v>
      </c>
      <c r="C137" s="5" t="s">
        <v>135</v>
      </c>
      <c r="D137" s="5" t="s">
        <v>204</v>
      </c>
      <c r="E137" s="6"/>
    </row>
    <row r="138" spans="1:17" x14ac:dyDescent="0.25">
      <c r="A138" s="46" t="s">
        <v>110</v>
      </c>
      <c r="B138" s="5">
        <f>B66</f>
        <v>2.9895544226705487E-2</v>
      </c>
      <c r="C138" s="5"/>
      <c r="D138" s="5" t="s">
        <v>136</v>
      </c>
      <c r="E138" s="6"/>
    </row>
    <row r="139" spans="1:17" x14ac:dyDescent="0.25">
      <c r="A139" s="14" t="s">
        <v>189</v>
      </c>
      <c r="B139" s="5">
        <f>PI()*B140*B141</f>
        <v>10.367255756846317</v>
      </c>
      <c r="C139" s="5"/>
      <c r="D139" s="5"/>
      <c r="E139" s="6"/>
    </row>
    <row r="140" spans="1:17" x14ac:dyDescent="0.25">
      <c r="A140" s="4" t="s">
        <v>87</v>
      </c>
      <c r="B140" s="27">
        <f>B69</f>
        <v>4</v>
      </c>
      <c r="C140" s="5"/>
      <c r="D140" s="5" t="s">
        <v>156</v>
      </c>
      <c r="E140" s="6"/>
    </row>
    <row r="141" spans="1:17" x14ac:dyDescent="0.25">
      <c r="A141" s="4" t="s">
        <v>155</v>
      </c>
      <c r="B141" s="5">
        <v>0.82499999999999996</v>
      </c>
      <c r="C141" s="5"/>
      <c r="D141" s="5" t="s">
        <v>173</v>
      </c>
      <c r="E141" s="6"/>
    </row>
    <row r="142" spans="1:17" x14ac:dyDescent="0.25">
      <c r="A142" s="14" t="s">
        <v>196</v>
      </c>
      <c r="B142" s="27">
        <v>1.4</v>
      </c>
      <c r="C142" s="5"/>
      <c r="D142" s="63" t="s">
        <v>197</v>
      </c>
      <c r="E142" s="6"/>
    </row>
    <row r="143" spans="1:17" x14ac:dyDescent="0.25">
      <c r="A143" s="46" t="s">
        <v>199</v>
      </c>
      <c r="B143" s="27">
        <f>'Weight Estimates'!B74</f>
        <v>1.2783669341731443</v>
      </c>
      <c r="C143" s="5"/>
      <c r="D143" s="11" t="s">
        <v>198</v>
      </c>
      <c r="E143" s="6"/>
    </row>
    <row r="144" spans="1:17" x14ac:dyDescent="0.25">
      <c r="A144" s="62" t="s">
        <v>194</v>
      </c>
      <c r="B144" s="5" t="s">
        <v>195</v>
      </c>
      <c r="C144" s="5" t="s">
        <v>116</v>
      </c>
      <c r="D144" s="11" t="s">
        <v>117</v>
      </c>
      <c r="E144" s="6"/>
    </row>
    <row r="145" spans="1:5" x14ac:dyDescent="0.25">
      <c r="A145" s="14">
        <v>25</v>
      </c>
      <c r="B145" s="5">
        <f>(($B$138*$B$132)/A145)+(A145*(1/($B$132*$B$139)))</f>
        <v>0.30899829779369492</v>
      </c>
      <c r="C145" s="5">
        <f>A145*$B$143</f>
        <v>31.959173354328605</v>
      </c>
      <c r="D145" s="5">
        <f>B145*$B$142</f>
        <v>0.43259761691117288</v>
      </c>
      <c r="E145" s="6"/>
    </row>
    <row r="146" spans="1:5" x14ac:dyDescent="0.25">
      <c r="A146" s="14">
        <v>50</v>
      </c>
      <c r="B146" s="5">
        <f t="shared" ref="B146:B156" si="28">(($B$138*$B$132)/A146)+(A146*(1/($B$132*$B$139)))</f>
        <v>0.16894794882409775</v>
      </c>
      <c r="C146" s="5">
        <f t="shared" ref="C146:C156" si="29">A146*$B$143</f>
        <v>63.918346708657211</v>
      </c>
      <c r="D146" s="5">
        <f t="shared" ref="D146:D156" si="30">B146*$B$142</f>
        <v>0.23652712835373682</v>
      </c>
      <c r="E146" s="6"/>
    </row>
    <row r="147" spans="1:5" x14ac:dyDescent="0.25">
      <c r="A147" s="14">
        <v>75</v>
      </c>
      <c r="B147" s="5">
        <f t="shared" si="28"/>
        <v>0.12868618802412107</v>
      </c>
      <c r="C147" s="5">
        <f t="shared" si="29"/>
        <v>95.877520062985823</v>
      </c>
      <c r="D147" s="5">
        <f t="shared" si="30"/>
        <v>0.1801606632337695</v>
      </c>
      <c r="E147" s="6"/>
    </row>
    <row r="148" spans="1:5" x14ac:dyDescent="0.25">
      <c r="A148" s="14">
        <v>100</v>
      </c>
      <c r="B148" s="5">
        <f t="shared" si="28"/>
        <v>0.11337157426654947</v>
      </c>
      <c r="C148" s="5">
        <f t="shared" si="29"/>
        <v>127.83669341731442</v>
      </c>
      <c r="D148" s="5">
        <f t="shared" si="30"/>
        <v>0.15872020397316924</v>
      </c>
      <c r="E148" s="6"/>
    </row>
    <row r="149" spans="1:5" x14ac:dyDescent="0.25">
      <c r="A149" s="14">
        <v>125</v>
      </c>
      <c r="B149" s="5">
        <f t="shared" si="28"/>
        <v>0.10803581932593993</v>
      </c>
      <c r="C149" s="5">
        <f t="shared" si="29"/>
        <v>159.79586677164303</v>
      </c>
      <c r="D149" s="5">
        <f t="shared" si="30"/>
        <v>0.1512501470563159</v>
      </c>
      <c r="E149" s="6"/>
    </row>
    <row r="150" spans="1:5" x14ac:dyDescent="0.25">
      <c r="A150" s="14">
        <v>150</v>
      </c>
      <c r="B150" s="5">
        <f t="shared" si="28"/>
        <v>0.10768949379381142</v>
      </c>
      <c r="C150" s="5">
        <f t="shared" si="29"/>
        <v>191.75504012597165</v>
      </c>
      <c r="D150" s="5">
        <f t="shared" si="30"/>
        <v>0.15076529131133598</v>
      </c>
      <c r="E150" s="6"/>
    </row>
    <row r="151" spans="1:5" x14ac:dyDescent="0.25">
      <c r="A151" s="14">
        <v>175</v>
      </c>
      <c r="B151" s="5">
        <f t="shared" si="28"/>
        <v>0.11019427078081491</v>
      </c>
      <c r="C151" s="5">
        <f t="shared" si="29"/>
        <v>223.71421348030026</v>
      </c>
      <c r="D151" s="5">
        <f t="shared" si="30"/>
        <v>0.15427197909314086</v>
      </c>
      <c r="E151" s="6"/>
    </row>
    <row r="152" spans="1:5" x14ac:dyDescent="0.25">
      <c r="A152" s="14">
        <v>200</v>
      </c>
      <c r="B152" s="5">
        <f t="shared" si="28"/>
        <v>0.11448098684227592</v>
      </c>
      <c r="C152" s="5">
        <f t="shared" si="29"/>
        <v>255.67338683462884</v>
      </c>
      <c r="D152" s="5">
        <f t="shared" si="30"/>
        <v>0.16027338157918627</v>
      </c>
      <c r="E152" s="6"/>
    </row>
    <row r="153" spans="1:5" x14ac:dyDescent="0.25">
      <c r="A153" s="14">
        <v>225</v>
      </c>
      <c r="B153" s="5">
        <f t="shared" si="28"/>
        <v>0.11995566228670859</v>
      </c>
      <c r="C153" s="5">
        <f t="shared" si="29"/>
        <v>287.63256018895748</v>
      </c>
      <c r="D153" s="5">
        <f t="shared" si="30"/>
        <v>0.16793792720139203</v>
      </c>
      <c r="E153" s="6"/>
    </row>
    <row r="154" spans="1:5" x14ac:dyDescent="0.25">
      <c r="A154" s="14">
        <v>250</v>
      </c>
      <c r="B154" s="5">
        <f t="shared" si="28"/>
        <v>0.12626190929922143</v>
      </c>
      <c r="C154" s="5">
        <f t="shared" si="29"/>
        <v>319.59173354328607</v>
      </c>
      <c r="D154" s="5">
        <f t="shared" si="30"/>
        <v>0.17676667301891</v>
      </c>
      <c r="E154" s="6"/>
    </row>
    <row r="155" spans="1:5" x14ac:dyDescent="0.25">
      <c r="A155" s="14">
        <v>275</v>
      </c>
      <c r="B155" s="5">
        <f t="shared" si="28"/>
        <v>0.13317293563397442</v>
      </c>
      <c r="C155" s="5">
        <f t="shared" si="29"/>
        <v>351.55090689761465</v>
      </c>
      <c r="D155" s="5">
        <f t="shared" si="30"/>
        <v>0.18644210988756418</v>
      </c>
      <c r="E155" s="6"/>
    </row>
    <row r="156" spans="1:5" x14ac:dyDescent="0.25">
      <c r="A156" s="10">
        <v>300</v>
      </c>
      <c r="B156" s="8">
        <f t="shared" si="28"/>
        <v>0.14053754646040748</v>
      </c>
      <c r="C156" s="8">
        <f t="shared" si="29"/>
        <v>383.51008025194329</v>
      </c>
      <c r="D156" s="8">
        <f t="shared" si="30"/>
        <v>0.19675256504457045</v>
      </c>
      <c r="E156" s="9"/>
    </row>
  </sheetData>
  <mergeCells count="11">
    <mergeCell ref="AU2:AW2"/>
    <mergeCell ref="AY2:BA2"/>
    <mergeCell ref="AD32:AF32"/>
    <mergeCell ref="A131:C131"/>
    <mergeCell ref="A58:D58"/>
    <mergeCell ref="A5:C5"/>
    <mergeCell ref="A11:C11"/>
    <mergeCell ref="A35:C35"/>
    <mergeCell ref="A78:C78"/>
    <mergeCell ref="A100:C100"/>
    <mergeCell ref="AD44:AF4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1C3B-210B-420B-98D3-AB8525A3B284}">
  <dimension ref="A1:G68"/>
  <sheetViews>
    <sheetView topLeftCell="A4" workbookViewId="0">
      <selection activeCell="D44" sqref="D44"/>
    </sheetView>
  </sheetViews>
  <sheetFormatPr defaultRowHeight="15" x14ac:dyDescent="0.25"/>
  <cols>
    <col min="1" max="1" width="19.7109375" bestFit="1" customWidth="1"/>
    <col min="2" max="2" width="48.85546875" bestFit="1" customWidth="1"/>
  </cols>
  <sheetData>
    <row r="1" spans="1:7" x14ac:dyDescent="0.25">
      <c r="A1" s="295" t="s">
        <v>258</v>
      </c>
      <c r="B1" s="297"/>
      <c r="C1" s="99"/>
      <c r="D1" t="s">
        <v>506</v>
      </c>
      <c r="F1" t="s">
        <v>392</v>
      </c>
    </row>
    <row r="2" spans="1:7" x14ac:dyDescent="0.25">
      <c r="A2" s="14" t="s">
        <v>263</v>
      </c>
      <c r="B2" s="130" t="s">
        <v>255</v>
      </c>
      <c r="C2" s="127"/>
      <c r="D2" t="s">
        <v>507</v>
      </c>
      <c r="F2" t="s">
        <v>219</v>
      </c>
      <c r="G2" t="s">
        <v>397</v>
      </c>
    </row>
    <row r="3" spans="1:7" x14ac:dyDescent="0.25">
      <c r="A3" s="14"/>
      <c r="B3" s="130" t="s">
        <v>256</v>
      </c>
      <c r="G3" t="s">
        <v>398</v>
      </c>
    </row>
    <row r="4" spans="1:7" x14ac:dyDescent="0.25">
      <c r="A4" s="10"/>
      <c r="B4" s="9" t="s">
        <v>257</v>
      </c>
      <c r="G4" t="s">
        <v>399</v>
      </c>
    </row>
    <row r="5" spans="1:7" x14ac:dyDescent="0.25">
      <c r="F5" t="s">
        <v>393</v>
      </c>
      <c r="G5" t="s">
        <v>394</v>
      </c>
    </row>
    <row r="6" spans="1:7" x14ac:dyDescent="0.25">
      <c r="A6" s="295" t="s">
        <v>259</v>
      </c>
      <c r="B6" s="297"/>
      <c r="G6" t="s">
        <v>395</v>
      </c>
    </row>
    <row r="7" spans="1:7" x14ac:dyDescent="0.25">
      <c r="A7" s="14" t="s">
        <v>262</v>
      </c>
      <c r="B7" s="77" t="s">
        <v>264</v>
      </c>
      <c r="G7" t="s">
        <v>396</v>
      </c>
    </row>
    <row r="8" spans="1:7" x14ac:dyDescent="0.25">
      <c r="A8" s="14" t="s">
        <v>263</v>
      </c>
      <c r="B8" s="6" t="s">
        <v>260</v>
      </c>
      <c r="F8" t="s">
        <v>400</v>
      </c>
      <c r="G8" t="s">
        <v>402</v>
      </c>
    </row>
    <row r="9" spans="1:7" x14ac:dyDescent="0.25">
      <c r="A9" s="14"/>
      <c r="B9" s="6" t="s">
        <v>261</v>
      </c>
      <c r="G9" t="s">
        <v>401</v>
      </c>
    </row>
    <row r="10" spans="1:7" x14ac:dyDescent="0.25">
      <c r="A10" s="62" t="s">
        <v>265</v>
      </c>
      <c r="B10" s="6" t="s">
        <v>266</v>
      </c>
      <c r="F10" t="s">
        <v>403</v>
      </c>
      <c r="G10" t="s">
        <v>404</v>
      </c>
    </row>
    <row r="11" spans="1:7" x14ac:dyDescent="0.25">
      <c r="A11" s="14"/>
      <c r="B11" s="6" t="s">
        <v>267</v>
      </c>
      <c r="G11" t="s">
        <v>405</v>
      </c>
    </row>
    <row r="12" spans="1:7" x14ac:dyDescent="0.25">
      <c r="A12" s="14"/>
      <c r="B12" s="6" t="s">
        <v>153</v>
      </c>
      <c r="G12" t="s">
        <v>406</v>
      </c>
    </row>
    <row r="13" spans="1:7" x14ac:dyDescent="0.25">
      <c r="A13" s="14"/>
      <c r="B13" s="6" t="s">
        <v>268</v>
      </c>
      <c r="G13" t="s">
        <v>407</v>
      </c>
    </row>
    <row r="14" spans="1:7" x14ac:dyDescent="0.25">
      <c r="A14" s="14"/>
      <c r="B14" s="6" t="s">
        <v>269</v>
      </c>
      <c r="G14" t="s">
        <v>408</v>
      </c>
    </row>
    <row r="15" spans="1:7" x14ac:dyDescent="0.25">
      <c r="A15" s="14"/>
      <c r="B15" s="6" t="s">
        <v>270</v>
      </c>
      <c r="G15" t="s">
        <v>409</v>
      </c>
    </row>
    <row r="16" spans="1:7" x14ac:dyDescent="0.25">
      <c r="A16" s="14"/>
      <c r="B16" s="6" t="s">
        <v>271</v>
      </c>
    </row>
    <row r="17" spans="1:2" x14ac:dyDescent="0.25">
      <c r="A17" s="10"/>
      <c r="B17" s="9" t="s">
        <v>272</v>
      </c>
    </row>
    <row r="19" spans="1:2" x14ac:dyDescent="0.25">
      <c r="A19" s="295" t="s">
        <v>273</v>
      </c>
      <c r="B19" s="297"/>
    </row>
    <row r="20" spans="1:2" x14ac:dyDescent="0.25">
      <c r="A20" s="307" t="s">
        <v>274</v>
      </c>
      <c r="B20" s="308"/>
    </row>
    <row r="21" spans="1:2" x14ac:dyDescent="0.25">
      <c r="A21" s="14" t="s">
        <v>263</v>
      </c>
      <c r="B21" s="6" t="s">
        <v>275</v>
      </c>
    </row>
    <row r="22" spans="1:2" x14ac:dyDescent="0.25">
      <c r="A22" s="14"/>
      <c r="B22" s="130" t="s">
        <v>276</v>
      </c>
    </row>
    <row r="23" spans="1:2" ht="30" x14ac:dyDescent="0.25">
      <c r="A23" s="14"/>
      <c r="B23" s="77" t="s">
        <v>277</v>
      </c>
    </row>
    <row r="24" spans="1:2" x14ac:dyDescent="0.25">
      <c r="A24" s="10"/>
      <c r="B24" s="9" t="s">
        <v>278</v>
      </c>
    </row>
    <row r="26" spans="1:2" x14ac:dyDescent="0.25">
      <c r="A26" s="295" t="s">
        <v>279</v>
      </c>
      <c r="B26" s="297"/>
    </row>
    <row r="27" spans="1:2" x14ac:dyDescent="0.25">
      <c r="A27" s="14"/>
      <c r="B27" s="6" t="s">
        <v>280</v>
      </c>
    </row>
    <row r="28" spans="1:2" x14ac:dyDescent="0.25">
      <c r="A28" s="14"/>
      <c r="B28" s="6" t="s">
        <v>281</v>
      </c>
    </row>
    <row r="29" spans="1:2" x14ac:dyDescent="0.25">
      <c r="A29" s="10"/>
      <c r="B29" s="230" t="s">
        <v>282</v>
      </c>
    </row>
    <row r="31" spans="1:2" x14ac:dyDescent="0.25">
      <c r="A31" s="295" t="s">
        <v>312</v>
      </c>
      <c r="B31" s="297"/>
    </row>
    <row r="32" spans="1:2" x14ac:dyDescent="0.25">
      <c r="A32" s="14" t="s">
        <v>283</v>
      </c>
      <c r="B32" s="130" t="s">
        <v>284</v>
      </c>
    </row>
    <row r="33" spans="1:2" x14ac:dyDescent="0.25">
      <c r="A33" s="14"/>
      <c r="B33" s="78" t="s">
        <v>285</v>
      </c>
    </row>
    <row r="34" spans="1:2" x14ac:dyDescent="0.25">
      <c r="A34" s="14"/>
      <c r="B34" s="78" t="s">
        <v>286</v>
      </c>
    </row>
    <row r="35" spans="1:2" x14ac:dyDescent="0.25">
      <c r="A35" s="14"/>
      <c r="B35" s="6" t="s">
        <v>287</v>
      </c>
    </row>
    <row r="36" spans="1:2" x14ac:dyDescent="0.25">
      <c r="A36" s="14"/>
      <c r="B36" s="78" t="s">
        <v>288</v>
      </c>
    </row>
    <row r="37" spans="1:2" x14ac:dyDescent="0.25">
      <c r="A37" s="14"/>
      <c r="B37" s="78" t="s">
        <v>286</v>
      </c>
    </row>
    <row r="38" spans="1:2" x14ac:dyDescent="0.25">
      <c r="A38" s="14"/>
      <c r="B38" s="79" t="s">
        <v>289</v>
      </c>
    </row>
    <row r="39" spans="1:2" x14ac:dyDescent="0.25">
      <c r="A39" s="14"/>
      <c r="B39" s="78" t="s">
        <v>288</v>
      </c>
    </row>
    <row r="40" spans="1:2" x14ac:dyDescent="0.25">
      <c r="A40" s="14"/>
      <c r="B40" s="78" t="s">
        <v>286</v>
      </c>
    </row>
    <row r="41" spans="1:2" x14ac:dyDescent="0.25">
      <c r="A41" s="14"/>
      <c r="B41" s="215" t="s">
        <v>290</v>
      </c>
    </row>
    <row r="42" spans="1:2" x14ac:dyDescent="0.25">
      <c r="A42" s="14"/>
      <c r="B42" s="78" t="s">
        <v>291</v>
      </c>
    </row>
    <row r="43" spans="1:2" x14ac:dyDescent="0.25">
      <c r="A43" s="14"/>
      <c r="B43" s="78" t="s">
        <v>292</v>
      </c>
    </row>
    <row r="44" spans="1:2" x14ac:dyDescent="0.25">
      <c r="A44" s="14"/>
      <c r="B44" s="78" t="s">
        <v>293</v>
      </c>
    </row>
    <row r="45" spans="1:2" x14ac:dyDescent="0.25">
      <c r="A45" s="14"/>
      <c r="B45" s="215" t="s">
        <v>294</v>
      </c>
    </row>
    <row r="46" spans="1:2" x14ac:dyDescent="0.25">
      <c r="A46" s="14"/>
      <c r="B46" s="78" t="s">
        <v>291</v>
      </c>
    </row>
    <row r="47" spans="1:2" x14ac:dyDescent="0.25">
      <c r="A47" s="14"/>
      <c r="B47" s="78" t="s">
        <v>295</v>
      </c>
    </row>
    <row r="48" spans="1:2" x14ac:dyDescent="0.25">
      <c r="A48" s="10"/>
      <c r="B48" s="80" t="s">
        <v>296</v>
      </c>
    </row>
    <row r="50" spans="1:2" x14ac:dyDescent="0.25">
      <c r="A50" s="295" t="s">
        <v>297</v>
      </c>
      <c r="B50" s="297"/>
    </row>
    <row r="51" spans="1:2" x14ac:dyDescent="0.25">
      <c r="A51" s="14"/>
      <c r="B51" s="81" t="s">
        <v>298</v>
      </c>
    </row>
    <row r="52" spans="1:2" x14ac:dyDescent="0.25">
      <c r="A52" s="14"/>
      <c r="B52" s="78" t="s">
        <v>299</v>
      </c>
    </row>
    <row r="53" spans="1:2" x14ac:dyDescent="0.25">
      <c r="A53" s="14"/>
      <c r="B53" s="78" t="s">
        <v>300</v>
      </c>
    </row>
    <row r="54" spans="1:2" ht="30" x14ac:dyDescent="0.25">
      <c r="A54" s="14"/>
      <c r="B54" s="82" t="s">
        <v>301</v>
      </c>
    </row>
    <row r="55" spans="1:2" x14ac:dyDescent="0.25">
      <c r="A55" s="14"/>
      <c r="B55" s="6" t="s">
        <v>302</v>
      </c>
    </row>
    <row r="56" spans="1:2" x14ac:dyDescent="0.25">
      <c r="A56" s="14"/>
      <c r="B56" s="78" t="s">
        <v>299</v>
      </c>
    </row>
    <row r="57" spans="1:2" x14ac:dyDescent="0.25">
      <c r="A57" s="14"/>
      <c r="B57" s="78" t="s">
        <v>300</v>
      </c>
    </row>
    <row r="58" spans="1:2" x14ac:dyDescent="0.25">
      <c r="A58" s="14"/>
      <c r="B58" s="78" t="s">
        <v>303</v>
      </c>
    </row>
    <row r="59" spans="1:2" x14ac:dyDescent="0.25">
      <c r="A59" s="10"/>
      <c r="B59" s="80" t="s">
        <v>304</v>
      </c>
    </row>
    <row r="61" spans="1:2" x14ac:dyDescent="0.25">
      <c r="A61" s="295" t="s">
        <v>305</v>
      </c>
      <c r="B61" s="297"/>
    </row>
    <row r="62" spans="1:2" x14ac:dyDescent="0.25">
      <c r="A62" s="14"/>
      <c r="B62" s="81" t="s">
        <v>306</v>
      </c>
    </row>
    <row r="63" spans="1:2" x14ac:dyDescent="0.25">
      <c r="A63" s="14"/>
      <c r="B63" s="78" t="s">
        <v>299</v>
      </c>
    </row>
    <row r="64" spans="1:2" x14ac:dyDescent="0.25">
      <c r="A64" s="14"/>
      <c r="B64" s="78" t="s">
        <v>308</v>
      </c>
    </row>
    <row r="65" spans="1:2" x14ac:dyDescent="0.25">
      <c r="A65" s="14"/>
      <c r="B65" s="6" t="s">
        <v>307</v>
      </c>
    </row>
    <row r="66" spans="1:2" x14ac:dyDescent="0.25">
      <c r="A66" s="14"/>
      <c r="B66" s="6" t="s">
        <v>309</v>
      </c>
    </row>
    <row r="67" spans="1:2" x14ac:dyDescent="0.25">
      <c r="A67" s="14"/>
      <c r="B67" s="6" t="s">
        <v>310</v>
      </c>
    </row>
    <row r="68" spans="1:2" x14ac:dyDescent="0.25">
      <c r="A68" s="10"/>
      <c r="B68" s="9" t="s">
        <v>311</v>
      </c>
    </row>
  </sheetData>
  <mergeCells count="8">
    <mergeCell ref="A50:B50"/>
    <mergeCell ref="A61:B61"/>
    <mergeCell ref="A1:B1"/>
    <mergeCell ref="A6:B6"/>
    <mergeCell ref="A19:B19"/>
    <mergeCell ref="A20:B20"/>
    <mergeCell ref="A26:B26"/>
    <mergeCell ref="A31:B3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6B877-3FCB-4E33-A361-B40F2B5A04E3}">
  <dimension ref="A1:C11"/>
  <sheetViews>
    <sheetView workbookViewId="0">
      <selection activeCell="B10" sqref="B10"/>
    </sheetView>
  </sheetViews>
  <sheetFormatPr defaultRowHeight="15" x14ac:dyDescent="0.25"/>
  <cols>
    <col min="1" max="1" width="15.28515625" bestFit="1" customWidth="1"/>
    <col min="2" max="2" width="16.7109375" bestFit="1" customWidth="1"/>
  </cols>
  <sheetData>
    <row r="1" spans="1:3" x14ac:dyDescent="0.25">
      <c r="A1" t="s">
        <v>318</v>
      </c>
    </row>
    <row r="2" spans="1:3" x14ac:dyDescent="0.25">
      <c r="A2" t="s">
        <v>319</v>
      </c>
    </row>
    <row r="3" spans="1:3" x14ac:dyDescent="0.25">
      <c r="A3" t="s">
        <v>313</v>
      </c>
      <c r="B3" t="s">
        <v>314</v>
      </c>
    </row>
    <row r="4" spans="1:3" x14ac:dyDescent="0.25">
      <c r="A4" t="s">
        <v>317</v>
      </c>
      <c r="B4" t="s">
        <v>314</v>
      </c>
    </row>
    <row r="5" spans="1:3" x14ac:dyDescent="0.25">
      <c r="A5" t="s">
        <v>315</v>
      </c>
      <c r="B5" t="s">
        <v>316</v>
      </c>
    </row>
    <row r="7" spans="1:3" x14ac:dyDescent="0.25">
      <c r="A7" t="s">
        <v>268</v>
      </c>
      <c r="B7">
        <v>4</v>
      </c>
    </row>
    <row r="8" spans="1:3" x14ac:dyDescent="0.25">
      <c r="A8" t="s">
        <v>153</v>
      </c>
      <c r="B8">
        <v>489</v>
      </c>
      <c r="C8" t="s">
        <v>150</v>
      </c>
    </row>
    <row r="9" spans="1:3" x14ac:dyDescent="0.25">
      <c r="A9" t="s">
        <v>88</v>
      </c>
      <c r="B9">
        <v>44.23</v>
      </c>
      <c r="C9" t="s">
        <v>124</v>
      </c>
    </row>
    <row r="10" spans="1:3" x14ac:dyDescent="0.25">
      <c r="A10" t="s">
        <v>509</v>
      </c>
      <c r="B10">
        <v>0.6</v>
      </c>
    </row>
    <row r="11" spans="1:3" x14ac:dyDescent="0.25">
      <c r="A11" t="s">
        <v>510</v>
      </c>
      <c r="B11">
        <v>30</v>
      </c>
      <c r="C11" t="s">
        <v>490</v>
      </c>
    </row>
  </sheetData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AB43-E916-4B72-A035-299D52BD28C8}">
  <dimension ref="A1:P38"/>
  <sheetViews>
    <sheetView zoomScaleNormal="100" workbookViewId="0">
      <selection activeCell="K50" sqref="K50"/>
    </sheetView>
  </sheetViews>
  <sheetFormatPr defaultRowHeight="15" x14ac:dyDescent="0.25"/>
  <cols>
    <col min="1" max="1" width="14" bestFit="1" customWidth="1"/>
    <col min="2" max="2" width="10.5703125" bestFit="1" customWidth="1"/>
    <col min="3" max="3" width="10.5703125" customWidth="1"/>
    <col min="4" max="4" width="29" bestFit="1" customWidth="1"/>
    <col min="5" max="5" width="11.140625" bestFit="1" customWidth="1"/>
    <col min="11" max="11" width="12.85546875" bestFit="1" customWidth="1"/>
    <col min="12" max="12" width="12.85546875" customWidth="1"/>
    <col min="13" max="13" width="12.42578125" bestFit="1" customWidth="1"/>
    <col min="14" max="14" width="12.42578125" customWidth="1"/>
    <col min="15" max="15" width="12" bestFit="1" customWidth="1"/>
    <col min="16" max="16" width="12" customWidth="1"/>
  </cols>
  <sheetData>
    <row r="1" spans="1:16" x14ac:dyDescent="0.25">
      <c r="A1" s="1" t="s">
        <v>226</v>
      </c>
      <c r="B1" s="2" t="s">
        <v>228</v>
      </c>
      <c r="C1" s="2"/>
      <c r="D1" s="2"/>
      <c r="E1" s="2"/>
      <c r="F1" s="2"/>
      <c r="G1" s="2" t="s">
        <v>160</v>
      </c>
      <c r="H1" s="2"/>
      <c r="I1" s="2" t="s">
        <v>161</v>
      </c>
      <c r="J1" s="2"/>
      <c r="K1" s="2" t="s">
        <v>162</v>
      </c>
      <c r="L1" s="2"/>
      <c r="M1" s="2" t="s">
        <v>163</v>
      </c>
      <c r="N1" s="2"/>
      <c r="O1" s="2" t="s">
        <v>246</v>
      </c>
      <c r="P1" s="3"/>
    </row>
    <row r="2" spans="1:16" x14ac:dyDescent="0.25">
      <c r="A2" s="14" t="s">
        <v>110</v>
      </c>
      <c r="B2" s="5">
        <f>(B3/B4)</f>
        <v>3.2719836400817996E-3</v>
      </c>
      <c r="C2" s="5"/>
      <c r="D2" s="5" t="s">
        <v>235</v>
      </c>
      <c r="E2" s="5" t="s">
        <v>248</v>
      </c>
      <c r="F2" s="5" t="s">
        <v>244</v>
      </c>
      <c r="G2" s="5" t="s">
        <v>245</v>
      </c>
      <c r="H2" s="11" t="s">
        <v>502</v>
      </c>
      <c r="I2" s="5" t="s">
        <v>245</v>
      </c>
      <c r="J2" s="11" t="s">
        <v>502</v>
      </c>
      <c r="K2" s="5" t="s">
        <v>245</v>
      </c>
      <c r="L2" s="11" t="s">
        <v>502</v>
      </c>
      <c r="M2" s="5" t="s">
        <v>245</v>
      </c>
      <c r="N2" s="11" t="s">
        <v>502</v>
      </c>
      <c r="O2" s="5" t="s">
        <v>245</v>
      </c>
      <c r="P2" s="124" t="s">
        <v>502</v>
      </c>
    </row>
    <row r="3" spans="1:16" x14ac:dyDescent="0.25">
      <c r="A3" s="4" t="s">
        <v>151</v>
      </c>
      <c r="B3" s="5">
        <v>1.6</v>
      </c>
      <c r="C3" s="5" t="s">
        <v>150</v>
      </c>
      <c r="D3" s="5" t="s">
        <v>234</v>
      </c>
      <c r="E3" s="5" t="s">
        <v>254</v>
      </c>
      <c r="F3" s="125">
        <v>0</v>
      </c>
      <c r="G3" s="125">
        <f>$B$12+((F3^2)/$C$12)</f>
        <v>3.2719836400817996E-3</v>
      </c>
      <c r="H3" s="125">
        <f>F3/G3</f>
        <v>0</v>
      </c>
      <c r="I3" s="125">
        <f>$B$13+((F3^2)/$C$13)</f>
        <v>1.8271983640081799E-2</v>
      </c>
      <c r="J3" s="125">
        <f>F3/I3</f>
        <v>0</v>
      </c>
      <c r="K3" s="125">
        <f>$B$14+((F3^2)/$C$14)</f>
        <v>6.8271983640081801E-2</v>
      </c>
      <c r="L3" s="125">
        <f>F3/K3</f>
        <v>0</v>
      </c>
      <c r="M3" s="125">
        <f>$B$15+((F3^2)/$C$15)</f>
        <v>2.32719836400818E-2</v>
      </c>
      <c r="N3" s="125">
        <f>F3/M3</f>
        <v>0</v>
      </c>
      <c r="O3" s="125">
        <f>$B$16+((F3^2)/$C$16)</f>
        <v>8.8271983640081805E-2</v>
      </c>
      <c r="P3" s="126">
        <f>F3/O3</f>
        <v>0</v>
      </c>
    </row>
    <row r="4" spans="1:16" x14ac:dyDescent="0.25">
      <c r="A4" s="4" t="s">
        <v>153</v>
      </c>
      <c r="B4" s="53">
        <v>489</v>
      </c>
      <c r="C4" s="5" t="s">
        <v>150</v>
      </c>
      <c r="D4" s="5" t="s">
        <v>233</v>
      </c>
      <c r="E4" s="5" t="s">
        <v>236</v>
      </c>
      <c r="F4" s="5">
        <v>0.2</v>
      </c>
      <c r="G4" s="5">
        <f t="shared" ref="G4:G18" si="0">$B$12+((F4^2)/$C$12)</f>
        <v>5.8441847405568768E-3</v>
      </c>
      <c r="H4" s="58">
        <f t="shared" ref="H4:H18" si="1">F4/G4</f>
        <v>34.22205301144237</v>
      </c>
      <c r="I4" s="5">
        <f t="shared" ref="I4:I18" si="2">$B$13+((F4^2)/$C$13)</f>
        <v>2.101013319865204E-2</v>
      </c>
      <c r="J4" s="5">
        <f t="shared" ref="J4:J18" si="3">F4/I4</f>
        <v>9.5192161853039341</v>
      </c>
      <c r="K4" s="5">
        <f t="shared" ref="K4:K18" si="4">$B$14+((F4^2)/$C$14)</f>
        <v>7.11989710992431E-2</v>
      </c>
      <c r="L4" s="5">
        <f t="shared" ref="L4:L18" si="5">F4/K4</f>
        <v>2.8090293569161728</v>
      </c>
      <c r="M4" s="5">
        <f t="shared" ref="M4:M18" si="6">$B$15+((F4^2)/$C$15)</f>
        <v>2.5394049547973738E-2</v>
      </c>
      <c r="N4" s="5">
        <f t="shared" ref="N4:N18" si="7">F4/M4</f>
        <v>7.8758608240944605</v>
      </c>
      <c r="O4" s="5">
        <f t="shared" ref="O4:O18" si="8">$B$16+((F4^2)/$C$16)</f>
        <v>9.1101404850604389E-2</v>
      </c>
      <c r="P4" s="6">
        <f t="shared" ref="P4:P18" si="9">F4/O4</f>
        <v>2.1953558271464257</v>
      </c>
    </row>
    <row r="5" spans="1:16" x14ac:dyDescent="0.25">
      <c r="A5" s="14"/>
      <c r="B5" s="27">
        <v>2E-3</v>
      </c>
      <c r="C5" s="5"/>
      <c r="D5" s="5" t="s">
        <v>237</v>
      </c>
      <c r="E5" s="5" t="s">
        <v>238</v>
      </c>
      <c r="F5" s="125">
        <v>0.4</v>
      </c>
      <c r="G5" s="125">
        <f t="shared" si="0"/>
        <v>1.3560788041982106E-2</v>
      </c>
      <c r="H5" s="125">
        <f t="shared" si="1"/>
        <v>29.496810860966324</v>
      </c>
      <c r="I5" s="125">
        <f t="shared" si="2"/>
        <v>2.9224581874362769E-2</v>
      </c>
      <c r="J5" s="125">
        <f t="shared" si="3"/>
        <v>13.687107713623083</v>
      </c>
      <c r="K5" s="125">
        <f t="shared" si="4"/>
        <v>7.997993347672698E-2</v>
      </c>
      <c r="L5" s="125">
        <f t="shared" si="5"/>
        <v>5.0012544723658001</v>
      </c>
      <c r="M5" s="125">
        <f t="shared" si="6"/>
        <v>3.1760247271649555E-2</v>
      </c>
      <c r="N5" s="125">
        <f t="shared" si="7"/>
        <v>12.594360383240963</v>
      </c>
      <c r="O5" s="125">
        <f t="shared" si="8"/>
        <v>9.9589668482172142E-2</v>
      </c>
      <c r="P5" s="126">
        <f t="shared" si="9"/>
        <v>4.0164808869868391</v>
      </c>
    </row>
    <row r="6" spans="1:16" x14ac:dyDescent="0.25">
      <c r="A6" s="76" t="s">
        <v>243</v>
      </c>
      <c r="B6" s="11"/>
      <c r="C6" s="5"/>
      <c r="D6" s="5" t="s">
        <v>239</v>
      </c>
      <c r="E6" s="5"/>
      <c r="F6" s="5">
        <v>0.6</v>
      </c>
      <c r="G6" s="5">
        <f t="shared" si="0"/>
        <v>2.6421793544357485E-2</v>
      </c>
      <c r="H6" s="5">
        <f t="shared" si="1"/>
        <v>22.70852654240549</v>
      </c>
      <c r="I6" s="5">
        <f t="shared" si="2"/>
        <v>4.2915329667213981E-2</v>
      </c>
      <c r="J6" s="58">
        <f t="shared" si="3"/>
        <v>13.98101808031506</v>
      </c>
      <c r="K6" s="5">
        <f t="shared" si="4"/>
        <v>9.4614870772533444E-2</v>
      </c>
      <c r="L6" s="5">
        <f t="shared" si="5"/>
        <v>6.3414978544173959</v>
      </c>
      <c r="M6" s="5">
        <f t="shared" si="6"/>
        <v>4.2370576811109242E-2</v>
      </c>
      <c r="N6" s="58">
        <f t="shared" si="7"/>
        <v>14.160770165457945</v>
      </c>
      <c r="O6" s="5">
        <f t="shared" si="8"/>
        <v>0.11373677453478506</v>
      </c>
      <c r="P6" s="6">
        <f t="shared" si="9"/>
        <v>5.2753386268791802</v>
      </c>
    </row>
    <row r="7" spans="1:16" x14ac:dyDescent="0.25">
      <c r="A7" s="4" t="s">
        <v>160</v>
      </c>
      <c r="B7" s="11">
        <v>0</v>
      </c>
      <c r="C7" s="5"/>
      <c r="D7" s="5"/>
      <c r="E7" s="5"/>
      <c r="F7" s="125">
        <v>0.8</v>
      </c>
      <c r="G7" s="125">
        <f t="shared" si="0"/>
        <v>4.4427201247683026E-2</v>
      </c>
      <c r="H7" s="125">
        <f t="shared" si="1"/>
        <v>18.006986205139846</v>
      </c>
      <c r="I7" s="125">
        <f t="shared" si="2"/>
        <v>6.2082376577205681E-2</v>
      </c>
      <c r="J7" s="125">
        <f t="shared" si="3"/>
        <v>12.886104625925839</v>
      </c>
      <c r="K7" s="125">
        <f t="shared" si="4"/>
        <v>0.11510378298666252</v>
      </c>
      <c r="L7" s="125">
        <f t="shared" si="5"/>
        <v>6.9502494118086364</v>
      </c>
      <c r="M7" s="125">
        <f t="shared" si="6"/>
        <v>5.7225038166352812E-2</v>
      </c>
      <c r="N7" s="125">
        <f t="shared" si="7"/>
        <v>13.979894564236117</v>
      </c>
      <c r="O7" s="125">
        <f t="shared" si="8"/>
        <v>0.13354272300844316</v>
      </c>
      <c r="P7" s="126">
        <f t="shared" si="9"/>
        <v>5.9905922387805477</v>
      </c>
    </row>
    <row r="8" spans="1:16" x14ac:dyDescent="0.25">
      <c r="A8" s="4" t="s">
        <v>240</v>
      </c>
      <c r="B8" s="11">
        <v>1.4999999999999999E-2</v>
      </c>
      <c r="C8" s="5"/>
      <c r="D8" s="5"/>
      <c r="E8" s="5"/>
      <c r="F8" s="5">
        <v>1</v>
      </c>
      <c r="G8" s="5">
        <f t="shared" si="0"/>
        <v>6.7577011151958702E-2</v>
      </c>
      <c r="H8" s="5">
        <f t="shared" si="1"/>
        <v>14.797931766341744</v>
      </c>
      <c r="I8" s="5">
        <f t="shared" si="2"/>
        <v>8.6725722604337849E-2</v>
      </c>
      <c r="J8" s="5">
        <f t="shared" si="3"/>
        <v>11.53060441551146</v>
      </c>
      <c r="K8" s="5">
        <f t="shared" si="4"/>
        <v>0.14144667011911416</v>
      </c>
      <c r="L8" s="58">
        <f t="shared" si="5"/>
        <v>7.0698023442890978</v>
      </c>
      <c r="M8" s="5">
        <f t="shared" si="6"/>
        <v>7.6323631337380252E-2</v>
      </c>
      <c r="N8" s="5">
        <f t="shared" si="7"/>
        <v>13.102101963409073</v>
      </c>
      <c r="O8" s="5">
        <f t="shared" si="8"/>
        <v>0.15900751390314641</v>
      </c>
      <c r="P8" s="6">
        <f t="shared" si="9"/>
        <v>6.2890109747210641</v>
      </c>
    </row>
    <row r="9" spans="1:16" x14ac:dyDescent="0.25">
      <c r="A9" s="4" t="s">
        <v>241</v>
      </c>
      <c r="B9" s="11">
        <v>6.5000000000000002E-2</v>
      </c>
      <c r="C9" s="5"/>
      <c r="D9" s="5"/>
      <c r="E9" s="5"/>
      <c r="F9" s="125">
        <v>1.2</v>
      </c>
      <c r="G9" s="125">
        <f t="shared" si="0"/>
        <v>9.5871223257184543E-2</v>
      </c>
      <c r="H9" s="125">
        <f t="shared" si="1"/>
        <v>12.516790328009845</v>
      </c>
      <c r="I9" s="125">
        <f t="shared" si="2"/>
        <v>0.11684536774861051</v>
      </c>
      <c r="J9" s="125">
        <f t="shared" si="3"/>
        <v>10.269983510016125</v>
      </c>
      <c r="K9" s="125">
        <f t="shared" si="4"/>
        <v>0.17364353216988837</v>
      </c>
      <c r="L9" s="125">
        <f t="shared" si="5"/>
        <v>6.9107094574991184</v>
      </c>
      <c r="M9" s="125">
        <f t="shared" si="6"/>
        <v>9.966635632419156E-2</v>
      </c>
      <c r="N9" s="125">
        <f t="shared" si="7"/>
        <v>12.040171269998856</v>
      </c>
      <c r="O9" s="125">
        <f t="shared" si="8"/>
        <v>0.19013114721889482</v>
      </c>
      <c r="P9" s="21">
        <f t="shared" si="9"/>
        <v>6.3114330163824235</v>
      </c>
    </row>
    <row r="10" spans="1:16" x14ac:dyDescent="0.25">
      <c r="A10" s="4" t="s">
        <v>242</v>
      </c>
      <c r="B10" s="11">
        <v>0.02</v>
      </c>
      <c r="C10" s="5"/>
      <c r="D10" s="5"/>
      <c r="E10" s="5"/>
      <c r="F10" s="5">
        <v>1.4</v>
      </c>
      <c r="G10" s="5">
        <f t="shared" si="0"/>
        <v>0.12930983756336054</v>
      </c>
      <c r="H10" s="5">
        <f t="shared" si="1"/>
        <v>10.826709138150559</v>
      </c>
      <c r="I10" s="5">
        <f t="shared" si="2"/>
        <v>0.15244131201002364</v>
      </c>
      <c r="J10" s="5">
        <f t="shared" si="3"/>
        <v>9.1838621797478641</v>
      </c>
      <c r="K10" s="5">
        <f t="shared" si="4"/>
        <v>0.21169436913898518</v>
      </c>
      <c r="L10" s="5">
        <f t="shared" si="5"/>
        <v>6.613307693039526</v>
      </c>
      <c r="M10" s="5">
        <f t="shared" si="6"/>
        <v>0.12725321312678675</v>
      </c>
      <c r="N10" s="5">
        <f t="shared" si="7"/>
        <v>11.001686838391512</v>
      </c>
      <c r="O10" s="5">
        <f t="shared" si="8"/>
        <v>0.2269136229556884</v>
      </c>
      <c r="P10" s="6">
        <f t="shared" si="9"/>
        <v>6.1697485667195542</v>
      </c>
    </row>
    <row r="11" spans="1:16" x14ac:dyDescent="0.25">
      <c r="A11" s="121"/>
      <c r="B11" s="122" t="s">
        <v>110</v>
      </c>
      <c r="C11" s="121" t="s">
        <v>189</v>
      </c>
      <c r="D11" s="5"/>
      <c r="E11" s="5"/>
      <c r="F11" s="125">
        <v>1.6</v>
      </c>
      <c r="G11" s="125">
        <f t="shared" si="0"/>
        <v>0.16789285407048671</v>
      </c>
      <c r="H11" s="125">
        <f t="shared" si="1"/>
        <v>9.529887432423239</v>
      </c>
      <c r="I11" s="125">
        <f t="shared" si="2"/>
        <v>0.19351355538857734</v>
      </c>
      <c r="J11" s="125">
        <f t="shared" si="3"/>
        <v>8.2681546354061997</v>
      </c>
      <c r="K11" s="125">
        <f t="shared" si="4"/>
        <v>0.25559918102640466</v>
      </c>
      <c r="L11" s="125">
        <f t="shared" si="5"/>
        <v>6.2598009648345165</v>
      </c>
      <c r="M11" s="125">
        <f t="shared" si="6"/>
        <v>0.15908420174516585</v>
      </c>
      <c r="N11" s="125">
        <f t="shared" si="7"/>
        <v>10.057566888778885</v>
      </c>
      <c r="O11" s="125">
        <f t="shared" si="8"/>
        <v>0.2693549411135272</v>
      </c>
      <c r="P11" s="126">
        <f t="shared" si="9"/>
        <v>5.9401175021535435</v>
      </c>
    </row>
    <row r="12" spans="1:16" x14ac:dyDescent="0.25">
      <c r="A12" s="121" t="s">
        <v>160</v>
      </c>
      <c r="B12" s="122">
        <f>B2+B7</f>
        <v>3.2719836400817996E-3</v>
      </c>
      <c r="C12" s="121">
        <v>15.550883635269475</v>
      </c>
      <c r="D12" s="5"/>
      <c r="E12" s="5"/>
      <c r="F12" s="5">
        <v>1.8</v>
      </c>
      <c r="G12" s="5">
        <f t="shared" si="0"/>
        <v>0.21162027277856299</v>
      </c>
      <c r="H12" s="5">
        <f t="shared" si="1"/>
        <v>8.5058013410818116</v>
      </c>
      <c r="I12" s="5">
        <f t="shared" si="2"/>
        <v>0.24006209788427146</v>
      </c>
      <c r="J12" s="5">
        <f t="shared" si="3"/>
        <v>7.4980599430891397</v>
      </c>
      <c r="K12" s="5">
        <f t="shared" si="4"/>
        <v>0.30535796783214664</v>
      </c>
      <c r="L12" s="5">
        <f t="shared" si="5"/>
        <v>5.8947209164997085</v>
      </c>
      <c r="M12" s="5">
        <f t="shared" si="6"/>
        <v>0.19515932217932877</v>
      </c>
      <c r="N12" s="5">
        <f t="shared" si="7"/>
        <v>9.223233509419595</v>
      </c>
      <c r="O12" s="5">
        <f t="shared" si="8"/>
        <v>0.31745510169241109</v>
      </c>
      <c r="P12" s="6">
        <f t="shared" si="9"/>
        <v>5.670093157753243</v>
      </c>
    </row>
    <row r="13" spans="1:16" x14ac:dyDescent="0.25">
      <c r="A13" s="123" t="s">
        <v>161</v>
      </c>
      <c r="B13" s="122">
        <f>B2+B8</f>
        <v>1.8271983640081799E-2</v>
      </c>
      <c r="C13" s="121">
        <v>14.608405839192539</v>
      </c>
      <c r="D13" s="5"/>
      <c r="E13" s="5"/>
      <c r="F13" s="125">
        <v>2</v>
      </c>
      <c r="G13" s="125">
        <f t="shared" si="0"/>
        <v>0.26049209368758941</v>
      </c>
      <c r="H13" s="125">
        <f t="shared" si="1"/>
        <v>7.6777762107383518</v>
      </c>
      <c r="I13" s="125">
        <f t="shared" si="2"/>
        <v>0.29208693949710601</v>
      </c>
      <c r="J13" s="125">
        <f t="shared" si="3"/>
        <v>6.8472763740941449</v>
      </c>
      <c r="K13" s="125">
        <f t="shared" si="4"/>
        <v>0.36097072955621118</v>
      </c>
      <c r="L13" s="125">
        <f t="shared" si="5"/>
        <v>5.5406154467395821</v>
      </c>
      <c r="M13" s="125">
        <f t="shared" si="6"/>
        <v>0.23547857442927558</v>
      </c>
      <c r="N13" s="125">
        <f t="shared" si="7"/>
        <v>8.4933417184444799</v>
      </c>
      <c r="O13" s="125">
        <f t="shared" si="8"/>
        <v>0.37121410469234023</v>
      </c>
      <c r="P13" s="126">
        <f t="shared" si="9"/>
        <v>5.3877263140569154</v>
      </c>
    </row>
    <row r="14" spans="1:16" x14ac:dyDescent="0.25">
      <c r="A14" s="123" t="s">
        <v>162</v>
      </c>
      <c r="B14" s="122">
        <f>B2+B9</f>
        <v>6.8271983640081801E-2</v>
      </c>
      <c r="C14" s="121">
        <v>13.665928043115599</v>
      </c>
      <c r="D14" s="5"/>
      <c r="E14" s="5"/>
      <c r="F14" s="5">
        <v>2.2000000000000002</v>
      </c>
      <c r="G14" s="5">
        <f t="shared" si="0"/>
        <v>0.31450831679756608</v>
      </c>
      <c r="H14" s="5">
        <f t="shared" si="1"/>
        <v>6.9950455441088852</v>
      </c>
      <c r="I14" s="5">
        <f t="shared" si="2"/>
        <v>0.34958808022708115</v>
      </c>
      <c r="J14" s="5">
        <f t="shared" si="3"/>
        <v>6.2931207453382019</v>
      </c>
      <c r="K14" s="5">
        <f t="shared" si="4"/>
        <v>0.4224374661985984</v>
      </c>
      <c r="L14" s="5">
        <f t="shared" si="5"/>
        <v>5.2078714035410041</v>
      </c>
      <c r="M14" s="5">
        <f t="shared" si="6"/>
        <v>0.28004195849500635</v>
      </c>
      <c r="N14" s="5">
        <f t="shared" si="7"/>
        <v>7.8559656268052782</v>
      </c>
      <c r="O14" s="5">
        <f t="shared" si="8"/>
        <v>0.43063195011331451</v>
      </c>
      <c r="P14" s="6">
        <f t="shared" si="9"/>
        <v>5.1087709572434239</v>
      </c>
    </row>
    <row r="15" spans="1:16" x14ac:dyDescent="0.25">
      <c r="A15" s="121" t="s">
        <v>163</v>
      </c>
      <c r="B15" s="122">
        <f>B2+B10</f>
        <v>2.32719836400818E-2</v>
      </c>
      <c r="C15" s="121">
        <v>18.849555921538759</v>
      </c>
      <c r="D15" s="5"/>
      <c r="E15" s="5"/>
      <c r="F15" s="125">
        <v>2.4</v>
      </c>
      <c r="G15" s="125">
        <f t="shared" si="0"/>
        <v>0.37366894210849277</v>
      </c>
      <c r="H15" s="125">
        <f t="shared" si="1"/>
        <v>6.4227976412960022</v>
      </c>
      <c r="I15" s="125">
        <f t="shared" si="2"/>
        <v>0.41256552007419667</v>
      </c>
      <c r="J15" s="125">
        <f t="shared" si="3"/>
        <v>5.8172578250561964</v>
      </c>
      <c r="K15" s="125">
        <f t="shared" si="4"/>
        <v>0.48975817775930808</v>
      </c>
      <c r="L15" s="125">
        <f t="shared" si="5"/>
        <v>4.900377592427831</v>
      </c>
      <c r="M15" s="125">
        <f t="shared" si="6"/>
        <v>0.32884947437652085</v>
      </c>
      <c r="N15" s="125">
        <f t="shared" si="7"/>
        <v>7.2981719206036679</v>
      </c>
      <c r="O15" s="125">
        <f t="shared" si="8"/>
        <v>0.49570863795533388</v>
      </c>
      <c r="P15" s="126">
        <f t="shared" si="9"/>
        <v>4.8415537197402099</v>
      </c>
    </row>
    <row r="16" spans="1:16" x14ac:dyDescent="0.25">
      <c r="A16" s="121" t="s">
        <v>246</v>
      </c>
      <c r="B16" s="122">
        <f>B2+B9+B10</f>
        <v>8.8271983640081805E-2</v>
      </c>
      <c r="C16" s="121">
        <v>14.137166941154069</v>
      </c>
      <c r="D16" s="5"/>
      <c r="E16" s="5"/>
      <c r="F16" s="5">
        <v>2.6</v>
      </c>
      <c r="G16" s="5">
        <f t="shared" si="0"/>
        <v>0.43797396962036977</v>
      </c>
      <c r="H16" s="5">
        <f t="shared" si="1"/>
        <v>5.9364258616868186</v>
      </c>
      <c r="I16" s="5">
        <f t="shared" si="2"/>
        <v>0.48101925903845283</v>
      </c>
      <c r="J16" s="5">
        <f t="shared" si="3"/>
        <v>5.405188983903356</v>
      </c>
      <c r="K16" s="5">
        <f t="shared" si="4"/>
        <v>0.56293286423834044</v>
      </c>
      <c r="L16" s="5">
        <f t="shared" si="5"/>
        <v>4.6186679889756528</v>
      </c>
      <c r="M16" s="5">
        <f t="shared" si="6"/>
        <v>0.38190112207381938</v>
      </c>
      <c r="N16" s="5">
        <f t="shared" si="7"/>
        <v>6.80804493550934</v>
      </c>
      <c r="O16" s="5">
        <f t="shared" si="8"/>
        <v>0.56644416821839849</v>
      </c>
      <c r="P16" s="6">
        <f t="shared" si="9"/>
        <v>4.5900375462909571</v>
      </c>
    </row>
    <row r="17" spans="1:16" x14ac:dyDescent="0.25">
      <c r="A17" s="14"/>
      <c r="B17" s="5"/>
      <c r="C17" s="5"/>
      <c r="D17" s="5"/>
      <c r="E17" s="5"/>
      <c r="F17" s="125">
        <v>2.8</v>
      </c>
      <c r="G17" s="125">
        <f t="shared" si="0"/>
        <v>0.5074233993331968</v>
      </c>
      <c r="H17" s="125">
        <f t="shared" si="1"/>
        <v>5.5180742623999395</v>
      </c>
      <c r="I17" s="125">
        <f t="shared" si="2"/>
        <v>0.55494929711984919</v>
      </c>
      <c r="J17" s="125">
        <f t="shared" si="3"/>
        <v>5.045505985018484</v>
      </c>
      <c r="K17" s="125">
        <f t="shared" si="4"/>
        <v>0.64196152563569531</v>
      </c>
      <c r="L17" s="125">
        <f t="shared" si="5"/>
        <v>4.3616321043964916</v>
      </c>
      <c r="M17" s="125">
        <f t="shared" si="6"/>
        <v>0.43919690158690161</v>
      </c>
      <c r="N17" s="125">
        <f t="shared" si="7"/>
        <v>6.3752726621774185</v>
      </c>
      <c r="O17" s="125">
        <f t="shared" si="8"/>
        <v>0.64283854090250814</v>
      </c>
      <c r="P17" s="126">
        <f t="shared" si="9"/>
        <v>4.3556815931866213</v>
      </c>
    </row>
    <row r="18" spans="1:16" x14ac:dyDescent="0.25">
      <c r="A18" s="10"/>
      <c r="B18" s="8"/>
      <c r="C18" s="8"/>
      <c r="D18" s="8"/>
      <c r="E18" s="8"/>
      <c r="F18" s="8">
        <v>3</v>
      </c>
      <c r="G18" s="8">
        <f t="shared" si="0"/>
        <v>0.58201723124697402</v>
      </c>
      <c r="H18" s="8">
        <f t="shared" si="1"/>
        <v>5.1544865666133104</v>
      </c>
      <c r="I18" s="8">
        <f t="shared" si="2"/>
        <v>0.63435563431838626</v>
      </c>
      <c r="J18" s="8">
        <f t="shared" si="3"/>
        <v>4.729208408818649</v>
      </c>
      <c r="K18" s="8">
        <f t="shared" si="4"/>
        <v>0.72684416195137291</v>
      </c>
      <c r="L18" s="8">
        <f t="shared" si="5"/>
        <v>4.1274322021736278</v>
      </c>
      <c r="M18" s="8">
        <f t="shared" si="6"/>
        <v>0.50073681291576777</v>
      </c>
      <c r="N18" s="8">
        <f t="shared" si="7"/>
        <v>5.9911712552770702</v>
      </c>
      <c r="O18" s="8">
        <f t="shared" si="8"/>
        <v>0.7248917560076632</v>
      </c>
      <c r="P18" s="9">
        <f t="shared" si="9"/>
        <v>4.1385489283565331</v>
      </c>
    </row>
    <row r="21" spans="1:16" x14ac:dyDescent="0.25">
      <c r="A21" s="95"/>
      <c r="B21" s="95"/>
      <c r="C21" s="74"/>
    </row>
    <row r="23" spans="1:16" x14ac:dyDescent="0.25">
      <c r="A23" s="70"/>
    </row>
    <row r="24" spans="1:16" x14ac:dyDescent="0.25">
      <c r="A24" s="71"/>
    </row>
    <row r="25" spans="1:16" x14ac:dyDescent="0.25">
      <c r="A25" s="71"/>
    </row>
    <row r="26" spans="1:16" x14ac:dyDescent="0.25">
      <c r="A26" s="71"/>
    </row>
    <row r="27" spans="1:16" x14ac:dyDescent="0.25">
      <c r="A27" s="71"/>
    </row>
    <row r="28" spans="1:16" x14ac:dyDescent="0.25">
      <c r="A28" s="71"/>
    </row>
    <row r="29" spans="1:16" x14ac:dyDescent="0.25">
      <c r="A29" s="71"/>
    </row>
    <row r="30" spans="1:16" x14ac:dyDescent="0.25">
      <c r="A30" s="71"/>
    </row>
    <row r="31" spans="1:16" x14ac:dyDescent="0.25">
      <c r="A31" s="70"/>
    </row>
    <row r="32" spans="1:16" x14ac:dyDescent="0.25">
      <c r="A32" s="71"/>
    </row>
    <row r="33" spans="1:1" x14ac:dyDescent="0.25">
      <c r="A33" s="66"/>
    </row>
    <row r="34" spans="1:1" x14ac:dyDescent="0.25">
      <c r="A34" s="72"/>
    </row>
    <row r="35" spans="1:1" x14ac:dyDescent="0.25">
      <c r="A35" s="72"/>
    </row>
    <row r="36" spans="1:1" x14ac:dyDescent="0.25">
      <c r="A36" s="73"/>
    </row>
    <row r="37" spans="1:1" x14ac:dyDescent="0.25">
      <c r="A37" s="73"/>
    </row>
    <row r="38" spans="1:1" x14ac:dyDescent="0.25">
      <c r="A38" s="7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454FC-279A-4575-A898-827D698B5845}">
  <dimension ref="A1:I60"/>
  <sheetViews>
    <sheetView topLeftCell="A7" workbookViewId="0">
      <selection activeCell="B54" sqref="B54"/>
    </sheetView>
  </sheetViews>
  <sheetFormatPr defaultRowHeight="15" x14ac:dyDescent="0.25"/>
  <cols>
    <col min="1" max="1" width="15.28515625" bestFit="1" customWidth="1"/>
    <col min="2" max="2" width="13.140625" bestFit="1" customWidth="1"/>
    <col min="3" max="3" width="17.85546875" bestFit="1" customWidth="1"/>
    <col min="6" max="6" width="11.42578125" bestFit="1" customWidth="1"/>
    <col min="7" max="7" width="7.7109375" bestFit="1" customWidth="1"/>
    <col min="8" max="8" width="15.28515625" bestFit="1" customWidth="1"/>
    <col min="9" max="9" width="9.28515625" bestFit="1" customWidth="1"/>
  </cols>
  <sheetData>
    <row r="1" spans="1:5" x14ac:dyDescent="0.25">
      <c r="A1" t="s">
        <v>423</v>
      </c>
      <c r="B1" t="s">
        <v>434</v>
      </c>
    </row>
    <row r="2" spans="1:5" x14ac:dyDescent="0.25">
      <c r="B2" t="s">
        <v>424</v>
      </c>
    </row>
    <row r="3" spans="1:5" x14ac:dyDescent="0.25">
      <c r="A3" s="64" t="s">
        <v>180</v>
      </c>
      <c r="B3" s="33">
        <v>20000</v>
      </c>
      <c r="C3" s="5" t="s">
        <v>124</v>
      </c>
      <c r="D3" s="5" t="s">
        <v>181</v>
      </c>
      <c r="E3" t="s">
        <v>452</v>
      </c>
    </row>
    <row r="4" spans="1:5" x14ac:dyDescent="0.25">
      <c r="A4" s="61" t="s">
        <v>177</v>
      </c>
      <c r="B4" s="33">
        <v>1.2669999999999999E-3</v>
      </c>
      <c r="C4" s="5" t="s">
        <v>123</v>
      </c>
      <c r="D4" s="5" t="s">
        <v>104</v>
      </c>
    </row>
    <row r="5" spans="1:5" x14ac:dyDescent="0.25">
      <c r="A5" s="100" t="s">
        <v>191</v>
      </c>
      <c r="B5" s="33">
        <v>622.07202000000007</v>
      </c>
      <c r="C5" s="5" t="s">
        <v>135</v>
      </c>
      <c r="D5" s="5" t="s">
        <v>204</v>
      </c>
    </row>
    <row r="6" spans="1:5" x14ac:dyDescent="0.25">
      <c r="A6" s="100" t="s">
        <v>349</v>
      </c>
      <c r="B6" s="33">
        <f>0.0000003324</f>
        <v>3.3239999999999999E-7</v>
      </c>
      <c r="C6" s="5" t="s">
        <v>354</v>
      </c>
      <c r="D6" s="5"/>
    </row>
    <row r="7" spans="1:5" x14ac:dyDescent="0.25">
      <c r="A7" s="100"/>
      <c r="B7" s="11"/>
      <c r="C7" s="5"/>
      <c r="D7" s="5"/>
    </row>
    <row r="8" spans="1:5" x14ac:dyDescent="0.25">
      <c r="A8" s="109" t="s">
        <v>467</v>
      </c>
      <c r="B8" t="s">
        <v>474</v>
      </c>
    </row>
    <row r="9" spans="1:5" x14ac:dyDescent="0.25">
      <c r="A9" s="115" t="s">
        <v>470</v>
      </c>
      <c r="B9" s="2">
        <f>B10/B11</f>
        <v>0</v>
      </c>
      <c r="C9" s="2"/>
      <c r="D9" s="2"/>
      <c r="E9" s="3"/>
    </row>
    <row r="10" spans="1:5" x14ac:dyDescent="0.25">
      <c r="A10" s="59" t="s">
        <v>468</v>
      </c>
      <c r="B10" s="5"/>
      <c r="C10" s="5"/>
      <c r="D10" s="5"/>
      <c r="E10" s="6"/>
    </row>
    <row r="11" spans="1:5" x14ac:dyDescent="0.25">
      <c r="A11" s="59" t="s">
        <v>469</v>
      </c>
      <c r="B11" s="5">
        <v>10.94</v>
      </c>
      <c r="C11" s="5" t="s">
        <v>124</v>
      </c>
      <c r="D11" s="5" t="s">
        <v>488</v>
      </c>
      <c r="E11" s="6"/>
    </row>
    <row r="12" spans="1:5" x14ac:dyDescent="0.25">
      <c r="A12" s="45" t="s">
        <v>431</v>
      </c>
      <c r="B12" s="5">
        <v>25.3</v>
      </c>
      <c r="C12" s="5" t="s">
        <v>364</v>
      </c>
      <c r="D12" s="5" t="s">
        <v>432</v>
      </c>
      <c r="E12" s="6"/>
    </row>
    <row r="13" spans="1:5" x14ac:dyDescent="0.25">
      <c r="A13" s="60" t="s">
        <v>449</v>
      </c>
      <c r="B13" s="5">
        <v>15.8</v>
      </c>
      <c r="C13" s="5" t="s">
        <v>124</v>
      </c>
      <c r="D13" s="5" t="s">
        <v>453</v>
      </c>
      <c r="E13" s="6"/>
    </row>
    <row r="14" spans="1:5" x14ac:dyDescent="0.25">
      <c r="A14" s="45" t="s">
        <v>450</v>
      </c>
      <c r="B14" s="5">
        <v>6.32</v>
      </c>
      <c r="C14" s="5" t="s">
        <v>124</v>
      </c>
      <c r="D14" s="5" t="s">
        <v>454</v>
      </c>
      <c r="E14" s="6"/>
    </row>
    <row r="15" spans="1:5" x14ac:dyDescent="0.25">
      <c r="A15" s="46" t="s">
        <v>153</v>
      </c>
      <c r="B15" s="5">
        <v>540</v>
      </c>
      <c r="C15" s="5" t="s">
        <v>124</v>
      </c>
      <c r="D15" s="5" t="s">
        <v>233</v>
      </c>
      <c r="E15" s="6"/>
    </row>
    <row r="16" spans="1:5" x14ac:dyDescent="0.25">
      <c r="A16" s="46" t="s">
        <v>471</v>
      </c>
      <c r="B16" s="11">
        <v>104.91</v>
      </c>
      <c r="C16" s="5" t="s">
        <v>124</v>
      </c>
      <c r="D16" s="5" t="s">
        <v>472</v>
      </c>
      <c r="E16" s="6" t="s">
        <v>473</v>
      </c>
    </row>
    <row r="17" spans="1:5" x14ac:dyDescent="0.25">
      <c r="A17" s="46" t="s">
        <v>482</v>
      </c>
      <c r="B17" s="11">
        <v>14</v>
      </c>
      <c r="C17" s="5"/>
      <c r="D17" s="11" t="s">
        <v>486</v>
      </c>
      <c r="E17" s="6"/>
    </row>
    <row r="18" spans="1:5" x14ac:dyDescent="0.25">
      <c r="A18" s="46" t="s">
        <v>483</v>
      </c>
      <c r="B18" s="11">
        <v>4</v>
      </c>
      <c r="C18" s="5"/>
      <c r="D18" s="11" t="s">
        <v>485</v>
      </c>
      <c r="E18" s="6"/>
    </row>
    <row r="19" spans="1:5" x14ac:dyDescent="0.25">
      <c r="A19" s="116" t="s">
        <v>176</v>
      </c>
      <c r="B19" s="8">
        <v>0.4</v>
      </c>
      <c r="C19" s="8"/>
      <c r="D19" s="8" t="s">
        <v>484</v>
      </c>
      <c r="E19" s="9"/>
    </row>
    <row r="21" spans="1:5" x14ac:dyDescent="0.25">
      <c r="A21" s="109" t="s">
        <v>459</v>
      </c>
    </row>
    <row r="22" spans="1:5" x14ac:dyDescent="0.25">
      <c r="A22" s="1" t="s">
        <v>425</v>
      </c>
      <c r="B22" s="3"/>
    </row>
    <row r="23" spans="1:5" x14ac:dyDescent="0.25">
      <c r="A23" s="4" t="s">
        <v>94</v>
      </c>
      <c r="B23" s="6">
        <v>1.2</v>
      </c>
    </row>
    <row r="24" spans="1:5" x14ac:dyDescent="0.25">
      <c r="A24" s="4" t="s">
        <v>95</v>
      </c>
      <c r="B24" s="6">
        <v>1.6</v>
      </c>
    </row>
    <row r="25" spans="1:5" x14ac:dyDescent="0.25">
      <c r="A25" s="7" t="s">
        <v>96</v>
      </c>
      <c r="B25" s="9">
        <v>1.8</v>
      </c>
    </row>
    <row r="27" spans="1:5" x14ac:dyDescent="0.25">
      <c r="A27" s="1" t="s">
        <v>428</v>
      </c>
      <c r="B27" s="2">
        <f>B28*B23</f>
        <v>1.32</v>
      </c>
      <c r="C27" s="2" t="s">
        <v>429</v>
      </c>
      <c r="D27" s="3" t="s">
        <v>430</v>
      </c>
    </row>
    <row r="28" spans="1:5" x14ac:dyDescent="0.25">
      <c r="A28" s="4" t="s">
        <v>426</v>
      </c>
      <c r="B28" s="5">
        <v>1.1000000000000001</v>
      </c>
      <c r="C28" s="112" t="s">
        <v>435</v>
      </c>
      <c r="D28" s="6"/>
    </row>
    <row r="29" spans="1:5" x14ac:dyDescent="0.25">
      <c r="A29" s="7" t="s">
        <v>427</v>
      </c>
      <c r="B29" s="8">
        <v>1.05</v>
      </c>
      <c r="C29" s="113"/>
      <c r="D29" s="9"/>
    </row>
    <row r="31" spans="1:5" ht="30" x14ac:dyDescent="0.25">
      <c r="A31" s="101" t="s">
        <v>436</v>
      </c>
      <c r="B31" s="107">
        <f>B27/COS(B32)</f>
        <v>1.3386815271656909</v>
      </c>
      <c r="C31" s="102" t="s">
        <v>451</v>
      </c>
      <c r="D31" s="3" t="s">
        <v>433</v>
      </c>
    </row>
    <row r="32" spans="1:5" x14ac:dyDescent="0.25">
      <c r="A32" s="7" t="s">
        <v>431</v>
      </c>
      <c r="B32" s="8">
        <f>B12</f>
        <v>25.3</v>
      </c>
      <c r="C32" s="8" t="s">
        <v>432</v>
      </c>
      <c r="D32" s="9"/>
    </row>
    <row r="34" spans="1:9" x14ac:dyDescent="0.25">
      <c r="A34" s="1" t="s">
        <v>428</v>
      </c>
      <c r="B34" s="108">
        <f>B36*(B37+B40)/2</f>
        <v>1.3299999999999998</v>
      </c>
      <c r="C34" s="2" t="s">
        <v>440</v>
      </c>
      <c r="D34" s="3" t="s">
        <v>441</v>
      </c>
      <c r="F34" s="11"/>
      <c r="G34" s="11"/>
      <c r="H34" s="11"/>
      <c r="I34" s="11"/>
    </row>
    <row r="35" spans="1:9" x14ac:dyDescent="0.25">
      <c r="A35" s="64" t="s">
        <v>437</v>
      </c>
      <c r="B35" s="5">
        <v>0.88</v>
      </c>
      <c r="C35" s="5" t="s">
        <v>438</v>
      </c>
      <c r="D35" s="114" t="s">
        <v>435</v>
      </c>
      <c r="F35" s="134"/>
      <c r="G35" s="11"/>
      <c r="H35" s="11"/>
      <c r="I35" s="135"/>
    </row>
    <row r="36" spans="1:9" x14ac:dyDescent="0.25">
      <c r="A36" s="64" t="s">
        <v>437</v>
      </c>
      <c r="B36" s="5">
        <v>0.95</v>
      </c>
      <c r="C36" s="5" t="s">
        <v>439</v>
      </c>
      <c r="D36" s="114"/>
      <c r="F36" s="134"/>
      <c r="G36" s="11"/>
      <c r="H36" s="11"/>
      <c r="I36" s="135"/>
    </row>
    <row r="37" spans="1:9" x14ac:dyDescent="0.25">
      <c r="A37" s="64" t="s">
        <v>442</v>
      </c>
      <c r="B37" s="5">
        <v>1.6</v>
      </c>
      <c r="C37" s="5" t="s">
        <v>444</v>
      </c>
      <c r="D37" s="6" t="s">
        <v>446</v>
      </c>
      <c r="F37" s="134"/>
      <c r="G37" s="11"/>
      <c r="H37" s="11"/>
      <c r="I37" s="11"/>
    </row>
    <row r="38" spans="1:9" x14ac:dyDescent="0.25">
      <c r="A38" s="103" t="s">
        <v>447</v>
      </c>
      <c r="B38" s="120">
        <f>(B4*B5*B39)/B6</f>
        <v>37463931.827833936</v>
      </c>
      <c r="C38" s="5" t="s">
        <v>455</v>
      </c>
      <c r="D38" s="6"/>
      <c r="F38" s="100"/>
      <c r="G38" s="11"/>
      <c r="H38" s="11"/>
      <c r="I38" s="11"/>
    </row>
    <row r="39" spans="1:9" x14ac:dyDescent="0.25">
      <c r="A39" s="104" t="s">
        <v>449</v>
      </c>
      <c r="B39" s="5">
        <f>B13</f>
        <v>15.8</v>
      </c>
      <c r="C39" s="5" t="s">
        <v>453</v>
      </c>
      <c r="D39" s="6"/>
      <c r="F39" s="136"/>
      <c r="G39" s="11"/>
      <c r="H39" s="11"/>
      <c r="I39" s="11"/>
    </row>
    <row r="40" spans="1:9" x14ac:dyDescent="0.25">
      <c r="A40" s="64" t="s">
        <v>443</v>
      </c>
      <c r="B40" s="11">
        <v>1.2</v>
      </c>
      <c r="C40" s="5" t="s">
        <v>445</v>
      </c>
      <c r="D40" s="6" t="s">
        <v>446</v>
      </c>
      <c r="F40" s="134"/>
      <c r="G40" s="11"/>
      <c r="H40" s="11"/>
      <c r="I40" s="11"/>
    </row>
    <row r="41" spans="1:9" x14ac:dyDescent="0.25">
      <c r="A41" s="103" t="s">
        <v>448</v>
      </c>
      <c r="B41" s="120">
        <f>(B4*B5*B42)/B6</f>
        <v>14985572.731133575</v>
      </c>
      <c r="C41" s="5" t="s">
        <v>456</v>
      </c>
      <c r="D41" s="6"/>
      <c r="F41" s="100"/>
      <c r="G41" s="11"/>
      <c r="H41" s="11"/>
      <c r="I41" s="11"/>
    </row>
    <row r="42" spans="1:9" x14ac:dyDescent="0.25">
      <c r="A42" s="105" t="s">
        <v>450</v>
      </c>
      <c r="B42" s="8">
        <f>B14</f>
        <v>6.32</v>
      </c>
      <c r="C42" s="8" t="s">
        <v>454</v>
      </c>
      <c r="D42" s="9"/>
      <c r="F42" s="137"/>
      <c r="G42" s="11"/>
      <c r="H42" s="11"/>
      <c r="I42" s="11"/>
    </row>
    <row r="44" spans="1:9" x14ac:dyDescent="0.25">
      <c r="A44" s="38" t="s">
        <v>457</v>
      </c>
      <c r="B44" s="106">
        <f>((ABS(B31-(B34)))/((B31+B34)/2))*100</f>
        <v>0.65062294450034075</v>
      </c>
      <c r="C44" s="39" t="s">
        <v>458</v>
      </c>
    </row>
    <row r="46" spans="1:9" x14ac:dyDescent="0.25">
      <c r="A46" t="s">
        <v>460</v>
      </c>
    </row>
    <row r="47" spans="1:9" x14ac:dyDescent="0.25">
      <c r="A47" s="110" t="s">
        <v>461</v>
      </c>
      <c r="B47" s="2">
        <f>1.05*(B24-B23)</f>
        <v>0.42000000000000015</v>
      </c>
      <c r="C47" s="2" t="s">
        <v>463</v>
      </c>
      <c r="D47" s="3" t="s">
        <v>465</v>
      </c>
    </row>
    <row r="48" spans="1:9" x14ac:dyDescent="0.25">
      <c r="A48" s="111" t="s">
        <v>462</v>
      </c>
      <c r="B48" s="8">
        <f>1.05*(B25-B23)</f>
        <v>0.63000000000000012</v>
      </c>
      <c r="C48" s="8" t="s">
        <v>464</v>
      </c>
      <c r="D48" s="9" t="s">
        <v>466</v>
      </c>
    </row>
    <row r="50" spans="1:8" x14ac:dyDescent="0.25">
      <c r="A50" s="1" t="s">
        <v>475</v>
      </c>
      <c r="B50" s="2"/>
      <c r="C50" s="2"/>
      <c r="D50" s="3"/>
    </row>
    <row r="51" spans="1:8" x14ac:dyDescent="0.25">
      <c r="A51" s="117" t="s">
        <v>592</v>
      </c>
      <c r="B51" s="5">
        <f>B52*(B15/B16)*B53</f>
        <v>4.0778264361647533E-2</v>
      </c>
      <c r="C51" s="5" t="s">
        <v>479</v>
      </c>
      <c r="D51" s="6" t="s">
        <v>480</v>
      </c>
    </row>
    <row r="52" spans="1:8" x14ac:dyDescent="0.25">
      <c r="A52" s="118" t="s">
        <v>476</v>
      </c>
      <c r="B52" s="5">
        <f>B31-B34</f>
        <v>8.6815271656910387E-3</v>
      </c>
      <c r="C52" s="5" t="s">
        <v>478</v>
      </c>
      <c r="D52" s="6"/>
    </row>
    <row r="53" spans="1:8" x14ac:dyDescent="0.25">
      <c r="A53" s="119" t="s">
        <v>477</v>
      </c>
      <c r="B53" s="5">
        <f>(1-0.08*COS(B12)^2)*COS(B12)^(3/4)</f>
        <v>0.91254803799085138</v>
      </c>
      <c r="C53" s="5"/>
      <c r="D53" s="6" t="s">
        <v>481</v>
      </c>
    </row>
    <row r="54" spans="1:8" x14ac:dyDescent="0.25">
      <c r="A54" s="7" t="s">
        <v>487</v>
      </c>
      <c r="B54" s="8">
        <v>0.1943</v>
      </c>
      <c r="C54" s="8"/>
      <c r="D54" s="9"/>
    </row>
    <row r="56" spans="1:8" x14ac:dyDescent="0.25">
      <c r="A56" s="152" t="s">
        <v>593</v>
      </c>
      <c r="B56" s="2"/>
      <c r="C56" s="2"/>
      <c r="D56" s="2"/>
      <c r="E56" s="2"/>
      <c r="F56" s="2"/>
      <c r="G56" s="2"/>
      <c r="H56" s="3"/>
    </row>
    <row r="57" spans="1:8" x14ac:dyDescent="0.25">
      <c r="A57" s="117" t="s">
        <v>598</v>
      </c>
      <c r="B57" s="5">
        <f>B58*B59*B60</f>
        <v>0.99483767363676767</v>
      </c>
      <c r="C57" s="5"/>
      <c r="D57" s="5"/>
      <c r="E57" s="155" t="s">
        <v>600</v>
      </c>
      <c r="F57" s="5">
        <f>F58*F59*F60</f>
        <v>1.2566370614359172</v>
      </c>
      <c r="G57" s="5"/>
      <c r="H57" s="6"/>
    </row>
    <row r="58" spans="1:8" x14ac:dyDescent="0.25">
      <c r="A58" s="36" t="s">
        <v>594</v>
      </c>
      <c r="B58" s="5">
        <v>4</v>
      </c>
      <c r="C58" s="5"/>
      <c r="D58" s="5" t="s">
        <v>596</v>
      </c>
      <c r="E58" s="151" t="s">
        <v>594</v>
      </c>
      <c r="F58" s="5">
        <v>4</v>
      </c>
      <c r="G58" s="5"/>
      <c r="H58" s="6" t="s">
        <v>596</v>
      </c>
    </row>
    <row r="59" spans="1:8" x14ac:dyDescent="0.25">
      <c r="A59" s="118" t="s">
        <v>599</v>
      </c>
      <c r="B59" s="5">
        <f>RADIANS(15)</f>
        <v>0.26179938779914941</v>
      </c>
      <c r="C59" s="5" t="s">
        <v>490</v>
      </c>
      <c r="D59" s="5"/>
      <c r="E59" s="156" t="s">
        <v>601</v>
      </c>
      <c r="F59" s="5">
        <f>RADIANS(20)</f>
        <v>0.3490658503988659</v>
      </c>
      <c r="G59" s="5" t="s">
        <v>490</v>
      </c>
      <c r="H59" s="6"/>
    </row>
    <row r="60" spans="1:8" x14ac:dyDescent="0.25">
      <c r="A60" s="153" t="s">
        <v>595</v>
      </c>
      <c r="B60" s="8">
        <v>0.95</v>
      </c>
      <c r="C60" s="8"/>
      <c r="D60" s="8" t="s">
        <v>597</v>
      </c>
      <c r="E60" s="154" t="s">
        <v>595</v>
      </c>
      <c r="F60" s="8">
        <v>0.9</v>
      </c>
      <c r="G60" s="8"/>
      <c r="H60" s="9" t="s">
        <v>597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2AAD-7EFA-4A7A-AF8C-E522EC0B60A1}">
  <dimension ref="A1:H50"/>
  <sheetViews>
    <sheetView zoomScale="200" zoomScaleNormal="200" workbookViewId="0">
      <selection activeCell="F32" sqref="F32"/>
    </sheetView>
  </sheetViews>
  <sheetFormatPr defaultRowHeight="15" x14ac:dyDescent="0.25"/>
  <cols>
    <col min="1" max="1" width="17.28515625" bestFit="1" customWidth="1"/>
    <col min="2" max="2" width="10.42578125" bestFit="1" customWidth="1"/>
    <col min="3" max="3" width="10.5703125" bestFit="1" customWidth="1"/>
    <col min="4" max="4" width="11.42578125" bestFit="1" customWidth="1"/>
  </cols>
  <sheetData>
    <row r="1" spans="1:4" x14ac:dyDescent="0.25">
      <c r="A1" t="s">
        <v>500</v>
      </c>
    </row>
    <row r="2" spans="1:4" x14ac:dyDescent="0.25">
      <c r="A2" t="s">
        <v>499</v>
      </c>
      <c r="B2" t="s">
        <v>504</v>
      </c>
    </row>
    <row r="3" spans="1:4" x14ac:dyDescent="0.25">
      <c r="A3" s="121"/>
      <c r="B3" s="121" t="s">
        <v>207</v>
      </c>
      <c r="C3" s="121" t="s">
        <v>503</v>
      </c>
      <c r="D3" s="121"/>
    </row>
    <row r="4" spans="1:4" x14ac:dyDescent="0.25">
      <c r="A4" s="121"/>
      <c r="B4" s="121" t="s">
        <v>508</v>
      </c>
      <c r="C4" s="121" t="s">
        <v>505</v>
      </c>
      <c r="D4" s="121"/>
    </row>
    <row r="5" spans="1:4" x14ac:dyDescent="0.25">
      <c r="A5" s="128" t="s">
        <v>489</v>
      </c>
      <c r="B5" s="129">
        <v>-1</v>
      </c>
      <c r="C5" s="129">
        <v>0</v>
      </c>
      <c r="D5" s="129" t="s">
        <v>490</v>
      </c>
    </row>
    <row r="6" spans="1:4" x14ac:dyDescent="0.25">
      <c r="A6" s="121" t="s">
        <v>491</v>
      </c>
      <c r="B6" s="121">
        <v>-0.02</v>
      </c>
      <c r="C6" s="121">
        <v>0</v>
      </c>
      <c r="D6" s="121"/>
    </row>
    <row r="7" spans="1:4" x14ac:dyDescent="0.25">
      <c r="A7" s="129" t="s">
        <v>492</v>
      </c>
      <c r="B7" s="129">
        <v>0.108</v>
      </c>
      <c r="C7" s="129">
        <v>0.109</v>
      </c>
      <c r="D7" s="129" t="s">
        <v>493</v>
      </c>
    </row>
    <row r="8" spans="1:4" x14ac:dyDescent="0.25">
      <c r="A8" s="121" t="s">
        <v>494</v>
      </c>
      <c r="B8" s="121">
        <v>0.247</v>
      </c>
      <c r="C8" s="121">
        <v>0.25</v>
      </c>
      <c r="D8" s="121" t="s">
        <v>498</v>
      </c>
    </row>
    <row r="9" spans="1:4" x14ac:dyDescent="0.25">
      <c r="A9" s="129" t="s">
        <v>495</v>
      </c>
      <c r="B9" s="129">
        <v>14.3</v>
      </c>
      <c r="C9" s="129">
        <v>13.4</v>
      </c>
      <c r="D9" s="129" t="s">
        <v>490</v>
      </c>
    </row>
    <row r="10" spans="1:4" x14ac:dyDescent="0.25">
      <c r="A10" s="121" t="s">
        <v>496</v>
      </c>
      <c r="B10" s="121">
        <v>1.5</v>
      </c>
      <c r="C10" s="121">
        <v>1.32</v>
      </c>
      <c r="D10" s="121"/>
    </row>
    <row r="11" spans="1:4" x14ac:dyDescent="0.25">
      <c r="A11" s="129" t="s">
        <v>497</v>
      </c>
      <c r="B11" s="129">
        <v>11</v>
      </c>
      <c r="C11" s="129">
        <v>11.4</v>
      </c>
      <c r="D11" s="129" t="s">
        <v>490</v>
      </c>
    </row>
    <row r="14" spans="1:4" x14ac:dyDescent="0.25">
      <c r="A14" t="s">
        <v>421</v>
      </c>
      <c r="B14" t="s">
        <v>501</v>
      </c>
      <c r="C14" t="s">
        <v>421</v>
      </c>
      <c r="D14" t="s">
        <v>501</v>
      </c>
    </row>
    <row r="15" spans="1:4" x14ac:dyDescent="0.25">
      <c r="A15">
        <v>-1</v>
      </c>
      <c r="B15">
        <v>0</v>
      </c>
      <c r="C15">
        <v>0</v>
      </c>
      <c r="D15">
        <v>0</v>
      </c>
    </row>
    <row r="16" spans="1:4" x14ac:dyDescent="0.25">
      <c r="A16">
        <v>11</v>
      </c>
      <c r="B16">
        <v>1.296</v>
      </c>
      <c r="C16">
        <v>11.4</v>
      </c>
      <c r="D16">
        <v>1.2430000000000001</v>
      </c>
    </row>
    <row r="17" spans="1:8" x14ac:dyDescent="0.25">
      <c r="A17">
        <v>14.3</v>
      </c>
      <c r="B17">
        <v>1.5</v>
      </c>
      <c r="C17">
        <v>13.4</v>
      </c>
      <c r="D17">
        <v>1.32</v>
      </c>
    </row>
    <row r="18" spans="1:8" x14ac:dyDescent="0.25">
      <c r="A18">
        <v>16</v>
      </c>
      <c r="B18">
        <v>1.296</v>
      </c>
      <c r="C18">
        <v>15</v>
      </c>
      <c r="D18">
        <v>1.2430000000000001</v>
      </c>
    </row>
    <row r="20" spans="1:8" x14ac:dyDescent="0.25">
      <c r="A20" s="1" t="s">
        <v>556</v>
      </c>
      <c r="B20" s="2" t="s">
        <v>570</v>
      </c>
      <c r="C20" s="2"/>
      <c r="D20" s="2"/>
      <c r="E20" s="2"/>
      <c r="F20" s="3"/>
    </row>
    <row r="21" spans="1:8" x14ac:dyDescent="0.25">
      <c r="A21" s="14" t="s">
        <v>567</v>
      </c>
      <c r="B21" s="5">
        <v>0.25</v>
      </c>
      <c r="C21" s="5" t="s">
        <v>568</v>
      </c>
      <c r="D21" s="5"/>
      <c r="E21" s="5"/>
      <c r="F21" s="6"/>
      <c r="G21" t="s">
        <v>421</v>
      </c>
      <c r="H21" t="s">
        <v>501</v>
      </c>
    </row>
    <row r="22" spans="1:8" x14ac:dyDescent="0.25">
      <c r="A22" s="14" t="s">
        <v>560</v>
      </c>
      <c r="B22" s="5"/>
      <c r="C22" s="5"/>
      <c r="D22" s="5" t="s">
        <v>246</v>
      </c>
      <c r="E22" s="5"/>
      <c r="F22" s="6"/>
      <c r="G22">
        <v>-9.84</v>
      </c>
      <c r="H22">
        <v>0</v>
      </c>
    </row>
    <row r="23" spans="1:8" x14ac:dyDescent="0.25">
      <c r="A23" s="14" t="s">
        <v>561</v>
      </c>
      <c r="B23" s="5">
        <v>15</v>
      </c>
      <c r="C23" s="5" t="s">
        <v>490</v>
      </c>
      <c r="D23" s="5" t="s">
        <v>561</v>
      </c>
      <c r="E23" s="5">
        <v>20</v>
      </c>
      <c r="F23" s="6" t="s">
        <v>490</v>
      </c>
      <c r="G23">
        <v>1.1599999999999999</v>
      </c>
      <c r="H23">
        <v>1.296</v>
      </c>
    </row>
    <row r="24" spans="1:8" x14ac:dyDescent="0.25">
      <c r="A24" s="14"/>
      <c r="B24" s="5">
        <f>RADIANS(B23)</f>
        <v>0.26179938779914941</v>
      </c>
      <c r="C24" s="5" t="s">
        <v>559</v>
      </c>
      <c r="D24" s="5"/>
      <c r="E24" s="5">
        <f>RADIANS(E23)</f>
        <v>0.3490658503988659</v>
      </c>
      <c r="F24" s="6" t="s">
        <v>559</v>
      </c>
      <c r="G24">
        <v>13.6</v>
      </c>
      <c r="H24">
        <v>1.8</v>
      </c>
    </row>
    <row r="25" spans="1:8" x14ac:dyDescent="0.25">
      <c r="A25" s="14" t="s">
        <v>565</v>
      </c>
      <c r="B25" s="5">
        <v>0.99</v>
      </c>
      <c r="C25" s="5" t="s">
        <v>566</v>
      </c>
      <c r="D25" s="5" t="s">
        <v>565</v>
      </c>
      <c r="E25" s="5">
        <v>0.99</v>
      </c>
      <c r="F25" s="6"/>
      <c r="G25">
        <v>16</v>
      </c>
      <c r="H25">
        <v>1.8</v>
      </c>
    </row>
    <row r="26" spans="1:8" x14ac:dyDescent="0.25">
      <c r="A26" s="14" t="s">
        <v>563</v>
      </c>
      <c r="B26" s="5">
        <v>4.0999999999999996</v>
      </c>
      <c r="C26" s="5" t="s">
        <v>564</v>
      </c>
      <c r="D26" s="5" t="s">
        <v>563</v>
      </c>
      <c r="E26" s="5">
        <v>4.0999999999999996</v>
      </c>
      <c r="F26" s="6"/>
    </row>
    <row r="27" spans="1:8" x14ac:dyDescent="0.25">
      <c r="A27" s="76" t="s">
        <v>562</v>
      </c>
      <c r="B27" s="5">
        <f>-B26*(1/B7)*B24*B25</f>
        <v>-9.8392936581180308</v>
      </c>
      <c r="C27" s="5" t="s">
        <v>569</v>
      </c>
      <c r="D27" s="168" t="s">
        <v>562</v>
      </c>
      <c r="E27" s="5">
        <f>-E26*(1/B7)*E24*E25</f>
        <v>-13.119058210824043</v>
      </c>
      <c r="F27" s="6" t="s">
        <v>569</v>
      </c>
    </row>
    <row r="28" spans="1:8" x14ac:dyDescent="0.25">
      <c r="A28" s="10" t="s">
        <v>571</v>
      </c>
      <c r="B28" s="8">
        <v>-0.7</v>
      </c>
      <c r="C28" s="8" t="s">
        <v>490</v>
      </c>
      <c r="D28" s="8" t="s">
        <v>571</v>
      </c>
      <c r="E28" s="8">
        <v>-1</v>
      </c>
      <c r="F28" s="9" t="s">
        <v>490</v>
      </c>
    </row>
    <row r="30" spans="1:8" x14ac:dyDescent="0.25">
      <c r="A30" s="1" t="s">
        <v>572</v>
      </c>
      <c r="B30" s="2"/>
      <c r="C30" s="3"/>
    </row>
    <row r="31" spans="1:8" x14ac:dyDescent="0.25">
      <c r="A31" s="14" t="s">
        <v>416</v>
      </c>
      <c r="B31" s="5">
        <v>0.7</v>
      </c>
      <c r="C31" s="6" t="s">
        <v>574</v>
      </c>
    </row>
    <row r="32" spans="1:8" x14ac:dyDescent="0.25">
      <c r="A32" s="14" t="s">
        <v>573</v>
      </c>
      <c r="B32" s="5">
        <v>30</v>
      </c>
      <c r="C32" s="6" t="s">
        <v>490</v>
      </c>
    </row>
    <row r="33" spans="1:6" x14ac:dyDescent="0.25">
      <c r="A33" s="10" t="s">
        <v>268</v>
      </c>
      <c r="B33" s="8">
        <f>4/((B31+1)*COS(RADIANS(B32)))</f>
        <v>2.7169424432452978</v>
      </c>
      <c r="C33" s="9" t="s">
        <v>575</v>
      </c>
    </row>
    <row r="35" spans="1:6" x14ac:dyDescent="0.25">
      <c r="A35" s="1" t="s">
        <v>556</v>
      </c>
      <c r="B35" s="2" t="s">
        <v>94</v>
      </c>
      <c r="C35" s="2"/>
      <c r="D35" s="2"/>
      <c r="E35" s="2"/>
      <c r="F35" s="3"/>
    </row>
    <row r="36" spans="1:6" x14ac:dyDescent="0.25">
      <c r="A36" s="14" t="s">
        <v>560</v>
      </c>
      <c r="B36" s="5"/>
      <c r="C36" s="5"/>
      <c r="D36" s="5" t="s">
        <v>246</v>
      </c>
      <c r="E36" s="5"/>
      <c r="F36" s="6"/>
    </row>
    <row r="37" spans="1:6" x14ac:dyDescent="0.25">
      <c r="A37" s="14" t="s">
        <v>561</v>
      </c>
      <c r="B37" s="5">
        <v>15</v>
      </c>
      <c r="C37" s="5" t="s">
        <v>490</v>
      </c>
      <c r="D37" s="5" t="s">
        <v>561</v>
      </c>
      <c r="E37" s="5">
        <v>20</v>
      </c>
      <c r="F37" s="6" t="s">
        <v>490</v>
      </c>
    </row>
    <row r="38" spans="1:6" x14ac:dyDescent="0.25">
      <c r="A38" s="14"/>
      <c r="B38" s="5">
        <f>RADIANS(B37)</f>
        <v>0.26179938779914941</v>
      </c>
      <c r="C38" s="5" t="s">
        <v>559</v>
      </c>
      <c r="D38" s="5"/>
      <c r="E38" s="5">
        <f>RADIANS(E37)</f>
        <v>0.3490658503988659</v>
      </c>
      <c r="F38" s="6" t="s">
        <v>559</v>
      </c>
    </row>
    <row r="39" spans="1:6" x14ac:dyDescent="0.25">
      <c r="A39" s="14" t="s">
        <v>576</v>
      </c>
      <c r="B39" s="5">
        <v>2.6</v>
      </c>
      <c r="C39" s="5" t="s">
        <v>577</v>
      </c>
      <c r="D39" s="5" t="s">
        <v>576</v>
      </c>
      <c r="E39" s="5">
        <v>2.6</v>
      </c>
      <c r="F39" s="6" t="s">
        <v>577</v>
      </c>
    </row>
    <row r="40" spans="1:6" x14ac:dyDescent="0.25">
      <c r="A40" s="14" t="s">
        <v>578</v>
      </c>
      <c r="B40" s="5">
        <v>0.79</v>
      </c>
      <c r="C40" s="5"/>
      <c r="D40" s="5"/>
      <c r="E40" s="5"/>
      <c r="F40" s="6"/>
    </row>
    <row r="41" spans="1:6" x14ac:dyDescent="0.25">
      <c r="A41" s="10" t="s">
        <v>94</v>
      </c>
      <c r="B41" s="8">
        <f>B40*B10</f>
        <v>1.1850000000000001</v>
      </c>
      <c r="C41" s="8"/>
      <c r="D41" s="8"/>
      <c r="E41" s="8"/>
      <c r="F41" s="9"/>
    </row>
    <row r="43" spans="1:6" x14ac:dyDescent="0.25">
      <c r="A43" s="1" t="s">
        <v>556</v>
      </c>
      <c r="B43" s="2" t="s">
        <v>579</v>
      </c>
      <c r="C43" s="2"/>
      <c r="D43" s="2"/>
      <c r="E43" s="2"/>
      <c r="F43" s="3"/>
    </row>
    <row r="44" spans="1:6" x14ac:dyDescent="0.25">
      <c r="A44" s="14" t="s">
        <v>560</v>
      </c>
      <c r="B44" s="5"/>
      <c r="C44" s="5"/>
      <c r="D44" s="5" t="s">
        <v>246</v>
      </c>
      <c r="E44" s="5"/>
      <c r="F44" s="6"/>
    </row>
    <row r="45" spans="1:6" x14ac:dyDescent="0.25">
      <c r="A45" s="14" t="s">
        <v>561</v>
      </c>
      <c r="B45" s="5">
        <v>15</v>
      </c>
      <c r="C45" s="5" t="s">
        <v>490</v>
      </c>
      <c r="D45" s="5" t="s">
        <v>561</v>
      </c>
      <c r="E45" s="5">
        <v>20</v>
      </c>
      <c r="F45" s="6" t="s">
        <v>490</v>
      </c>
    </row>
    <row r="46" spans="1:6" x14ac:dyDescent="0.25">
      <c r="A46" s="14"/>
      <c r="B46" s="5">
        <f>RADIANS(B45)</f>
        <v>0.26179938779914941</v>
      </c>
      <c r="C46" s="5" t="s">
        <v>559</v>
      </c>
      <c r="D46" s="5"/>
      <c r="E46" s="5">
        <f>RADIANS(E45)</f>
        <v>0.3490658503988659</v>
      </c>
      <c r="F46" s="6" t="s">
        <v>559</v>
      </c>
    </row>
    <row r="47" spans="1:6" x14ac:dyDescent="0.25">
      <c r="A47" s="14" t="s">
        <v>578</v>
      </c>
      <c r="B47" s="5">
        <v>0.79</v>
      </c>
      <c r="C47" s="5"/>
      <c r="D47" s="5"/>
      <c r="E47" s="5"/>
      <c r="F47" s="6"/>
    </row>
    <row r="48" spans="1:6" x14ac:dyDescent="0.25">
      <c r="A48" s="14" t="s">
        <v>422</v>
      </c>
      <c r="B48" s="5">
        <v>-1</v>
      </c>
      <c r="C48" s="5"/>
      <c r="D48" s="5"/>
      <c r="E48" s="5"/>
      <c r="F48" s="6"/>
    </row>
    <row r="49" spans="1:6" x14ac:dyDescent="0.25">
      <c r="A49" s="14" t="s">
        <v>580</v>
      </c>
      <c r="B49" s="5">
        <v>3.5</v>
      </c>
      <c r="C49" s="5"/>
      <c r="D49" s="5"/>
      <c r="E49" s="5"/>
      <c r="F49" s="6"/>
    </row>
    <row r="50" spans="1:6" x14ac:dyDescent="0.25">
      <c r="A50" s="10" t="s">
        <v>579</v>
      </c>
      <c r="B50" s="8">
        <f>B47+B48+B49</f>
        <v>3.29</v>
      </c>
      <c r="C50" s="8"/>
      <c r="D50" s="8"/>
      <c r="E50" s="8"/>
      <c r="F50" s="9"/>
    </row>
  </sheetData>
  <phoneticPr fontId="9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3CCA-21A7-418D-8378-532B6B4321EB}">
  <dimension ref="A1:P42"/>
  <sheetViews>
    <sheetView zoomScale="120" zoomScaleNormal="120" workbookViewId="0">
      <selection activeCell="P45" sqref="P45"/>
    </sheetView>
  </sheetViews>
  <sheetFormatPr defaultRowHeight="15" x14ac:dyDescent="0.25"/>
  <cols>
    <col min="4" max="4" width="10.140625" customWidth="1"/>
    <col min="7" max="7" width="12.85546875" bestFit="1" customWidth="1"/>
    <col min="8" max="8" width="12" bestFit="1" customWidth="1"/>
    <col min="9" max="9" width="13" customWidth="1"/>
    <col min="11" max="11" width="11.85546875" customWidth="1"/>
  </cols>
  <sheetData>
    <row r="1" spans="1:16" x14ac:dyDescent="0.25">
      <c r="A1" t="s">
        <v>180</v>
      </c>
      <c r="B1" s="98">
        <v>0</v>
      </c>
      <c r="C1" t="s">
        <v>124</v>
      </c>
      <c r="D1" t="s">
        <v>181</v>
      </c>
      <c r="F1" t="s">
        <v>268</v>
      </c>
      <c r="G1">
        <v>4</v>
      </c>
      <c r="I1" t="s">
        <v>416</v>
      </c>
      <c r="J1">
        <v>0.8</v>
      </c>
      <c r="L1" t="s">
        <v>557</v>
      </c>
      <c r="M1">
        <v>15</v>
      </c>
      <c r="N1" t="s">
        <v>490</v>
      </c>
      <c r="O1">
        <f>RADIANS(M1)</f>
        <v>0.26179938779914941</v>
      </c>
      <c r="P1" t="s">
        <v>559</v>
      </c>
    </row>
    <row r="2" spans="1:16" x14ac:dyDescent="0.25">
      <c r="A2" t="s">
        <v>353</v>
      </c>
      <c r="B2" s="98">
        <v>90</v>
      </c>
      <c r="C2" t="s">
        <v>352</v>
      </c>
      <c r="D2" t="s">
        <v>350</v>
      </c>
      <c r="F2" t="s">
        <v>410</v>
      </c>
      <c r="G2" s="29">
        <v>24.1</v>
      </c>
      <c r="I2" t="s">
        <v>144</v>
      </c>
      <c r="J2" s="29">
        <v>12.5984</v>
      </c>
      <c r="L2" t="s">
        <v>558</v>
      </c>
      <c r="M2">
        <v>20</v>
      </c>
      <c r="N2" t="s">
        <v>490</v>
      </c>
      <c r="O2">
        <f>RADIANS(M2)</f>
        <v>0.3490658503988659</v>
      </c>
      <c r="P2" t="s">
        <v>559</v>
      </c>
    </row>
    <row r="3" spans="1:16" x14ac:dyDescent="0.25">
      <c r="A3" t="s">
        <v>177</v>
      </c>
      <c r="B3" s="98">
        <v>2.2428000000000001E-3</v>
      </c>
      <c r="C3" t="s">
        <v>165</v>
      </c>
      <c r="D3" t="s">
        <v>324</v>
      </c>
      <c r="F3" t="s">
        <v>422</v>
      </c>
      <c r="G3" s="29">
        <v>-1</v>
      </c>
      <c r="I3" t="s">
        <v>143</v>
      </c>
      <c r="J3">
        <v>46.48</v>
      </c>
    </row>
    <row r="4" spans="1:16" x14ac:dyDescent="0.25">
      <c r="A4" t="s">
        <v>349</v>
      </c>
      <c r="B4" s="98">
        <f>0.3907*10^-6</f>
        <v>3.9069999999999997E-7</v>
      </c>
      <c r="C4" t="s">
        <v>354</v>
      </c>
      <c r="D4" t="s">
        <v>351</v>
      </c>
      <c r="F4" t="s">
        <v>191</v>
      </c>
      <c r="G4">
        <v>100</v>
      </c>
      <c r="H4" t="s">
        <v>414</v>
      </c>
      <c r="I4" t="s">
        <v>519</v>
      </c>
      <c r="J4">
        <f>J2/J3</f>
        <v>0.2710499139414802</v>
      </c>
    </row>
    <row r="5" spans="1:16" x14ac:dyDescent="0.25">
      <c r="A5" t="s">
        <v>142</v>
      </c>
      <c r="B5" s="98">
        <v>1100</v>
      </c>
      <c r="C5" t="s">
        <v>135</v>
      </c>
      <c r="D5" t="s">
        <v>327</v>
      </c>
      <c r="G5">
        <v>168.78100000000001</v>
      </c>
      <c r="H5" t="s">
        <v>415</v>
      </c>
      <c r="I5" t="s">
        <v>418</v>
      </c>
      <c r="J5" s="29">
        <v>1.5</v>
      </c>
      <c r="K5" t="s">
        <v>520</v>
      </c>
      <c r="L5">
        <v>2.1</v>
      </c>
      <c r="M5" t="s">
        <v>1127</v>
      </c>
    </row>
    <row r="6" spans="1:16" x14ac:dyDescent="0.25">
      <c r="D6" s="96" t="s">
        <v>207</v>
      </c>
      <c r="E6" t="s">
        <v>618</v>
      </c>
      <c r="F6" t="s">
        <v>619</v>
      </c>
      <c r="I6" s="96" t="s">
        <v>417</v>
      </c>
    </row>
    <row r="7" spans="1:16" x14ac:dyDescent="0.25">
      <c r="A7" t="s">
        <v>348</v>
      </c>
      <c r="B7" t="s">
        <v>355</v>
      </c>
      <c r="C7" t="s">
        <v>413</v>
      </c>
      <c r="D7" s="96" t="s">
        <v>419</v>
      </c>
      <c r="E7" s="96"/>
      <c r="I7" s="96" t="s">
        <v>420</v>
      </c>
      <c r="J7" t="s">
        <v>528</v>
      </c>
    </row>
    <row r="8" spans="1:16" x14ac:dyDescent="0.25">
      <c r="A8">
        <v>0</v>
      </c>
      <c r="B8">
        <f>A8*$B$5</f>
        <v>0</v>
      </c>
      <c r="C8">
        <f>SQRT(1-A8^2)</f>
        <v>1</v>
      </c>
      <c r="D8" s="96">
        <f>((2*PI()*$G$1)/(2+SQRT(4+$G$1^2*C8^2*(1+(TAN(RADIANS($G$2))^2)/C8^2))))</f>
        <v>3.686883496394374</v>
      </c>
      <c r="I8" s="96">
        <f>$J$5*D8</f>
        <v>5.5303252445915607</v>
      </c>
      <c r="J8">
        <v>0.18131319766155801</v>
      </c>
    </row>
    <row r="9" spans="1:16" x14ac:dyDescent="0.25">
      <c r="A9">
        <v>0.05</v>
      </c>
      <c r="B9">
        <f t="shared" ref="B9:B27" si="0">A9*$B$5</f>
        <v>55</v>
      </c>
      <c r="C9">
        <f>SQRT(1-A9^2)</f>
        <v>0.99874921777190895</v>
      </c>
      <c r="D9" s="96">
        <f t="shared" ref="D9:D27" si="1">((2*PI()*$G$1)/(2+SQRT(4+$G$1^2*C9^2*(1+(TAN(RADIANS($G$2))^2)/C9^2))))</f>
        <v>3.6891315286141815</v>
      </c>
      <c r="I9" s="96">
        <f t="shared" ref="I9:I27" si="2">$J$5*D9</f>
        <v>5.5336972929212722</v>
      </c>
      <c r="J9">
        <v>0.18131319766155771</v>
      </c>
    </row>
    <row r="10" spans="1:16" x14ac:dyDescent="0.25">
      <c r="A10">
        <v>0.1</v>
      </c>
      <c r="B10">
        <f t="shared" si="0"/>
        <v>110</v>
      </c>
      <c r="C10">
        <f t="shared" ref="C10:C26" si="3">SQRT(1-A10^2)</f>
        <v>0.99498743710661997</v>
      </c>
      <c r="D10" s="96">
        <f t="shared" si="1"/>
        <v>3.6959038262228359</v>
      </c>
      <c r="I10" s="96">
        <f t="shared" si="2"/>
        <v>5.543855739334254</v>
      </c>
      <c r="J10">
        <v>0.18131319766155801</v>
      </c>
    </row>
    <row r="11" spans="1:16" s="29" customFormat="1" x14ac:dyDescent="0.25">
      <c r="A11" s="99">
        <v>0.15</v>
      </c>
      <c r="B11" s="99">
        <f t="shared" si="0"/>
        <v>165</v>
      </c>
      <c r="C11" s="99">
        <f t="shared" si="3"/>
        <v>0.98868599666425949</v>
      </c>
      <c r="D11" s="96">
        <f t="shared" si="1"/>
        <v>3.7072860360538855</v>
      </c>
      <c r="I11" s="96">
        <f>$J$5*D11</f>
        <v>5.5609290540808285</v>
      </c>
      <c r="J11">
        <v>0.18131319766155771</v>
      </c>
      <c r="K11"/>
    </row>
    <row r="12" spans="1:16" x14ac:dyDescent="0.25">
      <c r="A12">
        <v>0.2</v>
      </c>
      <c r="B12">
        <f t="shared" si="0"/>
        <v>220</v>
      </c>
      <c r="C12">
        <f t="shared" si="3"/>
        <v>0.9797958971132712</v>
      </c>
      <c r="D12" s="96">
        <f t="shared" si="1"/>
        <v>3.7234244617082997</v>
      </c>
      <c r="I12" s="96">
        <f t="shared" si="2"/>
        <v>5.5851366925624495</v>
      </c>
      <c r="J12">
        <v>0.18131319766155771</v>
      </c>
    </row>
    <row r="13" spans="1:16" x14ac:dyDescent="0.25">
      <c r="A13">
        <v>0.25</v>
      </c>
      <c r="B13">
        <f t="shared" si="0"/>
        <v>275</v>
      </c>
      <c r="C13">
        <f>SQRT(1-A13^2)</f>
        <v>0.96824583655185426</v>
      </c>
      <c r="D13" s="96">
        <f t="shared" si="1"/>
        <v>3.7445316883202602</v>
      </c>
      <c r="I13" s="96">
        <f t="shared" si="2"/>
        <v>5.6167975324803905</v>
      </c>
      <c r="J13">
        <v>0.18131319766155771</v>
      </c>
    </row>
    <row r="14" spans="1:16" x14ac:dyDescent="0.25">
      <c r="A14">
        <v>0.3</v>
      </c>
      <c r="B14">
        <f t="shared" si="0"/>
        <v>330</v>
      </c>
      <c r="C14">
        <f t="shared" si="3"/>
        <v>0.95393920141694566</v>
      </c>
      <c r="D14" s="96">
        <f t="shared" si="1"/>
        <v>3.7708950689153267</v>
      </c>
      <c r="I14" s="96">
        <f t="shared" si="2"/>
        <v>5.6563426033729902</v>
      </c>
      <c r="J14">
        <v>0.18131319766155771</v>
      </c>
    </row>
    <row r="15" spans="1:16" x14ac:dyDescent="0.25">
      <c r="A15">
        <v>0.35</v>
      </c>
      <c r="B15">
        <f t="shared" si="0"/>
        <v>385</v>
      </c>
      <c r="C15">
        <f t="shared" si="3"/>
        <v>0.93674969975975975</v>
      </c>
      <c r="D15" s="96">
        <f t="shared" si="1"/>
        <v>3.8028887826160913</v>
      </c>
      <c r="I15" s="96">
        <f t="shared" si="2"/>
        <v>5.7043331739241374</v>
      </c>
      <c r="J15">
        <v>0.18131319766155771</v>
      </c>
    </row>
    <row r="16" spans="1:16" x14ac:dyDescent="0.25">
      <c r="A16">
        <v>0.4</v>
      </c>
      <c r="B16">
        <f t="shared" si="0"/>
        <v>440</v>
      </c>
      <c r="C16">
        <f t="shared" si="3"/>
        <v>0.91651513899116799</v>
      </c>
      <c r="D16" s="96">
        <f t="shared" si="1"/>
        <v>3.8409905418341954</v>
      </c>
      <c r="I16" s="96">
        <f t="shared" si="2"/>
        <v>5.7614858127512933</v>
      </c>
      <c r="J16">
        <v>0.18131319766155771</v>
      </c>
    </row>
    <row r="17" spans="1:10" x14ac:dyDescent="0.25">
      <c r="A17">
        <v>0.45</v>
      </c>
      <c r="B17">
        <f t="shared" si="0"/>
        <v>495</v>
      </c>
      <c r="C17">
        <f t="shared" si="3"/>
        <v>0.89302855497458755</v>
      </c>
      <c r="D17" s="96">
        <f t="shared" si="1"/>
        <v>3.8858045635744469</v>
      </c>
      <c r="I17" s="96">
        <f t="shared" si="2"/>
        <v>5.8287068453616708</v>
      </c>
      <c r="J17">
        <v>0.18131319766155771</v>
      </c>
    </row>
    <row r="18" spans="1:10" x14ac:dyDescent="0.25">
      <c r="A18">
        <v>0.5</v>
      </c>
      <c r="B18">
        <f t="shared" si="0"/>
        <v>550</v>
      </c>
      <c r="C18">
        <f t="shared" si="3"/>
        <v>0.8660254037844386</v>
      </c>
      <c r="D18" s="96">
        <f t="shared" si="1"/>
        <v>3.9380932393002128</v>
      </c>
      <c r="I18" s="96">
        <f t="shared" si="2"/>
        <v>5.9071398589503197</v>
      </c>
      <c r="J18">
        <v>0.18131319766155771</v>
      </c>
    </row>
    <row r="19" spans="1:10" x14ac:dyDescent="0.25">
      <c r="A19">
        <v>0.55000000000000004</v>
      </c>
      <c r="B19">
        <f t="shared" si="0"/>
        <v>605</v>
      </c>
      <c r="C19">
        <f t="shared" si="3"/>
        <v>0.83516465442450327</v>
      </c>
      <c r="D19" s="96">
        <f t="shared" si="1"/>
        <v>3.9988212278747914</v>
      </c>
      <c r="I19" s="96">
        <f t="shared" si="2"/>
        <v>5.9982318418121867</v>
      </c>
      <c r="J19">
        <v>0.18131319766155771</v>
      </c>
    </row>
    <row r="20" spans="1:10" x14ac:dyDescent="0.25">
      <c r="A20">
        <v>0.6</v>
      </c>
      <c r="B20">
        <f t="shared" si="0"/>
        <v>660</v>
      </c>
      <c r="C20">
        <f t="shared" si="3"/>
        <v>0.8</v>
      </c>
      <c r="D20" s="96">
        <f t="shared" si="1"/>
        <v>4.0692177947106565</v>
      </c>
      <c r="I20" s="96">
        <f t="shared" si="2"/>
        <v>6.1038266920659847</v>
      </c>
      <c r="J20">
        <v>0.18131319766155771</v>
      </c>
    </row>
    <row r="21" spans="1:10" x14ac:dyDescent="0.25">
      <c r="A21">
        <v>0.65</v>
      </c>
      <c r="B21">
        <f t="shared" si="0"/>
        <v>715</v>
      </c>
      <c r="C21">
        <f t="shared" si="3"/>
        <v>0.75993420767853315</v>
      </c>
      <c r="D21" s="96">
        <f t="shared" si="1"/>
        <v>4.1508667538091135</v>
      </c>
      <c r="I21" s="96">
        <f t="shared" si="2"/>
        <v>6.2263001307136703</v>
      </c>
      <c r="J21">
        <v>0.18131319766155771</v>
      </c>
    </row>
    <row r="22" spans="1:10" x14ac:dyDescent="0.25">
      <c r="A22">
        <v>0.7</v>
      </c>
      <c r="B22">
        <f t="shared" si="0"/>
        <v>770</v>
      </c>
      <c r="C22">
        <f t="shared" si="3"/>
        <v>0.71414284285428498</v>
      </c>
      <c r="D22" s="96">
        <f t="shared" si="1"/>
        <v>4.2458395503116773</v>
      </c>
      <c r="I22" s="96">
        <f t="shared" si="2"/>
        <v>6.3687593254675159</v>
      </c>
      <c r="J22">
        <v>0.18131319766155771</v>
      </c>
    </row>
    <row r="23" spans="1:10" x14ac:dyDescent="0.25">
      <c r="A23">
        <v>0.75</v>
      </c>
      <c r="B23">
        <f t="shared" si="0"/>
        <v>825</v>
      </c>
      <c r="C23">
        <f t="shared" si="3"/>
        <v>0.66143782776614768</v>
      </c>
      <c r="D23" s="96">
        <f t="shared" si="1"/>
        <v>4.3568983142117572</v>
      </c>
      <c r="I23" s="96">
        <f t="shared" si="2"/>
        <v>6.5353474713176354</v>
      </c>
      <c r="J23">
        <v>0.18131319766155771</v>
      </c>
    </row>
    <row r="24" spans="1:10" x14ac:dyDescent="0.25">
      <c r="A24">
        <v>0.8</v>
      </c>
      <c r="B24">
        <f t="shared" si="0"/>
        <v>880</v>
      </c>
      <c r="C24">
        <f t="shared" si="3"/>
        <v>0.59999999999999987</v>
      </c>
      <c r="D24" s="96">
        <f t="shared" si="1"/>
        <v>4.4878174252558365</v>
      </c>
      <c r="I24" s="96">
        <f t="shared" si="2"/>
        <v>6.7317261378837543</v>
      </c>
      <c r="J24">
        <v>0.17</v>
      </c>
    </row>
    <row r="25" spans="1:10" x14ac:dyDescent="0.25">
      <c r="A25">
        <v>0.85</v>
      </c>
      <c r="B25">
        <f t="shared" si="0"/>
        <v>935</v>
      </c>
      <c r="C25">
        <f t="shared" si="3"/>
        <v>0.52678268764263703</v>
      </c>
      <c r="D25" s="96">
        <f t="shared" si="1"/>
        <v>4.6439164685704899</v>
      </c>
      <c r="I25" s="96">
        <f t="shared" si="2"/>
        <v>6.9658747028557348</v>
      </c>
      <c r="J25">
        <v>0.14000000000000001</v>
      </c>
    </row>
    <row r="26" spans="1:10" x14ac:dyDescent="0.25">
      <c r="A26">
        <v>0.9</v>
      </c>
      <c r="B26">
        <f t="shared" si="0"/>
        <v>990</v>
      </c>
      <c r="C26">
        <f t="shared" si="3"/>
        <v>0.43588989435406728</v>
      </c>
      <c r="D26" s="96">
        <f t="shared" si="1"/>
        <v>4.8329949522471374</v>
      </c>
      <c r="I26" s="96">
        <f t="shared" si="2"/>
        <v>7.2494924283707061</v>
      </c>
      <c r="J26">
        <v>0.11</v>
      </c>
    </row>
    <row r="27" spans="1:10" x14ac:dyDescent="0.25">
      <c r="A27">
        <v>0.95</v>
      </c>
      <c r="B27">
        <f t="shared" si="0"/>
        <v>1045</v>
      </c>
      <c r="C27">
        <f>SQRT(1-A27^2)</f>
        <v>0.31224989991991997</v>
      </c>
      <c r="D27" s="96">
        <f t="shared" si="1"/>
        <v>5.0670942321324155</v>
      </c>
      <c r="I27" s="96">
        <f t="shared" si="2"/>
        <v>7.6006413481986232</v>
      </c>
      <c r="J27">
        <v>0.09</v>
      </c>
    </row>
    <row r="28" spans="1:10" x14ac:dyDescent="0.25">
      <c r="A28">
        <v>1</v>
      </c>
      <c r="B28">
        <f t="shared" ref="B28:B30" si="4">A28*$B$5</f>
        <v>1100</v>
      </c>
      <c r="C28">
        <f>SQRT(1-A28^2)</f>
        <v>0</v>
      </c>
      <c r="D28" s="96" t="e">
        <f t="shared" ref="D28:D30" si="5">((2*PI()*$G$1)/(2+SQRT(4+$G$1^2*C28^2*(1+(TAN(RADIANS($G$2))^2)/C28^2))))</f>
        <v>#DIV/0!</v>
      </c>
      <c r="I28" s="96" t="e">
        <f t="shared" ref="I28:I30" si="6">$J$5*D28</f>
        <v>#DIV/0!</v>
      </c>
      <c r="J28">
        <v>0.08</v>
      </c>
    </row>
    <row r="29" spans="1:10" x14ac:dyDescent="0.25">
      <c r="A29">
        <v>1.05</v>
      </c>
      <c r="B29">
        <f t="shared" si="4"/>
        <v>1155</v>
      </c>
      <c r="C29">
        <f>SQRT(ABS(1-A29^2))</f>
        <v>0.3201562118716425</v>
      </c>
      <c r="D29" s="96">
        <f t="shared" si="5"/>
        <v>5.0533575837645932</v>
      </c>
      <c r="I29" s="96">
        <f t="shared" si="6"/>
        <v>7.5800363756468894</v>
      </c>
      <c r="J29">
        <v>0.08</v>
      </c>
    </row>
    <row r="30" spans="1:10" x14ac:dyDescent="0.25">
      <c r="A30">
        <v>1.1000000000000001</v>
      </c>
      <c r="B30">
        <f t="shared" si="4"/>
        <v>1210</v>
      </c>
      <c r="C30">
        <f>SQRT(ABS(1-A30^2))</f>
        <v>0.45825756949558422</v>
      </c>
      <c r="D30" s="96">
        <f t="shared" si="5"/>
        <v>4.7873226336647479</v>
      </c>
      <c r="I30" s="96">
        <f t="shared" si="6"/>
        <v>7.1809839504971222</v>
      </c>
      <c r="J30">
        <v>0.09</v>
      </c>
    </row>
    <row r="31" spans="1:10" x14ac:dyDescent="0.25">
      <c r="A31">
        <v>1.1499999999999999</v>
      </c>
      <c r="B31">
        <f t="shared" ref="B31:B36" si="7">A31*$B$5</f>
        <v>1265</v>
      </c>
      <c r="C31">
        <f t="shared" ref="C31:C36" si="8">SQRT(ABS(1-A31^2))</f>
        <v>0.5678908345800272</v>
      </c>
      <c r="D31" s="96">
        <f t="shared" ref="D31:D36" si="9">((2*PI()*$G$1)/(2+SQRT(4+$G$1^2*C31^2*(1+(TAN(RADIANS($G$2))^2)/C31^2))))</f>
        <v>4.5564179187194522</v>
      </c>
      <c r="I31" s="96">
        <f t="shared" ref="I31:I36" si="10">$J$5*D31</f>
        <v>6.8346268780791783</v>
      </c>
      <c r="J31">
        <v>0.1</v>
      </c>
    </row>
    <row r="32" spans="1:10" x14ac:dyDescent="0.25">
      <c r="A32">
        <v>1.2</v>
      </c>
      <c r="B32">
        <f t="shared" si="7"/>
        <v>1320</v>
      </c>
      <c r="C32">
        <f t="shared" si="8"/>
        <v>0.66332495807107994</v>
      </c>
      <c r="D32" s="96">
        <f t="shared" si="9"/>
        <v>4.3528963556473608</v>
      </c>
      <c r="I32" s="96">
        <f t="shared" si="10"/>
        <v>6.5293445334710416</v>
      </c>
      <c r="J32">
        <v>0.12</v>
      </c>
    </row>
    <row r="33" spans="1:10" x14ac:dyDescent="0.25">
      <c r="A33">
        <v>1.25</v>
      </c>
      <c r="B33">
        <f t="shared" si="7"/>
        <v>1375</v>
      </c>
      <c r="C33">
        <f t="shared" si="8"/>
        <v>0.75</v>
      </c>
      <c r="D33" s="96">
        <f t="shared" si="9"/>
        <v>4.1713301176853612</v>
      </c>
      <c r="I33" s="96">
        <f t="shared" si="10"/>
        <v>6.2569951765280418</v>
      </c>
      <c r="J33">
        <f>1/I33</f>
        <v>0.15982112368430693</v>
      </c>
    </row>
    <row r="34" spans="1:10" x14ac:dyDescent="0.25">
      <c r="A34">
        <v>1.3</v>
      </c>
      <c r="B34">
        <f t="shared" si="7"/>
        <v>1430</v>
      </c>
      <c r="C34">
        <f t="shared" si="8"/>
        <v>0.83066238629180755</v>
      </c>
      <c r="D34" s="96">
        <f t="shared" si="9"/>
        <v>4.0077646201558306</v>
      </c>
      <c r="I34" s="96">
        <f t="shared" si="10"/>
        <v>6.0116469302337459</v>
      </c>
      <c r="J34">
        <f t="shared" ref="J34:J42" si="11">1/I34</f>
        <v>0.16634376762394426</v>
      </c>
    </row>
    <row r="35" spans="1:10" x14ac:dyDescent="0.25">
      <c r="A35">
        <v>1.35</v>
      </c>
      <c r="B35">
        <f t="shared" si="7"/>
        <v>1485</v>
      </c>
      <c r="C35">
        <f t="shared" si="8"/>
        <v>0.90691785736085284</v>
      </c>
      <c r="D35" s="96">
        <f t="shared" si="9"/>
        <v>3.8592270197626481</v>
      </c>
      <c r="I35" s="96">
        <f t="shared" si="10"/>
        <v>5.7888405296439718</v>
      </c>
      <c r="J35">
        <f t="shared" si="11"/>
        <v>0.17274616477671437</v>
      </c>
    </row>
    <row r="36" spans="1:10" x14ac:dyDescent="0.25">
      <c r="A36">
        <v>1.4</v>
      </c>
      <c r="B36">
        <f t="shared" si="7"/>
        <v>1540</v>
      </c>
      <c r="C36">
        <f t="shared" si="8"/>
        <v>0.97979589711327109</v>
      </c>
      <c r="D36" s="96">
        <f t="shared" si="9"/>
        <v>3.7234244617083005</v>
      </c>
      <c r="I36" s="96">
        <f t="shared" si="10"/>
        <v>5.5851366925624504</v>
      </c>
      <c r="J36">
        <f t="shared" si="11"/>
        <v>0.17904664738674494</v>
      </c>
    </row>
    <row r="37" spans="1:10" x14ac:dyDescent="0.25">
      <c r="A37">
        <v>1.45</v>
      </c>
      <c r="B37">
        <f t="shared" ref="B37:B42" si="12">A37*$B$5</f>
        <v>1595</v>
      </c>
      <c r="C37">
        <f t="shared" ref="C37:C42" si="13">SQRT(ABS(1-A37^2))</f>
        <v>1.05</v>
      </c>
      <c r="D37" s="96">
        <f t="shared" ref="D37:D42" si="14">((2*PI()*$G$1)/(2+SQRT(4+$G$1^2*C37^2*(1+(TAN(RADIANS($G$2))^2)/C37^2))))</f>
        <v>3.5985503303633579</v>
      </c>
      <c r="I37" s="96">
        <f t="shared" ref="I37:I42" si="15">$J$5*D37</f>
        <v>5.3978254955450371</v>
      </c>
      <c r="J37">
        <f t="shared" si="11"/>
        <v>0.18525978670954174</v>
      </c>
    </row>
    <row r="38" spans="1:10" x14ac:dyDescent="0.25">
      <c r="A38">
        <v>1.5</v>
      </c>
      <c r="B38">
        <f t="shared" si="12"/>
        <v>1650</v>
      </c>
      <c r="C38">
        <f t="shared" si="13"/>
        <v>1.1180339887498949</v>
      </c>
      <c r="D38" s="96">
        <f t="shared" si="14"/>
        <v>3.483155137399744</v>
      </c>
      <c r="I38" s="96">
        <f t="shared" si="15"/>
        <v>5.2247327060996156</v>
      </c>
      <c r="J38">
        <f>1/I38</f>
        <v>0.19139735107071598</v>
      </c>
    </row>
    <row r="39" spans="1:10" x14ac:dyDescent="0.25">
      <c r="A39">
        <v>1.55</v>
      </c>
      <c r="B39">
        <f t="shared" si="12"/>
        <v>1705</v>
      </c>
      <c r="C39">
        <f t="shared" si="13"/>
        <v>1.1842719282327012</v>
      </c>
      <c r="D39" s="96">
        <f t="shared" si="14"/>
        <v>3.3760577436501031</v>
      </c>
      <c r="I39" s="96">
        <f t="shared" si="15"/>
        <v>5.0640866154751549</v>
      </c>
      <c r="J39">
        <f t="shared" si="11"/>
        <v>0.19746897632914434</v>
      </c>
    </row>
    <row r="40" spans="1:10" x14ac:dyDescent="0.25">
      <c r="A40">
        <v>1.6</v>
      </c>
      <c r="B40">
        <f t="shared" si="12"/>
        <v>1760</v>
      </c>
      <c r="C40">
        <f t="shared" si="13"/>
        <v>1.2489995996796799</v>
      </c>
      <c r="D40" s="96">
        <f t="shared" si="14"/>
        <v>3.2762826550755051</v>
      </c>
      <c r="I40" s="96">
        <f t="shared" si="15"/>
        <v>4.9144239826132576</v>
      </c>
      <c r="J40">
        <f t="shared" si="11"/>
        <v>0.20348264690590401</v>
      </c>
    </row>
    <row r="41" spans="1:10" x14ac:dyDescent="0.25">
      <c r="A41">
        <v>1.65</v>
      </c>
      <c r="B41">
        <f t="shared" si="12"/>
        <v>1815</v>
      </c>
      <c r="C41">
        <f t="shared" si="13"/>
        <v>1.3124404748406686</v>
      </c>
      <c r="D41" s="96">
        <f t="shared" si="14"/>
        <v>3.1830146941262538</v>
      </c>
      <c r="I41" s="96">
        <f t="shared" si="15"/>
        <v>4.7745220411893809</v>
      </c>
      <c r="J41">
        <f t="shared" si="11"/>
        <v>0.20944504839920899</v>
      </c>
    </row>
    <row r="42" spans="1:10" x14ac:dyDescent="0.25">
      <c r="A42">
        <v>1.7</v>
      </c>
      <c r="B42">
        <f t="shared" si="12"/>
        <v>1870</v>
      </c>
      <c r="C42">
        <f t="shared" si="13"/>
        <v>1.3747727084867518</v>
      </c>
      <c r="D42" s="96">
        <f t="shared" si="14"/>
        <v>3.0955655591537812</v>
      </c>
      <c r="I42" s="96">
        <f t="shared" si="15"/>
        <v>4.6433483387306715</v>
      </c>
      <c r="J42">
        <f t="shared" si="11"/>
        <v>0.21536183095696088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5DE41-D97F-413E-AAB1-5088467A7817}">
  <dimension ref="A1:BQ269"/>
  <sheetViews>
    <sheetView tabSelected="1" zoomScale="85" zoomScaleNormal="85" workbookViewId="0">
      <selection activeCell="M33" sqref="M33"/>
    </sheetView>
  </sheetViews>
  <sheetFormatPr defaultRowHeight="15" x14ac:dyDescent="0.25"/>
  <cols>
    <col min="1" max="1" width="9.5703125" bestFit="1" customWidth="1"/>
    <col min="2" max="2" width="12" bestFit="1" customWidth="1"/>
    <col min="3" max="3" width="9.140625" style="132"/>
    <col min="4" max="4" width="14.7109375" bestFit="1" customWidth="1"/>
    <col min="5" max="5" width="11.140625" style="238" customWidth="1"/>
    <col min="6" max="6" width="9.140625" style="238"/>
    <col min="7" max="7" width="12.5703125" customWidth="1"/>
    <col min="13" max="13" width="11.85546875" bestFit="1" customWidth="1"/>
    <col min="14" max="14" width="15.140625" bestFit="1" customWidth="1"/>
    <col min="15" max="15" width="12" bestFit="1" customWidth="1"/>
    <col min="16" max="16" width="13.5703125" bestFit="1" customWidth="1"/>
    <col min="18" max="18" width="12.42578125" bestFit="1" customWidth="1"/>
    <col min="19" max="19" width="14" customWidth="1"/>
    <col min="20" max="20" width="13.5703125" customWidth="1"/>
    <col min="21" max="21" width="15" customWidth="1"/>
    <col min="22" max="22" width="12.5703125" customWidth="1"/>
    <col min="23" max="23" width="12.7109375" customWidth="1"/>
    <col min="25" max="25" width="11.28515625" bestFit="1" customWidth="1"/>
    <col min="28" max="29" width="10.5703125" customWidth="1"/>
    <col min="31" max="31" width="10.140625" customWidth="1"/>
    <col min="32" max="33" width="12.28515625" bestFit="1" customWidth="1"/>
    <col min="34" max="39" width="12.28515625" customWidth="1"/>
    <col min="41" max="41" width="12.28515625" bestFit="1" customWidth="1"/>
    <col min="54" max="54" width="12.5703125" customWidth="1"/>
    <col min="55" max="55" width="16.42578125" customWidth="1"/>
    <col min="59" max="59" width="12.5703125" customWidth="1"/>
    <col min="63" max="63" width="14.85546875" customWidth="1"/>
  </cols>
  <sheetData>
    <row r="1" spans="1:57" x14ac:dyDescent="0.25">
      <c r="A1" t="s">
        <v>180</v>
      </c>
      <c r="B1" s="98">
        <v>0</v>
      </c>
      <c r="C1" s="132" t="s">
        <v>124</v>
      </c>
      <c r="D1" t="s">
        <v>181</v>
      </c>
      <c r="E1" s="238" t="s">
        <v>153</v>
      </c>
      <c r="F1" s="238">
        <v>542</v>
      </c>
      <c r="G1" t="s">
        <v>150</v>
      </c>
      <c r="H1" t="s">
        <v>233</v>
      </c>
      <c r="M1" s="121" t="s">
        <v>268</v>
      </c>
      <c r="N1" s="121">
        <v>4</v>
      </c>
      <c r="O1" s="121"/>
      <c r="P1" s="146" t="s">
        <v>176</v>
      </c>
      <c r="Q1" s="121">
        <v>0.4</v>
      </c>
      <c r="R1" s="121"/>
      <c r="S1" s="149" t="s">
        <v>517</v>
      </c>
      <c r="X1" t="s">
        <v>515</v>
      </c>
      <c r="Y1" t="s">
        <v>605</v>
      </c>
      <c r="Z1">
        <f>5/12</f>
        <v>0.41666666666666669</v>
      </c>
      <c r="AA1" t="s">
        <v>124</v>
      </c>
      <c r="AB1" t="s">
        <v>609</v>
      </c>
      <c r="AC1">
        <v>23.07</v>
      </c>
      <c r="AD1" t="s">
        <v>150</v>
      </c>
      <c r="AG1" t="s">
        <v>625</v>
      </c>
      <c r="AH1" t="s">
        <v>605</v>
      </c>
      <c r="AI1">
        <v>2.8</v>
      </c>
      <c r="AJ1" t="s">
        <v>124</v>
      </c>
      <c r="AK1">
        <f>(AI1^2)*PI()/4</f>
        <v>6.1575216010359934</v>
      </c>
    </row>
    <row r="2" spans="1:57" x14ac:dyDescent="0.25">
      <c r="A2" t="s">
        <v>353</v>
      </c>
      <c r="B2" s="98">
        <v>90</v>
      </c>
      <c r="C2" s="132" t="s">
        <v>352</v>
      </c>
      <c r="D2" t="s">
        <v>350</v>
      </c>
      <c r="E2" s="238" t="s">
        <v>410</v>
      </c>
      <c r="F2" s="239">
        <v>24.1</v>
      </c>
      <c r="G2" t="s">
        <v>364</v>
      </c>
      <c r="H2" t="s">
        <v>365</v>
      </c>
      <c r="M2" s="121" t="s">
        <v>153</v>
      </c>
      <c r="N2" s="121">
        <v>542</v>
      </c>
      <c r="O2" s="121" t="s">
        <v>150</v>
      </c>
      <c r="P2" s="146" t="s">
        <v>449</v>
      </c>
      <c r="Q2" s="121">
        <f>200/12</f>
        <v>16.666666666666668</v>
      </c>
      <c r="R2" s="142" t="s">
        <v>124</v>
      </c>
      <c r="Y2" t="s">
        <v>607</v>
      </c>
      <c r="Z2">
        <f>115/12</f>
        <v>9.5833333333333339</v>
      </c>
      <c r="AA2" t="s">
        <v>124</v>
      </c>
      <c r="AB2" t="s">
        <v>610</v>
      </c>
      <c r="AC2">
        <v>0.14000000000000001</v>
      </c>
      <c r="AD2" t="s">
        <v>150</v>
      </c>
      <c r="AE2" t="s">
        <v>620</v>
      </c>
      <c r="AF2">
        <f>AC2*2</f>
        <v>0.28000000000000003</v>
      </c>
      <c r="AH2" t="s">
        <v>607</v>
      </c>
      <c r="AJ2" t="s">
        <v>124</v>
      </c>
    </row>
    <row r="3" spans="1:57" x14ac:dyDescent="0.25">
      <c r="A3" t="s">
        <v>177</v>
      </c>
      <c r="B3" s="131">
        <v>2.2428000000000001E-3</v>
      </c>
      <c r="C3" s="132" t="s">
        <v>165</v>
      </c>
      <c r="D3" t="s">
        <v>324</v>
      </c>
      <c r="E3" s="238" t="s">
        <v>363</v>
      </c>
      <c r="F3" s="238">
        <f>COS(RADIANS(F2))</f>
        <v>0.91283417723304283</v>
      </c>
      <c r="M3" s="121" t="s">
        <v>143</v>
      </c>
      <c r="N3" s="121">
        <v>46.5</v>
      </c>
      <c r="O3" s="121" t="s">
        <v>124</v>
      </c>
      <c r="P3" s="147" t="s">
        <v>450</v>
      </c>
      <c r="Q3" s="142">
        <f>Q2*0.4</f>
        <v>6.6666666666666679</v>
      </c>
      <c r="R3" s="142" t="s">
        <v>124</v>
      </c>
      <c r="X3" t="s">
        <v>606</v>
      </c>
      <c r="Y3" t="s">
        <v>605</v>
      </c>
      <c r="Z3">
        <f>11/12</f>
        <v>0.91666666666666663</v>
      </c>
      <c r="AA3" t="s">
        <v>124</v>
      </c>
      <c r="AB3" t="s">
        <v>609</v>
      </c>
      <c r="AC3">
        <v>16.48</v>
      </c>
      <c r="AD3" t="s">
        <v>150</v>
      </c>
      <c r="AG3" t="s">
        <v>626</v>
      </c>
      <c r="AH3" t="s">
        <v>605</v>
      </c>
      <c r="AI3">
        <v>2.2999999999999998</v>
      </c>
      <c r="AJ3" t="s">
        <v>124</v>
      </c>
      <c r="AK3">
        <f>(AI3^2)*PI()/4</f>
        <v>4.1547562843725006</v>
      </c>
      <c r="AL3">
        <f>AK3*2</f>
        <v>8.3095125687450011</v>
      </c>
    </row>
    <row r="4" spans="1:57" x14ac:dyDescent="0.25">
      <c r="A4" t="s">
        <v>349</v>
      </c>
      <c r="B4" s="98">
        <f>0.3907*10^-6</f>
        <v>3.9069999999999997E-7</v>
      </c>
      <c r="C4" s="132" t="s">
        <v>354</v>
      </c>
      <c r="D4" t="s">
        <v>351</v>
      </c>
      <c r="M4" s="121" t="s">
        <v>431</v>
      </c>
      <c r="N4" s="121">
        <v>25.2</v>
      </c>
      <c r="O4" s="121" t="s">
        <v>490</v>
      </c>
      <c r="P4" s="121"/>
      <c r="Q4" s="121"/>
      <c r="R4" s="121"/>
      <c r="Y4" t="s">
        <v>607</v>
      </c>
      <c r="Z4">
        <f>87/12</f>
        <v>7.25</v>
      </c>
      <c r="AA4" t="s">
        <v>124</v>
      </c>
      <c r="AB4" t="s">
        <v>610</v>
      </c>
      <c r="AC4">
        <v>0.66</v>
      </c>
      <c r="AD4" t="s">
        <v>150</v>
      </c>
      <c r="AE4" t="s">
        <v>621</v>
      </c>
      <c r="AF4">
        <f>AC4*12</f>
        <v>7.92</v>
      </c>
      <c r="AH4" t="s">
        <v>608</v>
      </c>
      <c r="AJ4" t="s">
        <v>124</v>
      </c>
      <c r="AK4" t="s">
        <v>620</v>
      </c>
    </row>
    <row r="5" spans="1:57" x14ac:dyDescent="0.25">
      <c r="A5" t="s">
        <v>142</v>
      </c>
      <c r="B5" s="98">
        <v>1116.4000000000001</v>
      </c>
      <c r="C5" s="132" t="s">
        <v>135</v>
      </c>
      <c r="D5" t="s">
        <v>327</v>
      </c>
    </row>
    <row r="6" spans="1:57" x14ac:dyDescent="0.25">
      <c r="C6" s="164" t="s">
        <v>207</v>
      </c>
      <c r="G6" s="96" t="s">
        <v>379</v>
      </c>
      <c r="I6" t="s">
        <v>521</v>
      </c>
      <c r="L6" s="96" t="s">
        <v>554</v>
      </c>
      <c r="S6" s="96" t="s">
        <v>163</v>
      </c>
      <c r="X6" s="96" t="s">
        <v>390</v>
      </c>
      <c r="AJ6" s="96" t="s">
        <v>503</v>
      </c>
      <c r="AK6" t="s">
        <v>614</v>
      </c>
      <c r="AP6" s="96" t="s">
        <v>417</v>
      </c>
      <c r="AV6" s="96" t="s">
        <v>624</v>
      </c>
      <c r="BB6" t="s">
        <v>1266</v>
      </c>
    </row>
    <row r="7" spans="1:57" x14ac:dyDescent="0.25">
      <c r="C7" s="235" t="s">
        <v>518</v>
      </c>
      <c r="D7" s="97" t="s">
        <v>360</v>
      </c>
      <c r="E7" s="240" t="s">
        <v>219</v>
      </c>
      <c r="F7" s="240" t="s">
        <v>220</v>
      </c>
      <c r="G7" s="97" t="s">
        <v>371</v>
      </c>
      <c r="H7" s="97" t="s">
        <v>372</v>
      </c>
      <c r="I7" s="97" t="s">
        <v>553</v>
      </c>
      <c r="J7" s="97" t="s">
        <v>380</v>
      </c>
      <c r="K7" s="97" t="s">
        <v>376</v>
      </c>
      <c r="L7" s="97" t="s">
        <v>584</v>
      </c>
      <c r="M7" s="97" t="s">
        <v>585</v>
      </c>
      <c r="N7" s="97" t="s">
        <v>587</v>
      </c>
      <c r="O7" s="97" t="s">
        <v>588</v>
      </c>
      <c r="P7" s="97" t="s">
        <v>589</v>
      </c>
      <c r="Q7" s="97" t="s">
        <v>590</v>
      </c>
      <c r="R7" s="97" t="s">
        <v>591</v>
      </c>
      <c r="S7" t="s">
        <v>155</v>
      </c>
      <c r="T7" t="s">
        <v>581</v>
      </c>
      <c r="U7" t="s">
        <v>142</v>
      </c>
      <c r="V7" t="s">
        <v>143</v>
      </c>
      <c r="W7" t="s">
        <v>583</v>
      </c>
      <c r="AJ7" s="97" t="s">
        <v>518</v>
      </c>
      <c r="AK7" s="97" t="s">
        <v>360</v>
      </c>
      <c r="AL7" s="97" t="s">
        <v>219</v>
      </c>
      <c r="AM7" s="97" t="s">
        <v>220</v>
      </c>
      <c r="AN7" s="97" t="s">
        <v>602</v>
      </c>
      <c r="AO7" s="97" t="s">
        <v>603</v>
      </c>
      <c r="AP7" s="11" t="s">
        <v>534</v>
      </c>
      <c r="AV7" s="11" t="s">
        <v>534</v>
      </c>
    </row>
    <row r="8" spans="1:57" x14ac:dyDescent="0.25">
      <c r="C8" s="236">
        <v>12.381</v>
      </c>
      <c r="D8" s="28">
        <v>1.2</v>
      </c>
      <c r="E8" s="236">
        <v>0.1</v>
      </c>
      <c r="F8" s="241">
        <v>775</v>
      </c>
      <c r="G8" s="133">
        <v>867.11</v>
      </c>
      <c r="H8" s="28">
        <f>SQRT(I8*4/PI())</f>
        <v>5.9782801892112767</v>
      </c>
      <c r="I8" s="133">
        <v>28.07</v>
      </c>
      <c r="J8" s="28">
        <v>50</v>
      </c>
      <c r="K8" s="28"/>
      <c r="L8">
        <v>15</v>
      </c>
      <c r="M8">
        <v>20</v>
      </c>
      <c r="N8">
        <v>1.4</v>
      </c>
      <c r="O8">
        <v>0.02</v>
      </c>
      <c r="P8">
        <v>0.03</v>
      </c>
      <c r="Q8">
        <v>104.91</v>
      </c>
      <c r="R8">
        <f>Q8/N2</f>
        <v>0.19356088560885609</v>
      </c>
      <c r="S8">
        <v>4.7300000000000004</v>
      </c>
      <c r="T8">
        <v>1.65</v>
      </c>
      <c r="U8">
        <v>1.1399999999999999</v>
      </c>
      <c r="V8">
        <v>4.53</v>
      </c>
      <c r="W8">
        <v>3.18</v>
      </c>
      <c r="X8" t="s">
        <v>515</v>
      </c>
      <c r="AB8" t="s">
        <v>615</v>
      </c>
      <c r="AC8" t="s">
        <v>616</v>
      </c>
      <c r="AD8" t="s">
        <v>606</v>
      </c>
      <c r="AF8" t="s">
        <v>615</v>
      </c>
      <c r="AG8" t="s">
        <v>617</v>
      </c>
      <c r="AH8" t="s">
        <v>627</v>
      </c>
      <c r="AI8" t="s">
        <v>628</v>
      </c>
      <c r="AJ8">
        <v>7.67</v>
      </c>
      <c r="AK8">
        <v>1.2</v>
      </c>
      <c r="AL8">
        <v>0.09</v>
      </c>
      <c r="AM8">
        <v>217.4</v>
      </c>
      <c r="AN8">
        <v>58.91</v>
      </c>
      <c r="AO8">
        <v>95.09</v>
      </c>
    </row>
    <row r="9" spans="1:57" x14ac:dyDescent="0.25">
      <c r="A9" t="s">
        <v>348</v>
      </c>
      <c r="B9" t="s">
        <v>355</v>
      </c>
      <c r="C9" s="132" t="s">
        <v>374</v>
      </c>
      <c r="D9" t="s">
        <v>367</v>
      </c>
      <c r="E9" s="238" t="s">
        <v>366</v>
      </c>
      <c r="F9" s="237" t="s">
        <v>356</v>
      </c>
      <c r="G9" t="s">
        <v>374</v>
      </c>
      <c r="H9" t="s">
        <v>366</v>
      </c>
      <c r="I9" t="s">
        <v>375</v>
      </c>
      <c r="J9" t="s">
        <v>377</v>
      </c>
      <c r="K9" s="96" t="s">
        <v>378</v>
      </c>
      <c r="L9" s="157" t="s">
        <v>604</v>
      </c>
      <c r="M9" s="157" t="s">
        <v>586</v>
      </c>
      <c r="S9" s="29" t="s">
        <v>555</v>
      </c>
      <c r="T9" s="29" t="s">
        <v>582</v>
      </c>
      <c r="U9" s="96" t="s">
        <v>639</v>
      </c>
      <c r="V9" s="96" t="s">
        <v>640</v>
      </c>
      <c r="X9" t="s">
        <v>374</v>
      </c>
      <c r="Y9" t="s">
        <v>366</v>
      </c>
      <c r="Z9" t="s">
        <v>611</v>
      </c>
      <c r="AA9" t="s">
        <v>377</v>
      </c>
      <c r="AB9" s="29" t="s">
        <v>612</v>
      </c>
      <c r="AC9" s="96" t="s">
        <v>612</v>
      </c>
      <c r="AD9" t="s">
        <v>374</v>
      </c>
      <c r="AE9" t="s">
        <v>366</v>
      </c>
      <c r="AF9" s="29" t="s">
        <v>613</v>
      </c>
      <c r="AG9" s="96" t="s">
        <v>613</v>
      </c>
      <c r="AH9" s="96" t="s">
        <v>110</v>
      </c>
      <c r="AI9" s="96" t="s">
        <v>110</v>
      </c>
      <c r="AJ9" s="11" t="s">
        <v>374</v>
      </c>
      <c r="AK9" s="11" t="s">
        <v>367</v>
      </c>
      <c r="AL9" s="11" t="s">
        <v>366</v>
      </c>
      <c r="AM9" s="63" t="s">
        <v>523</v>
      </c>
      <c r="AP9" s="12" t="s">
        <v>522</v>
      </c>
      <c r="AQ9" s="159" t="s">
        <v>516</v>
      </c>
      <c r="AR9" s="159" t="s">
        <v>192</v>
      </c>
      <c r="AS9" s="159" t="s">
        <v>290</v>
      </c>
      <c r="AT9" s="159" t="s">
        <v>294</v>
      </c>
      <c r="AU9" s="13" t="s">
        <v>289</v>
      </c>
      <c r="AV9" s="160" t="s">
        <v>522</v>
      </c>
      <c r="AW9" s="108" t="s">
        <v>516</v>
      </c>
      <c r="AX9" s="108" t="s">
        <v>192</v>
      </c>
      <c r="AY9" s="108" t="s">
        <v>290</v>
      </c>
      <c r="AZ9" s="108" t="s">
        <v>294</v>
      </c>
      <c r="BA9" s="51" t="s">
        <v>289</v>
      </c>
      <c r="BB9" s="27" t="s">
        <v>1267</v>
      </c>
      <c r="BC9" s="27" t="s">
        <v>1163</v>
      </c>
      <c r="BD9" s="27" t="s">
        <v>515</v>
      </c>
      <c r="BE9" s="27" t="s">
        <v>606</v>
      </c>
    </row>
    <row r="10" spans="1:57" x14ac:dyDescent="0.25">
      <c r="A10" s="138">
        <v>0</v>
      </c>
      <c r="B10">
        <f>A10*$B$5</f>
        <v>0</v>
      </c>
      <c r="C10" s="132">
        <f>($B$3*B10*($C$8))/$B$4</f>
        <v>0</v>
      </c>
      <c r="D10">
        <v>1.06</v>
      </c>
      <c r="E10" s="238" t="e">
        <f>0.455/(LOG10(C10))^2.58</f>
        <v>#NUM!</v>
      </c>
      <c r="F10" s="237" t="e">
        <f>E10*(1+$D$8*$E$8+100*$E$8^4)*D10*($F$8/$F$1)</f>
        <v>#NUM!</v>
      </c>
      <c r="G10">
        <f>($B$3*B10*$J$8)/$B$4</f>
        <v>0</v>
      </c>
      <c r="H10" t="e">
        <f>1.328/SQRT(G10)</f>
        <v>#DIV/0!</v>
      </c>
      <c r="I10" t="e">
        <f>H10*(1+(60/(($J$8/$H$8)^3))+0.0025*($J$8/$H$8))*($G$8/$I$8)</f>
        <v>#DIV/0!</v>
      </c>
      <c r="J10" t="e">
        <f>(0.029*($K$8/$H$8)^3)/SQRT(I10)</f>
        <v>#DIV/0!</v>
      </c>
      <c r="K10" s="96" t="e">
        <f>I10+J10</f>
        <v>#DIV/0!</v>
      </c>
      <c r="L10" s="158">
        <f t="shared" ref="L10:L29" si="0">$N$8*$O$8*$R$8</f>
        <v>5.4197047970479702E-3</v>
      </c>
      <c r="M10" s="158">
        <f t="shared" ref="M10:M29" si="1">$N$8*$P$8*$R$8</f>
        <v>8.1295571955719553E-3</v>
      </c>
      <c r="S10">
        <v>0.6</v>
      </c>
      <c r="T10">
        <v>0.92</v>
      </c>
      <c r="U10" s="96">
        <v>1.4999999999999999E-2</v>
      </c>
      <c r="V10" s="96">
        <v>1.4E-2</v>
      </c>
      <c r="X10">
        <f t="shared" ref="X10:X29" si="2">$B$3*B10*$Z$2/$B$4</f>
        <v>0</v>
      </c>
      <c r="Z10">
        <f t="shared" ref="Z10:Z29" si="3">Y10*(1+(60/($Z$2/$Z$1)^3)+0.0025*($Z$2/$Z$1))*($AC$1/$AC$2)</f>
        <v>0</v>
      </c>
      <c r="AA10" t="e">
        <f>0.029*($Z$1/$Z$1)^3/SQRT(Z10)</f>
        <v>#DIV/0!</v>
      </c>
      <c r="AB10" s="29" t="e">
        <f>(Z10+AA10)*1.3</f>
        <v>#DIV/0!</v>
      </c>
      <c r="AC10" s="96" t="e">
        <f>2*AB10</f>
        <v>#DIV/0!</v>
      </c>
      <c r="AD10">
        <f t="shared" ref="AD10:AD29" si="4">$B$3*B10*$Z$4/$B$4</f>
        <v>0</v>
      </c>
      <c r="AF10" s="29">
        <f>(AE10*(1+(60/($Z$4/$Z$3)^3)+0.0025*($Z$4/$Z$3))*($AC$3/$AC$4))*1.3</f>
        <v>0</v>
      </c>
      <c r="AG10" s="96">
        <f>12*AF10</f>
        <v>0</v>
      </c>
      <c r="AH10" s="96">
        <v>2.3999999999999998E-3</v>
      </c>
      <c r="AI10" s="96">
        <v>3.7000000000000002E-3</v>
      </c>
      <c r="AJ10">
        <f t="shared" ref="AJ10:AJ29" si="5">($B$3*B10*$AJ$8)/$B$4</f>
        <v>0</v>
      </c>
      <c r="AK10">
        <v>1.06</v>
      </c>
      <c r="AL10" t="e">
        <f>0.455/(LOG10(AJ10))^2.58</f>
        <v>#NUM!</v>
      </c>
      <c r="AM10" s="96" t="e">
        <f>AL10*(1+$AK$8*$AL$8+100*$AL$8^4)*AK10*($AM$8/$F$1)</f>
        <v>#NUM!</v>
      </c>
      <c r="AP10" s="18" t="e">
        <f t="shared" ref="AP10:AP29" si="6">K10*($I$8/$F$1)+F10</f>
        <v>#DIV/0!</v>
      </c>
      <c r="AQ10" s="11" t="e">
        <f t="shared" ref="AQ10:AQ29" si="7">AP10+AC10*($AF$2/$F$1)+AG10*($AF$4/$F$1)</f>
        <v>#DIV/0!</v>
      </c>
      <c r="AR10" s="11" t="e">
        <f t="shared" ref="AR10:AR29" si="8">AQ10-AG10*($AF$4/$F$1)</f>
        <v>#DIV/0!</v>
      </c>
      <c r="AS10" s="11" t="e">
        <f t="shared" ref="AS10:AS29" si="9">AQ10+L10+U10</f>
        <v>#DIV/0!</v>
      </c>
      <c r="AT10" s="11" t="e">
        <f t="shared" ref="AT10:AT29" si="10">AQ10+M10+V10</f>
        <v>#DIV/0!</v>
      </c>
      <c r="AU10" s="124" t="e">
        <f t="shared" ref="AU10:AU29" si="11">AP10+AC10*($AF$2/$F$1)</f>
        <v>#DIV/0!</v>
      </c>
      <c r="AV10" s="26" t="e">
        <f>AP10+F10*(($AN$8+$AO$8)/$F$1)</f>
        <v>#DIV/0!</v>
      </c>
      <c r="AW10" s="27" t="e">
        <f>AV10+AC10*($AF$2/$F$1)+AG10*($AF$4/$F$1)</f>
        <v>#DIV/0!</v>
      </c>
      <c r="AX10" s="27" t="e">
        <f>AV10+AC10*($AF$2/$F$1)</f>
        <v>#DIV/0!</v>
      </c>
      <c r="AY10" s="27" t="e">
        <f>AW10+L10+U10</f>
        <v>#DIV/0!</v>
      </c>
      <c r="AZ10" s="27" t="e">
        <f>AW10+M10+V10</f>
        <v>#DIV/0!</v>
      </c>
      <c r="BA10" s="93" t="e">
        <f>AV10+AC10*($AF$2/$F$1)+AH10+AI10</f>
        <v>#DIV/0!</v>
      </c>
      <c r="BB10" t="e">
        <f>K10*($I$8/$F$1)</f>
        <v>#DIV/0!</v>
      </c>
      <c r="BC10" t="e">
        <f>F10*(($AN$8+$AO$8)/$F$1)</f>
        <v>#NUM!</v>
      </c>
      <c r="BD10" t="e">
        <f t="shared" ref="BD10:BD29" si="12">AC10*($AF$2/$F$1)</f>
        <v>#DIV/0!</v>
      </c>
      <c r="BE10">
        <f t="shared" ref="BE10:BE29" si="13">AG10*($AF$4/$F$1)</f>
        <v>0</v>
      </c>
    </row>
    <row r="11" spans="1:57" x14ac:dyDescent="0.25">
      <c r="A11" s="138">
        <v>0.05</v>
      </c>
      <c r="B11">
        <f>A11*$B$5</f>
        <v>55.820000000000007</v>
      </c>
      <c r="C11" s="132">
        <f>($B$3*B11*($C$8))/$B$4</f>
        <v>3967278.5297568482</v>
      </c>
      <c r="D11">
        <v>1.06</v>
      </c>
      <c r="E11" s="132">
        <f>0.455/(LOG10(C11))^2.58</f>
        <v>3.4981946186143716E-3</v>
      </c>
      <c r="F11" s="237">
        <f>E11*(1+$D$8*$E$8+100*$E$8^4)*D11*($F$8/$F$1)</f>
        <v>5.991432792410753E-3</v>
      </c>
      <c r="G11">
        <f t="shared" ref="G11:G29" si="14">($B$3*B11*$J$8)/$B$4</f>
        <v>16021640.13309445</v>
      </c>
      <c r="H11">
        <f>0.455/(LOG10(G11))^2.58</f>
        <v>2.7884398829247882E-3</v>
      </c>
      <c r="I11">
        <f>H11*(1+(60/(($J$8/$H$8)^3))+0.0025*($J$8/$H$8))*($G$8/$I$8)</f>
        <v>9.6772830097639845E-2</v>
      </c>
      <c r="J11">
        <f t="shared" ref="J11:J29" si="15">(0.029*($K$8/$H$8)^3)/SQRT(I11)</f>
        <v>0</v>
      </c>
      <c r="K11" s="96">
        <f>I11+J11</f>
        <v>9.6772830097639845E-2</v>
      </c>
      <c r="L11" s="158">
        <f t="shared" si="0"/>
        <v>5.4197047970479702E-3</v>
      </c>
      <c r="M11" s="158">
        <f t="shared" si="1"/>
        <v>8.1295571955719553E-3</v>
      </c>
      <c r="S11">
        <v>0.6</v>
      </c>
      <c r="T11">
        <v>0.92</v>
      </c>
      <c r="U11" s="96">
        <v>1.4999999999999999E-2</v>
      </c>
      <c r="V11" s="96">
        <v>1.4E-2</v>
      </c>
      <c r="X11" s="132">
        <f>$B$3*B11*$Z$2/$B$4</f>
        <v>3070814.3588431031</v>
      </c>
      <c r="Y11">
        <f>0.455/(LOG10(X11))^2.58</f>
        <v>3.6550585961134812E-3</v>
      </c>
      <c r="Z11">
        <f t="shared" si="3"/>
        <v>0.63990394671351858</v>
      </c>
      <c r="AA11">
        <f>0.029*($Z$1/$Z$1)^3/SQRT(Z11)</f>
        <v>3.6252720565327128E-2</v>
      </c>
      <c r="AB11" s="29">
        <f>(Z11+AA11)*1.3</f>
        <v>0.87900366746249947</v>
      </c>
      <c r="AC11" s="96">
        <f>2*AB11</f>
        <v>1.7580073349249989</v>
      </c>
      <c r="AD11">
        <f t="shared" si="4"/>
        <v>2323137.8192986953</v>
      </c>
      <c r="AE11">
        <f>0.455/(LOG10(AD11))^2.58</f>
        <v>3.8372693427404432E-3</v>
      </c>
      <c r="AF11" s="29">
        <f t="shared" ref="AF11:AF29" si="16">(AE11*(1+(60/($Z$4/$Z$3)^3)+0.0025*($Z$4/$Z$3))*($AC$3/$AC$4))*1.3</f>
        <v>0.14212901507976483</v>
      </c>
      <c r="AG11" s="96">
        <f t="shared" ref="AG11:AG29" si="17">12*AF11</f>
        <v>1.705548180957178</v>
      </c>
      <c r="AH11" s="96">
        <v>2.3999999999999998E-3</v>
      </c>
      <c r="AI11" s="96">
        <v>3.7000000000000002E-3</v>
      </c>
      <c r="AJ11">
        <f t="shared" si="5"/>
        <v>2457719.5964166885</v>
      </c>
      <c r="AK11">
        <v>1.06</v>
      </c>
      <c r="AL11">
        <f t="shared" ref="AL11:AL29" si="18">0.455/(LOG10(AJ11))^2.58</f>
        <v>3.7994946960507119E-3</v>
      </c>
      <c r="AM11" s="96">
        <f t="shared" ref="AM11:AM29" si="19">AL11*(1+$AK$8*$AL$8+100*$AL$8^4)*AK11*($AM$8/$F$1)</f>
        <v>1.8005111016322212E-3</v>
      </c>
      <c r="AP11" s="18">
        <f t="shared" si="6"/>
        <v>1.1003265524589259E-2</v>
      </c>
      <c r="AQ11" s="11">
        <f t="shared" si="7"/>
        <v>3.6833862659201529E-2</v>
      </c>
      <c r="AR11" s="11">
        <f t="shared" si="8"/>
        <v>1.1911461195768226E-2</v>
      </c>
      <c r="AS11" s="11">
        <f t="shared" si="9"/>
        <v>5.7253567456249502E-2</v>
      </c>
      <c r="AT11" s="11">
        <f t="shared" si="10"/>
        <v>5.8963419854773484E-2</v>
      </c>
      <c r="AU11" s="124">
        <f t="shared" si="11"/>
        <v>1.1911461195768226E-2</v>
      </c>
      <c r="AV11" s="26">
        <f t="shared" ref="AV11:AV29" si="20">AP11+F11*(($AN$8+$AO$8)/$F$1)</f>
        <v>1.2705628347525156E-2</v>
      </c>
      <c r="AW11" s="27">
        <f>AV11+AC11*($AF$2/$F$1)+AG11*($AF$4/$F$1)</f>
        <v>3.8536225482137428E-2</v>
      </c>
      <c r="AX11" s="27">
        <f>AV11+AC11*($AF$2/$F$1)</f>
        <v>1.3613824018704123E-2</v>
      </c>
      <c r="AY11" s="27">
        <f t="shared" ref="AY11:AY29" si="21">AW11+L11+U11</f>
        <v>5.8955930279185401E-2</v>
      </c>
      <c r="AZ11" s="27">
        <f t="shared" ref="AZ11:AZ29" si="22">AW11+M11+V11</f>
        <v>6.0665782677709383E-2</v>
      </c>
      <c r="BA11" s="93">
        <f t="shared" ref="BA11:BA29" si="23">AV11+AC11*($AF$2/$F$1)+AH11+AI11</f>
        <v>1.9713824018704126E-2</v>
      </c>
      <c r="BB11">
        <f t="shared" ref="BB11:BB29" si="24">K11*($I$8/$F$1)</f>
        <v>5.0118327321785061E-3</v>
      </c>
      <c r="BC11">
        <f t="shared" ref="BC11:BC29" si="25">F11*(($AN$8+$AO$8)/$F$1)</f>
        <v>1.7023628229358965E-3</v>
      </c>
      <c r="BD11">
        <f t="shared" si="12"/>
        <v>9.0819567117896634E-4</v>
      </c>
      <c r="BE11">
        <f t="shared" si="13"/>
        <v>2.4922401463433302E-2</v>
      </c>
    </row>
    <row r="12" spans="1:57" x14ac:dyDescent="0.25">
      <c r="A12" s="138">
        <v>0.1</v>
      </c>
      <c r="B12">
        <f t="shared" ref="B12:B29" si="26">A12*$B$5</f>
        <v>111.64000000000001</v>
      </c>
      <c r="C12" s="132">
        <f t="shared" ref="C12:C29" si="27">($B$3*B12*($C$8))/$B$4</f>
        <v>7934557.0595136965</v>
      </c>
      <c r="D12">
        <v>1.06</v>
      </c>
      <c r="E12" s="238">
        <f>0.455/(LOG10(C12))^2.58</f>
        <v>3.1178718088053638E-3</v>
      </c>
      <c r="F12" s="237">
        <f t="shared" ref="F12:F29" si="28">E12*(1+$D$8*$E$8+100*$E$8^4)*D12*($F$8/$F$1)</f>
        <v>5.3400457763006929E-3</v>
      </c>
      <c r="G12">
        <f t="shared" si="14"/>
        <v>32043280.266188901</v>
      </c>
      <c r="H12">
        <f t="shared" ref="H12:H29" si="29">0.455/(LOG10(G12))^2.58</f>
        <v>2.5089764051472816E-3</v>
      </c>
      <c r="I12">
        <f t="shared" ref="I12:I29" si="30">H12*(1+(60/(($J$8/$H$8)^3))+0.0025*($J$8/$H$8))*($G$8/$I$8)</f>
        <v>8.7074047699974774E-2</v>
      </c>
      <c r="J12">
        <f t="shared" si="15"/>
        <v>0</v>
      </c>
      <c r="K12" s="96">
        <f t="shared" ref="K12:K29" si="31">I12+J12</f>
        <v>8.7074047699974774E-2</v>
      </c>
      <c r="L12" s="158">
        <f t="shared" si="0"/>
        <v>5.4197047970479702E-3</v>
      </c>
      <c r="M12" s="158">
        <f t="shared" si="1"/>
        <v>8.1295571955719553E-3</v>
      </c>
      <c r="S12">
        <v>0.6</v>
      </c>
      <c r="T12">
        <v>0.92</v>
      </c>
      <c r="U12" s="96">
        <v>1.4999999999999999E-2</v>
      </c>
      <c r="V12" s="96">
        <v>1.4E-2</v>
      </c>
      <c r="X12">
        <f t="shared" si="2"/>
        <v>6141628.7176862061</v>
      </c>
      <c r="Y12">
        <f t="shared" ref="Y12:Y29" si="32">0.455/(LOG10(X12))^2.58</f>
        <v>3.2514019398115468E-3</v>
      </c>
      <c r="Z12">
        <f t="shared" si="3"/>
        <v>0.56923435806193068</v>
      </c>
      <c r="AA12">
        <f t="shared" ref="AA12:AA29" si="33">0.029*($Z$1/$Z$1)^3/SQRT(Z12)</f>
        <v>3.8437262099659114E-2</v>
      </c>
      <c r="AB12" s="29">
        <f t="shared" ref="AB12:AB29" si="34">(Z12+AA12)*1.3</f>
        <v>0.78997310621006678</v>
      </c>
      <c r="AC12" s="96">
        <f t="shared" ref="AC12:AC29" si="35">2*AB12</f>
        <v>1.5799462124201336</v>
      </c>
      <c r="AD12">
        <f t="shared" si="4"/>
        <v>4646275.6385973906</v>
      </c>
      <c r="AE12">
        <f t="shared" ref="AE12:AE29" si="36">0.455/(LOG10(AD12))^2.58</f>
        <v>3.4060669546568802E-3</v>
      </c>
      <c r="AF12" s="29">
        <f t="shared" si="16"/>
        <v>0.12615766534005884</v>
      </c>
      <c r="AG12" s="96">
        <f t="shared" si="17"/>
        <v>1.5138919840807061</v>
      </c>
      <c r="AH12" s="96">
        <v>2.3999999999999998E-3</v>
      </c>
      <c r="AI12" s="96">
        <v>3.7000000000000002E-3</v>
      </c>
      <c r="AJ12">
        <f t="shared" si="5"/>
        <v>4915439.192833377</v>
      </c>
      <c r="AK12">
        <v>1.06</v>
      </c>
      <c r="AL12">
        <f t="shared" si="18"/>
        <v>3.3740411554820542E-3</v>
      </c>
      <c r="AM12" s="96">
        <f t="shared" si="19"/>
        <v>1.5988964438150019E-3</v>
      </c>
      <c r="AP12" s="18">
        <f t="shared" si="6"/>
        <v>9.8495817891019691E-3</v>
      </c>
      <c r="AQ12" s="11">
        <f t="shared" si="7"/>
        <v>3.278760661086734E-2</v>
      </c>
      <c r="AR12" s="11">
        <f t="shared" si="8"/>
        <v>1.0665790164521967E-2</v>
      </c>
      <c r="AS12" s="11">
        <f t="shared" si="9"/>
        <v>5.3207311407915306E-2</v>
      </c>
      <c r="AT12" s="11">
        <f t="shared" si="10"/>
        <v>5.4917163806439295E-2</v>
      </c>
      <c r="AU12" s="124">
        <f t="shared" si="11"/>
        <v>1.0665790164521965E-2</v>
      </c>
      <c r="AV12" s="26">
        <f t="shared" si="20"/>
        <v>1.1366864168346077E-2</v>
      </c>
      <c r="AW12" s="27">
        <f t="shared" ref="AW12:AW29" si="37">AV12+AC12*($AF$2/$F$1)+AG12*($AF$4/$F$1)</f>
        <v>3.4304888990111443E-2</v>
      </c>
      <c r="AX12" s="27">
        <f t="shared" ref="AX12:AX29" si="38">AV12+AC12*($AF$2/$F$1)</f>
        <v>1.2183072543766073E-2</v>
      </c>
      <c r="AY12" s="27">
        <f t="shared" si="21"/>
        <v>5.4724593787159409E-2</v>
      </c>
      <c r="AZ12" s="27">
        <f t="shared" si="22"/>
        <v>5.6434446185683398E-2</v>
      </c>
      <c r="BA12" s="93">
        <f t="shared" si="23"/>
        <v>1.8283072543766071E-2</v>
      </c>
      <c r="BB12">
        <f t="shared" si="24"/>
        <v>4.5095360128012763E-3</v>
      </c>
      <c r="BC12">
        <f t="shared" si="25"/>
        <v>1.5172823792441081E-3</v>
      </c>
      <c r="BD12">
        <f t="shared" si="12"/>
        <v>8.1620837541999524E-4</v>
      </c>
      <c r="BE12">
        <f t="shared" si="13"/>
        <v>2.2121816446345373E-2</v>
      </c>
    </row>
    <row r="13" spans="1:57" s="99" customFormat="1" x14ac:dyDescent="0.25">
      <c r="A13" s="287">
        <v>0.15</v>
      </c>
      <c r="B13" s="99">
        <f t="shared" si="26"/>
        <v>167.46</v>
      </c>
      <c r="C13" s="288">
        <f>($B$3*B13*($C$8))/$B$4</f>
        <v>11901835.589270541</v>
      </c>
      <c r="D13" s="99">
        <v>1.06</v>
      </c>
      <c r="E13" s="288">
        <f>0.455/(LOG10(C13))^2.58</f>
        <v>2.9215945322322548E-3</v>
      </c>
      <c r="F13" s="281">
        <f>E13*(1+$D$8*$E$8+100*$E$8^4)*D13*($F$8/$F$1)</f>
        <v>5.0038774839456486E-3</v>
      </c>
      <c r="G13" s="288">
        <f>($B$3*B13*$J$8)/$B$4</f>
        <v>48064920.399283342</v>
      </c>
      <c r="H13" s="288">
        <f>0.455/(LOG10(G13))^2.58</f>
        <v>2.3632667788993709E-3</v>
      </c>
      <c r="I13" s="288">
        <f>H13*(1+(60/(($J$8/$H$8)^3))+0.0025*($J$8/$H$8))*($G$8/$I$8)</f>
        <v>8.2017193868975408E-2</v>
      </c>
      <c r="J13" s="99">
        <f t="shared" si="15"/>
        <v>0</v>
      </c>
      <c r="K13" s="99">
        <f t="shared" si="31"/>
        <v>8.2017193868975408E-2</v>
      </c>
      <c r="L13" s="294">
        <f>$N$8*$O$8*$R$8</f>
        <v>5.4197047970479702E-3</v>
      </c>
      <c r="M13" s="294">
        <f>$N$8*$P$8*$R$8</f>
        <v>8.1295571955719553E-3</v>
      </c>
      <c r="S13" s="99">
        <v>0.6</v>
      </c>
      <c r="T13" s="99">
        <v>0.92</v>
      </c>
      <c r="U13" s="99">
        <v>1.4999999999999999E-2</v>
      </c>
      <c r="V13" s="99">
        <v>1.4E-2</v>
      </c>
      <c r="X13" s="99">
        <f t="shared" si="2"/>
        <v>9212443.0765293092</v>
      </c>
      <c r="Y13" s="99">
        <f t="shared" si="32"/>
        <v>3.0435152665339656E-3</v>
      </c>
      <c r="Z13" s="99">
        <f>Y13*(1+(60/($Z$2/$Z$1)^3)+0.0025*($Z$2/$Z$1))*($AC$1/$AC$2)</f>
        <v>0.53283890797505118</v>
      </c>
      <c r="AA13" s="99">
        <f t="shared" si="33"/>
        <v>3.9728304702708453E-2</v>
      </c>
      <c r="AB13" s="99">
        <f t="shared" si="34"/>
        <v>0.74433737648108755</v>
      </c>
      <c r="AC13" s="99">
        <f t="shared" si="35"/>
        <v>1.4886747529621751</v>
      </c>
      <c r="AD13" s="288">
        <f>$B$3*B13*$Z$4/$B$4</f>
        <v>6969413.4578960845</v>
      </c>
      <c r="AE13" s="99">
        <f t="shared" si="36"/>
        <v>3.1845142242474607E-3</v>
      </c>
      <c r="AF13" s="99">
        <f t="shared" si="16"/>
        <v>0.11795155090066037</v>
      </c>
      <c r="AG13" s="99">
        <f t="shared" si="17"/>
        <v>1.4154186108079245</v>
      </c>
      <c r="AH13" s="99">
        <v>2.3999999999999998E-3</v>
      </c>
      <c r="AI13" s="99">
        <v>3.7000000000000002E-3</v>
      </c>
      <c r="AJ13" s="99">
        <f t="shared" si="5"/>
        <v>7373158.7892500646</v>
      </c>
      <c r="AK13" s="99">
        <v>1.06</v>
      </c>
      <c r="AL13" s="99">
        <f>0.455/(LOG10(AJ13))^2.58</f>
        <v>3.155337177246692E-3</v>
      </c>
      <c r="AM13" s="99">
        <f t="shared" si="19"/>
        <v>1.4952566252903951E-3</v>
      </c>
      <c r="AP13" s="83">
        <f>K13*($I$8/$F$1)+F13</f>
        <v>9.2515207162374193E-3</v>
      </c>
      <c r="AQ13" s="58">
        <f>AP13+AC13*($AF$2/$F$1)+AG13*($AF$4/$F$1)</f>
        <v>3.070344752145545E-2</v>
      </c>
      <c r="AR13" s="58">
        <f t="shared" si="8"/>
        <v>1.0020577784188359E-2</v>
      </c>
      <c r="AS13" s="58">
        <f t="shared" si="9"/>
        <v>5.1123152318503423E-2</v>
      </c>
      <c r="AT13" s="58">
        <f t="shared" si="10"/>
        <v>5.2833004717027406E-2</v>
      </c>
      <c r="AU13" s="21">
        <f t="shared" si="11"/>
        <v>1.0020577784188359E-2</v>
      </c>
      <c r="AV13" s="83">
        <f>AP13+F13*(($AN$8+$AO$8)/$F$1)</f>
        <v>1.0673286643410168E-2</v>
      </c>
      <c r="AW13" s="58">
        <f>AV13+AC13*($AF$2/$F$1)+AG13*($AF$4/$F$1)</f>
        <v>3.2125213448628197E-2</v>
      </c>
      <c r="AX13" s="58">
        <f t="shared" si="38"/>
        <v>1.1442343711361106E-2</v>
      </c>
      <c r="AY13" s="58">
        <f t="shared" si="21"/>
        <v>5.254491824567617E-2</v>
      </c>
      <c r="AZ13" s="58">
        <f t="shared" si="22"/>
        <v>5.4254770644200152E-2</v>
      </c>
      <c r="BA13" s="21">
        <f t="shared" si="23"/>
        <v>1.7542343711361104E-2</v>
      </c>
      <c r="BB13">
        <f t="shared" si="24"/>
        <v>4.2476432322917706E-3</v>
      </c>
      <c r="BC13">
        <f t="shared" si="25"/>
        <v>1.4217659271727487E-3</v>
      </c>
      <c r="BD13">
        <f t="shared" si="12"/>
        <v>7.6905706795093922E-4</v>
      </c>
      <c r="BE13">
        <f t="shared" si="13"/>
        <v>2.0682869737267091E-2</v>
      </c>
    </row>
    <row r="14" spans="1:57" x14ac:dyDescent="0.25">
      <c r="A14" s="138">
        <v>0.2</v>
      </c>
      <c r="B14">
        <f t="shared" si="26"/>
        <v>223.28000000000003</v>
      </c>
      <c r="C14" s="132">
        <f t="shared" si="27"/>
        <v>15869114.119027393</v>
      </c>
      <c r="D14">
        <v>1.06</v>
      </c>
      <c r="E14" s="238">
        <f t="shared" ref="E14:E29" si="39">0.455/(LOG10(C14))^2.58</f>
        <v>2.7925923847219297E-3</v>
      </c>
      <c r="F14" s="237">
        <f t="shared" si="28"/>
        <v>4.782932744973145E-3</v>
      </c>
      <c r="G14">
        <f t="shared" si="14"/>
        <v>64086560.532377802</v>
      </c>
      <c r="H14">
        <f t="shared" si="29"/>
        <v>2.266917213794655E-3</v>
      </c>
      <c r="I14">
        <f t="shared" si="30"/>
        <v>7.8673381384095784E-2</v>
      </c>
      <c r="J14">
        <f t="shared" si="15"/>
        <v>0</v>
      </c>
      <c r="K14" s="96">
        <f t="shared" si="31"/>
        <v>7.8673381384095784E-2</v>
      </c>
      <c r="L14" s="158">
        <f t="shared" si="0"/>
        <v>5.4197047970479702E-3</v>
      </c>
      <c r="M14" s="158">
        <f t="shared" si="1"/>
        <v>8.1295571955719553E-3</v>
      </c>
      <c r="S14">
        <v>0.6</v>
      </c>
      <c r="T14">
        <v>0.92</v>
      </c>
      <c r="U14" s="96">
        <v>1.4999999999999999E-2</v>
      </c>
      <c r="V14" s="96">
        <v>1.4E-2</v>
      </c>
      <c r="X14">
        <f t="shared" si="2"/>
        <v>12283257.435372412</v>
      </c>
      <c r="Y14">
        <f t="shared" si="32"/>
        <v>2.9070506509325865E-3</v>
      </c>
      <c r="Z14">
        <f t="shared" si="3"/>
        <v>0.50894756839354083</v>
      </c>
      <c r="AA14">
        <f t="shared" si="33"/>
        <v>4.0650086681598314E-2</v>
      </c>
      <c r="AB14" s="29">
        <f t="shared" si="34"/>
        <v>0.71447695159768088</v>
      </c>
      <c r="AC14" s="96">
        <f t="shared" si="35"/>
        <v>1.4289539031953618</v>
      </c>
      <c r="AD14">
        <f t="shared" si="4"/>
        <v>9292551.2771947812</v>
      </c>
      <c r="AE14">
        <f t="shared" si="36"/>
        <v>3.0392798267020391E-3</v>
      </c>
      <c r="AF14" s="29">
        <f t="shared" si="16"/>
        <v>0.11257219906603205</v>
      </c>
      <c r="AG14" s="96">
        <f t="shared" si="17"/>
        <v>1.3508663887923846</v>
      </c>
      <c r="AH14" s="96">
        <v>2.3999999999999998E-3</v>
      </c>
      <c r="AI14" s="96">
        <v>3.7000000000000002E-3</v>
      </c>
      <c r="AJ14">
        <f t="shared" si="5"/>
        <v>9830878.3856667541</v>
      </c>
      <c r="AK14">
        <v>1.06</v>
      </c>
      <c r="AL14">
        <f t="shared" si="18"/>
        <v>3.0119296042548792E-3</v>
      </c>
      <c r="AM14" s="96">
        <f t="shared" si="19"/>
        <v>1.4272983971875166E-3</v>
      </c>
      <c r="AP14" s="18">
        <f t="shared" si="6"/>
        <v>8.8574010391642317E-3</v>
      </c>
      <c r="AQ14" s="11">
        <f t="shared" si="7"/>
        <v>2.9335203423168636E-2</v>
      </c>
      <c r="AR14" s="11">
        <f t="shared" si="8"/>
        <v>9.5956060076046387E-3</v>
      </c>
      <c r="AS14" s="11">
        <f t="shared" si="9"/>
        <v>4.9754908220216609E-2</v>
      </c>
      <c r="AT14" s="11">
        <f t="shared" si="10"/>
        <v>5.1464760618740592E-2</v>
      </c>
      <c r="AU14" s="124">
        <f t="shared" si="11"/>
        <v>9.5956060076046405E-3</v>
      </c>
      <c r="AV14" s="26">
        <f t="shared" si="20"/>
        <v>1.0216389309876159E-2</v>
      </c>
      <c r="AW14" s="27">
        <f t="shared" si="37"/>
        <v>3.0694191693880567E-2</v>
      </c>
      <c r="AX14" s="27">
        <f t="shared" si="38"/>
        <v>1.0954594278316567E-2</v>
      </c>
      <c r="AY14" s="27">
        <f t="shared" si="21"/>
        <v>5.111389649092854E-2</v>
      </c>
      <c r="AZ14" s="27">
        <f t="shared" si="22"/>
        <v>5.2823748889452522E-2</v>
      </c>
      <c r="BA14" s="93">
        <f t="shared" si="23"/>
        <v>1.7054594278316567E-2</v>
      </c>
      <c r="BB14">
        <f t="shared" si="24"/>
        <v>4.0744682941910859E-3</v>
      </c>
      <c r="BC14">
        <f t="shared" si="25"/>
        <v>1.3589882707119266E-3</v>
      </c>
      <c r="BD14">
        <f t="shared" si="12"/>
        <v>7.3820496844040828E-4</v>
      </c>
      <c r="BE14">
        <f t="shared" si="13"/>
        <v>1.9739597415563997E-2</v>
      </c>
    </row>
    <row r="15" spans="1:57" x14ac:dyDescent="0.25">
      <c r="A15" s="138">
        <v>0.25</v>
      </c>
      <c r="B15">
        <f t="shared" si="26"/>
        <v>279.10000000000002</v>
      </c>
      <c r="C15" s="132">
        <f t="shared" si="27"/>
        <v>19836392.648784235</v>
      </c>
      <c r="D15">
        <v>1.06</v>
      </c>
      <c r="E15" s="238">
        <f t="shared" si="39"/>
        <v>2.6979129760714197E-3</v>
      </c>
      <c r="F15" s="237">
        <f t="shared" si="28"/>
        <v>4.6207732954284481E-3</v>
      </c>
      <c r="G15">
        <f t="shared" si="14"/>
        <v>80108200.665472239</v>
      </c>
      <c r="H15">
        <f t="shared" si="29"/>
        <v>2.1958977120436303E-3</v>
      </c>
      <c r="I15">
        <f t="shared" si="30"/>
        <v>7.6208648965564271E-2</v>
      </c>
      <c r="J15">
        <f t="shared" si="15"/>
        <v>0</v>
      </c>
      <c r="K15" s="96">
        <f t="shared" si="31"/>
        <v>7.6208648965564271E-2</v>
      </c>
      <c r="L15" s="158">
        <f t="shared" si="0"/>
        <v>5.4197047970479702E-3</v>
      </c>
      <c r="M15" s="158">
        <f t="shared" si="1"/>
        <v>8.1295571955719553E-3</v>
      </c>
      <c r="S15">
        <v>0.6</v>
      </c>
      <c r="T15">
        <v>0.92</v>
      </c>
      <c r="U15" s="96">
        <v>1.4999999999999999E-2</v>
      </c>
      <c r="V15" s="96">
        <v>1.4E-2</v>
      </c>
      <c r="X15">
        <f t="shared" si="2"/>
        <v>15354071.794215513</v>
      </c>
      <c r="Y15">
        <f t="shared" si="32"/>
        <v>2.8069813571280889E-3</v>
      </c>
      <c r="Z15">
        <f t="shared" si="3"/>
        <v>0.49142808563656876</v>
      </c>
      <c r="AA15">
        <f t="shared" si="33"/>
        <v>4.1368332103344181E-2</v>
      </c>
      <c r="AB15" s="29">
        <f t="shared" si="34"/>
        <v>0.69263534306188679</v>
      </c>
      <c r="AC15" s="96">
        <f t="shared" si="35"/>
        <v>1.3852706861237736</v>
      </c>
      <c r="AD15">
        <f t="shared" si="4"/>
        <v>11615689.096493475</v>
      </c>
      <c r="AE15">
        <f t="shared" si="36"/>
        <v>2.9328839195190358E-3</v>
      </c>
      <c r="AF15" s="29">
        <f t="shared" si="16"/>
        <v>0.10863139008293399</v>
      </c>
      <c r="AG15" s="96">
        <f t="shared" si="17"/>
        <v>1.3035766809952078</v>
      </c>
      <c r="AH15" s="96">
        <v>2.3999999999999998E-3</v>
      </c>
      <c r="AI15" s="96">
        <v>3.7000000000000002E-3</v>
      </c>
      <c r="AJ15">
        <f t="shared" si="5"/>
        <v>12288597.982083442</v>
      </c>
      <c r="AK15">
        <v>1.06</v>
      </c>
      <c r="AL15">
        <f t="shared" si="18"/>
        <v>2.9068509364777394E-3</v>
      </c>
      <c r="AM15" s="96">
        <f t="shared" si="19"/>
        <v>1.3775035368146049E-3</v>
      </c>
      <c r="AP15" s="18">
        <f t="shared" si="6"/>
        <v>8.5675939162096083E-3</v>
      </c>
      <c r="AQ15" s="11">
        <f t="shared" si="7"/>
        <v>2.8331806288159244E-2</v>
      </c>
      <c r="AR15" s="11">
        <f t="shared" si="8"/>
        <v>9.283231909041078E-3</v>
      </c>
      <c r="AS15" s="11">
        <f t="shared" si="9"/>
        <v>4.8751511085207214E-2</v>
      </c>
      <c r="AT15" s="11">
        <f t="shared" si="10"/>
        <v>5.0461363483731196E-2</v>
      </c>
      <c r="AU15" s="124">
        <f t="shared" si="11"/>
        <v>9.283231909041078E-3</v>
      </c>
      <c r="AV15" s="26">
        <f t="shared" si="20"/>
        <v>9.880507361774149E-3</v>
      </c>
      <c r="AW15" s="27">
        <f t="shared" si="37"/>
        <v>2.9644719733723783E-2</v>
      </c>
      <c r="AX15" s="27">
        <f t="shared" si="38"/>
        <v>1.0596145354605619E-2</v>
      </c>
      <c r="AY15" s="27">
        <f t="shared" si="21"/>
        <v>5.0064424530771756E-2</v>
      </c>
      <c r="AZ15" s="27">
        <f t="shared" si="22"/>
        <v>5.1774276929295739E-2</v>
      </c>
      <c r="BA15" s="93">
        <f t="shared" si="23"/>
        <v>1.6696145354605618E-2</v>
      </c>
      <c r="BB15">
        <f t="shared" si="24"/>
        <v>3.9468206207811602E-3</v>
      </c>
      <c r="BC15">
        <f t="shared" si="25"/>
        <v>1.3129134455645405E-3</v>
      </c>
      <c r="BD15">
        <f t="shared" si="12"/>
        <v>7.1563799283146979E-4</v>
      </c>
      <c r="BE15">
        <f t="shared" si="13"/>
        <v>1.9048574379118166E-2</v>
      </c>
    </row>
    <row r="16" spans="1:57" x14ac:dyDescent="0.25">
      <c r="A16" s="138">
        <v>0.3</v>
      </c>
      <c r="B16">
        <f t="shared" si="26"/>
        <v>334.92</v>
      </c>
      <c r="C16" s="132">
        <f t="shared" si="27"/>
        <v>23803671.178541083</v>
      </c>
      <c r="D16">
        <v>1.1499999999999999</v>
      </c>
      <c r="E16" s="238">
        <f t="shared" si="39"/>
        <v>2.6238296634023012E-3</v>
      </c>
      <c r="F16" s="237">
        <f t="shared" si="28"/>
        <v>4.8754458521831183E-3</v>
      </c>
      <c r="G16">
        <f t="shared" si="14"/>
        <v>96129840.798566684</v>
      </c>
      <c r="H16">
        <f t="shared" si="29"/>
        <v>2.1401424573486241E-3</v>
      </c>
      <c r="I16">
        <f t="shared" si="30"/>
        <v>7.4273662372275756E-2</v>
      </c>
      <c r="J16">
        <f t="shared" si="15"/>
        <v>0</v>
      </c>
      <c r="K16" s="96">
        <f t="shared" si="31"/>
        <v>7.4273662372275756E-2</v>
      </c>
      <c r="L16" s="158">
        <f t="shared" si="0"/>
        <v>5.4197047970479702E-3</v>
      </c>
      <c r="M16" s="158">
        <f t="shared" si="1"/>
        <v>8.1295571955719553E-3</v>
      </c>
      <c r="S16">
        <v>0.6</v>
      </c>
      <c r="T16">
        <v>0.92</v>
      </c>
      <c r="U16" s="96">
        <v>1.4999999999999999E-2</v>
      </c>
      <c r="V16" s="96">
        <v>1.4E-2</v>
      </c>
      <c r="X16">
        <f t="shared" si="2"/>
        <v>18424886.153058618</v>
      </c>
      <c r="Y16">
        <f t="shared" si="32"/>
        <v>2.728733157072115E-3</v>
      </c>
      <c r="Z16">
        <f t="shared" si="3"/>
        <v>0.4777288984081372</v>
      </c>
      <c r="AA16">
        <f t="shared" si="33"/>
        <v>4.1957271816859307E-2</v>
      </c>
      <c r="AB16" s="29">
        <f t="shared" si="34"/>
        <v>0.67559202129249551</v>
      </c>
      <c r="AC16" s="96">
        <f t="shared" si="35"/>
        <v>1.351184042584991</v>
      </c>
      <c r="AD16">
        <f t="shared" si="4"/>
        <v>13938826.915792169</v>
      </c>
      <c r="AE16">
        <f t="shared" si="36"/>
        <v>2.8497514624312285E-3</v>
      </c>
      <c r="AF16" s="29">
        <f t="shared" si="16"/>
        <v>0.10555223842801977</v>
      </c>
      <c r="AG16" s="96">
        <f t="shared" si="17"/>
        <v>1.2666268611362372</v>
      </c>
      <c r="AH16" s="96">
        <v>2.3999999999999998E-3</v>
      </c>
      <c r="AI16" s="96">
        <v>3.7000000000000002E-3</v>
      </c>
      <c r="AJ16">
        <f t="shared" si="5"/>
        <v>14746317.578500129</v>
      </c>
      <c r="AK16">
        <v>1.1499999999999999</v>
      </c>
      <c r="AL16">
        <f t="shared" si="18"/>
        <v>2.8247350241983331E-3</v>
      </c>
      <c r="AM16" s="96">
        <f t="shared" si="19"/>
        <v>1.4522442005928278E-3</v>
      </c>
      <c r="AP16" s="18">
        <f t="shared" si="6"/>
        <v>8.7220541599133394E-3</v>
      </c>
      <c r="AQ16" s="11">
        <f t="shared" si="7"/>
        <v>2.7928726248700787E-2</v>
      </c>
      <c r="AR16" s="11">
        <f t="shared" si="8"/>
        <v>9.4200828165993122E-3</v>
      </c>
      <c r="AS16" s="11">
        <f t="shared" si="9"/>
        <v>4.8348431045748756E-2</v>
      </c>
      <c r="AT16" s="11">
        <f t="shared" si="10"/>
        <v>5.0058283444272739E-2</v>
      </c>
      <c r="AU16" s="124">
        <f t="shared" si="11"/>
        <v>9.4200828165993122E-3</v>
      </c>
      <c r="AV16" s="26">
        <f t="shared" si="20"/>
        <v>1.0107328442636955E-2</v>
      </c>
      <c r="AW16" s="27">
        <f t="shared" si="37"/>
        <v>2.9314000531424404E-2</v>
      </c>
      <c r="AX16" s="27">
        <f t="shared" si="38"/>
        <v>1.0805357099322928E-2</v>
      </c>
      <c r="AY16" s="27">
        <f t="shared" si="21"/>
        <v>4.9733705328472377E-2</v>
      </c>
      <c r="AZ16" s="27">
        <f t="shared" si="22"/>
        <v>5.144355772699636E-2</v>
      </c>
      <c r="BA16" s="93">
        <f t="shared" si="23"/>
        <v>1.6905357099322928E-2</v>
      </c>
      <c r="BB16">
        <f t="shared" si="24"/>
        <v>3.846608307730222E-3</v>
      </c>
      <c r="BC16">
        <f t="shared" si="25"/>
        <v>1.3852742827236166E-3</v>
      </c>
      <c r="BD16">
        <f t="shared" si="12"/>
        <v>6.9802865668597324E-4</v>
      </c>
      <c r="BE16">
        <f t="shared" si="13"/>
        <v>1.8508643432101474E-2</v>
      </c>
    </row>
    <row r="17" spans="1:69" x14ac:dyDescent="0.25">
      <c r="A17" s="138">
        <v>0.35</v>
      </c>
      <c r="B17">
        <f t="shared" si="26"/>
        <v>390.74</v>
      </c>
      <c r="C17" s="132">
        <f t="shared" si="27"/>
        <v>27770949.708297931</v>
      </c>
      <c r="D17">
        <v>1.1499999999999999</v>
      </c>
      <c r="E17" s="238">
        <f t="shared" si="39"/>
        <v>2.5633775801274425E-3</v>
      </c>
      <c r="F17" s="237">
        <f t="shared" si="28"/>
        <v>4.7631173490149436E-3</v>
      </c>
      <c r="G17">
        <f t="shared" si="14"/>
        <v>112151480.93166114</v>
      </c>
      <c r="H17">
        <f t="shared" si="29"/>
        <v>2.0945231553174538E-3</v>
      </c>
      <c r="I17">
        <f t="shared" si="30"/>
        <v>7.2690444103282709E-2</v>
      </c>
      <c r="J17">
        <f t="shared" si="15"/>
        <v>0</v>
      </c>
      <c r="K17" s="96">
        <f t="shared" si="31"/>
        <v>7.2690444103282709E-2</v>
      </c>
      <c r="L17" s="158">
        <f t="shared" si="0"/>
        <v>5.4197047970479702E-3</v>
      </c>
      <c r="M17" s="158">
        <f t="shared" si="1"/>
        <v>8.1295571955719553E-3</v>
      </c>
      <c r="S17">
        <v>0.6</v>
      </c>
      <c r="T17">
        <v>0.92</v>
      </c>
      <c r="U17" s="96">
        <v>1.4999999999999999E-2</v>
      </c>
      <c r="V17" s="96">
        <v>1.4E-2</v>
      </c>
      <c r="X17">
        <f t="shared" si="2"/>
        <v>21495700.511901721</v>
      </c>
      <c r="Y17">
        <f t="shared" si="32"/>
        <v>2.6649172536982835E-3</v>
      </c>
      <c r="Z17">
        <f t="shared" si="3"/>
        <v>0.46655642405289011</v>
      </c>
      <c r="AA17">
        <f t="shared" si="33"/>
        <v>4.2456668327418526E-2</v>
      </c>
      <c r="AB17" s="29">
        <f t="shared" si="34"/>
        <v>0.66171702009440125</v>
      </c>
      <c r="AC17" s="96">
        <f t="shared" si="35"/>
        <v>1.3234340401888025</v>
      </c>
      <c r="AD17">
        <f t="shared" si="4"/>
        <v>16261964.735090867</v>
      </c>
      <c r="AE17">
        <f t="shared" si="36"/>
        <v>2.7819936511331634E-3</v>
      </c>
      <c r="AF17" s="29">
        <f t="shared" si="16"/>
        <v>0.10304254986472572</v>
      </c>
      <c r="AG17" s="96">
        <f t="shared" si="17"/>
        <v>1.2365105983767086</v>
      </c>
      <c r="AH17" s="96">
        <v>2.3999999999999998E-3</v>
      </c>
      <c r="AI17" s="96">
        <v>3.7000000000000002E-3</v>
      </c>
      <c r="AJ17">
        <f t="shared" si="5"/>
        <v>17204037.174916819</v>
      </c>
      <c r="AK17">
        <v>1.1499999999999999</v>
      </c>
      <c r="AL17">
        <f t="shared" si="18"/>
        <v>2.7577973762884737E-3</v>
      </c>
      <c r="AM17" s="96">
        <f t="shared" si="19"/>
        <v>1.4178304201335416E-3</v>
      </c>
      <c r="AP17" s="18">
        <f t="shared" si="6"/>
        <v>8.5277313083860599E-3</v>
      </c>
      <c r="AQ17" s="11">
        <f t="shared" si="7"/>
        <v>2.7279992323877567E-2</v>
      </c>
      <c r="AR17" s="11">
        <f t="shared" si="8"/>
        <v>9.2114241704762158E-3</v>
      </c>
      <c r="AS17" s="11">
        <f t="shared" si="9"/>
        <v>4.7699697120925533E-2</v>
      </c>
      <c r="AT17" s="11">
        <f t="shared" si="10"/>
        <v>4.9409549519449522E-2</v>
      </c>
      <c r="AU17" s="124">
        <f t="shared" si="11"/>
        <v>9.2114241704762158E-3</v>
      </c>
      <c r="AV17" s="26">
        <f t="shared" si="20"/>
        <v>9.8810893743423358E-3</v>
      </c>
      <c r="AW17" s="27">
        <f t="shared" si="37"/>
        <v>2.8633350389833841E-2</v>
      </c>
      <c r="AX17" s="27">
        <f t="shared" si="38"/>
        <v>1.0564782236432492E-2</v>
      </c>
      <c r="AY17" s="27">
        <f t="shared" si="21"/>
        <v>4.9053055186881814E-2</v>
      </c>
      <c r="AZ17" s="27">
        <f t="shared" si="22"/>
        <v>5.0762907585405796E-2</v>
      </c>
      <c r="BA17" s="93">
        <f t="shared" si="23"/>
        <v>1.6664782236432491E-2</v>
      </c>
      <c r="BB17">
        <f t="shared" si="24"/>
        <v>3.7646139593711173E-3</v>
      </c>
      <c r="BC17">
        <f t="shared" si="25"/>
        <v>1.3533580659562754E-3</v>
      </c>
      <c r="BD17">
        <f t="shared" si="12"/>
        <v>6.8369286209015627E-4</v>
      </c>
      <c r="BE17">
        <f t="shared" si="13"/>
        <v>1.8068568153401351E-2</v>
      </c>
    </row>
    <row r="18" spans="1:69" x14ac:dyDescent="0.25">
      <c r="A18" s="138">
        <v>0.4</v>
      </c>
      <c r="B18">
        <f t="shared" si="26"/>
        <v>446.56000000000006</v>
      </c>
      <c r="C18" s="132">
        <f t="shared" si="27"/>
        <v>31738228.238054786</v>
      </c>
      <c r="D18">
        <v>1.1499999999999999</v>
      </c>
      <c r="E18" s="238">
        <f t="shared" si="39"/>
        <v>2.5125627340068083E-3</v>
      </c>
      <c r="F18" s="237">
        <f t="shared" si="28"/>
        <v>4.6686961927166646E-3</v>
      </c>
      <c r="G18">
        <f t="shared" si="14"/>
        <v>128173121.0647556</v>
      </c>
      <c r="H18">
        <f t="shared" si="29"/>
        <v>2.0560894599371796E-3</v>
      </c>
      <c r="I18">
        <f t="shared" si="30"/>
        <v>7.1356602374854083E-2</v>
      </c>
      <c r="J18">
        <f t="shared" si="15"/>
        <v>0</v>
      </c>
      <c r="K18" s="96">
        <f t="shared" si="31"/>
        <v>7.1356602374854083E-2</v>
      </c>
      <c r="L18" s="158">
        <f t="shared" si="0"/>
        <v>5.4197047970479702E-3</v>
      </c>
      <c r="M18" s="158">
        <f t="shared" si="1"/>
        <v>8.1295571955719553E-3</v>
      </c>
      <c r="S18">
        <v>0.6</v>
      </c>
      <c r="T18">
        <v>0.92</v>
      </c>
      <c r="U18" s="96">
        <v>1.4999999999999999E-2</v>
      </c>
      <c r="V18" s="96">
        <v>1.4E-2</v>
      </c>
      <c r="X18">
        <f t="shared" si="2"/>
        <v>24566514.870744824</v>
      </c>
      <c r="Y18">
        <f t="shared" si="32"/>
        <v>2.6112993307640274E-3</v>
      </c>
      <c r="Z18">
        <f t="shared" si="3"/>
        <v>0.45716934595332287</v>
      </c>
      <c r="AA18">
        <f t="shared" si="33"/>
        <v>4.2890335820810789E-2</v>
      </c>
      <c r="AB18" s="29">
        <f t="shared" si="34"/>
        <v>0.65007758630637369</v>
      </c>
      <c r="AC18" s="96">
        <f t="shared" si="35"/>
        <v>1.3001551726127474</v>
      </c>
      <c r="AD18">
        <f t="shared" si="4"/>
        <v>18585102.554389562</v>
      </c>
      <c r="AE18">
        <f t="shared" si="36"/>
        <v>2.7250929692023947E-3</v>
      </c>
      <c r="AF18" s="29">
        <f t="shared" si="16"/>
        <v>0.10093499963620528</v>
      </c>
      <c r="AG18" s="96">
        <f t="shared" si="17"/>
        <v>1.2112199956344634</v>
      </c>
      <c r="AH18" s="96">
        <v>2.3999999999999998E-3</v>
      </c>
      <c r="AI18" s="96">
        <v>3.7000000000000002E-3</v>
      </c>
      <c r="AJ18">
        <f t="shared" si="5"/>
        <v>19661756.771333508</v>
      </c>
      <c r="AK18">
        <v>1.1499999999999999</v>
      </c>
      <c r="AL18">
        <f t="shared" si="18"/>
        <v>2.7015795366416881E-3</v>
      </c>
      <c r="AM18" s="96">
        <f t="shared" si="19"/>
        <v>1.3889278749753204E-3</v>
      </c>
      <c r="AP18" s="18">
        <f t="shared" si="6"/>
        <v>8.3642309319457309E-3</v>
      </c>
      <c r="AQ18" s="11">
        <f t="shared" si="7"/>
        <v>2.6734905865075841E-2</v>
      </c>
      <c r="AR18" s="11">
        <f t="shared" si="8"/>
        <v>9.0358978107862656E-3</v>
      </c>
      <c r="AS18" s="11">
        <f t="shared" si="9"/>
        <v>4.7154610662123814E-2</v>
      </c>
      <c r="AT18" s="11">
        <f t="shared" si="10"/>
        <v>4.8864463060647796E-2</v>
      </c>
      <c r="AU18" s="124">
        <f t="shared" si="11"/>
        <v>9.0358978107862656E-3</v>
      </c>
      <c r="AV18" s="26">
        <f t="shared" si="20"/>
        <v>9.6907608464814627E-3</v>
      </c>
      <c r="AW18" s="27">
        <f t="shared" si="37"/>
        <v>2.8061435779611572E-2</v>
      </c>
      <c r="AX18" s="27">
        <f t="shared" si="38"/>
        <v>1.0362427725321997E-2</v>
      </c>
      <c r="AY18" s="27">
        <f t="shared" si="21"/>
        <v>4.8481140576659545E-2</v>
      </c>
      <c r="AZ18" s="27">
        <f t="shared" si="22"/>
        <v>5.0190992975183528E-2</v>
      </c>
      <c r="BA18" s="93">
        <f t="shared" si="23"/>
        <v>1.6462427725321999E-2</v>
      </c>
      <c r="BB18">
        <f t="shared" si="24"/>
        <v>3.6955347392290663E-3</v>
      </c>
      <c r="BC18">
        <f t="shared" si="25"/>
        <v>1.3265299145357311E-3</v>
      </c>
      <c r="BD18">
        <f t="shared" si="12"/>
        <v>6.7166687884053378E-4</v>
      </c>
      <c r="BE18">
        <f t="shared" si="13"/>
        <v>1.7699008054289575E-2</v>
      </c>
    </row>
    <row r="19" spans="1:69" x14ac:dyDescent="0.25">
      <c r="A19" s="138">
        <v>0.45</v>
      </c>
      <c r="B19">
        <f t="shared" si="26"/>
        <v>502.38000000000005</v>
      </c>
      <c r="C19" s="132">
        <f t="shared" si="27"/>
        <v>35705506.767811626</v>
      </c>
      <c r="D19">
        <v>1.1499999999999999</v>
      </c>
      <c r="E19" s="238">
        <f t="shared" si="39"/>
        <v>2.4688938020747163E-3</v>
      </c>
      <c r="F19" s="237">
        <f t="shared" si="28"/>
        <v>4.5875531535829756E-3</v>
      </c>
      <c r="G19">
        <f t="shared" si="14"/>
        <v>144194761.19785005</v>
      </c>
      <c r="H19">
        <f t="shared" si="29"/>
        <v>2.0229961061778998E-3</v>
      </c>
      <c r="I19">
        <f t="shared" si="30"/>
        <v>7.0208097248270984E-2</v>
      </c>
      <c r="J19">
        <f t="shared" si="15"/>
        <v>0</v>
      </c>
      <c r="K19" s="96">
        <f t="shared" si="31"/>
        <v>7.0208097248270984E-2</v>
      </c>
      <c r="L19" s="158">
        <f t="shared" si="0"/>
        <v>5.4197047970479702E-3</v>
      </c>
      <c r="M19" s="158">
        <f t="shared" si="1"/>
        <v>8.1295571955719553E-3</v>
      </c>
      <c r="S19">
        <v>0.6</v>
      </c>
      <c r="T19">
        <v>0.92</v>
      </c>
      <c r="U19" s="96">
        <v>1.4999999999999999E-2</v>
      </c>
      <c r="V19" s="96">
        <v>1.4E-2</v>
      </c>
      <c r="X19">
        <f t="shared" si="2"/>
        <v>27637329.229587927</v>
      </c>
      <c r="Y19">
        <f t="shared" si="32"/>
        <v>2.5652395905680662E-3</v>
      </c>
      <c r="Z19">
        <f t="shared" si="3"/>
        <v>0.44910550545365618</v>
      </c>
      <c r="AA19">
        <f t="shared" si="33"/>
        <v>4.3273677924649402E-2</v>
      </c>
      <c r="AB19" s="29">
        <f t="shared" si="34"/>
        <v>0.64009293839179726</v>
      </c>
      <c r="AC19" s="96">
        <f t="shared" si="35"/>
        <v>1.2801858767835945</v>
      </c>
      <c r="AD19">
        <f t="shared" si="4"/>
        <v>20908240.373688258</v>
      </c>
      <c r="AE19">
        <f t="shared" si="36"/>
        <v>2.6762347830410543E-3</v>
      </c>
      <c r="AF19" s="29">
        <f t="shared" si="16"/>
        <v>9.9125336238239103E-2</v>
      </c>
      <c r="AG19" s="96">
        <f t="shared" si="17"/>
        <v>1.1895040348588692</v>
      </c>
      <c r="AH19" s="96">
        <v>2.3999999999999998E-3</v>
      </c>
      <c r="AI19" s="96">
        <v>3.7000000000000002E-3</v>
      </c>
      <c r="AJ19">
        <f t="shared" si="5"/>
        <v>22119476.367750198</v>
      </c>
      <c r="AK19">
        <v>1.1499999999999999</v>
      </c>
      <c r="AL19">
        <f t="shared" si="18"/>
        <v>2.653303321877294E-3</v>
      </c>
      <c r="AM19" s="96">
        <f t="shared" si="19"/>
        <v>1.3641082539073009E-3</v>
      </c>
      <c r="AP19" s="18">
        <f t="shared" si="6"/>
        <v>8.2236071937286694E-3</v>
      </c>
      <c r="AQ19" s="11">
        <f t="shared" si="7"/>
        <v>2.6266640406978948E-2</v>
      </c>
      <c r="AR19" s="11">
        <f t="shared" si="8"/>
        <v>8.8849578311814489E-3</v>
      </c>
      <c r="AS19" s="11">
        <f t="shared" si="9"/>
        <v>4.6686345204026918E-2</v>
      </c>
      <c r="AT19" s="11">
        <f t="shared" si="10"/>
        <v>4.83961976025509E-2</v>
      </c>
      <c r="AU19" s="124">
        <f t="shared" si="11"/>
        <v>8.8849578311814489E-3</v>
      </c>
      <c r="AV19" s="26">
        <f t="shared" si="20"/>
        <v>9.5270817060013231E-3</v>
      </c>
      <c r="AW19" s="27">
        <f t="shared" si="37"/>
        <v>2.7570114919251602E-2</v>
      </c>
      <c r="AX19" s="27">
        <f t="shared" si="38"/>
        <v>1.0188432343454103E-2</v>
      </c>
      <c r="AY19" s="27">
        <f t="shared" si="21"/>
        <v>4.7989819716299571E-2</v>
      </c>
      <c r="AZ19" s="27">
        <f t="shared" si="22"/>
        <v>4.9699672114823554E-2</v>
      </c>
      <c r="BA19" s="93">
        <f t="shared" si="23"/>
        <v>1.6288432343454104E-2</v>
      </c>
      <c r="BB19">
        <f t="shared" si="24"/>
        <v>3.6360540401456946E-3</v>
      </c>
      <c r="BC19">
        <f t="shared" si="25"/>
        <v>1.3034745122726535E-3</v>
      </c>
      <c r="BD19">
        <f t="shared" si="12"/>
        <v>6.6135063745277947E-4</v>
      </c>
      <c r="BE19">
        <f t="shared" si="13"/>
        <v>1.7381682575797499E-2</v>
      </c>
    </row>
    <row r="20" spans="1:69" x14ac:dyDescent="0.25">
      <c r="A20" s="138">
        <v>0.5</v>
      </c>
      <c r="B20">
        <f t="shared" si="26"/>
        <v>558.20000000000005</v>
      </c>
      <c r="C20" s="132">
        <f t="shared" si="27"/>
        <v>39672785.29756847</v>
      </c>
      <c r="D20">
        <v>1.1499999999999999</v>
      </c>
      <c r="E20" s="238">
        <f t="shared" si="39"/>
        <v>2.4307179906225209E-3</v>
      </c>
      <c r="F20" s="237">
        <f t="shared" si="28"/>
        <v>4.5166171076214462E-3</v>
      </c>
      <c r="G20">
        <f t="shared" si="14"/>
        <v>160216401.33094448</v>
      </c>
      <c r="H20">
        <f t="shared" si="29"/>
        <v>1.9940161114904553E-3</v>
      </c>
      <c r="I20">
        <f t="shared" si="30"/>
        <v>6.9202346283621541E-2</v>
      </c>
      <c r="J20">
        <f t="shared" si="15"/>
        <v>0</v>
      </c>
      <c r="K20" s="96">
        <f t="shared" si="31"/>
        <v>6.9202346283621541E-2</v>
      </c>
      <c r="L20" s="158">
        <f t="shared" si="0"/>
        <v>5.4197047970479702E-3</v>
      </c>
      <c r="M20" s="158">
        <f t="shared" si="1"/>
        <v>8.1295571955719553E-3</v>
      </c>
      <c r="S20">
        <v>0.6</v>
      </c>
      <c r="T20">
        <v>0.92</v>
      </c>
      <c r="U20" s="96">
        <v>1.4999999999999999E-2</v>
      </c>
      <c r="V20" s="96">
        <v>1.4E-2</v>
      </c>
      <c r="X20">
        <f t="shared" si="2"/>
        <v>30708143.588431027</v>
      </c>
      <c r="Y20">
        <f t="shared" si="32"/>
        <v>2.5249875465118586E-3</v>
      </c>
      <c r="Z20">
        <f t="shared" si="3"/>
        <v>0.44205843871654771</v>
      </c>
      <c r="AA20">
        <f t="shared" si="33"/>
        <v>4.3617237409968181E-2</v>
      </c>
      <c r="AB20" s="29">
        <f t="shared" si="34"/>
        <v>0.63137837896447069</v>
      </c>
      <c r="AC20" s="96">
        <f t="shared" si="35"/>
        <v>1.2627567579289414</v>
      </c>
      <c r="AD20">
        <f t="shared" si="4"/>
        <v>23231378.19298695</v>
      </c>
      <c r="AE20">
        <f t="shared" si="36"/>
        <v>2.6335536398882494E-3</v>
      </c>
      <c r="AF20" s="29">
        <f t="shared" si="16"/>
        <v>9.7544464973556302E-2</v>
      </c>
      <c r="AG20" s="96">
        <f t="shared" si="17"/>
        <v>1.1705335796826757</v>
      </c>
      <c r="AH20" s="96">
        <v>2.3999999999999998E-3</v>
      </c>
      <c r="AI20" s="96">
        <v>3.7000000000000002E-3</v>
      </c>
      <c r="AJ20">
        <f t="shared" si="5"/>
        <v>24577195.964166883</v>
      </c>
      <c r="AK20">
        <v>1.1499999999999999</v>
      </c>
      <c r="AL20">
        <f t="shared" si="18"/>
        <v>2.6111272414281027E-3</v>
      </c>
      <c r="AM20" s="96">
        <f t="shared" si="19"/>
        <v>1.3424248153860337E-3</v>
      </c>
      <c r="AP20" s="18">
        <f t="shared" si="6"/>
        <v>8.1005836393211808E-3</v>
      </c>
      <c r="AQ20" s="11">
        <f t="shared" si="7"/>
        <v>2.5857406228448294E-2</v>
      </c>
      <c r="AR20" s="11">
        <f t="shared" si="8"/>
        <v>8.7529303039339187E-3</v>
      </c>
      <c r="AS20" s="11">
        <f t="shared" si="9"/>
        <v>4.6277111025496268E-2</v>
      </c>
      <c r="AT20" s="11">
        <f t="shared" si="10"/>
        <v>4.798696342402025E-2</v>
      </c>
      <c r="AU20" s="124">
        <f t="shared" si="11"/>
        <v>8.7529303039339187E-3</v>
      </c>
      <c r="AV20" s="26">
        <f t="shared" si="20"/>
        <v>9.3839028913021826E-3</v>
      </c>
      <c r="AW20" s="27">
        <f t="shared" si="37"/>
        <v>2.7140725480429298E-2</v>
      </c>
      <c r="AX20" s="27">
        <f t="shared" si="38"/>
        <v>1.0036249555914921E-2</v>
      </c>
      <c r="AY20" s="27">
        <f t="shared" si="21"/>
        <v>4.7560430277477264E-2</v>
      </c>
      <c r="AZ20" s="27">
        <f t="shared" si="22"/>
        <v>4.9270282676001254E-2</v>
      </c>
      <c r="BA20" s="93">
        <f t="shared" si="23"/>
        <v>1.613624955591492E-2</v>
      </c>
      <c r="BB20">
        <f t="shared" si="24"/>
        <v>3.5839665316997355E-3</v>
      </c>
      <c r="BC20">
        <f t="shared" si="25"/>
        <v>1.2833192519810012E-3</v>
      </c>
      <c r="BD20">
        <f t="shared" si="12"/>
        <v>6.5234666461273729E-4</v>
      </c>
      <c r="BE20">
        <f t="shared" si="13"/>
        <v>1.7104475924514376E-2</v>
      </c>
    </row>
    <row r="21" spans="1:69" x14ac:dyDescent="0.25">
      <c r="A21" s="138">
        <v>0.55000000000000004</v>
      </c>
      <c r="B21">
        <f t="shared" si="26"/>
        <v>614.0200000000001</v>
      </c>
      <c r="C21" s="132">
        <f t="shared" si="27"/>
        <v>43640063.827325329</v>
      </c>
      <c r="D21">
        <v>1.1499999999999999</v>
      </c>
      <c r="E21" s="238">
        <f t="shared" si="39"/>
        <v>2.3968857984195753E-3</v>
      </c>
      <c r="F21" s="237">
        <f t="shared" si="28"/>
        <v>4.4537521193004333E-3</v>
      </c>
      <c r="G21">
        <f t="shared" si="14"/>
        <v>176238041.46403894</v>
      </c>
      <c r="H21">
        <f t="shared" si="29"/>
        <v>1.9682944253942521E-3</v>
      </c>
      <c r="I21">
        <f t="shared" si="30"/>
        <v>6.8309674946629401E-2</v>
      </c>
      <c r="J21">
        <f t="shared" si="15"/>
        <v>0</v>
      </c>
      <c r="K21" s="96">
        <f t="shared" si="31"/>
        <v>6.8309674946629401E-2</v>
      </c>
      <c r="L21" s="158">
        <f t="shared" si="0"/>
        <v>5.4197047970479702E-3</v>
      </c>
      <c r="M21" s="158">
        <f t="shared" si="1"/>
        <v>8.1295571955719553E-3</v>
      </c>
      <c r="S21">
        <v>0.6</v>
      </c>
      <c r="T21">
        <v>0.92</v>
      </c>
      <c r="U21" s="96">
        <v>1.4999999999999999E-2</v>
      </c>
      <c r="V21" s="96">
        <v>1.4E-2</v>
      </c>
      <c r="X21">
        <f t="shared" si="2"/>
        <v>33778957.947274134</v>
      </c>
      <c r="Y21">
        <f t="shared" si="32"/>
        <v>2.4893262416643427E-3</v>
      </c>
      <c r="Z21">
        <f t="shared" si="3"/>
        <v>0.43581508881754899</v>
      </c>
      <c r="AA21">
        <f t="shared" si="33"/>
        <v>4.3928549846458359E-2</v>
      </c>
      <c r="AB21" s="29">
        <f t="shared" si="34"/>
        <v>0.62366673026320962</v>
      </c>
      <c r="AC21" s="96">
        <f t="shared" si="35"/>
        <v>1.2473334605264192</v>
      </c>
      <c r="AD21">
        <f t="shared" si="4"/>
        <v>25554516.01228565</v>
      </c>
      <c r="AE21">
        <f t="shared" si="36"/>
        <v>2.5957532431970325E-3</v>
      </c>
      <c r="AF21" s="29">
        <f t="shared" si="16"/>
        <v>9.6144372180614585E-2</v>
      </c>
      <c r="AG21" s="96">
        <f t="shared" si="17"/>
        <v>1.1537324661673751</v>
      </c>
      <c r="AH21" s="96">
        <v>2.3999999999999998E-3</v>
      </c>
      <c r="AI21" s="96">
        <v>3.7000000000000002E-3</v>
      </c>
      <c r="AJ21">
        <f t="shared" si="5"/>
        <v>27034915.560583573</v>
      </c>
      <c r="AK21">
        <v>1.1499999999999999</v>
      </c>
      <c r="AL21">
        <f t="shared" si="18"/>
        <v>2.5737715316223792E-3</v>
      </c>
      <c r="AM21" s="96">
        <f t="shared" si="19"/>
        <v>1.3232196111953197E-3</v>
      </c>
      <c r="AP21" s="18">
        <f t="shared" si="6"/>
        <v>7.9914874989164622E-3</v>
      </c>
      <c r="AQ21" s="11">
        <f t="shared" si="7"/>
        <v>2.5494835286726442E-2</v>
      </c>
      <c r="AR21" s="11">
        <f t="shared" si="8"/>
        <v>8.6358664084135069E-3</v>
      </c>
      <c r="AS21" s="11">
        <f t="shared" si="9"/>
        <v>4.5914540083774408E-2</v>
      </c>
      <c r="AT21" s="11">
        <f t="shared" si="10"/>
        <v>4.7624392482298397E-2</v>
      </c>
      <c r="AU21" s="124">
        <f t="shared" si="11"/>
        <v>8.6358664084135051E-3</v>
      </c>
      <c r="AV21" s="26">
        <f t="shared" si="20"/>
        <v>9.2569447431457372E-3</v>
      </c>
      <c r="AW21" s="27">
        <f t="shared" si="37"/>
        <v>2.6760292530955715E-2</v>
      </c>
      <c r="AX21" s="27">
        <f t="shared" si="38"/>
        <v>9.9013236526427802E-3</v>
      </c>
      <c r="AY21" s="27">
        <f t="shared" si="21"/>
        <v>4.7179997328003681E-2</v>
      </c>
      <c r="AZ21" s="27">
        <f t="shared" si="22"/>
        <v>4.888984972652767E-2</v>
      </c>
      <c r="BA21" s="93">
        <f t="shared" si="23"/>
        <v>1.6001323652642778E-2</v>
      </c>
      <c r="BB21">
        <f t="shared" si="24"/>
        <v>3.537735379616028E-3</v>
      </c>
      <c r="BC21">
        <f t="shared" si="25"/>
        <v>1.2654572442292744E-3</v>
      </c>
      <c r="BD21">
        <f t="shared" si="12"/>
        <v>6.4437890949704314E-4</v>
      </c>
      <c r="BE21">
        <f t="shared" si="13"/>
        <v>1.6858968878312935E-2</v>
      </c>
    </row>
    <row r="22" spans="1:69" x14ac:dyDescent="0.25">
      <c r="A22" s="138">
        <v>0.6</v>
      </c>
      <c r="B22">
        <f t="shared" si="26"/>
        <v>669.84</v>
      </c>
      <c r="C22" s="132">
        <f t="shared" si="27"/>
        <v>47607342.357082166</v>
      </c>
      <c r="D22">
        <v>1.1499999999999999</v>
      </c>
      <c r="E22" s="238">
        <f t="shared" si="39"/>
        <v>2.3665673201358037E-3</v>
      </c>
      <c r="F22" s="237">
        <f t="shared" si="28"/>
        <v>4.3974161073805709E-3</v>
      </c>
      <c r="G22">
        <f t="shared" si="14"/>
        <v>192259681.59713337</v>
      </c>
      <c r="H22">
        <f t="shared" si="29"/>
        <v>1.945212641696359E-3</v>
      </c>
      <c r="I22">
        <f t="shared" si="30"/>
        <v>6.750862144505497E-2</v>
      </c>
      <c r="J22">
        <f t="shared" si="15"/>
        <v>0</v>
      </c>
      <c r="K22" s="96">
        <f t="shared" si="31"/>
        <v>6.750862144505497E-2</v>
      </c>
      <c r="L22" s="158">
        <f t="shared" si="0"/>
        <v>5.4197047970479702E-3</v>
      </c>
      <c r="M22" s="158">
        <f t="shared" si="1"/>
        <v>8.1295571955719553E-3</v>
      </c>
      <c r="S22">
        <v>0.6</v>
      </c>
      <c r="T22">
        <v>0.92</v>
      </c>
      <c r="U22" s="96">
        <v>1.4999999999999999E-2</v>
      </c>
      <c r="V22" s="96">
        <v>1.4E-2</v>
      </c>
      <c r="X22">
        <f t="shared" si="2"/>
        <v>36849772.306117237</v>
      </c>
      <c r="Y22">
        <f t="shared" si="32"/>
        <v>2.4573773814851488E-3</v>
      </c>
      <c r="Z22">
        <f t="shared" si="3"/>
        <v>0.43022168964649243</v>
      </c>
      <c r="AA22">
        <f t="shared" si="33"/>
        <v>4.4213189648331493E-2</v>
      </c>
      <c r="AB22" s="29">
        <f t="shared" si="34"/>
        <v>0.61676534308327113</v>
      </c>
      <c r="AC22" s="96">
        <f t="shared" si="35"/>
        <v>1.2335306861665423</v>
      </c>
      <c r="AD22">
        <f t="shared" si="4"/>
        <v>27877653.831584338</v>
      </c>
      <c r="AE22">
        <f t="shared" si="36"/>
        <v>2.5618984116011828E-3</v>
      </c>
      <c r="AF22" s="29">
        <f t="shared" si="16"/>
        <v>9.4890419580307139E-2</v>
      </c>
      <c r="AG22" s="96">
        <f t="shared" si="17"/>
        <v>1.1386850349636857</v>
      </c>
      <c r="AH22" s="96">
        <v>2.3999999999999998E-3</v>
      </c>
      <c r="AI22" s="96">
        <v>3.7000000000000002E-3</v>
      </c>
      <c r="AJ22">
        <f t="shared" si="5"/>
        <v>29492635.157000259</v>
      </c>
      <c r="AK22">
        <v>1.1499999999999999</v>
      </c>
      <c r="AL22">
        <f t="shared" si="18"/>
        <v>2.5403128628624858E-3</v>
      </c>
      <c r="AM22" s="96">
        <f t="shared" si="19"/>
        <v>1.3060179419237383E-3</v>
      </c>
      <c r="AP22" s="18">
        <f t="shared" si="6"/>
        <v>7.8936651921825869E-3</v>
      </c>
      <c r="AQ22" s="11">
        <f t="shared" si="7"/>
        <v>2.517000111291879E-2</v>
      </c>
      <c r="AR22" s="11">
        <f t="shared" si="8"/>
        <v>8.5309135171394712E-3</v>
      </c>
      <c r="AS22" s="11">
        <f t="shared" si="9"/>
        <v>4.5589705909966763E-2</v>
      </c>
      <c r="AT22" s="11">
        <f t="shared" si="10"/>
        <v>4.7299558308490745E-2</v>
      </c>
      <c r="AU22" s="124">
        <f t="shared" si="11"/>
        <v>8.5309135171394729E-3</v>
      </c>
      <c r="AV22" s="26">
        <f t="shared" si="20"/>
        <v>9.1431155252759584E-3</v>
      </c>
      <c r="AW22" s="27">
        <f t="shared" si="37"/>
        <v>2.6419451446012161E-2</v>
      </c>
      <c r="AX22" s="27">
        <f t="shared" si="38"/>
        <v>9.7803638502328444E-3</v>
      </c>
      <c r="AY22" s="27">
        <f t="shared" si="21"/>
        <v>4.6839156243060134E-2</v>
      </c>
      <c r="AZ22" s="27">
        <f t="shared" si="22"/>
        <v>4.8549008641584117E-2</v>
      </c>
      <c r="BA22" s="93">
        <f t="shared" si="23"/>
        <v>1.5880363850232844E-2</v>
      </c>
      <c r="BB22">
        <f t="shared" si="24"/>
        <v>3.4962490848020164E-3</v>
      </c>
      <c r="BC22">
        <f t="shared" si="25"/>
        <v>1.2494503330933724E-3</v>
      </c>
      <c r="BD22">
        <f t="shared" si="12"/>
        <v>6.3724832495688538E-4</v>
      </c>
      <c r="BE22">
        <f t="shared" si="13"/>
        <v>1.6639087595779319E-2</v>
      </c>
    </row>
    <row r="23" spans="1:69" x14ac:dyDescent="0.25">
      <c r="A23" s="138">
        <v>0.65</v>
      </c>
      <c r="B23">
        <f t="shared" si="26"/>
        <v>725.66000000000008</v>
      </c>
      <c r="C23" s="132">
        <f t="shared" si="27"/>
        <v>51574620.886839025</v>
      </c>
      <c r="D23">
        <v>1.25</v>
      </c>
      <c r="E23" s="238">
        <f t="shared" si="39"/>
        <v>2.3391449331761445E-3</v>
      </c>
      <c r="F23" s="237">
        <f t="shared" si="28"/>
        <v>4.7244146107680096E-3</v>
      </c>
      <c r="G23">
        <f t="shared" si="14"/>
        <v>208281321.73022786</v>
      </c>
      <c r="H23">
        <f t="shared" si="29"/>
        <v>1.9243098124447065E-3</v>
      </c>
      <c r="I23">
        <f t="shared" si="30"/>
        <v>6.6783188576260824E-2</v>
      </c>
      <c r="J23">
        <f t="shared" si="15"/>
        <v>0</v>
      </c>
      <c r="K23" s="96">
        <f t="shared" si="31"/>
        <v>6.6783188576260824E-2</v>
      </c>
      <c r="L23" s="158">
        <f t="shared" si="0"/>
        <v>5.4197047970479702E-3</v>
      </c>
      <c r="M23" s="158">
        <f t="shared" si="1"/>
        <v>8.1295571955719553E-3</v>
      </c>
      <c r="S23">
        <v>0.6</v>
      </c>
      <c r="T23">
        <v>0.92</v>
      </c>
      <c r="U23" s="96">
        <v>1.4999999999999999E-2</v>
      </c>
      <c r="V23" s="96">
        <v>1.4E-2</v>
      </c>
      <c r="X23">
        <f t="shared" si="2"/>
        <v>39920586.66496034</v>
      </c>
      <c r="Y23">
        <f t="shared" si="32"/>
        <v>2.4284875393785011E-3</v>
      </c>
      <c r="Z23">
        <f t="shared" si="3"/>
        <v>0.42516384351411257</v>
      </c>
      <c r="AA23">
        <f t="shared" si="33"/>
        <v>4.447539723173758E-2</v>
      </c>
      <c r="AB23" s="29">
        <f t="shared" si="34"/>
        <v>0.61053101296960521</v>
      </c>
      <c r="AC23" s="96">
        <f t="shared" si="35"/>
        <v>1.2210620259392104</v>
      </c>
      <c r="AD23">
        <f t="shared" si="4"/>
        <v>30200791.650883038</v>
      </c>
      <c r="AE23">
        <f t="shared" si="36"/>
        <v>2.5312936450395894E-3</v>
      </c>
      <c r="AF23" s="29">
        <f t="shared" si="16"/>
        <v>9.375684647411521E-2</v>
      </c>
      <c r="AG23" s="96">
        <f t="shared" si="17"/>
        <v>1.1250821576893826</v>
      </c>
      <c r="AH23" s="96">
        <v>2.3999999999999998E-3</v>
      </c>
      <c r="AI23" s="96">
        <v>3.7000000000000002E-3</v>
      </c>
      <c r="AJ23">
        <f t="shared" si="5"/>
        <v>31950354.753416952</v>
      </c>
      <c r="AK23">
        <v>1.25</v>
      </c>
      <c r="AL23">
        <f t="shared" si="18"/>
        <v>2.5100644990801403E-3</v>
      </c>
      <c r="AM23" s="96">
        <f t="shared" si="19"/>
        <v>1.402681244464537E-3</v>
      </c>
      <c r="AP23" s="18">
        <f t="shared" si="6"/>
        <v>8.1830937682138422E-3</v>
      </c>
      <c r="AQ23" s="11">
        <f t="shared" si="7"/>
        <v>2.5254215643053121E-2</v>
      </c>
      <c r="AR23" s="11">
        <f t="shared" si="8"/>
        <v>8.813900718883546E-3</v>
      </c>
      <c r="AS23" s="11">
        <f t="shared" si="9"/>
        <v>4.5673920440101087E-2</v>
      </c>
      <c r="AT23" s="11">
        <f t="shared" si="10"/>
        <v>4.7383772838625077E-2</v>
      </c>
      <c r="AU23" s="124">
        <f t="shared" si="11"/>
        <v>8.8139007188835442E-3</v>
      </c>
      <c r="AV23" s="26">
        <f t="shared" si="20"/>
        <v>9.5254551151848256E-3</v>
      </c>
      <c r="AW23" s="27">
        <f t="shared" si="37"/>
        <v>2.6596576990024101E-2</v>
      </c>
      <c r="AX23" s="27">
        <f t="shared" si="38"/>
        <v>1.0156262065854528E-2</v>
      </c>
      <c r="AY23" s="27">
        <f t="shared" si="21"/>
        <v>4.7016281787072067E-2</v>
      </c>
      <c r="AZ23" s="27">
        <f t="shared" si="22"/>
        <v>4.8726134185596057E-2</v>
      </c>
      <c r="BA23" s="93">
        <f t="shared" si="23"/>
        <v>1.6256262065854527E-2</v>
      </c>
      <c r="BB23">
        <f t="shared" si="24"/>
        <v>3.4586791574458325E-3</v>
      </c>
      <c r="BC23">
        <f t="shared" si="25"/>
        <v>1.3423613469709843E-3</v>
      </c>
      <c r="BD23">
        <f t="shared" si="12"/>
        <v>6.3080695066970282E-4</v>
      </c>
      <c r="BE23">
        <f t="shared" si="13"/>
        <v>1.6440314924169575E-2</v>
      </c>
    </row>
    <row r="24" spans="1:69" x14ac:dyDescent="0.25">
      <c r="A24" s="138">
        <v>0.7</v>
      </c>
      <c r="B24">
        <f t="shared" si="26"/>
        <v>781.48</v>
      </c>
      <c r="C24" s="132">
        <f t="shared" si="27"/>
        <v>55541899.416595861</v>
      </c>
      <c r="D24">
        <v>1.25</v>
      </c>
      <c r="E24" s="238">
        <f t="shared" si="39"/>
        <v>2.3141472981888967E-3</v>
      </c>
      <c r="F24" s="237">
        <f t="shared" si="28"/>
        <v>4.6739264215611776E-3</v>
      </c>
      <c r="G24">
        <f t="shared" si="14"/>
        <v>224302961.86332229</v>
      </c>
      <c r="H24">
        <f t="shared" si="29"/>
        <v>1.9052336633793097E-3</v>
      </c>
      <c r="I24">
        <f t="shared" si="30"/>
        <v>6.6121150659027142E-2</v>
      </c>
      <c r="J24">
        <f t="shared" si="15"/>
        <v>0</v>
      </c>
      <c r="K24" s="96">
        <f t="shared" si="31"/>
        <v>6.6121150659027142E-2</v>
      </c>
      <c r="L24" s="158">
        <f t="shared" si="0"/>
        <v>5.4197047970479702E-3</v>
      </c>
      <c r="M24" s="158">
        <f t="shared" si="1"/>
        <v>8.1295571955719553E-3</v>
      </c>
      <c r="S24">
        <v>0.6</v>
      </c>
      <c r="T24">
        <v>0.92</v>
      </c>
      <c r="U24" s="96">
        <v>1.4999999999999999E-2</v>
      </c>
      <c r="V24" s="96">
        <v>1.4E-2</v>
      </c>
      <c r="X24">
        <f t="shared" si="2"/>
        <v>42991401.023803443</v>
      </c>
      <c r="Y24">
        <f t="shared" si="32"/>
        <v>2.4021581954356019E-3</v>
      </c>
      <c r="Z24">
        <f t="shared" si="3"/>
        <v>0.42055427278893898</v>
      </c>
      <c r="AA24">
        <f t="shared" si="33"/>
        <v>4.4718473797339814E-2</v>
      </c>
      <c r="AB24" s="29">
        <f t="shared" si="34"/>
        <v>0.60485457056216252</v>
      </c>
      <c r="AC24" s="96">
        <f t="shared" si="35"/>
        <v>1.209709141124325</v>
      </c>
      <c r="AD24">
        <f t="shared" si="4"/>
        <v>32523929.470181733</v>
      </c>
      <c r="AE24">
        <f t="shared" si="36"/>
        <v>2.503408495990352E-3</v>
      </c>
      <c r="AF24" s="29">
        <f t="shared" si="16"/>
        <v>9.2724005561548445E-2</v>
      </c>
      <c r="AG24" s="96">
        <f t="shared" si="17"/>
        <v>1.1126880667385812</v>
      </c>
      <c r="AH24" s="96">
        <v>2.3999999999999998E-3</v>
      </c>
      <c r="AI24" s="96">
        <v>3.7000000000000002E-3</v>
      </c>
      <c r="AJ24">
        <f t="shared" si="5"/>
        <v>34408074.349833637</v>
      </c>
      <c r="AK24">
        <v>1.25</v>
      </c>
      <c r="AL24">
        <f t="shared" si="18"/>
        <v>2.4825026422670162E-3</v>
      </c>
      <c r="AM24" s="96">
        <f t="shared" si="19"/>
        <v>1.387279050764513E-3</v>
      </c>
      <c r="AP24" s="18">
        <f t="shared" si="6"/>
        <v>8.0983188551384689E-3</v>
      </c>
      <c r="AQ24" s="11">
        <f t="shared" si="7"/>
        <v>2.4982466545331039E-2</v>
      </c>
      <c r="AR24" s="11">
        <f t="shared" si="8"/>
        <v>8.7232608468632115E-3</v>
      </c>
      <c r="AS24" s="11">
        <f t="shared" si="9"/>
        <v>4.5402171342379005E-2</v>
      </c>
      <c r="AT24" s="11">
        <f t="shared" si="10"/>
        <v>4.7112023740902995E-2</v>
      </c>
      <c r="AU24" s="124">
        <f t="shared" si="11"/>
        <v>8.7232608468632133E-3</v>
      </c>
      <c r="AV24" s="26">
        <f t="shared" si="20"/>
        <v>9.4263348494565899E-3</v>
      </c>
      <c r="AW24" s="27">
        <f t="shared" si="37"/>
        <v>2.6310482539649162E-2</v>
      </c>
      <c r="AX24" s="27">
        <f t="shared" si="38"/>
        <v>1.0051276841181334E-2</v>
      </c>
      <c r="AY24" s="27">
        <f t="shared" si="21"/>
        <v>4.6730187336697135E-2</v>
      </c>
      <c r="AZ24" s="27">
        <f t="shared" si="22"/>
        <v>4.8440039735221117E-2</v>
      </c>
      <c r="BA24" s="93">
        <f t="shared" si="23"/>
        <v>1.6151276841181332E-2</v>
      </c>
      <c r="BB24">
        <f t="shared" si="24"/>
        <v>3.4243924335772913E-3</v>
      </c>
      <c r="BC24">
        <f t="shared" si="25"/>
        <v>1.3280159943181206E-3</v>
      </c>
      <c r="BD24">
        <f t="shared" si="12"/>
        <v>6.2494199172474362E-4</v>
      </c>
      <c r="BE24">
        <f t="shared" si="13"/>
        <v>1.6259205698467828E-2</v>
      </c>
    </row>
    <row r="25" spans="1:69" x14ac:dyDescent="0.25">
      <c r="A25" s="138">
        <v>0.75</v>
      </c>
      <c r="B25">
        <f t="shared" si="26"/>
        <v>837.30000000000007</v>
      </c>
      <c r="C25" s="132">
        <f t="shared" si="27"/>
        <v>59509177.946352713</v>
      </c>
      <c r="D25">
        <v>1.25</v>
      </c>
      <c r="E25" s="238">
        <f t="shared" si="39"/>
        <v>2.2912070151002721E-3</v>
      </c>
      <c r="F25" s="237">
        <f t="shared" si="28"/>
        <v>4.6275935043221016E-3</v>
      </c>
      <c r="G25">
        <f t="shared" si="14"/>
        <v>240324601.99641672</v>
      </c>
      <c r="H25">
        <f t="shared" si="29"/>
        <v>1.8877092462691555E-3</v>
      </c>
      <c r="I25">
        <f t="shared" si="30"/>
        <v>6.5512965612633978E-2</v>
      </c>
      <c r="J25">
        <f t="shared" si="15"/>
        <v>0</v>
      </c>
      <c r="K25" s="96">
        <f t="shared" si="31"/>
        <v>6.5512965612633978E-2</v>
      </c>
      <c r="L25" s="158">
        <f t="shared" si="0"/>
        <v>5.4197047970479702E-3</v>
      </c>
      <c r="M25" s="158">
        <f t="shared" si="1"/>
        <v>8.1295571955719553E-3</v>
      </c>
      <c r="S25">
        <v>0.6</v>
      </c>
      <c r="T25">
        <v>0.92</v>
      </c>
      <c r="U25" s="96">
        <v>1.4999999999999999E-2</v>
      </c>
      <c r="V25" s="96">
        <v>1.4E-2</v>
      </c>
      <c r="X25">
        <f t="shared" si="2"/>
        <v>46062215.382646546</v>
      </c>
      <c r="Y25">
        <f t="shared" si="32"/>
        <v>2.3780008647292074E-3</v>
      </c>
      <c r="Z25">
        <f t="shared" si="3"/>
        <v>0.41632496405021646</v>
      </c>
      <c r="AA25">
        <f t="shared" si="33"/>
        <v>4.494504000129964E-2</v>
      </c>
      <c r="AB25" s="29">
        <f t="shared" si="34"/>
        <v>0.5996510052669709</v>
      </c>
      <c r="AC25" s="96">
        <f t="shared" si="35"/>
        <v>1.1993020105339418</v>
      </c>
      <c r="AD25">
        <f t="shared" si="4"/>
        <v>34847067.289480425</v>
      </c>
      <c r="AE25">
        <f t="shared" si="36"/>
        <v>2.4778297209957717E-3</v>
      </c>
      <c r="AF25" s="29">
        <f t="shared" si="16"/>
        <v>9.177659067554246E-2</v>
      </c>
      <c r="AG25" s="96">
        <f t="shared" si="17"/>
        <v>1.1013190881065096</v>
      </c>
      <c r="AH25" s="96">
        <v>2.3999999999999998E-3</v>
      </c>
      <c r="AI25" s="96">
        <v>3.7000000000000002E-3</v>
      </c>
      <c r="AJ25">
        <f t="shared" si="5"/>
        <v>36865793.946250327</v>
      </c>
      <c r="AK25">
        <v>1.25</v>
      </c>
      <c r="AL25">
        <f t="shared" si="18"/>
        <v>2.4572192046240847E-3</v>
      </c>
      <c r="AM25" s="96">
        <f t="shared" si="19"/>
        <v>1.3731500896201577E-3</v>
      </c>
      <c r="AP25" s="18">
        <f t="shared" si="6"/>
        <v>8.0204882363269642E-3</v>
      </c>
      <c r="AQ25" s="11">
        <f t="shared" si="7"/>
        <v>2.4733129824432244E-2</v>
      </c>
      <c r="AR25" s="11">
        <f t="shared" si="8"/>
        <v>8.6400538506249437E-3</v>
      </c>
      <c r="AS25" s="11">
        <f t="shared" si="9"/>
        <v>4.5152834621480217E-2</v>
      </c>
      <c r="AT25" s="11">
        <f t="shared" si="10"/>
        <v>4.68626870200042E-2</v>
      </c>
      <c r="AU25" s="124">
        <f t="shared" si="11"/>
        <v>8.640053850624942E-3</v>
      </c>
      <c r="AV25" s="26">
        <f t="shared" si="20"/>
        <v>9.3353395272229127E-3</v>
      </c>
      <c r="AW25" s="27">
        <f t="shared" si="37"/>
        <v>2.6047981115328189E-2</v>
      </c>
      <c r="AX25" s="27">
        <f t="shared" si="38"/>
        <v>9.9549051415208905E-3</v>
      </c>
      <c r="AY25" s="27">
        <f t="shared" si="21"/>
        <v>4.6467685912376155E-2</v>
      </c>
      <c r="AZ25" s="27">
        <f t="shared" si="22"/>
        <v>4.8177538310900145E-2</v>
      </c>
      <c r="BA25" s="93">
        <f t="shared" si="23"/>
        <v>1.605490514152089E-2</v>
      </c>
      <c r="BB25">
        <f t="shared" si="24"/>
        <v>3.392894732004863E-3</v>
      </c>
      <c r="BC25">
        <f t="shared" si="25"/>
        <v>1.3148512908959476E-3</v>
      </c>
      <c r="BD25">
        <f t="shared" si="12"/>
        <v>6.1956561429797738E-4</v>
      </c>
      <c r="BE25">
        <f t="shared" si="13"/>
        <v>1.6093075973807301E-2</v>
      </c>
    </row>
    <row r="26" spans="1:69" x14ac:dyDescent="0.25">
      <c r="A26" s="138">
        <v>0.8</v>
      </c>
      <c r="B26">
        <f t="shared" si="26"/>
        <v>893.12000000000012</v>
      </c>
      <c r="C26" s="132">
        <f t="shared" si="27"/>
        <v>63476456.476109572</v>
      </c>
      <c r="D26">
        <v>1.25</v>
      </c>
      <c r="E26" s="238">
        <f t="shared" si="39"/>
        <v>2.2700324767929688E-3</v>
      </c>
      <c r="F26" s="237">
        <f t="shared" si="28"/>
        <v>4.5848268947219616E-3</v>
      </c>
      <c r="G26">
        <f t="shared" si="14"/>
        <v>256346242.12951121</v>
      </c>
      <c r="H26">
        <f t="shared" si="29"/>
        <v>1.8715180725721796E-3</v>
      </c>
      <c r="I26">
        <f t="shared" si="30"/>
        <v>6.4951050790351586E-2</v>
      </c>
      <c r="J26">
        <f t="shared" si="15"/>
        <v>0</v>
      </c>
      <c r="K26" s="96">
        <f t="shared" si="31"/>
        <v>6.4951050790351586E-2</v>
      </c>
      <c r="L26" s="158">
        <f t="shared" si="0"/>
        <v>5.4197047970479702E-3</v>
      </c>
      <c r="M26" s="158">
        <f t="shared" si="1"/>
        <v>8.1295571955719553E-3</v>
      </c>
      <c r="S26">
        <v>0.6</v>
      </c>
      <c r="T26">
        <v>0.92</v>
      </c>
      <c r="U26" s="96">
        <v>1.4999999999999999E-2</v>
      </c>
      <c r="V26" s="96">
        <v>1.4E-2</v>
      </c>
      <c r="X26">
        <f t="shared" si="2"/>
        <v>49133029.741489649</v>
      </c>
      <c r="Y26">
        <f t="shared" si="32"/>
        <v>2.3557072792720064E-3</v>
      </c>
      <c r="Z26">
        <f t="shared" si="3"/>
        <v>0.41242194773862373</v>
      </c>
      <c r="AA26">
        <f t="shared" si="33"/>
        <v>4.5157211233126056E-2</v>
      </c>
      <c r="AB26" s="29">
        <f t="shared" si="34"/>
        <v>0.59485290666327473</v>
      </c>
      <c r="AC26" s="96">
        <f t="shared" si="35"/>
        <v>1.1897058133265495</v>
      </c>
      <c r="AD26">
        <f t="shared" si="4"/>
        <v>37170205.108779125</v>
      </c>
      <c r="AE26">
        <f t="shared" si="36"/>
        <v>2.4542294946906223E-3</v>
      </c>
      <c r="AF26" s="29">
        <f t="shared" si="16"/>
        <v>9.0902459458572712E-2</v>
      </c>
      <c r="AG26" s="96">
        <f t="shared" si="17"/>
        <v>1.0908295135028725</v>
      </c>
      <c r="AH26" s="96">
        <v>2.5000000000000001E-3</v>
      </c>
      <c r="AI26" s="96">
        <v>3.7000000000000002E-3</v>
      </c>
      <c r="AJ26">
        <f t="shared" si="5"/>
        <v>39323513.542667016</v>
      </c>
      <c r="AK26">
        <v>1.25</v>
      </c>
      <c r="AL26">
        <f t="shared" si="18"/>
        <v>2.4338904328164239E-3</v>
      </c>
      <c r="AM26" s="96">
        <f t="shared" si="19"/>
        <v>1.3601134402898357E-3</v>
      </c>
      <c r="AP26" s="18">
        <f t="shared" si="6"/>
        <v>7.9486202446945979E-3</v>
      </c>
      <c r="AQ26" s="11">
        <f t="shared" si="7"/>
        <v>2.4503024995015971E-2</v>
      </c>
      <c r="AR26" s="11">
        <f t="shared" si="8"/>
        <v>8.563228413940787E-3</v>
      </c>
      <c r="AS26" s="11">
        <f t="shared" si="9"/>
        <v>4.4922729792063937E-2</v>
      </c>
      <c r="AT26" s="11">
        <f t="shared" si="10"/>
        <v>4.6632582190587926E-2</v>
      </c>
      <c r="AU26" s="124">
        <f t="shared" si="11"/>
        <v>8.5632284139407853E-3</v>
      </c>
      <c r="AV26" s="26">
        <f t="shared" si="20"/>
        <v>9.2513201372908752E-3</v>
      </c>
      <c r="AW26" s="27">
        <f t="shared" si="37"/>
        <v>2.5805724887612246E-2</v>
      </c>
      <c r="AX26" s="27">
        <f t="shared" si="38"/>
        <v>9.8659283065370626E-3</v>
      </c>
      <c r="AY26" s="27">
        <f t="shared" si="21"/>
        <v>4.6225429684660216E-2</v>
      </c>
      <c r="AZ26" s="27">
        <f t="shared" si="22"/>
        <v>4.7935282083184198E-2</v>
      </c>
      <c r="BA26" s="93">
        <f t="shared" si="23"/>
        <v>1.6065928306537063E-2</v>
      </c>
      <c r="BB26">
        <f t="shared" si="24"/>
        <v>3.3637933499726363E-3</v>
      </c>
      <c r="BC26">
        <f t="shared" si="25"/>
        <v>1.3026998925962769E-3</v>
      </c>
      <c r="BD26">
        <f t="shared" si="12"/>
        <v>6.1460816924618791E-4</v>
      </c>
      <c r="BE26">
        <f t="shared" si="13"/>
        <v>1.5939796581075184E-2</v>
      </c>
    </row>
    <row r="27" spans="1:69" x14ac:dyDescent="0.25">
      <c r="A27" s="138">
        <v>0.85</v>
      </c>
      <c r="B27">
        <f t="shared" si="26"/>
        <v>948.94</v>
      </c>
      <c r="C27" s="132">
        <f t="shared" si="27"/>
        <v>67443735.005866408</v>
      </c>
      <c r="D27">
        <v>1.35</v>
      </c>
      <c r="E27" s="238">
        <f t="shared" si="39"/>
        <v>2.2503885881554777E-3</v>
      </c>
      <c r="F27" s="237">
        <f t="shared" si="28"/>
        <v>4.9087639081257673E-3</v>
      </c>
      <c r="G27">
        <f t="shared" si="14"/>
        <v>272367882.26260567</v>
      </c>
      <c r="H27">
        <f t="shared" si="29"/>
        <v>1.8564838010160737E-3</v>
      </c>
      <c r="I27">
        <f t="shared" si="30"/>
        <v>6.4429286266809216E-2</v>
      </c>
      <c r="J27">
        <f t="shared" si="15"/>
        <v>0</v>
      </c>
      <c r="K27" s="96">
        <f t="shared" si="31"/>
        <v>6.4429286266809216E-2</v>
      </c>
      <c r="L27" s="158">
        <f t="shared" si="0"/>
        <v>5.4197047970479702E-3</v>
      </c>
      <c r="M27" s="158">
        <f t="shared" si="1"/>
        <v>8.1295571955719553E-3</v>
      </c>
      <c r="S27">
        <v>0.6</v>
      </c>
      <c r="T27">
        <v>0.92</v>
      </c>
      <c r="U27" s="96">
        <v>1.4999999999999999E-2</v>
      </c>
      <c r="V27" s="96">
        <v>1.4E-2</v>
      </c>
      <c r="X27">
        <f t="shared" si="2"/>
        <v>52203844.100332744</v>
      </c>
      <c r="Y27">
        <f t="shared" si="32"/>
        <v>2.3350289672185534E-3</v>
      </c>
      <c r="Z27">
        <f t="shared" si="3"/>
        <v>0.40880172301542822</v>
      </c>
      <c r="AA27">
        <f t="shared" si="33"/>
        <v>4.5356719829075978E-2</v>
      </c>
      <c r="AB27" s="29">
        <f t="shared" si="34"/>
        <v>0.59040597569785547</v>
      </c>
      <c r="AC27" s="96">
        <f t="shared" si="35"/>
        <v>1.1808119513957109</v>
      </c>
      <c r="AD27">
        <f t="shared" si="4"/>
        <v>39493342.928077817</v>
      </c>
      <c r="AE27">
        <f t="shared" si="36"/>
        <v>2.4323436476603334E-3</v>
      </c>
      <c r="AF27" s="29">
        <f t="shared" si="16"/>
        <v>9.0091827312438325E-2</v>
      </c>
      <c r="AG27" s="96">
        <f t="shared" si="17"/>
        <v>1.0811019277492599</v>
      </c>
      <c r="AH27" s="96">
        <v>2.7499999999999998E-3</v>
      </c>
      <c r="AI27" s="96">
        <v>3.7000000000000002E-3</v>
      </c>
      <c r="AJ27">
        <f t="shared" si="5"/>
        <v>41781233.139083706</v>
      </c>
      <c r="AK27">
        <v>1.35</v>
      </c>
      <c r="AL27">
        <f t="shared" si="18"/>
        <v>2.4122554254013585E-3</v>
      </c>
      <c r="AM27" s="96">
        <f t="shared" si="19"/>
        <v>1.4558651695097738E-3</v>
      </c>
      <c r="AP27" s="18">
        <f t="shared" si="6"/>
        <v>8.2455352467038761E-3</v>
      </c>
      <c r="AQ27" s="11">
        <f t="shared" si="7"/>
        <v>2.4653200586491585E-2</v>
      </c>
      <c r="AR27" s="11">
        <f t="shared" si="8"/>
        <v>8.8555488009304413E-3</v>
      </c>
      <c r="AS27" s="11">
        <f t="shared" si="9"/>
        <v>4.5072905383539558E-2</v>
      </c>
      <c r="AT27" s="11">
        <f t="shared" si="10"/>
        <v>4.678275778206354E-2</v>
      </c>
      <c r="AU27" s="124">
        <f t="shared" si="11"/>
        <v>8.855548800930443E-3</v>
      </c>
      <c r="AV27" s="26">
        <f t="shared" si="20"/>
        <v>9.6402762833300171E-3</v>
      </c>
      <c r="AW27" s="27">
        <f t="shared" si="37"/>
        <v>2.6047941623117729E-2</v>
      </c>
      <c r="AX27" s="27">
        <f t="shared" si="38"/>
        <v>1.0250289837556584E-2</v>
      </c>
      <c r="AY27" s="27">
        <f t="shared" si="21"/>
        <v>4.6467646420165695E-2</v>
      </c>
      <c r="AZ27" s="27">
        <f t="shared" si="22"/>
        <v>4.8177498818689685E-2</v>
      </c>
      <c r="BA27" s="93">
        <f t="shared" si="23"/>
        <v>1.6700289837556587E-2</v>
      </c>
      <c r="BB27">
        <f t="shared" si="24"/>
        <v>3.3367713385781084E-3</v>
      </c>
      <c r="BC27">
        <f t="shared" si="25"/>
        <v>1.3947410366261404E-3</v>
      </c>
      <c r="BD27">
        <f t="shared" si="12"/>
        <v>6.1001355422656662E-4</v>
      </c>
      <c r="BE27">
        <f t="shared" si="13"/>
        <v>1.5797651785561143E-2</v>
      </c>
    </row>
    <row r="28" spans="1:69" x14ac:dyDescent="0.25">
      <c r="A28" s="138">
        <v>0.9</v>
      </c>
      <c r="B28">
        <f t="shared" si="26"/>
        <v>1004.7600000000001</v>
      </c>
      <c r="C28" s="132">
        <f t="shared" si="27"/>
        <v>71411013.535623252</v>
      </c>
      <c r="D28">
        <v>1.35</v>
      </c>
      <c r="E28" s="238">
        <f t="shared" si="39"/>
        <v>2.2320832111906103E-3</v>
      </c>
      <c r="F28" s="237">
        <f t="shared" si="28"/>
        <v>4.8688344602771938E-3</v>
      </c>
      <c r="G28">
        <f t="shared" si="14"/>
        <v>288389522.3957001</v>
      </c>
      <c r="H28">
        <f t="shared" si="29"/>
        <v>1.84246216370693E-3</v>
      </c>
      <c r="I28">
        <f t="shared" si="30"/>
        <v>6.3942665223509096E-2</v>
      </c>
      <c r="J28">
        <f t="shared" si="15"/>
        <v>0</v>
      </c>
      <c r="K28" s="96">
        <f t="shared" si="31"/>
        <v>6.3942665223509096E-2</v>
      </c>
      <c r="L28" s="158">
        <f t="shared" si="0"/>
        <v>5.4197047970479702E-3</v>
      </c>
      <c r="M28" s="158">
        <f t="shared" si="1"/>
        <v>8.1295571955719553E-3</v>
      </c>
      <c r="S28">
        <v>0.6</v>
      </c>
      <c r="T28">
        <v>0.92</v>
      </c>
      <c r="U28" s="96">
        <v>1.4999999999999999E-2</v>
      </c>
      <c r="V28" s="96">
        <v>1.4E-2</v>
      </c>
      <c r="X28">
        <f t="shared" si="2"/>
        <v>55274658.459175855</v>
      </c>
      <c r="Y28">
        <f t="shared" si="32"/>
        <v>2.3157629000891489E-3</v>
      </c>
      <c r="Z28">
        <f t="shared" si="3"/>
        <v>0.40542874497155706</v>
      </c>
      <c r="AA28">
        <f t="shared" si="33"/>
        <v>4.5545002410439989E-2</v>
      </c>
      <c r="AB28" s="29">
        <f t="shared" si="34"/>
        <v>0.58626587159659616</v>
      </c>
      <c r="AC28" s="96">
        <f t="shared" si="35"/>
        <v>1.1725317431931923</v>
      </c>
      <c r="AD28">
        <f t="shared" si="4"/>
        <v>41816480.747376516</v>
      </c>
      <c r="AE28">
        <f t="shared" si="36"/>
        <v>2.4119563750387464E-3</v>
      </c>
      <c r="AF28" s="29">
        <f t="shared" si="16"/>
        <v>8.9336701018436923E-2</v>
      </c>
      <c r="AG28" s="96">
        <f t="shared" si="17"/>
        <v>1.072040412221243</v>
      </c>
      <c r="AH28" s="96">
        <v>3.2499999999999999E-3</v>
      </c>
      <c r="AI28" s="96">
        <v>3.7000000000000002E-3</v>
      </c>
      <c r="AJ28">
        <f t="shared" si="5"/>
        <v>44238952.735500395</v>
      </c>
      <c r="AK28">
        <v>1.35</v>
      </c>
      <c r="AL28">
        <f t="shared" si="18"/>
        <v>2.3921010370331953E-3</v>
      </c>
      <c r="AM28" s="96">
        <f t="shared" si="19"/>
        <v>1.4437014194653107E-3</v>
      </c>
      <c r="AP28" s="18">
        <f t="shared" si="6"/>
        <v>8.1804038566312531E-3</v>
      </c>
      <c r="AQ28" s="11">
        <f t="shared" si="7"/>
        <v>2.4451379784465828E-2</v>
      </c>
      <c r="AR28" s="11">
        <f t="shared" si="8"/>
        <v>8.7861398125244176E-3</v>
      </c>
      <c r="AS28" s="11">
        <f t="shared" si="9"/>
        <v>4.4871084581513801E-2</v>
      </c>
      <c r="AT28" s="11">
        <f t="shared" si="10"/>
        <v>4.6580936980037783E-2</v>
      </c>
      <c r="AU28" s="124">
        <f t="shared" si="11"/>
        <v>8.7861398125244159E-3</v>
      </c>
      <c r="AV28" s="26">
        <f t="shared" si="20"/>
        <v>9.563799625787503E-3</v>
      </c>
      <c r="AW28" s="27">
        <f t="shared" si="37"/>
        <v>2.5834775553622076E-2</v>
      </c>
      <c r="AX28" s="27">
        <f t="shared" si="38"/>
        <v>1.0169535581680666E-2</v>
      </c>
      <c r="AY28" s="27">
        <f t="shared" si="21"/>
        <v>4.6254480350670049E-2</v>
      </c>
      <c r="AZ28" s="27">
        <f t="shared" si="22"/>
        <v>4.7964332749194032E-2</v>
      </c>
      <c r="BA28" s="93">
        <f t="shared" si="23"/>
        <v>1.7119535581680667E-2</v>
      </c>
      <c r="BB28">
        <f t="shared" si="24"/>
        <v>3.3115693963540597E-3</v>
      </c>
      <c r="BC28">
        <f t="shared" si="25"/>
        <v>1.3833957691562506E-3</v>
      </c>
      <c r="BD28">
        <f t="shared" si="12"/>
        <v>6.0573595589316208E-4</v>
      </c>
      <c r="BE28">
        <f t="shared" si="13"/>
        <v>1.566523997194141E-2</v>
      </c>
    </row>
    <row r="29" spans="1:69" x14ac:dyDescent="0.25">
      <c r="A29" s="138">
        <v>0.95</v>
      </c>
      <c r="B29">
        <f t="shared" si="26"/>
        <v>1060.58</v>
      </c>
      <c r="C29" s="132">
        <f t="shared" si="27"/>
        <v>75378292.065380096</v>
      </c>
      <c r="D29">
        <v>1.35</v>
      </c>
      <c r="E29" s="238">
        <f t="shared" si="39"/>
        <v>2.2149574181311278E-3</v>
      </c>
      <c r="F29" s="237">
        <f t="shared" si="28"/>
        <v>4.8314780342310947E-3</v>
      </c>
      <c r="G29">
        <f t="shared" si="14"/>
        <v>304411162.52879453</v>
      </c>
      <c r="H29">
        <f t="shared" si="29"/>
        <v>1.8293337143201929E-3</v>
      </c>
      <c r="I29">
        <f t="shared" si="30"/>
        <v>6.3487042274731162E-2</v>
      </c>
      <c r="J29">
        <f t="shared" si="15"/>
        <v>0</v>
      </c>
      <c r="K29" s="96">
        <f t="shared" si="31"/>
        <v>6.3487042274731162E-2</v>
      </c>
      <c r="L29" s="158">
        <f t="shared" si="0"/>
        <v>5.4197047970479702E-3</v>
      </c>
      <c r="M29" s="158">
        <f t="shared" si="1"/>
        <v>8.1295571955719553E-3</v>
      </c>
      <c r="S29">
        <v>0.6</v>
      </c>
      <c r="T29">
        <v>0.92</v>
      </c>
      <c r="U29" s="96">
        <v>1.4999999999999999E-2</v>
      </c>
      <c r="V29" s="96">
        <v>1.4E-2</v>
      </c>
      <c r="X29">
        <f t="shared" si="2"/>
        <v>58345472.818018951</v>
      </c>
      <c r="Y29">
        <f t="shared" si="32"/>
        <v>2.2977411744531835E-3</v>
      </c>
      <c r="Z29">
        <f t="shared" si="3"/>
        <v>0.4022736181636572</v>
      </c>
      <c r="AA29">
        <f t="shared" si="33"/>
        <v>4.5723263651605901E-2</v>
      </c>
      <c r="AB29" s="29">
        <f t="shared" si="34"/>
        <v>0.58239594635984204</v>
      </c>
      <c r="AC29" s="96">
        <f t="shared" si="35"/>
        <v>1.1647918927196841</v>
      </c>
      <c r="AD29">
        <f t="shared" si="4"/>
        <v>44139618.566675201</v>
      </c>
      <c r="AE29">
        <f t="shared" si="36"/>
        <v>2.3928892461645441E-3</v>
      </c>
      <c r="AF29" s="29">
        <f t="shared" si="16"/>
        <v>8.8630471664895141E-2</v>
      </c>
      <c r="AG29" s="96">
        <f t="shared" si="17"/>
        <v>1.0635656599787418</v>
      </c>
      <c r="AH29" s="96">
        <v>3.7499999999999999E-3</v>
      </c>
      <c r="AI29" s="96">
        <v>3.7000000000000002E-3</v>
      </c>
      <c r="AJ29">
        <f t="shared" si="5"/>
        <v>46696672.331917077</v>
      </c>
      <c r="AK29">
        <v>1.35</v>
      </c>
      <c r="AL29">
        <f t="shared" si="18"/>
        <v>2.3732510281505646E-3</v>
      </c>
      <c r="AM29" s="96">
        <f t="shared" si="19"/>
        <v>1.4323248997617202E-3</v>
      </c>
      <c r="AP29" s="18">
        <f t="shared" si="6"/>
        <v>8.1194508693818394E-3</v>
      </c>
      <c r="AQ29" s="20">
        <f t="shared" si="7"/>
        <v>2.4262590642431924E-2</v>
      </c>
      <c r="AR29" s="20">
        <f t="shared" si="8"/>
        <v>8.7211883785359191E-3</v>
      </c>
      <c r="AS29" s="20">
        <f t="shared" si="9"/>
        <v>4.4682295439479894E-2</v>
      </c>
      <c r="AT29" s="20">
        <f t="shared" si="10"/>
        <v>4.6392147838003876E-2</v>
      </c>
      <c r="AU29" s="150">
        <f t="shared" si="11"/>
        <v>8.7211883785359191E-3</v>
      </c>
      <c r="AV29" s="161">
        <f t="shared" si="20"/>
        <v>9.4922324510637365E-3</v>
      </c>
      <c r="AW29" s="94">
        <f t="shared" si="37"/>
        <v>2.5635372224113821E-2</v>
      </c>
      <c r="AX29" s="94">
        <f t="shared" si="38"/>
        <v>1.0093969960217816E-2</v>
      </c>
      <c r="AY29" s="27">
        <f t="shared" si="21"/>
        <v>4.6055077021161794E-2</v>
      </c>
      <c r="AZ29" s="27">
        <f t="shared" si="22"/>
        <v>4.7764929419685777E-2</v>
      </c>
      <c r="BA29" s="162">
        <f t="shared" si="23"/>
        <v>1.7543969960217815E-2</v>
      </c>
      <c r="BB29">
        <f t="shared" si="24"/>
        <v>3.2879728351507447E-3</v>
      </c>
      <c r="BC29">
        <f t="shared" si="25"/>
        <v>1.3727815816818977E-3</v>
      </c>
      <c r="BD29">
        <f t="shared" si="12"/>
        <v>6.0173750915408042E-4</v>
      </c>
      <c r="BE29">
        <f t="shared" si="13"/>
        <v>1.5541402263896005E-2</v>
      </c>
    </row>
    <row r="30" spans="1:69" x14ac:dyDescent="0.25">
      <c r="A30" s="138"/>
      <c r="F30" s="242"/>
      <c r="G30" s="29"/>
      <c r="H30" s="29"/>
      <c r="I30" s="29"/>
      <c r="J30" s="29"/>
      <c r="K30" s="29"/>
      <c r="L30" s="29"/>
      <c r="M30" s="5"/>
      <c r="N30" s="29"/>
      <c r="O30" s="29"/>
      <c r="P30" s="29"/>
      <c r="Q30" s="29"/>
      <c r="R30" s="29"/>
      <c r="S30" s="29"/>
      <c r="BD30" t="s">
        <v>1256</v>
      </c>
      <c r="BE30" t="s">
        <v>1257</v>
      </c>
      <c r="BH30" t="s">
        <v>1256</v>
      </c>
      <c r="BI30" t="s">
        <v>1257</v>
      </c>
      <c r="BL30" t="s">
        <v>1256</v>
      </c>
      <c r="BM30" t="s">
        <v>1257</v>
      </c>
      <c r="BP30" t="s">
        <v>560</v>
      </c>
      <c r="BQ30" t="s">
        <v>360</v>
      </c>
    </row>
    <row r="31" spans="1:69" x14ac:dyDescent="0.25">
      <c r="A31" t="s">
        <v>180</v>
      </c>
      <c r="B31" s="98">
        <v>0</v>
      </c>
      <c r="C31" s="132" t="s">
        <v>124</v>
      </c>
      <c r="D31" t="s">
        <v>181</v>
      </c>
      <c r="E31" s="238" t="s">
        <v>153</v>
      </c>
      <c r="F31" s="238">
        <v>542</v>
      </c>
      <c r="G31" t="s">
        <v>150</v>
      </c>
      <c r="H31" t="s">
        <v>233</v>
      </c>
      <c r="N31" s="5"/>
      <c r="O31" s="5"/>
      <c r="P31" s="49"/>
      <c r="Q31" s="5"/>
      <c r="BC31" s="86" t="s">
        <v>1254</v>
      </c>
      <c r="BD31">
        <f>BD32*BD33*BD34</f>
        <v>2.2501906909767385E-2</v>
      </c>
      <c r="BE31">
        <f>BE32*BD33*BD34</f>
        <v>1.0156896154976162E-3</v>
      </c>
      <c r="BG31" s="86" t="s">
        <v>1259</v>
      </c>
      <c r="BH31">
        <f>BH32^2*BH33^2*BH34</f>
        <v>8.1846189530551672E-3</v>
      </c>
      <c r="BI31">
        <f>BI32^2*BI33^2*BI34</f>
        <v>7.6977567400296823E-4</v>
      </c>
      <c r="BK31" s="86" t="s">
        <v>1261</v>
      </c>
      <c r="BL31">
        <f>BD31*BL32</f>
        <v>0</v>
      </c>
      <c r="BM31">
        <f>BE31*BM32</f>
        <v>1.0156896154976162E-4</v>
      </c>
      <c r="BO31" t="s">
        <v>1263</v>
      </c>
      <c r="BP31">
        <f>BD31+BH31+BL31</f>
        <v>3.0686525862822552E-2</v>
      </c>
      <c r="BQ31">
        <f>BD31+BE31+BI31+BM31</f>
        <v>2.4388941160817731E-2</v>
      </c>
    </row>
    <row r="32" spans="1:69" x14ac:dyDescent="0.25">
      <c r="A32" t="s">
        <v>353</v>
      </c>
      <c r="B32" s="98">
        <v>59.03</v>
      </c>
      <c r="C32" s="132" t="s">
        <v>352</v>
      </c>
      <c r="D32" t="s">
        <v>350</v>
      </c>
      <c r="E32" s="238" t="s">
        <v>410</v>
      </c>
      <c r="F32" s="239">
        <v>24.1</v>
      </c>
      <c r="G32" t="s">
        <v>364</v>
      </c>
      <c r="H32" t="s">
        <v>365</v>
      </c>
      <c r="M32" s="5"/>
      <c r="N32" s="5"/>
      <c r="O32" s="5"/>
      <c r="P32" s="49"/>
      <c r="Q32" s="5"/>
      <c r="BC32" s="86" t="s">
        <v>1255</v>
      </c>
      <c r="BD32">
        <v>0.12</v>
      </c>
      <c r="BE32">
        <f>F43*1.1</f>
        <v>5.416552221483433E-3</v>
      </c>
      <c r="BG32" t="s">
        <v>632</v>
      </c>
      <c r="BH32">
        <v>0.17</v>
      </c>
      <c r="BI32">
        <v>0.17</v>
      </c>
      <c r="BK32" t="s">
        <v>1262</v>
      </c>
      <c r="BL32">
        <v>0</v>
      </c>
      <c r="BM32">
        <v>0.1</v>
      </c>
    </row>
    <row r="33" spans="1:61" x14ac:dyDescent="0.25">
      <c r="A33" t="s">
        <v>177</v>
      </c>
      <c r="B33" s="131">
        <v>2.3768999999999999E-3</v>
      </c>
      <c r="C33" s="132" t="s">
        <v>165</v>
      </c>
      <c r="D33" t="s">
        <v>324</v>
      </c>
      <c r="E33" s="238" t="s">
        <v>363</v>
      </c>
      <c r="F33" s="238">
        <f>COS(RADIANS(F32))</f>
        <v>0.91283417723304283</v>
      </c>
      <c r="M33" s="5"/>
      <c r="N33" s="5"/>
      <c r="O33" s="5"/>
      <c r="P33" s="148"/>
      <c r="Q33" s="11"/>
      <c r="BC33" t="s">
        <v>1258</v>
      </c>
      <c r="BD33">
        <f>COS(RADIANS(25.2))</f>
        <v>0.90482705246601958</v>
      </c>
      <c r="BG33" s="86" t="s">
        <v>1260</v>
      </c>
      <c r="BH33">
        <f>'C_L vs. α'!AB344</f>
        <v>0.55945804426909762</v>
      </c>
      <c r="BI33">
        <f>'C_L vs. α'!AD344</f>
        <v>0.17157356752672726</v>
      </c>
    </row>
    <row r="34" spans="1:61" x14ac:dyDescent="0.25">
      <c r="A34" t="s">
        <v>349</v>
      </c>
      <c r="B34" s="131">
        <f>0.000000374</f>
        <v>3.7399999999999999E-7</v>
      </c>
      <c r="C34" s="132" t="s">
        <v>354</v>
      </c>
      <c r="D34" t="s">
        <v>351</v>
      </c>
      <c r="M34" s="5"/>
      <c r="N34" s="5"/>
      <c r="O34" s="5"/>
      <c r="P34" s="5"/>
      <c r="Q34" s="5"/>
      <c r="BC34" t="s">
        <v>487</v>
      </c>
      <c r="BD34">
        <f>'C_L vs. α'!B108</f>
        <v>0.20723948339483395</v>
      </c>
      <c r="BG34" t="s">
        <v>1258</v>
      </c>
      <c r="BH34">
        <f>BD33</f>
        <v>0.90482705246601958</v>
      </c>
      <c r="BI34">
        <v>0.90482705246601958</v>
      </c>
    </row>
    <row r="35" spans="1:61" x14ac:dyDescent="0.25">
      <c r="A35" t="s">
        <v>142</v>
      </c>
      <c r="B35" s="98">
        <v>1116.4000000000001</v>
      </c>
      <c r="C35" s="132" t="s">
        <v>135</v>
      </c>
      <c r="D35" t="s">
        <v>327</v>
      </c>
    </row>
    <row r="36" spans="1:61" x14ac:dyDescent="0.25">
      <c r="C36" s="164" t="s">
        <v>207</v>
      </c>
      <c r="G36" s="96" t="s">
        <v>379</v>
      </c>
      <c r="I36" t="s">
        <v>521</v>
      </c>
      <c r="L36" s="96" t="s">
        <v>554</v>
      </c>
      <c r="N36" s="29"/>
      <c r="R36" s="29"/>
      <c r="S36" s="96" t="s">
        <v>163</v>
      </c>
      <c r="X36" s="96" t="s">
        <v>390</v>
      </c>
      <c r="AJ36" s="96" t="s">
        <v>503</v>
      </c>
      <c r="AK36" t="s">
        <v>614</v>
      </c>
      <c r="AP36" s="96" t="s">
        <v>417</v>
      </c>
      <c r="AV36" s="96" t="s">
        <v>624</v>
      </c>
      <c r="BC36" t="s">
        <v>1257</v>
      </c>
      <c r="BD36">
        <f>BE31+BI31+BM31</f>
        <v>1.8870342510503462E-3</v>
      </c>
    </row>
    <row r="37" spans="1:61" x14ac:dyDescent="0.25">
      <c r="C37" s="235" t="s">
        <v>518</v>
      </c>
      <c r="D37" s="97" t="s">
        <v>360</v>
      </c>
      <c r="E37" s="240" t="s">
        <v>219</v>
      </c>
      <c r="F37" s="240" t="s">
        <v>220</v>
      </c>
      <c r="G37" s="97" t="s">
        <v>371</v>
      </c>
      <c r="H37" s="97" t="s">
        <v>372</v>
      </c>
      <c r="I37" s="97" t="s">
        <v>553</v>
      </c>
      <c r="J37" s="97" t="s">
        <v>380</v>
      </c>
      <c r="K37" s="97" t="s">
        <v>376</v>
      </c>
      <c r="L37" t="s">
        <v>629</v>
      </c>
      <c r="M37" t="s">
        <v>585</v>
      </c>
      <c r="N37" s="97" t="s">
        <v>587</v>
      </c>
      <c r="O37" s="97" t="s">
        <v>588</v>
      </c>
      <c r="P37" s="97" t="s">
        <v>589</v>
      </c>
      <c r="Q37" s="97" t="s">
        <v>590</v>
      </c>
      <c r="R37" t="s">
        <v>591</v>
      </c>
      <c r="S37" s="29" t="s">
        <v>155</v>
      </c>
      <c r="T37" t="s">
        <v>581</v>
      </c>
      <c r="U37" t="s">
        <v>142</v>
      </c>
      <c r="V37" t="s">
        <v>143</v>
      </c>
      <c r="W37" t="s">
        <v>583</v>
      </c>
      <c r="AJ37" t="s">
        <v>518</v>
      </c>
      <c r="AK37" t="s">
        <v>360</v>
      </c>
      <c r="AL37" t="s">
        <v>219</v>
      </c>
      <c r="AM37" t="s">
        <v>220</v>
      </c>
      <c r="AN37" t="s">
        <v>602</v>
      </c>
      <c r="AO37" t="s">
        <v>603</v>
      </c>
      <c r="AP37" t="s">
        <v>534</v>
      </c>
      <c r="AV37" t="s">
        <v>534</v>
      </c>
      <c r="BC37" t="s">
        <v>1256</v>
      </c>
      <c r="BD37">
        <f>BD31+BH31+BL31</f>
        <v>3.0686525862822552E-2</v>
      </c>
    </row>
    <row r="38" spans="1:61" x14ac:dyDescent="0.25">
      <c r="C38" s="236">
        <v>12.381</v>
      </c>
      <c r="D38" s="28">
        <v>1.2</v>
      </c>
      <c r="E38" s="236">
        <v>0.1</v>
      </c>
      <c r="F38" s="241">
        <v>775</v>
      </c>
      <c r="G38" s="133">
        <v>867.11</v>
      </c>
      <c r="H38" s="28">
        <v>6.8449999999999998</v>
      </c>
      <c r="I38" s="133">
        <v>28.07</v>
      </c>
      <c r="J38" s="28">
        <v>50</v>
      </c>
      <c r="K38" s="28"/>
      <c r="L38" s="86">
        <v>15</v>
      </c>
      <c r="M38">
        <v>20</v>
      </c>
      <c r="N38">
        <v>1.4</v>
      </c>
      <c r="O38">
        <v>0.02</v>
      </c>
      <c r="P38">
        <v>0.03</v>
      </c>
      <c r="Q38">
        <v>104.91</v>
      </c>
      <c r="R38" t="e">
        <f>Q38/N32</f>
        <v>#DIV/0!</v>
      </c>
      <c r="S38">
        <v>4.7300000000000004</v>
      </c>
      <c r="T38">
        <v>1.65</v>
      </c>
      <c r="U38">
        <v>1.1399999999999999</v>
      </c>
      <c r="V38">
        <v>4.53</v>
      </c>
      <c r="W38">
        <v>3.18</v>
      </c>
      <c r="X38" t="s">
        <v>515</v>
      </c>
      <c r="AB38" t="s">
        <v>615</v>
      </c>
      <c r="AC38" t="s">
        <v>616</v>
      </c>
      <c r="AD38" t="s">
        <v>606</v>
      </c>
      <c r="AF38" t="s">
        <v>615</v>
      </c>
      <c r="AG38" t="s">
        <v>617</v>
      </c>
      <c r="AH38" t="s">
        <v>627</v>
      </c>
      <c r="AI38" t="s">
        <v>628</v>
      </c>
      <c r="AJ38">
        <v>7.67</v>
      </c>
      <c r="AK38">
        <v>1.2</v>
      </c>
      <c r="AL38">
        <v>0.09</v>
      </c>
      <c r="AM38">
        <v>217.4</v>
      </c>
      <c r="AN38">
        <v>58.91</v>
      </c>
      <c r="AO38">
        <v>95.09</v>
      </c>
    </row>
    <row r="39" spans="1:61" x14ac:dyDescent="0.25">
      <c r="A39" t="s">
        <v>348</v>
      </c>
      <c r="B39" t="s">
        <v>355</v>
      </c>
      <c r="C39" s="132" t="s">
        <v>374</v>
      </c>
      <c r="D39" t="s">
        <v>367</v>
      </c>
      <c r="E39" s="238" t="s">
        <v>366</v>
      </c>
      <c r="F39" s="237" t="s">
        <v>356</v>
      </c>
      <c r="G39" t="s">
        <v>374</v>
      </c>
      <c r="H39" t="s">
        <v>366</v>
      </c>
      <c r="I39" t="s">
        <v>375</v>
      </c>
      <c r="J39" t="s">
        <v>377</v>
      </c>
      <c r="K39" s="96" t="s">
        <v>378</v>
      </c>
      <c r="L39" s="11" t="s">
        <v>630</v>
      </c>
      <c r="M39" s="11" t="s">
        <v>586</v>
      </c>
      <c r="N39" s="11"/>
      <c r="O39" s="11"/>
      <c r="P39" s="11"/>
      <c r="Q39" s="11"/>
      <c r="R39" s="11"/>
      <c r="S39" s="11" t="s">
        <v>555</v>
      </c>
      <c r="T39" t="s">
        <v>582</v>
      </c>
      <c r="U39" s="96" t="s">
        <v>622</v>
      </c>
      <c r="V39" s="96" t="s">
        <v>623</v>
      </c>
      <c r="X39" t="s">
        <v>374</v>
      </c>
      <c r="Y39" t="s">
        <v>366</v>
      </c>
      <c r="Z39" t="s">
        <v>611</v>
      </c>
      <c r="AA39" t="s">
        <v>377</v>
      </c>
      <c r="AB39" t="s">
        <v>612</v>
      </c>
      <c r="AC39" s="96" t="s">
        <v>612</v>
      </c>
      <c r="AD39" t="s">
        <v>374</v>
      </c>
      <c r="AE39" t="s">
        <v>366</v>
      </c>
      <c r="AF39" t="s">
        <v>613</v>
      </c>
      <c r="AG39" s="96" t="s">
        <v>613</v>
      </c>
      <c r="AH39" s="96" t="s">
        <v>110</v>
      </c>
      <c r="AI39" s="96" t="s">
        <v>110</v>
      </c>
      <c r="AJ39" t="s">
        <v>374</v>
      </c>
      <c r="AK39" t="s">
        <v>367</v>
      </c>
      <c r="AL39" t="s">
        <v>366</v>
      </c>
      <c r="AM39" s="96" t="s">
        <v>523</v>
      </c>
      <c r="AP39" t="s">
        <v>522</v>
      </c>
      <c r="AQ39" t="s">
        <v>516</v>
      </c>
      <c r="AR39" t="s">
        <v>192</v>
      </c>
      <c r="AS39" t="s">
        <v>290</v>
      </c>
      <c r="AT39" t="s">
        <v>294</v>
      </c>
      <c r="AU39" t="s">
        <v>289</v>
      </c>
      <c r="AV39" s="160" t="s">
        <v>522</v>
      </c>
      <c r="AW39" s="108" t="s">
        <v>516</v>
      </c>
      <c r="AX39" s="108" t="s">
        <v>192</v>
      </c>
      <c r="AY39" s="108" t="s">
        <v>290</v>
      </c>
      <c r="AZ39" s="108" t="s">
        <v>294</v>
      </c>
      <c r="BA39" s="51" t="s">
        <v>289</v>
      </c>
    </row>
    <row r="40" spans="1:61" x14ac:dyDescent="0.25">
      <c r="A40" s="138">
        <v>0</v>
      </c>
      <c r="B40">
        <f>A40*$B$5</f>
        <v>0</v>
      </c>
      <c r="C40" s="132">
        <f>($B$33*B40*($C$8))/$B$34</f>
        <v>0</v>
      </c>
      <c r="D40">
        <v>1.06</v>
      </c>
      <c r="E40" s="238" t="e">
        <f t="shared" ref="E40:E41" si="40">0.455/(LOG10(C40))^2.58</f>
        <v>#NUM!</v>
      </c>
      <c r="F40" s="237" t="e">
        <f>E40*(1+$D$8*$E$8+100*$E$8^4)*D40*($F$8/$F$1)</f>
        <v>#NUM!</v>
      </c>
      <c r="G40">
        <f>($B$33*B40*$J$8)/$B$34</f>
        <v>0</v>
      </c>
      <c r="H40" t="e">
        <f>1.328/SQRT(G40)</f>
        <v>#DIV/0!</v>
      </c>
      <c r="I40" t="e">
        <f>H40*(1+(60/(($J$8/$H$8)^3))+0.0025*($J$8/$H$8))*($G$8/$I$8)</f>
        <v>#DIV/0!</v>
      </c>
      <c r="J40" t="e">
        <f>(0.029*($K$8/$H$8)^3)/SQRT(I40)</f>
        <v>#DIV/0!</v>
      </c>
      <c r="K40" s="96" t="e">
        <f>I40+J40</f>
        <v>#DIV/0!</v>
      </c>
      <c r="L40">
        <f t="shared" ref="L40:L59" si="41">$N$8*$O$8*$R$8</f>
        <v>5.4197047970479702E-3</v>
      </c>
      <c r="M40">
        <f t="shared" ref="M40:M59" si="42">$N$8*$P$8*$R$8</f>
        <v>8.1295571955719553E-3</v>
      </c>
      <c r="Q40" s="29"/>
      <c r="R40" s="29"/>
      <c r="S40" s="29">
        <v>0.6</v>
      </c>
      <c r="T40">
        <v>0.92</v>
      </c>
      <c r="U40" s="96">
        <v>1.4999999999999999E-2</v>
      </c>
      <c r="V40" s="96">
        <v>1.4E-2</v>
      </c>
      <c r="X40">
        <f>$B$33*B40*$Z$2/$B$34</f>
        <v>0</v>
      </c>
      <c r="Z40">
        <f t="shared" ref="Z40:Z59" si="43">Y40*(1+(60/($Z$2/$Z$1)^3)+0.0025*($Z$2/$Z$1))*($AC$1/$AC$2)</f>
        <v>0</v>
      </c>
      <c r="AA40" t="e">
        <f>0.029*($Z$1/$Z$1)^3/SQRT(Z40)</f>
        <v>#DIV/0!</v>
      </c>
      <c r="AB40" t="e">
        <f>Z40+AA40</f>
        <v>#DIV/0!</v>
      </c>
      <c r="AC40" s="96" t="e">
        <f>2*AB40</f>
        <v>#DIV/0!</v>
      </c>
      <c r="AD40">
        <f>$B$33*B40*$Z$4/$B$34</f>
        <v>0</v>
      </c>
      <c r="AF40">
        <f t="shared" ref="AF40:AF59" si="44">AE40*(1+(60/($Z$4/$Z$3)^3)+0.0025*($Z$4/$Z$3))*($AC$3/$AC$4)</f>
        <v>0</v>
      </c>
      <c r="AG40" s="96">
        <f>12*AF40</f>
        <v>0</v>
      </c>
      <c r="AH40" s="96">
        <v>2.3999999999999998E-3</v>
      </c>
      <c r="AI40" s="96">
        <v>3.7000000000000002E-3</v>
      </c>
      <c r="AJ40">
        <f>($B$33*B40*$AJ$8)/$B$34</f>
        <v>0</v>
      </c>
      <c r="AK40">
        <v>1.06</v>
      </c>
      <c r="AL40" t="e">
        <f>0.455/(LOG10(AJ40))^2.58</f>
        <v>#NUM!</v>
      </c>
      <c r="AM40" s="96" t="e">
        <f t="shared" ref="AM40:AM59" si="45">AL40*(1+$AK$8*$AL$8+100*$AL$8^4)*AK40*($AM$8/$F$1)</f>
        <v>#NUM!</v>
      </c>
      <c r="AP40" t="e">
        <f t="shared" ref="AP40:AP59" si="46">K40*($I$8/$F$1)+F40</f>
        <v>#DIV/0!</v>
      </c>
      <c r="AQ40" t="e">
        <f t="shared" ref="AQ40:AQ59" si="47">AP40+AC40*($AF$2/$F$1)+AG40*($AF$4/$F$1)</f>
        <v>#DIV/0!</v>
      </c>
      <c r="AR40" t="e">
        <f t="shared" ref="AR40:AR59" si="48">AQ40-AG40*($AF$4/$F$1)</f>
        <v>#DIV/0!</v>
      </c>
      <c r="AS40" t="e">
        <f t="shared" ref="AS40:AS59" si="49">AQ40+L40+U40</f>
        <v>#DIV/0!</v>
      </c>
      <c r="AT40" t="e">
        <f t="shared" ref="AT40:AT59" si="50">AQ40+M40+V40</f>
        <v>#DIV/0!</v>
      </c>
      <c r="AU40" t="e">
        <f t="shared" ref="AU40:AU59" si="51">AP40+AC40*($AF$2/$F$1)</f>
        <v>#DIV/0!</v>
      </c>
      <c r="AV40" s="26" t="e">
        <f t="shared" ref="AV40:AV59" si="52">AP40+F40*(($AN$8+$AO$8)/$F$1)</f>
        <v>#DIV/0!</v>
      </c>
      <c r="AW40" s="27" t="e">
        <f t="shared" ref="AW40:AW59" si="53">AV40+AC40*($AF$2/$F$1)+AG40*($AF$4/$F$1)</f>
        <v>#DIV/0!</v>
      </c>
      <c r="AX40" s="27" t="e">
        <f>AV40+AC40*($AF$2/$F$1)</f>
        <v>#DIV/0!</v>
      </c>
      <c r="AY40" s="27" t="e">
        <f>AW40+L40+U40</f>
        <v>#DIV/0!</v>
      </c>
      <c r="AZ40" s="27" t="e">
        <f>AW40+M40+V40</f>
        <v>#DIV/0!</v>
      </c>
      <c r="BA40" s="93" t="e">
        <f>AV40+AC40*($AF$2/$F$1)+AH40+AI40</f>
        <v>#DIV/0!</v>
      </c>
    </row>
    <row r="41" spans="1:61" x14ac:dyDescent="0.25">
      <c r="A41" s="138">
        <v>0.05</v>
      </c>
      <c r="B41">
        <f>A41*$B$35</f>
        <v>55.820000000000007</v>
      </c>
      <c r="C41" s="132">
        <f>($B$33*B41*($C$8))/$B$34</f>
        <v>4392227.8786042789</v>
      </c>
      <c r="D41">
        <v>1.06</v>
      </c>
      <c r="E41" s="238">
        <f t="shared" si="40"/>
        <v>3.4384663679280229E-3</v>
      </c>
      <c r="F41" s="237">
        <f>E41*(1+$D$8*$E$8+100*$E$8^4)*D41*($F$8/$F$1)</f>
        <v>5.8891349391434408E-3</v>
      </c>
      <c r="G41">
        <f>($B$33*B41*$J$8)/$B$34</f>
        <v>17737775.133689839</v>
      </c>
      <c r="H41">
        <f>0.455/(LOG10(G41))^2.58</f>
        <v>2.7447923118797935E-3</v>
      </c>
      <c r="I41">
        <f>H41*(1+(60/(($J$8/$H$8)^3))+0.0025*($J$8/$H$8))*($G$8/$I$8)</f>
        <v>9.5258040769464883E-2</v>
      </c>
      <c r="J41">
        <f t="shared" ref="J41:J59" si="54">(0.029*($K$8/$H$8)^3)/SQRT(I41)</f>
        <v>0</v>
      </c>
      <c r="K41" s="96">
        <f>I41+J41</f>
        <v>9.5258040769464883E-2</v>
      </c>
      <c r="L41">
        <f t="shared" si="41"/>
        <v>5.4197047970479702E-3</v>
      </c>
      <c r="M41">
        <f t="shared" si="42"/>
        <v>8.1295571955719553E-3</v>
      </c>
      <c r="Q41" s="29"/>
      <c r="R41" s="29"/>
      <c r="S41" s="29">
        <v>0.6</v>
      </c>
      <c r="T41">
        <v>0.92</v>
      </c>
      <c r="U41" s="96">
        <v>1.4999999999999999E-2</v>
      </c>
      <c r="V41" s="96">
        <v>1.4E-2</v>
      </c>
      <c r="X41">
        <f t="shared" ref="X41:X59" si="55">$B$33*B41*$Z$2/$B$34</f>
        <v>3399740.2339572194</v>
      </c>
      <c r="Y41">
        <f>0.455/(LOG10(X41))^2.58</f>
        <v>3.5915948770503412E-3</v>
      </c>
      <c r="Z41">
        <f t="shared" si="43"/>
        <v>0.62879313050258179</v>
      </c>
      <c r="AA41">
        <f t="shared" ref="AA41:AA59" si="56">0.029*($Z$1/$Z$1)^3/SQRT(Z41)</f>
        <v>3.6571612010965454E-2</v>
      </c>
      <c r="AB41">
        <f t="shared" ref="AB41:AB59" si="57">Z41+AA41</f>
        <v>0.66536474251354727</v>
      </c>
      <c r="AC41" s="96">
        <f t="shared" ref="AC41:AC59" si="58">2*AB41</f>
        <v>1.3307294850270945</v>
      </c>
      <c r="AD41">
        <f>$B$33*B41*$Z$4/$B$34</f>
        <v>2571977.3943850268</v>
      </c>
      <c r="AE41">
        <f>0.455/(LOG10(AD41))^2.58</f>
        <v>3.7693892153524487E-3</v>
      </c>
      <c r="AF41">
        <f t="shared" si="44"/>
        <v>0.1073959969524588</v>
      </c>
      <c r="AG41" s="96">
        <f t="shared" ref="AG41:AG59" si="59">12*AF41</f>
        <v>1.2887519634295055</v>
      </c>
      <c r="AH41" s="96">
        <v>2.3999999999999998E-3</v>
      </c>
      <c r="AI41" s="96">
        <v>3.7000000000000002E-3</v>
      </c>
      <c r="AJ41">
        <f t="shared" ref="AJ41:AJ59" si="60">($B$33*B41*$AJ$8)/$B$34</f>
        <v>2720974.7055080216</v>
      </c>
      <c r="AK41">
        <v>1.06</v>
      </c>
      <c r="AL41">
        <f t="shared" ref="AL41:AL59" si="61">0.455/(LOG10(AJ41))^2.58</f>
        <v>3.7325368624767374E-3</v>
      </c>
      <c r="AM41" s="96">
        <f t="shared" si="45"/>
        <v>1.7687810079393689E-3</v>
      </c>
      <c r="AP41">
        <f>K41*($I$8/$F$1)+F41</f>
        <v>1.0822517235082332E-2</v>
      </c>
      <c r="AQ41">
        <f t="shared" si="47"/>
        <v>3.0341926471557E-2</v>
      </c>
      <c r="AR41">
        <f t="shared" si="48"/>
        <v>1.1509978961664596E-2</v>
      </c>
      <c r="AS41">
        <f t="shared" si="49"/>
        <v>5.0761631268604973E-2</v>
      </c>
      <c r="AT41">
        <f t="shared" si="50"/>
        <v>5.2471483667128956E-2</v>
      </c>
      <c r="AU41">
        <f t="shared" si="51"/>
        <v>1.1509978961664596E-2</v>
      </c>
      <c r="AV41" s="26">
        <f t="shared" si="52"/>
        <v>1.249581387830759E-2</v>
      </c>
      <c r="AW41" s="27">
        <f t="shared" si="53"/>
        <v>3.2015223114782256E-2</v>
      </c>
      <c r="AX41" s="27">
        <f t="shared" ref="AX41:AX59" si="62">AV41+AC41*($AF$2/$F$1)</f>
        <v>1.3183275604889853E-2</v>
      </c>
      <c r="AY41" s="27">
        <f t="shared" ref="AY41:AY59" si="63">AW41+L41+U41</f>
        <v>5.2434927911830229E-2</v>
      </c>
      <c r="AZ41" s="27">
        <f t="shared" ref="AZ41:AZ59" si="64">AW41+M41+V41</f>
        <v>5.4144780310354211E-2</v>
      </c>
      <c r="BA41" s="93">
        <f t="shared" ref="BA41:BA59" si="65">AV41+AC41*($AF$2/$F$1)+AH41+AI41</f>
        <v>1.9283275604889853E-2</v>
      </c>
    </row>
    <row r="42" spans="1:61" x14ac:dyDescent="0.25">
      <c r="A42" s="138">
        <v>0.1</v>
      </c>
      <c r="B42">
        <f t="shared" ref="B42:B59" si="66">A42*$B$35</f>
        <v>111.64000000000001</v>
      </c>
      <c r="C42" s="132">
        <f t="shared" ref="C42:C59" si="67">($B$33*B42*($C$8))/$B$34</f>
        <v>8784455.7572085578</v>
      </c>
      <c r="D42">
        <v>1.06</v>
      </c>
      <c r="E42" s="238">
        <f>0.455/(LOG10(C42))^2.58</f>
        <v>3.0669334359516008E-3</v>
      </c>
      <c r="F42" s="237">
        <f t="shared" ref="F42:F59" si="68">E42*(1+$D$8*$E$8+100*$E$8^4)*D42*($F$8/$F$1)</f>
        <v>5.2528025349200952E-3</v>
      </c>
      <c r="G42">
        <f t="shared" ref="G42:G59" si="69">($B$33*B42*$J$8)/$B$34</f>
        <v>35475550.267379679</v>
      </c>
      <c r="H42">
        <f t="shared" ref="H42:H59" si="70">0.455/(LOG10(G42))^2.58</f>
        <v>2.4712619227098076E-3</v>
      </c>
      <c r="I42">
        <f t="shared" ref="I42:I59" si="71">H42*(1+(60/(($J$8/$H$8)^3))+0.0025*($J$8/$H$8))*($G$8/$I$8)</f>
        <v>8.5765166262906145E-2</v>
      </c>
      <c r="J42">
        <f t="shared" si="54"/>
        <v>0</v>
      </c>
      <c r="K42" s="96">
        <f t="shared" ref="K42:K59" si="72">I42+J42</f>
        <v>8.5765166262906145E-2</v>
      </c>
      <c r="L42">
        <f t="shared" si="41"/>
        <v>5.4197047970479702E-3</v>
      </c>
      <c r="M42">
        <f t="shared" si="42"/>
        <v>8.1295571955719553E-3</v>
      </c>
      <c r="Q42" s="29"/>
      <c r="R42" s="29"/>
      <c r="S42" s="29">
        <v>0.6</v>
      </c>
      <c r="T42">
        <v>0.92</v>
      </c>
      <c r="U42" s="96">
        <v>1.4999999999999999E-2</v>
      </c>
      <c r="V42" s="96">
        <v>1.4E-2</v>
      </c>
      <c r="X42">
        <f t="shared" si="55"/>
        <v>6799480.4679144388</v>
      </c>
      <c r="Y42">
        <f t="shared" ref="Y42:Y59" si="73">0.455/(LOG10(X42))^2.58</f>
        <v>3.1974216003345258E-3</v>
      </c>
      <c r="Z42">
        <f t="shared" si="43"/>
        <v>0.55978383042524349</v>
      </c>
      <c r="AA42">
        <f t="shared" si="56"/>
        <v>3.876036188059824E-2</v>
      </c>
      <c r="AB42">
        <f t="shared" si="57"/>
        <v>0.59854419230584177</v>
      </c>
      <c r="AC42" s="96">
        <f t="shared" si="58"/>
        <v>1.1970883846116835</v>
      </c>
      <c r="AD42">
        <f t="shared" ref="AD42:AD59" si="74">$B$33*B42*$Z$4/$B$34</f>
        <v>5143954.7887700535</v>
      </c>
      <c r="AE42">
        <f t="shared" ref="AE42:AE59" si="75">0.455/(LOG10(AD42))^2.58</f>
        <v>3.3485031370813182E-3</v>
      </c>
      <c r="AF42">
        <f t="shared" si="44"/>
        <v>9.5404271663057455E-2</v>
      </c>
      <c r="AG42" s="96">
        <f t="shared" si="59"/>
        <v>1.1448512599566896</v>
      </c>
      <c r="AH42" s="96">
        <v>2.3999999999999998E-3</v>
      </c>
      <c r="AI42" s="96">
        <v>3.7000000000000002E-3</v>
      </c>
      <c r="AJ42">
        <f t="shared" si="60"/>
        <v>5441949.4110160433</v>
      </c>
      <c r="AK42">
        <v>1.06</v>
      </c>
      <c r="AL42">
        <f t="shared" si="61"/>
        <v>3.3172245575392063E-3</v>
      </c>
      <c r="AM42" s="96">
        <f t="shared" si="45"/>
        <v>1.5719720963591668E-3</v>
      </c>
      <c r="AP42">
        <f t="shared" si="46"/>
        <v>9.6945520127794602E-3</v>
      </c>
      <c r="AQ42">
        <f t="shared" si="47"/>
        <v>2.7042165899399853E-2</v>
      </c>
      <c r="AR42">
        <f t="shared" si="48"/>
        <v>1.0312974056490294E-2</v>
      </c>
      <c r="AS42">
        <f t="shared" si="49"/>
        <v>4.7461870696447819E-2</v>
      </c>
      <c r="AT42">
        <f t="shared" si="50"/>
        <v>4.9171723094971809E-2</v>
      </c>
      <c r="AU42">
        <f t="shared" si="51"/>
        <v>1.0312974056490292E-2</v>
      </c>
      <c r="AV42" s="26">
        <f t="shared" si="52"/>
        <v>1.1187045721963398E-2</v>
      </c>
      <c r="AW42" s="27">
        <f t="shared" si="53"/>
        <v>2.8534659608583791E-2</v>
      </c>
      <c r="AX42" s="27">
        <f t="shared" si="62"/>
        <v>1.1805467765674231E-2</v>
      </c>
      <c r="AY42" s="27">
        <f t="shared" si="63"/>
        <v>4.8954364405631765E-2</v>
      </c>
      <c r="AZ42" s="27">
        <f t="shared" si="64"/>
        <v>5.0664216804155747E-2</v>
      </c>
      <c r="BA42" s="93">
        <f t="shared" si="65"/>
        <v>1.790546776567423E-2</v>
      </c>
    </row>
    <row r="43" spans="1:61" s="99" customFormat="1" x14ac:dyDescent="0.25">
      <c r="A43" s="287">
        <v>0.15</v>
      </c>
      <c r="B43" s="99">
        <f t="shared" si="66"/>
        <v>167.46</v>
      </c>
      <c r="C43" s="288">
        <f t="shared" si="67"/>
        <v>13176683.635812836</v>
      </c>
      <c r="D43" s="99">
        <v>1.06</v>
      </c>
      <c r="E43" s="281">
        <f t="shared" ref="E43:E59" si="76">0.455/(LOG10(C43))^2.58</f>
        <v>2.8750375728366323E-3</v>
      </c>
      <c r="F43" s="281">
        <f t="shared" si="68"/>
        <v>4.9241383831667568E-3</v>
      </c>
      <c r="G43" s="99">
        <f t="shared" si="69"/>
        <v>53213325.401069522</v>
      </c>
      <c r="H43" s="99">
        <f t="shared" si="70"/>
        <v>2.3285485766570448E-3</v>
      </c>
      <c r="I43" s="99">
        <f t="shared" si="71"/>
        <v>8.081229836182606E-2</v>
      </c>
      <c r="J43" s="99">
        <f t="shared" si="54"/>
        <v>0</v>
      </c>
      <c r="K43" s="99">
        <f t="shared" si="72"/>
        <v>8.081229836182606E-2</v>
      </c>
      <c r="L43" s="99">
        <f t="shared" si="41"/>
        <v>5.4197047970479702E-3</v>
      </c>
      <c r="M43" s="99">
        <f t="shared" si="42"/>
        <v>8.1295571955719553E-3</v>
      </c>
      <c r="S43" s="99">
        <v>0.6</v>
      </c>
      <c r="T43" s="99">
        <v>0.92</v>
      </c>
      <c r="U43" s="99">
        <v>1.4999999999999999E-2</v>
      </c>
      <c r="V43" s="99">
        <v>1.4E-2</v>
      </c>
      <c r="X43" s="99">
        <f t="shared" si="55"/>
        <v>10199220.70187166</v>
      </c>
      <c r="Y43" s="99">
        <f t="shared" si="73"/>
        <v>2.9942495046154363E-3</v>
      </c>
      <c r="Z43" s="99">
        <f t="shared" si="43"/>
        <v>0.52421377799135205</v>
      </c>
      <c r="AA43" s="99">
        <f t="shared" si="56"/>
        <v>4.0053805281959814E-2</v>
      </c>
      <c r="AB43" s="99">
        <f t="shared" si="57"/>
        <v>0.56426758327331183</v>
      </c>
      <c r="AC43" s="99">
        <f t="shared" si="58"/>
        <v>1.1285351665466237</v>
      </c>
      <c r="AD43" s="99">
        <f t="shared" si="74"/>
        <v>7715932.1831550803</v>
      </c>
      <c r="AE43" s="99">
        <f t="shared" si="75"/>
        <v>3.1320637516502143E-3</v>
      </c>
      <c r="AF43" s="99">
        <f t="shared" si="44"/>
        <v>8.9237563411365961E-2</v>
      </c>
      <c r="AG43" s="99">
        <f t="shared" si="59"/>
        <v>1.0708507609363915</v>
      </c>
      <c r="AH43" s="99">
        <v>2.3999999999999998E-3</v>
      </c>
      <c r="AI43" s="99">
        <v>3.7000000000000002E-3</v>
      </c>
      <c r="AJ43" s="99">
        <f t="shared" si="60"/>
        <v>8162924.1165240649</v>
      </c>
      <c r="AK43" s="99">
        <v>1.06</v>
      </c>
      <c r="AL43" s="99">
        <f t="shared" si="61"/>
        <v>3.1035502272736648E-3</v>
      </c>
      <c r="AM43" s="99">
        <f t="shared" si="45"/>
        <v>1.4707157360918852E-3</v>
      </c>
      <c r="AP43" s="99">
        <f>K43*($I$8/$F$1)+F43</f>
        <v>9.109380477293063E-3</v>
      </c>
      <c r="AQ43" s="99">
        <f t="shared" si="47"/>
        <v>2.5340243712070325E-2</v>
      </c>
      <c r="AR43" s="99">
        <f t="shared" si="48"/>
        <v>9.6923875744020192E-3</v>
      </c>
      <c r="AS43" s="99">
        <f t="shared" si="49"/>
        <v>4.5759948509118298E-2</v>
      </c>
      <c r="AT43" s="99">
        <f t="shared" si="50"/>
        <v>4.746980090764228E-2</v>
      </c>
      <c r="AU43" s="99">
        <f t="shared" si="51"/>
        <v>9.6923875744020192E-3</v>
      </c>
      <c r="AV43" s="83">
        <f>AP43+F43*(($AN$8+$AO$8)/$F$1)</f>
        <v>1.0508489907196533E-2</v>
      </c>
      <c r="AW43" s="58">
        <f>AV43+AC43*($AF$2/$F$1)+AG43*($AF$4/$F$1)+AH43*(AK1/$F$1)+AI43*(AL3/$F$1)</f>
        <v>2.6823344375086051E-2</v>
      </c>
      <c r="AX43" s="58">
        <f>AV43+AC43*($AF$2/$F$1)+AH43*(AK1/$F$1)+AI43*(AL3/$F$1)</f>
        <v>1.1175488237417746E-2</v>
      </c>
      <c r="AY43" s="58">
        <f t="shared" si="63"/>
        <v>4.7243049172134025E-2</v>
      </c>
      <c r="AZ43" s="58">
        <f t="shared" si="64"/>
        <v>4.8952901570658007E-2</v>
      </c>
      <c r="BA43" s="21">
        <f>AV43+AC43*($AF$2/$F$1)+AH43+AI43</f>
        <v>1.7191497004305487E-2</v>
      </c>
      <c r="BB43"/>
    </row>
    <row r="44" spans="1:61" x14ac:dyDescent="0.25">
      <c r="A44" s="138">
        <v>0.2</v>
      </c>
      <c r="B44">
        <f t="shared" si="66"/>
        <v>223.28000000000003</v>
      </c>
      <c r="C44" s="132">
        <f t="shared" si="67"/>
        <v>17568911.514417116</v>
      </c>
      <c r="D44">
        <v>1.06</v>
      </c>
      <c r="E44" s="238">
        <f t="shared" si="76"/>
        <v>2.7488548697629824E-3</v>
      </c>
      <c r="F44" s="237">
        <f t="shared" si="68"/>
        <v>4.7080225670232999E-3</v>
      </c>
      <c r="G44">
        <f t="shared" si="69"/>
        <v>70951100.534759358</v>
      </c>
      <c r="H44">
        <f t="shared" si="70"/>
        <v>2.2341420723641396E-3</v>
      </c>
      <c r="I44">
        <f t="shared" si="71"/>
        <v>7.7535919819116825E-2</v>
      </c>
      <c r="J44">
        <f t="shared" si="54"/>
        <v>0</v>
      </c>
      <c r="K44" s="96">
        <f t="shared" si="72"/>
        <v>7.7535919819116825E-2</v>
      </c>
      <c r="L44">
        <f t="shared" si="41"/>
        <v>5.4197047970479702E-3</v>
      </c>
      <c r="M44">
        <f t="shared" si="42"/>
        <v>8.1295571955719553E-3</v>
      </c>
      <c r="Q44" s="29"/>
      <c r="R44" s="29"/>
      <c r="S44" s="29">
        <v>0.6</v>
      </c>
      <c r="T44">
        <v>0.92</v>
      </c>
      <c r="U44" s="96">
        <v>1.4999999999999999E-2</v>
      </c>
      <c r="V44" s="96">
        <v>1.4E-2</v>
      </c>
      <c r="X44">
        <f t="shared" si="55"/>
        <v>13598960.935828878</v>
      </c>
      <c r="Y44">
        <f t="shared" si="73"/>
        <v>2.8608139841650119E-3</v>
      </c>
      <c r="Z44">
        <f t="shared" si="43"/>
        <v>0.50085275273753205</v>
      </c>
      <c r="AA44">
        <f t="shared" si="56"/>
        <v>4.097726472053289E-2</v>
      </c>
      <c r="AB44">
        <f t="shared" si="57"/>
        <v>0.54183001745806492</v>
      </c>
      <c r="AC44" s="96">
        <f t="shared" si="58"/>
        <v>1.0836600349161298</v>
      </c>
      <c r="AD44">
        <f t="shared" si="74"/>
        <v>10287909.577540107</v>
      </c>
      <c r="AE44">
        <f t="shared" si="75"/>
        <v>2.9901088732192157E-3</v>
      </c>
      <c r="AF44">
        <f t="shared" si="44"/>
        <v>8.5193039266905413E-2</v>
      </c>
      <c r="AG44" s="96">
        <f t="shared" si="59"/>
        <v>1.022316471202865</v>
      </c>
      <c r="AH44" s="96">
        <v>2.3999999999999998E-3</v>
      </c>
      <c r="AI44" s="96">
        <v>3.7000000000000002E-3</v>
      </c>
      <c r="AJ44">
        <f t="shared" si="60"/>
        <v>10883898.822032087</v>
      </c>
      <c r="AK44">
        <v>1.06</v>
      </c>
      <c r="AL44">
        <f t="shared" si="61"/>
        <v>2.963369656426611E-3</v>
      </c>
      <c r="AM44" s="96">
        <f t="shared" si="45"/>
        <v>1.4042867253327412E-3</v>
      </c>
      <c r="AP44">
        <f t="shared" si="46"/>
        <v>8.7235821045188889E-3</v>
      </c>
      <c r="AQ44">
        <f t="shared" si="47"/>
        <v>2.4222053067070932E-2</v>
      </c>
      <c r="AR44">
        <f t="shared" si="48"/>
        <v>9.283406476800286E-3</v>
      </c>
      <c r="AS44">
        <f t="shared" si="49"/>
        <v>4.4641757864118906E-2</v>
      </c>
      <c r="AT44">
        <f t="shared" si="50"/>
        <v>4.6351610262642888E-2</v>
      </c>
      <c r="AU44">
        <f t="shared" si="51"/>
        <v>9.2834064768002843E-3</v>
      </c>
      <c r="AV44" s="26">
        <f t="shared" si="52"/>
        <v>1.006128593352551E-2</v>
      </c>
      <c r="AW44" s="27">
        <f t="shared" si="53"/>
        <v>2.5559756896077552E-2</v>
      </c>
      <c r="AX44" s="27">
        <f t="shared" si="62"/>
        <v>1.0621110305806905E-2</v>
      </c>
      <c r="AY44" s="27">
        <f t="shared" si="63"/>
        <v>4.5979461693125522E-2</v>
      </c>
      <c r="AZ44" s="27">
        <f t="shared" si="64"/>
        <v>4.7689314091649504E-2</v>
      </c>
      <c r="BA44" s="93">
        <f t="shared" si="65"/>
        <v>1.6721110305806905E-2</v>
      </c>
    </row>
    <row r="45" spans="1:61" x14ac:dyDescent="0.25">
      <c r="A45" s="138">
        <v>0.25</v>
      </c>
      <c r="B45">
        <f t="shared" si="66"/>
        <v>279.10000000000002</v>
      </c>
      <c r="C45" s="132">
        <f t="shared" si="67"/>
        <v>21961139.393021394</v>
      </c>
      <c r="D45">
        <v>1.06</v>
      </c>
      <c r="E45" s="238">
        <f t="shared" si="76"/>
        <v>2.6562134311613507E-3</v>
      </c>
      <c r="F45" s="237">
        <f t="shared" si="68"/>
        <v>4.5493535923983881E-3</v>
      </c>
      <c r="G45">
        <f t="shared" si="69"/>
        <v>88688875.668449208</v>
      </c>
      <c r="H45">
        <f t="shared" si="70"/>
        <v>2.1645347819596711E-3</v>
      </c>
      <c r="I45">
        <f t="shared" si="71"/>
        <v>7.5120198207502514E-2</v>
      </c>
      <c r="J45">
        <f t="shared" si="54"/>
        <v>0</v>
      </c>
      <c r="K45" s="96">
        <f t="shared" si="72"/>
        <v>7.5120198207502514E-2</v>
      </c>
      <c r="L45">
        <f t="shared" si="41"/>
        <v>5.4197047970479702E-3</v>
      </c>
      <c r="M45">
        <f t="shared" si="42"/>
        <v>8.1295571955719553E-3</v>
      </c>
      <c r="Q45" s="29"/>
      <c r="R45" s="29"/>
      <c r="S45" s="29">
        <v>0.6</v>
      </c>
      <c r="T45">
        <v>0.92</v>
      </c>
      <c r="U45" s="96">
        <v>1.4999999999999999E-2</v>
      </c>
      <c r="V45" s="96">
        <v>1.4E-2</v>
      </c>
      <c r="X45">
        <f t="shared" si="55"/>
        <v>16998701.169786099</v>
      </c>
      <c r="Y45">
        <f t="shared" si="73"/>
        <v>2.7629317792580289E-3</v>
      </c>
      <c r="Z45">
        <f t="shared" si="43"/>
        <v>0.48371617131593692</v>
      </c>
      <c r="AA45">
        <f t="shared" si="56"/>
        <v>4.1696796927996722E-2</v>
      </c>
      <c r="AB45">
        <f t="shared" si="57"/>
        <v>0.52541296824393369</v>
      </c>
      <c r="AC45" s="96">
        <f t="shared" si="58"/>
        <v>1.0508259364878674</v>
      </c>
      <c r="AD45">
        <f t="shared" si="74"/>
        <v>12859886.971925136</v>
      </c>
      <c r="AE45">
        <f t="shared" si="75"/>
        <v>2.8860779190949741E-3</v>
      </c>
      <c r="AF45">
        <f t="shared" si="44"/>
        <v>8.2229029080166507E-2</v>
      </c>
      <c r="AG45" s="96">
        <f t="shared" si="59"/>
        <v>0.98674834896199815</v>
      </c>
      <c r="AH45" s="96">
        <v>2.3999999999999998E-3</v>
      </c>
      <c r="AI45" s="96">
        <v>3.7000000000000002E-3</v>
      </c>
      <c r="AJ45">
        <f t="shared" si="60"/>
        <v>13604873.527540108</v>
      </c>
      <c r="AK45">
        <v>1.06</v>
      </c>
      <c r="AL45">
        <f t="shared" si="61"/>
        <v>2.8606186636684428E-3</v>
      </c>
      <c r="AM45" s="96">
        <f t="shared" si="45"/>
        <v>1.3555949076136345E-3</v>
      </c>
      <c r="AP45">
        <f t="shared" si="46"/>
        <v>8.4398037098976416E-3</v>
      </c>
      <c r="AQ45">
        <f t="shared" si="47"/>
        <v>2.3401571580738287E-2</v>
      </c>
      <c r="AR45">
        <f t="shared" si="48"/>
        <v>8.9826658173083503E-3</v>
      </c>
      <c r="AS45">
        <f t="shared" si="49"/>
        <v>4.3821276377786253E-2</v>
      </c>
      <c r="AT45">
        <f t="shared" si="50"/>
        <v>4.5531128776310242E-2</v>
      </c>
      <c r="AU45">
        <f t="shared" si="51"/>
        <v>8.9826658173083485E-3</v>
      </c>
      <c r="AV45" s="26">
        <f t="shared" si="52"/>
        <v>9.7324244723134192E-3</v>
      </c>
      <c r="AW45" s="27">
        <f t="shared" si="53"/>
        <v>2.4694192343154064E-2</v>
      </c>
      <c r="AX45" s="27">
        <f t="shared" si="62"/>
        <v>1.0275286579724126E-2</v>
      </c>
      <c r="AY45" s="27">
        <f t="shared" si="63"/>
        <v>4.5113897140202031E-2</v>
      </c>
      <c r="AZ45" s="27">
        <f t="shared" si="64"/>
        <v>4.682374953872602E-2</v>
      </c>
      <c r="BA45" s="93">
        <f t="shared" si="65"/>
        <v>1.6375286579724126E-2</v>
      </c>
    </row>
    <row r="46" spans="1:61" x14ac:dyDescent="0.25">
      <c r="A46" s="138">
        <v>0.3</v>
      </c>
      <c r="B46">
        <f t="shared" si="66"/>
        <v>334.92</v>
      </c>
      <c r="C46" s="132">
        <f>($B$33*B46*($C$8))/$B$34</f>
        <v>26353367.271625672</v>
      </c>
      <c r="D46">
        <v>1.1499999999999999</v>
      </c>
      <c r="E46" s="238">
        <f t="shared" si="76"/>
        <v>2.5837058474925691E-3</v>
      </c>
      <c r="F46" s="237">
        <f t="shared" si="68"/>
        <v>4.8008901389905165E-3</v>
      </c>
      <c r="G46">
        <f t="shared" si="69"/>
        <v>106426650.80213904</v>
      </c>
      <c r="H46">
        <f t="shared" si="70"/>
        <v>2.1098760560915907E-3</v>
      </c>
      <c r="I46">
        <f t="shared" si="71"/>
        <v>7.322326665657479E-2</v>
      </c>
      <c r="J46">
        <f t="shared" si="54"/>
        <v>0</v>
      </c>
      <c r="K46" s="96">
        <f t="shared" si="72"/>
        <v>7.322326665657479E-2</v>
      </c>
      <c r="L46">
        <f t="shared" si="41"/>
        <v>5.4197047970479702E-3</v>
      </c>
      <c r="M46">
        <f t="shared" si="42"/>
        <v>8.1295571955719553E-3</v>
      </c>
      <c r="Q46" s="29"/>
      <c r="R46" s="29"/>
      <c r="S46" s="29">
        <v>0.6</v>
      </c>
      <c r="T46">
        <v>0.92</v>
      </c>
      <c r="U46" s="96">
        <v>1.4999999999999999E-2</v>
      </c>
      <c r="V46" s="96">
        <v>1.4E-2</v>
      </c>
      <c r="X46">
        <f t="shared" si="55"/>
        <v>20398441.403743319</v>
      </c>
      <c r="Y46">
        <f t="shared" si="73"/>
        <v>2.6863731622254134E-3</v>
      </c>
      <c r="Z46">
        <f t="shared" si="43"/>
        <v>0.47031278532201826</v>
      </c>
      <c r="AA46">
        <f t="shared" si="56"/>
        <v>4.2286778934489101E-2</v>
      </c>
      <c r="AB46">
        <f t="shared" si="57"/>
        <v>0.51259956425650732</v>
      </c>
      <c r="AC46" s="96">
        <f t="shared" si="58"/>
        <v>1.0251991285130146</v>
      </c>
      <c r="AD46">
        <f t="shared" si="74"/>
        <v>15431864.366310161</v>
      </c>
      <c r="AE46">
        <f t="shared" si="75"/>
        <v>2.8047706962656387E-3</v>
      </c>
      <c r="AF46">
        <f t="shared" si="44"/>
        <v>7.9912454761009666E-2</v>
      </c>
      <c r="AG46" s="96">
        <f t="shared" si="59"/>
        <v>0.95894945713211599</v>
      </c>
      <c r="AH46" s="96">
        <v>2.3999999999999998E-3</v>
      </c>
      <c r="AI46" s="96">
        <v>3.7000000000000002E-3</v>
      </c>
      <c r="AJ46">
        <f t="shared" si="60"/>
        <v>16325848.23304813</v>
      </c>
      <c r="AK46">
        <v>1.1499999999999999</v>
      </c>
      <c r="AL46">
        <f t="shared" si="61"/>
        <v>2.7802995679636192E-3</v>
      </c>
      <c r="AM46" s="96">
        <f t="shared" si="45"/>
        <v>1.4293991786474955E-3</v>
      </c>
      <c r="AP46">
        <f t="shared" si="46"/>
        <v>8.593098801444491E-3</v>
      </c>
      <c r="AQ46">
        <f t="shared" si="47"/>
        <v>2.3135415141795047E-2</v>
      </c>
      <c r="AR46">
        <f t="shared" si="48"/>
        <v>9.1227219674659722E-3</v>
      </c>
      <c r="AS46">
        <f t="shared" si="49"/>
        <v>4.355511993884302E-2</v>
      </c>
      <c r="AT46">
        <f t="shared" si="50"/>
        <v>4.5264972337367003E-2</v>
      </c>
      <c r="AU46">
        <f t="shared" si="51"/>
        <v>9.122721967465974E-3</v>
      </c>
      <c r="AV46" s="26">
        <f t="shared" si="52"/>
        <v>9.957189357541427E-3</v>
      </c>
      <c r="AW46" s="27">
        <f>AV46+AC46*($AF$2/$F$1)+AG46*($AF$4/$F$1)</f>
        <v>2.4499505697891985E-2</v>
      </c>
      <c r="AX46" s="27">
        <f t="shared" si="62"/>
        <v>1.048681252356291E-2</v>
      </c>
      <c r="AY46" s="27">
        <f t="shared" si="63"/>
        <v>4.4919210494939951E-2</v>
      </c>
      <c r="AZ46" s="27">
        <f t="shared" si="64"/>
        <v>4.6629062893463941E-2</v>
      </c>
      <c r="BA46" s="93">
        <f t="shared" si="65"/>
        <v>1.6586812523562908E-2</v>
      </c>
    </row>
    <row r="47" spans="1:61" x14ac:dyDescent="0.25">
      <c r="A47" s="138">
        <v>0.35</v>
      </c>
      <c r="B47">
        <f t="shared" si="66"/>
        <v>390.74</v>
      </c>
      <c r="C47" s="132">
        <f t="shared" si="67"/>
        <v>30745595.15022995</v>
      </c>
      <c r="D47">
        <v>1.1499999999999999</v>
      </c>
      <c r="E47" s="238">
        <f t="shared" si="76"/>
        <v>2.5245270382443473E-3</v>
      </c>
      <c r="F47" s="237">
        <f t="shared" si="68"/>
        <v>4.6909275586787093E-3</v>
      </c>
      <c r="G47">
        <f t="shared" si="69"/>
        <v>124164425.93582886</v>
      </c>
      <c r="H47">
        <f t="shared" si="70"/>
        <v>2.0651458560973163E-3</v>
      </c>
      <c r="I47">
        <f t="shared" si="71"/>
        <v>7.167090468141217E-2</v>
      </c>
      <c r="J47">
        <f t="shared" si="54"/>
        <v>0</v>
      </c>
      <c r="K47" s="96">
        <f t="shared" si="72"/>
        <v>7.167090468141217E-2</v>
      </c>
      <c r="L47">
        <f t="shared" si="41"/>
        <v>5.4197047970479702E-3</v>
      </c>
      <c r="M47">
        <f t="shared" si="42"/>
        <v>8.1295571955719553E-3</v>
      </c>
      <c r="Q47" s="29"/>
      <c r="R47" s="29"/>
      <c r="S47" s="29">
        <v>0.6</v>
      </c>
      <c r="T47">
        <v>0.92</v>
      </c>
      <c r="U47" s="96">
        <v>1.4999999999999999E-2</v>
      </c>
      <c r="V47" s="96">
        <v>1.4E-2</v>
      </c>
      <c r="X47">
        <f t="shared" si="55"/>
        <v>23798181.637700535</v>
      </c>
      <c r="Y47">
        <f t="shared" si="73"/>
        <v>2.6239215883836963E-3</v>
      </c>
      <c r="Z47">
        <f t="shared" si="43"/>
        <v>0.45937916893012809</v>
      </c>
      <c r="AA47">
        <f t="shared" si="56"/>
        <v>4.2787050436121174E-2</v>
      </c>
      <c r="AB47">
        <f t="shared" si="57"/>
        <v>0.50216621936624928</v>
      </c>
      <c r="AC47" s="96">
        <f t="shared" si="58"/>
        <v>1.0043324387324986</v>
      </c>
      <c r="AD47">
        <f t="shared" si="74"/>
        <v>18003841.760695186</v>
      </c>
      <c r="AE47">
        <f t="shared" si="75"/>
        <v>2.7384856051863287E-3</v>
      </c>
      <c r="AF47">
        <f t="shared" si="44"/>
        <v>7.8023885278571278E-2</v>
      </c>
      <c r="AG47" s="96">
        <f t="shared" si="59"/>
        <v>0.93628662334285528</v>
      </c>
      <c r="AH47" s="96">
        <v>2.3999999999999998E-3</v>
      </c>
      <c r="AI47" s="96">
        <v>3.7000000000000002E-3</v>
      </c>
      <c r="AJ47">
        <f t="shared" si="60"/>
        <v>19046822.93855615</v>
      </c>
      <c r="AK47">
        <v>1.1499999999999999</v>
      </c>
      <c r="AL47">
        <f t="shared" si="61"/>
        <v>2.7148119418861942E-3</v>
      </c>
      <c r="AM47" s="96">
        <f t="shared" si="45"/>
        <v>1.3957308790134358E-3</v>
      </c>
      <c r="AP47">
        <f t="shared" si="46"/>
        <v>8.4027399099835792E-3</v>
      </c>
      <c r="AQ47">
        <f t="shared" si="47"/>
        <v>2.2603114706515891E-2</v>
      </c>
      <c r="AR47">
        <f t="shared" si="48"/>
        <v>8.9215832362660504E-3</v>
      </c>
      <c r="AS47">
        <f t="shared" si="49"/>
        <v>4.3022819503563861E-2</v>
      </c>
      <c r="AT47">
        <f t="shared" si="50"/>
        <v>4.4732671902087844E-2</v>
      </c>
      <c r="AU47">
        <f t="shared" si="51"/>
        <v>8.9215832362660504E-3</v>
      </c>
      <c r="AV47" s="26">
        <f t="shared" si="52"/>
        <v>9.7355864856967182E-3</v>
      </c>
      <c r="AW47" s="27">
        <f t="shared" si="53"/>
        <v>2.393596128222903E-2</v>
      </c>
      <c r="AX47" s="27">
        <f t="shared" si="62"/>
        <v>1.0254429811979189E-2</v>
      </c>
      <c r="AY47" s="27">
        <f t="shared" si="63"/>
        <v>4.4355666079277004E-2</v>
      </c>
      <c r="AZ47" s="27">
        <f t="shared" si="64"/>
        <v>4.6065518477800986E-2</v>
      </c>
      <c r="BA47" s="93">
        <f t="shared" si="65"/>
        <v>1.6354429811979189E-2</v>
      </c>
    </row>
    <row r="48" spans="1:61" x14ac:dyDescent="0.25">
      <c r="A48" s="138">
        <v>0.4</v>
      </c>
      <c r="B48">
        <f t="shared" si="66"/>
        <v>446.56000000000006</v>
      </c>
      <c r="C48" s="132">
        <f t="shared" si="67"/>
        <v>35137823.028834231</v>
      </c>
      <c r="D48">
        <v>1.1499999999999999</v>
      </c>
      <c r="E48" s="238">
        <f t="shared" si="76"/>
        <v>2.4747736457460499E-3</v>
      </c>
      <c r="F48" s="237">
        <f t="shared" si="68"/>
        <v>4.5984787330284483E-3</v>
      </c>
      <c r="G48">
        <f t="shared" si="69"/>
        <v>141902201.06951872</v>
      </c>
      <c r="H48">
        <f t="shared" si="70"/>
        <v>2.0274554929553988E-3</v>
      </c>
      <c r="I48">
        <f t="shared" si="71"/>
        <v>7.0362860304703068E-2</v>
      </c>
      <c r="J48">
        <f t="shared" si="54"/>
        <v>0</v>
      </c>
      <c r="K48" s="96">
        <f t="shared" si="72"/>
        <v>7.0362860304703068E-2</v>
      </c>
      <c r="L48">
        <f t="shared" si="41"/>
        <v>5.4197047970479702E-3</v>
      </c>
      <c r="M48">
        <f t="shared" si="42"/>
        <v>8.1295571955719553E-3</v>
      </c>
      <c r="Q48" s="29"/>
      <c r="R48" s="29"/>
      <c r="S48" s="29">
        <v>0.6</v>
      </c>
      <c r="T48">
        <v>0.92</v>
      </c>
      <c r="U48" s="96">
        <v>1.4999999999999999E-2</v>
      </c>
      <c r="V48" s="96">
        <v>1.4E-2</v>
      </c>
      <c r="X48">
        <f t="shared" si="55"/>
        <v>27197921.871657755</v>
      </c>
      <c r="Y48">
        <f t="shared" si="73"/>
        <v>2.5714403663508038E-3</v>
      </c>
      <c r="Z48">
        <f t="shared" si="43"/>
        <v>0.45019109704999299</v>
      </c>
      <c r="AA48">
        <f t="shared" si="56"/>
        <v>4.3221471321682074E-2</v>
      </c>
      <c r="AB48">
        <f t="shared" si="57"/>
        <v>0.49341256837167508</v>
      </c>
      <c r="AC48" s="96">
        <f t="shared" si="58"/>
        <v>0.98682513674335015</v>
      </c>
      <c r="AD48">
        <f t="shared" si="74"/>
        <v>20575819.155080214</v>
      </c>
      <c r="AE48">
        <f t="shared" si="75"/>
        <v>2.682811129661651E-3</v>
      </c>
      <c r="AF48">
        <f t="shared" si="44"/>
        <v>7.6437629399389279E-2</v>
      </c>
      <c r="AG48" s="96">
        <f t="shared" si="59"/>
        <v>0.91725155279267134</v>
      </c>
      <c r="AH48" s="96">
        <v>2.3999999999999998E-3</v>
      </c>
      <c r="AI48" s="96">
        <v>3.7000000000000002E-3</v>
      </c>
      <c r="AJ48">
        <f t="shared" si="60"/>
        <v>21767797.644064173</v>
      </c>
      <c r="AK48">
        <v>1.1499999999999999</v>
      </c>
      <c r="AL48">
        <f t="shared" si="61"/>
        <v>2.6598015709167664E-3</v>
      </c>
      <c r="AM48" s="96">
        <f t="shared" si="45"/>
        <v>1.3674491139882424E-3</v>
      </c>
      <c r="AP48">
        <f t="shared" si="46"/>
        <v>8.2425479004694345E-3</v>
      </c>
      <c r="AQ48">
        <f t="shared" si="47"/>
        <v>2.2155727487934554E-2</v>
      </c>
      <c r="AR48">
        <f t="shared" si="48"/>
        <v>8.7523468641006845E-3</v>
      </c>
      <c r="AS48">
        <f t="shared" si="49"/>
        <v>4.257543228498252E-2</v>
      </c>
      <c r="AT48">
        <f t="shared" si="50"/>
        <v>4.4285284683506509E-2</v>
      </c>
      <c r="AU48">
        <f t="shared" si="51"/>
        <v>8.7523468641006862E-3</v>
      </c>
      <c r="AV48" s="26">
        <f t="shared" si="52"/>
        <v>9.5491267286730887E-3</v>
      </c>
      <c r="AW48" s="27">
        <f t="shared" si="53"/>
        <v>2.3462306316138208E-2</v>
      </c>
      <c r="AX48" s="27">
        <f t="shared" si="62"/>
        <v>1.005892569230434E-2</v>
      </c>
      <c r="AY48" s="27">
        <f t="shared" si="63"/>
        <v>4.3882011113186181E-2</v>
      </c>
      <c r="AZ48" s="27">
        <f t="shared" si="64"/>
        <v>4.5591863511710164E-2</v>
      </c>
      <c r="BA48" s="93">
        <f t="shared" si="65"/>
        <v>1.615892569230434E-2</v>
      </c>
    </row>
    <row r="49" spans="1:53" x14ac:dyDescent="0.25">
      <c r="A49" s="138">
        <v>0.45</v>
      </c>
      <c r="B49">
        <f t="shared" si="66"/>
        <v>502.38000000000005</v>
      </c>
      <c r="C49" s="132">
        <f t="shared" si="67"/>
        <v>39530050.907438509</v>
      </c>
      <c r="D49">
        <v>1.1499999999999999</v>
      </c>
      <c r="E49" s="238">
        <f t="shared" si="76"/>
        <v>2.4320103689423229E-3</v>
      </c>
      <c r="F49" s="237">
        <f t="shared" si="68"/>
        <v>4.5190185289509695E-3</v>
      </c>
      <c r="G49">
        <f t="shared" si="69"/>
        <v>159639976.20320857</v>
      </c>
      <c r="H49">
        <f t="shared" si="70"/>
        <v>1.9949979414753713E-3</v>
      </c>
      <c r="I49">
        <f t="shared" si="71"/>
        <v>6.92364207016848E-2</v>
      </c>
      <c r="J49">
        <f t="shared" si="54"/>
        <v>0</v>
      </c>
      <c r="K49" s="96">
        <f t="shared" si="72"/>
        <v>6.92364207016848E-2</v>
      </c>
      <c r="L49">
        <f t="shared" si="41"/>
        <v>5.4197047970479702E-3</v>
      </c>
      <c r="M49">
        <f t="shared" si="42"/>
        <v>8.1295571955719553E-3</v>
      </c>
      <c r="Q49" s="29"/>
      <c r="R49" s="29"/>
      <c r="S49" s="29">
        <v>0.6</v>
      </c>
      <c r="T49">
        <v>0.92</v>
      </c>
      <c r="U49" s="96">
        <v>1.4999999999999999E-2</v>
      </c>
      <c r="V49" s="96">
        <v>1.4E-2</v>
      </c>
      <c r="X49">
        <f t="shared" si="55"/>
        <v>30597662.105614979</v>
      </c>
      <c r="Y49">
        <f t="shared" si="73"/>
        <v>2.526349999789138E-3</v>
      </c>
      <c r="Z49">
        <f t="shared" si="43"/>
        <v>0.44229696819738035</v>
      </c>
      <c r="AA49">
        <f t="shared" si="56"/>
        <v>4.3605474498584304E-2</v>
      </c>
      <c r="AB49">
        <f t="shared" si="57"/>
        <v>0.48590244269596466</v>
      </c>
      <c r="AC49" s="96">
        <f t="shared" si="58"/>
        <v>0.97180488539192933</v>
      </c>
      <c r="AD49">
        <f t="shared" si="74"/>
        <v>23147796.549465243</v>
      </c>
      <c r="AE49">
        <f t="shared" si="75"/>
        <v>2.6349980603313601E-3</v>
      </c>
      <c r="AF49">
        <f t="shared" si="44"/>
        <v>7.5075357701054335E-2</v>
      </c>
      <c r="AG49" s="96">
        <f t="shared" si="59"/>
        <v>0.90090429241265202</v>
      </c>
      <c r="AH49" s="96">
        <v>2.3999999999999998E-3</v>
      </c>
      <c r="AI49" s="96">
        <v>3.7000000000000002E-3</v>
      </c>
      <c r="AJ49">
        <f t="shared" si="60"/>
        <v>24488772.349572197</v>
      </c>
      <c r="AK49">
        <v>1.1499999999999999</v>
      </c>
      <c r="AL49">
        <f t="shared" si="61"/>
        <v>2.6125546206172117E-3</v>
      </c>
      <c r="AM49" s="96">
        <f t="shared" si="45"/>
        <v>1.34315865524417E-3</v>
      </c>
      <c r="AP49">
        <f t="shared" si="46"/>
        <v>8.1047497634459745E-3</v>
      </c>
      <c r="AQ49">
        <f t="shared" si="47"/>
        <v>2.1771294715139597E-2</v>
      </c>
      <c r="AR49">
        <f t="shared" si="48"/>
        <v>8.6067891876336847E-3</v>
      </c>
      <c r="AS49">
        <f t="shared" si="49"/>
        <v>4.2190999512187563E-2</v>
      </c>
      <c r="AT49">
        <f t="shared" si="50"/>
        <v>4.3900851910711552E-2</v>
      </c>
      <c r="AU49">
        <f t="shared" si="51"/>
        <v>8.6067891876336865E-3</v>
      </c>
      <c r="AV49" s="26">
        <f t="shared" si="52"/>
        <v>9.3887513380925599E-3</v>
      </c>
      <c r="AW49" s="27">
        <f t="shared" si="53"/>
        <v>2.3055296289786184E-2</v>
      </c>
      <c r="AX49" s="27">
        <f t="shared" si="62"/>
        <v>9.8907907622802719E-3</v>
      </c>
      <c r="AY49" s="27">
        <f t="shared" si="63"/>
        <v>4.347500108683415E-2</v>
      </c>
      <c r="AZ49" s="27">
        <f t="shared" si="64"/>
        <v>4.518485348535814E-2</v>
      </c>
      <c r="BA49" s="93">
        <f t="shared" si="65"/>
        <v>1.5990790762280271E-2</v>
      </c>
    </row>
    <row r="50" spans="1:53" x14ac:dyDescent="0.25">
      <c r="A50" s="138">
        <v>0.5</v>
      </c>
      <c r="B50">
        <f t="shared" si="66"/>
        <v>558.20000000000005</v>
      </c>
      <c r="C50" s="132">
        <f t="shared" si="67"/>
        <v>43922278.786042787</v>
      </c>
      <c r="D50">
        <v>1.1499999999999999</v>
      </c>
      <c r="E50" s="238">
        <f t="shared" si="76"/>
        <v>2.3946212903045616E-3</v>
      </c>
      <c r="F50" s="237">
        <f t="shared" si="68"/>
        <v>4.4495443436012045E-3</v>
      </c>
      <c r="G50">
        <f t="shared" si="69"/>
        <v>177377751.33689842</v>
      </c>
      <c r="H50">
        <f t="shared" si="70"/>
        <v>1.9665714630046531E-3</v>
      </c>
      <c r="I50">
        <f t="shared" si="71"/>
        <v>6.824987952209316E-2</v>
      </c>
      <c r="J50">
        <f t="shared" si="54"/>
        <v>0</v>
      </c>
      <c r="K50" s="96">
        <f t="shared" si="72"/>
        <v>6.824987952209316E-2</v>
      </c>
      <c r="L50">
        <f t="shared" si="41"/>
        <v>5.4197047970479702E-3</v>
      </c>
      <c r="M50">
        <f t="shared" si="42"/>
        <v>8.1295571955719553E-3</v>
      </c>
      <c r="Q50" s="29"/>
      <c r="R50" s="29"/>
      <c r="S50" s="29">
        <v>0.6</v>
      </c>
      <c r="T50">
        <v>0.92</v>
      </c>
      <c r="U50" s="96">
        <v>1.4999999999999999E-2</v>
      </c>
      <c r="V50" s="96">
        <v>1.4E-2</v>
      </c>
      <c r="X50">
        <f t="shared" si="55"/>
        <v>33997402.339572199</v>
      </c>
      <c r="Y50">
        <f t="shared" si="73"/>
        <v>2.4869396720819002E-3</v>
      </c>
      <c r="Z50">
        <f t="shared" si="43"/>
        <v>0.43539726369799137</v>
      </c>
      <c r="AA50">
        <f t="shared" si="56"/>
        <v>4.3949622613574164E-2</v>
      </c>
      <c r="AB50">
        <f t="shared" si="57"/>
        <v>0.47934688631156552</v>
      </c>
      <c r="AC50" s="96">
        <f t="shared" si="58"/>
        <v>0.95869377262313105</v>
      </c>
      <c r="AD50">
        <f t="shared" si="74"/>
        <v>25719773.943850271</v>
      </c>
      <c r="AE50">
        <f t="shared" si="75"/>
        <v>2.5932239563265852E-3</v>
      </c>
      <c r="AF50">
        <f t="shared" si="44"/>
        <v>7.3885145894824339E-2</v>
      </c>
      <c r="AG50" s="96">
        <f t="shared" si="59"/>
        <v>0.88662175073789207</v>
      </c>
      <c r="AH50" s="96">
        <v>2.3999999999999998E-3</v>
      </c>
      <c r="AI50" s="96">
        <v>3.7000000000000002E-3</v>
      </c>
      <c r="AJ50">
        <f t="shared" si="60"/>
        <v>27209747.055080216</v>
      </c>
      <c r="AK50">
        <v>1.1499999999999999</v>
      </c>
      <c r="AL50">
        <f t="shared" si="61"/>
        <v>2.5712719110616367E-3</v>
      </c>
      <c r="AM50" s="96">
        <f t="shared" si="45"/>
        <v>1.3219345138563044E-3</v>
      </c>
      <c r="AP50">
        <f t="shared" si="46"/>
        <v>7.9841829380387606E-3</v>
      </c>
      <c r="AQ50">
        <f t="shared" si="47"/>
        <v>2.1435250322132084E-2</v>
      </c>
      <c r="AR50">
        <f t="shared" si="48"/>
        <v>8.479449093637426E-3</v>
      </c>
      <c r="AS50">
        <f t="shared" si="49"/>
        <v>4.1854955119180054E-2</v>
      </c>
      <c r="AT50">
        <f t="shared" si="50"/>
        <v>4.3564807517704036E-2</v>
      </c>
      <c r="AU50">
        <f t="shared" si="51"/>
        <v>8.479449093637426E-3</v>
      </c>
      <c r="AV50" s="26">
        <f t="shared" si="52"/>
        <v>9.2484446150029407E-3</v>
      </c>
      <c r="AW50" s="27">
        <f t="shared" si="53"/>
        <v>2.2699511999096263E-2</v>
      </c>
      <c r="AX50" s="27">
        <f t="shared" si="62"/>
        <v>9.743710770601606E-3</v>
      </c>
      <c r="AY50" s="27">
        <f t="shared" si="63"/>
        <v>4.3119216796144236E-2</v>
      </c>
      <c r="AZ50" s="27">
        <f t="shared" si="64"/>
        <v>4.4829069194668218E-2</v>
      </c>
      <c r="BA50" s="93">
        <f t="shared" si="65"/>
        <v>1.5843710770601607E-2</v>
      </c>
    </row>
    <row r="51" spans="1:53" x14ac:dyDescent="0.25">
      <c r="A51" s="138">
        <v>0.55000000000000004</v>
      </c>
      <c r="B51">
        <f t="shared" si="66"/>
        <v>614.0200000000001</v>
      </c>
      <c r="C51" s="132">
        <f t="shared" si="67"/>
        <v>48314506.664647065</v>
      </c>
      <c r="D51">
        <v>1.1499999999999999</v>
      </c>
      <c r="E51" s="238">
        <f t="shared" si="76"/>
        <v>2.3614823801953303E-3</v>
      </c>
      <c r="F51" s="237">
        <f t="shared" si="68"/>
        <v>4.3879675712628595E-3</v>
      </c>
      <c r="G51">
        <f t="shared" si="69"/>
        <v>195115526.47058827</v>
      </c>
      <c r="H51">
        <f t="shared" si="70"/>
        <v>1.9413384876730228E-3</v>
      </c>
      <c r="I51">
        <f t="shared" si="71"/>
        <v>6.7374168896384937E-2</v>
      </c>
      <c r="J51">
        <f t="shared" si="54"/>
        <v>0</v>
      </c>
      <c r="K51" s="96">
        <f t="shared" si="72"/>
        <v>6.7374168896384937E-2</v>
      </c>
      <c r="L51">
        <f t="shared" si="41"/>
        <v>5.4197047970479702E-3</v>
      </c>
      <c r="M51">
        <f t="shared" si="42"/>
        <v>8.1295571955719553E-3</v>
      </c>
      <c r="Q51" s="29"/>
      <c r="R51" s="29"/>
      <c r="S51" s="29">
        <v>0.6</v>
      </c>
      <c r="T51">
        <v>0.92</v>
      </c>
      <c r="U51" s="96">
        <v>1.4999999999999999E-2</v>
      </c>
      <c r="V51" s="96">
        <v>1.4E-2</v>
      </c>
      <c r="X51">
        <f t="shared" si="55"/>
        <v>37397142.573529422</v>
      </c>
      <c r="Y51">
        <f t="shared" si="73"/>
        <v>2.4520198137734099E-3</v>
      </c>
      <c r="Z51">
        <f t="shared" si="43"/>
        <v>0.42928372144889032</v>
      </c>
      <c r="AA51">
        <f t="shared" si="56"/>
        <v>4.4261465340554876E-2</v>
      </c>
      <c r="AB51">
        <f t="shared" si="57"/>
        <v>0.47354518678944518</v>
      </c>
      <c r="AC51" s="96">
        <f t="shared" si="58"/>
        <v>0.94709037357889037</v>
      </c>
      <c r="AD51">
        <f t="shared" si="74"/>
        <v>28291751.338235296</v>
      </c>
      <c r="AE51">
        <f t="shared" si="75"/>
        <v>2.5562221988335715E-3</v>
      </c>
      <c r="AF51">
        <f t="shared" si="44"/>
        <v>7.2830905961529538E-2</v>
      </c>
      <c r="AG51" s="96">
        <f t="shared" si="59"/>
        <v>0.87397087153835451</v>
      </c>
      <c r="AH51" s="96">
        <v>2.3999999999999998E-3</v>
      </c>
      <c r="AI51" s="96">
        <v>3.7000000000000002E-3</v>
      </c>
      <c r="AJ51">
        <f t="shared" si="60"/>
        <v>29930721.76058824</v>
      </c>
      <c r="AK51">
        <v>1.1499999999999999</v>
      </c>
      <c r="AL51">
        <f t="shared" si="61"/>
        <v>2.5347028758649385E-3</v>
      </c>
      <c r="AM51" s="96">
        <f t="shared" si="45"/>
        <v>1.3031337524288665E-3</v>
      </c>
      <c r="AP51">
        <f t="shared" si="46"/>
        <v>7.8772534032213928E-3</v>
      </c>
      <c r="AQ51">
        <f t="shared" si="47"/>
        <v>2.1137464855593823E-2</v>
      </c>
      <c r="AR51">
        <f t="shared" si="48"/>
        <v>8.366525182930044E-3</v>
      </c>
      <c r="AS51">
        <f t="shared" si="49"/>
        <v>4.1557169652641793E-2</v>
      </c>
      <c r="AT51">
        <f t="shared" si="50"/>
        <v>4.3267022051165775E-2</v>
      </c>
      <c r="AU51">
        <f t="shared" si="51"/>
        <v>8.366525182930044E-3</v>
      </c>
      <c r="AV51" s="26">
        <f t="shared" si="52"/>
        <v>9.1240190969012463E-3</v>
      </c>
      <c r="AW51" s="27">
        <f t="shared" si="53"/>
        <v>2.2384230549273677E-2</v>
      </c>
      <c r="AX51" s="27">
        <f t="shared" si="62"/>
        <v>9.6132908766098975E-3</v>
      </c>
      <c r="AY51" s="27">
        <f t="shared" si="63"/>
        <v>4.2803935346321646E-2</v>
      </c>
      <c r="AZ51" s="27">
        <f t="shared" si="64"/>
        <v>4.4513787744845629E-2</v>
      </c>
      <c r="BA51" s="93">
        <f t="shared" si="65"/>
        <v>1.5713290876609897E-2</v>
      </c>
    </row>
    <row r="52" spans="1:53" x14ac:dyDescent="0.25">
      <c r="A52" s="138">
        <v>0.6</v>
      </c>
      <c r="B52">
        <f t="shared" si="66"/>
        <v>669.84</v>
      </c>
      <c r="C52" s="132">
        <f t="shared" si="67"/>
        <v>52706734.543251343</v>
      </c>
      <c r="D52">
        <v>1.1499999999999999</v>
      </c>
      <c r="E52" s="238">
        <f t="shared" si="76"/>
        <v>2.3317820110267361E-3</v>
      </c>
      <c r="F52" s="237">
        <f t="shared" si="68"/>
        <v>4.3327800933213355E-3</v>
      </c>
      <c r="G52">
        <f t="shared" si="69"/>
        <v>212853301.60427809</v>
      </c>
      <c r="H52">
        <f t="shared" si="70"/>
        <v>1.9186931807898572E-3</v>
      </c>
      <c r="I52">
        <f t="shared" si="71"/>
        <v>6.6588263326416222E-2</v>
      </c>
      <c r="J52">
        <f t="shared" si="54"/>
        <v>0</v>
      </c>
      <c r="K52" s="96">
        <f t="shared" si="72"/>
        <v>6.6588263326416222E-2</v>
      </c>
      <c r="L52">
        <f t="shared" si="41"/>
        <v>5.4197047970479702E-3</v>
      </c>
      <c r="M52">
        <f t="shared" si="42"/>
        <v>8.1295571955719553E-3</v>
      </c>
      <c r="Q52" s="29"/>
      <c r="R52" s="29"/>
      <c r="S52" s="29">
        <v>0.6</v>
      </c>
      <c r="T52">
        <v>0.92</v>
      </c>
      <c r="U52" s="96">
        <v>1.4999999999999999E-2</v>
      </c>
      <c r="V52" s="96">
        <v>1.4E-2</v>
      </c>
      <c r="X52">
        <f t="shared" si="55"/>
        <v>40796882.807486638</v>
      </c>
      <c r="Y52">
        <f t="shared" si="73"/>
        <v>2.4207317740460943E-3</v>
      </c>
      <c r="Z52">
        <f t="shared" si="43"/>
        <v>0.42380601443545751</v>
      </c>
      <c r="AA52">
        <f t="shared" si="56"/>
        <v>4.4546587460474456E-2</v>
      </c>
      <c r="AB52">
        <f t="shared" si="57"/>
        <v>0.46835260189593197</v>
      </c>
      <c r="AC52" s="96">
        <f t="shared" si="58"/>
        <v>0.93670520379186395</v>
      </c>
      <c r="AD52">
        <f t="shared" si="74"/>
        <v>30863728.732620321</v>
      </c>
      <c r="AE52">
        <f t="shared" si="75"/>
        <v>2.523078882168545E-3</v>
      </c>
      <c r="AF52">
        <f t="shared" si="44"/>
        <v>7.1886599249700964E-2</v>
      </c>
      <c r="AG52" s="96">
        <f t="shared" si="59"/>
        <v>0.86263919099641151</v>
      </c>
      <c r="AH52" s="96">
        <v>2.3999999999999998E-3</v>
      </c>
      <c r="AI52" s="96">
        <v>3.7000000000000002E-3</v>
      </c>
      <c r="AJ52">
        <f t="shared" si="60"/>
        <v>32651696.46609626</v>
      </c>
      <c r="AK52">
        <v>1.1499999999999999</v>
      </c>
      <c r="AL52">
        <f t="shared" si="61"/>
        <v>2.5019451188441214E-3</v>
      </c>
      <c r="AM52" s="96">
        <f t="shared" si="45"/>
        <v>1.2862924337740623E-3</v>
      </c>
      <c r="AP52">
        <f t="shared" si="46"/>
        <v>7.781364136813039E-3</v>
      </c>
      <c r="AQ52">
        <f t="shared" si="47"/>
        <v>2.0870625852225034E-2</v>
      </c>
      <c r="AR52">
        <f t="shared" si="48"/>
        <v>8.2652708841593897E-3</v>
      </c>
      <c r="AS52">
        <f t="shared" si="49"/>
        <v>4.1290330649273004E-2</v>
      </c>
      <c r="AT52">
        <f t="shared" si="50"/>
        <v>4.3000183047796986E-2</v>
      </c>
      <c r="AU52">
        <f t="shared" si="51"/>
        <v>8.2652708841593897E-3</v>
      </c>
      <c r="AV52" s="26">
        <f t="shared" si="52"/>
        <v>9.012449255579617E-3</v>
      </c>
      <c r="AW52" s="27">
        <f t="shared" si="53"/>
        <v>2.210171097099161E-2</v>
      </c>
      <c r="AX52" s="27">
        <f t="shared" si="62"/>
        <v>9.4963560029259677E-3</v>
      </c>
      <c r="AY52" s="27">
        <f t="shared" si="63"/>
        <v>4.2521415768039583E-2</v>
      </c>
      <c r="AZ52" s="27">
        <f t="shared" si="64"/>
        <v>4.4231268166563566E-2</v>
      </c>
      <c r="BA52" s="93">
        <f t="shared" si="65"/>
        <v>1.5596356002925967E-2</v>
      </c>
    </row>
    <row r="53" spans="1:53" x14ac:dyDescent="0.25">
      <c r="A53" s="138">
        <v>0.65</v>
      </c>
      <c r="B53">
        <f t="shared" si="66"/>
        <v>725.66000000000008</v>
      </c>
      <c r="C53" s="132">
        <f t="shared" si="67"/>
        <v>57098962.421855621</v>
      </c>
      <c r="D53">
        <v>1.25</v>
      </c>
      <c r="E53" s="238">
        <f t="shared" si="76"/>
        <v>2.3049160880241467E-3</v>
      </c>
      <c r="F53" s="237">
        <f t="shared" si="68"/>
        <v>4.6552819743707263E-3</v>
      </c>
      <c r="G53">
        <f t="shared" si="69"/>
        <v>230591076.73796794</v>
      </c>
      <c r="H53">
        <f t="shared" si="70"/>
        <v>1.8981839174129628E-3</v>
      </c>
      <c r="I53">
        <f t="shared" si="71"/>
        <v>6.5876489164687427E-2</v>
      </c>
      <c r="J53">
        <f t="shared" si="54"/>
        <v>0</v>
      </c>
      <c r="K53" s="96">
        <f t="shared" si="72"/>
        <v>6.5876489164687427E-2</v>
      </c>
      <c r="L53">
        <f t="shared" si="41"/>
        <v>5.4197047970479702E-3</v>
      </c>
      <c r="M53">
        <f t="shared" si="42"/>
        <v>8.1295571955719553E-3</v>
      </c>
      <c r="Q53" s="29"/>
      <c r="R53" s="29"/>
      <c r="S53" s="29">
        <v>0.6</v>
      </c>
      <c r="T53">
        <v>0.92</v>
      </c>
      <c r="U53" s="96">
        <v>1.4999999999999999E-2</v>
      </c>
      <c r="V53" s="96">
        <v>1.4E-2</v>
      </c>
      <c r="X53">
        <f t="shared" si="55"/>
        <v>44196623.041443855</v>
      </c>
      <c r="Y53">
        <f t="shared" si="73"/>
        <v>2.3924366592888331E-3</v>
      </c>
      <c r="Z53">
        <f t="shared" si="43"/>
        <v>0.41885228930909812</v>
      </c>
      <c r="AA53">
        <f t="shared" si="56"/>
        <v>4.4809237229892412E-2</v>
      </c>
      <c r="AB53">
        <f t="shared" si="57"/>
        <v>0.46366152653899051</v>
      </c>
      <c r="AC53" s="96">
        <f t="shared" si="58"/>
        <v>0.92732305307798102</v>
      </c>
      <c r="AD53">
        <f t="shared" si="74"/>
        <v>33435706.12700535</v>
      </c>
      <c r="AE53">
        <f t="shared" si="75"/>
        <v>2.4931142395209879E-3</v>
      </c>
      <c r="AF53">
        <f t="shared" si="44"/>
        <v>7.1032858103164134E-2</v>
      </c>
      <c r="AG53" s="96">
        <f t="shared" si="59"/>
        <v>0.85239429723796967</v>
      </c>
      <c r="AH53" s="96">
        <v>2.3999999999999998E-3</v>
      </c>
      <c r="AI53" s="96">
        <v>3.7000000000000002E-3</v>
      </c>
      <c r="AJ53">
        <f t="shared" si="60"/>
        <v>35372671.171604283</v>
      </c>
      <c r="AK53">
        <v>1.25</v>
      </c>
      <c r="AL53">
        <f t="shared" si="61"/>
        <v>2.4723273855060245E-3</v>
      </c>
      <c r="AM53" s="96">
        <f t="shared" si="45"/>
        <v>1.3815928854004418E-3</v>
      </c>
      <c r="AP53">
        <f t="shared" si="46"/>
        <v>8.0670034704090586E-3</v>
      </c>
      <c r="AQ53">
        <f t="shared" si="47"/>
        <v>2.1001714335697905E-2</v>
      </c>
      <c r="AR53">
        <f t="shared" si="48"/>
        <v>8.5460633502279417E-3</v>
      </c>
      <c r="AS53">
        <f t="shared" si="49"/>
        <v>4.1421419132745871E-2</v>
      </c>
      <c r="AT53">
        <f t="shared" si="50"/>
        <v>4.313127153126986E-2</v>
      </c>
      <c r="AU53">
        <f t="shared" si="51"/>
        <v>8.5460633502279417E-3</v>
      </c>
      <c r="AV53" s="26">
        <f t="shared" si="52"/>
        <v>9.3897219649719584E-3</v>
      </c>
      <c r="AW53" s="27">
        <f t="shared" si="53"/>
        <v>2.2324432830260803E-2</v>
      </c>
      <c r="AX53" s="27">
        <f t="shared" si="62"/>
        <v>9.8687818447908415E-3</v>
      </c>
      <c r="AY53" s="27">
        <f t="shared" si="63"/>
        <v>4.2744137627308776E-2</v>
      </c>
      <c r="AZ53" s="27">
        <f t="shared" si="64"/>
        <v>4.4453990025832758E-2</v>
      </c>
      <c r="BA53" s="93">
        <f t="shared" si="65"/>
        <v>1.5968781844790843E-2</v>
      </c>
    </row>
    <row r="54" spans="1:53" x14ac:dyDescent="0.25">
      <c r="A54" s="138">
        <v>0.7</v>
      </c>
      <c r="B54">
        <f t="shared" si="66"/>
        <v>781.48</v>
      </c>
      <c r="C54" s="132">
        <f t="shared" si="67"/>
        <v>61491190.300459899</v>
      </c>
      <c r="D54">
        <v>1.25</v>
      </c>
      <c r="E54" s="238">
        <f t="shared" si="76"/>
        <v>2.2804235440772786E-3</v>
      </c>
      <c r="F54" s="237">
        <f t="shared" si="68"/>
        <v>4.6058139269503622E-3</v>
      </c>
      <c r="G54">
        <f t="shared" si="69"/>
        <v>248328851.87165773</v>
      </c>
      <c r="H54">
        <f t="shared" si="70"/>
        <v>1.8794655153876166E-3</v>
      </c>
      <c r="I54">
        <f t="shared" si="71"/>
        <v>6.5226866861552768E-2</v>
      </c>
      <c r="J54">
        <f t="shared" si="54"/>
        <v>0</v>
      </c>
      <c r="K54" s="96">
        <f t="shared" si="72"/>
        <v>6.5226866861552768E-2</v>
      </c>
      <c r="L54">
        <f t="shared" si="41"/>
        <v>5.4197047970479702E-3</v>
      </c>
      <c r="M54">
        <f t="shared" si="42"/>
        <v>8.1295571955719553E-3</v>
      </c>
      <c r="Q54" s="29"/>
      <c r="R54" s="29"/>
      <c r="S54" s="29">
        <v>0.6</v>
      </c>
      <c r="T54">
        <v>0.92</v>
      </c>
      <c r="U54" s="96">
        <v>1.4999999999999999E-2</v>
      </c>
      <c r="V54" s="96">
        <v>1.4E-2</v>
      </c>
      <c r="X54">
        <f t="shared" si="55"/>
        <v>47596363.275401071</v>
      </c>
      <c r="Y54">
        <f t="shared" si="73"/>
        <v>2.3666469810927782E-3</v>
      </c>
      <c r="Z54">
        <f t="shared" si="43"/>
        <v>0.41433719976178551</v>
      </c>
      <c r="AA54">
        <f t="shared" si="56"/>
        <v>4.5052721921271084E-2</v>
      </c>
      <c r="AB54">
        <f t="shared" si="57"/>
        <v>0.45938992168305659</v>
      </c>
      <c r="AC54" s="96">
        <f t="shared" si="58"/>
        <v>0.91877984336611318</v>
      </c>
      <c r="AD54">
        <f t="shared" si="74"/>
        <v>36007683.521390371</v>
      </c>
      <c r="AE54">
        <f t="shared" si="75"/>
        <v>2.465809761075403E-3</v>
      </c>
      <c r="AF54">
        <f t="shared" si="44"/>
        <v>7.0254909338418089E-2</v>
      </c>
      <c r="AG54" s="96">
        <f t="shared" si="59"/>
        <v>0.84305891206101702</v>
      </c>
      <c r="AH54" s="96">
        <v>2.3999999999999998E-3</v>
      </c>
      <c r="AI54" s="96">
        <v>3.7000000000000002E-3</v>
      </c>
      <c r="AJ54">
        <f t="shared" si="60"/>
        <v>38093645.877112299</v>
      </c>
      <c r="AK54">
        <v>1.25</v>
      </c>
      <c r="AL54">
        <f t="shared" si="61"/>
        <v>2.4453376255694327E-3</v>
      </c>
      <c r="AM54" s="96">
        <f t="shared" si="45"/>
        <v>1.3665103924726579E-3</v>
      </c>
      <c r="AP54">
        <f t="shared" si="46"/>
        <v>7.9838916996510748E-3</v>
      </c>
      <c r="AQ54">
        <f t="shared" si="47"/>
        <v>2.077777535217094E-2</v>
      </c>
      <c r="AR54">
        <f t="shared" si="48"/>
        <v>8.4585381131981451E-3</v>
      </c>
      <c r="AS54">
        <f t="shared" si="49"/>
        <v>4.119748014921891E-2</v>
      </c>
      <c r="AT54">
        <f t="shared" si="50"/>
        <v>4.2907332547742892E-2</v>
      </c>
      <c r="AU54">
        <f t="shared" si="51"/>
        <v>8.4585381131981451E-3</v>
      </c>
      <c r="AV54" s="26">
        <f t="shared" si="52"/>
        <v>9.2925546973454572E-3</v>
      </c>
      <c r="AW54" s="27">
        <f t="shared" si="53"/>
        <v>2.2086438349865324E-2</v>
      </c>
      <c r="AX54" s="27">
        <f t="shared" si="62"/>
        <v>9.7672011108925275E-3</v>
      </c>
      <c r="AY54" s="27">
        <f t="shared" si="63"/>
        <v>4.2506143146913297E-2</v>
      </c>
      <c r="AZ54" s="27">
        <f t="shared" si="64"/>
        <v>4.421599554543728E-2</v>
      </c>
      <c r="BA54" s="93">
        <f t="shared" si="65"/>
        <v>1.5867201110892529E-2</v>
      </c>
    </row>
    <row r="55" spans="1:53" x14ac:dyDescent="0.25">
      <c r="A55" s="138">
        <v>0.75</v>
      </c>
      <c r="B55">
        <f t="shared" si="66"/>
        <v>837.30000000000007</v>
      </c>
      <c r="C55" s="132">
        <f t="shared" si="67"/>
        <v>65883418.179064184</v>
      </c>
      <c r="D55">
        <v>1.25</v>
      </c>
      <c r="E55" s="238">
        <f t="shared" si="76"/>
        <v>2.257944949479737E-3</v>
      </c>
      <c r="F55" s="237">
        <f t="shared" si="68"/>
        <v>4.5604134905601482E-3</v>
      </c>
      <c r="G55">
        <f t="shared" si="69"/>
        <v>266066627.00534761</v>
      </c>
      <c r="H55">
        <f t="shared" si="70"/>
        <v>1.8622685383874863E-3</v>
      </c>
      <c r="I55">
        <f t="shared" si="71"/>
        <v>6.463004562699165E-2</v>
      </c>
      <c r="J55">
        <f t="shared" si="54"/>
        <v>0</v>
      </c>
      <c r="K55" s="96">
        <f t="shared" si="72"/>
        <v>6.463004562699165E-2</v>
      </c>
      <c r="L55">
        <f t="shared" si="41"/>
        <v>5.4197047970479702E-3</v>
      </c>
      <c r="M55">
        <f t="shared" si="42"/>
        <v>8.1295571955719553E-3</v>
      </c>
      <c r="Q55" s="29"/>
      <c r="R55" s="29"/>
      <c r="S55" s="29">
        <v>0.6</v>
      </c>
      <c r="T55">
        <v>0.92</v>
      </c>
      <c r="U55" s="96">
        <v>1.4999999999999999E-2</v>
      </c>
      <c r="V55" s="96">
        <v>1.4E-2</v>
      </c>
      <c r="X55">
        <f t="shared" si="55"/>
        <v>50996103.509358294</v>
      </c>
      <c r="Y55">
        <f t="shared" si="73"/>
        <v>2.3429828111828773E-3</v>
      </c>
      <c r="Z55">
        <f t="shared" si="43"/>
        <v>0.41019423041591879</v>
      </c>
      <c r="AA55">
        <f t="shared" si="56"/>
        <v>4.5279666987676999E-2</v>
      </c>
      <c r="AB55">
        <f t="shared" si="57"/>
        <v>0.45547389740359578</v>
      </c>
      <c r="AC55" s="96">
        <f t="shared" si="58"/>
        <v>0.91094779480719157</v>
      </c>
      <c r="AD55">
        <f t="shared" si="74"/>
        <v>38579660.915775403</v>
      </c>
      <c r="AE55">
        <f t="shared" si="75"/>
        <v>2.4407614594831543E-3</v>
      </c>
      <c r="AF55">
        <f t="shared" si="44"/>
        <v>6.9541242702319886E-2</v>
      </c>
      <c r="AG55" s="96">
        <f t="shared" si="59"/>
        <v>0.83449491242783869</v>
      </c>
      <c r="AH55" s="96">
        <v>2.3999999999999998E-3</v>
      </c>
      <c r="AI55" s="96">
        <v>3.7000000000000002E-3</v>
      </c>
      <c r="AJ55">
        <f t="shared" si="60"/>
        <v>40814620.582620323</v>
      </c>
      <c r="AK55">
        <v>1.25</v>
      </c>
      <c r="AL55">
        <f t="shared" si="61"/>
        <v>2.4205768607345394E-3</v>
      </c>
      <c r="AM55" s="96">
        <f t="shared" si="45"/>
        <v>1.3526735128047331E-3</v>
      </c>
      <c r="AP55">
        <f t="shared" si="46"/>
        <v>7.9075820897292551E-3</v>
      </c>
      <c r="AQ55">
        <f t="shared" si="47"/>
        <v>2.0572277825844559E-2</v>
      </c>
      <c r="AR55">
        <f t="shared" si="48"/>
        <v>8.3781824265300158E-3</v>
      </c>
      <c r="AS55">
        <f t="shared" si="49"/>
        <v>4.0991982622892525E-2</v>
      </c>
      <c r="AT55">
        <f t="shared" si="50"/>
        <v>4.2701835021416515E-2</v>
      </c>
      <c r="AU55">
        <f t="shared" si="51"/>
        <v>8.3781824265300175E-3</v>
      </c>
      <c r="AV55" s="26">
        <f t="shared" si="52"/>
        <v>9.2033453324345364E-3</v>
      </c>
      <c r="AW55" s="27">
        <f t="shared" si="53"/>
        <v>2.1868041068549844E-2</v>
      </c>
      <c r="AX55" s="27">
        <f t="shared" si="62"/>
        <v>9.6739456692352989E-3</v>
      </c>
      <c r="AY55" s="27">
        <f t="shared" si="63"/>
        <v>4.2287745865597817E-2</v>
      </c>
      <c r="AZ55" s="27">
        <f t="shared" si="64"/>
        <v>4.39975982641218E-2</v>
      </c>
      <c r="BA55" s="93">
        <f t="shared" si="65"/>
        <v>1.5773945669235297E-2</v>
      </c>
    </row>
    <row r="56" spans="1:53" x14ac:dyDescent="0.25">
      <c r="A56" s="138">
        <v>0.8</v>
      </c>
      <c r="B56">
        <f t="shared" si="66"/>
        <v>893.12000000000012</v>
      </c>
      <c r="C56" s="132">
        <f t="shared" si="67"/>
        <v>70275646.057668462</v>
      </c>
      <c r="D56">
        <v>1.25</v>
      </c>
      <c r="E56" s="238">
        <f t="shared" si="76"/>
        <v>2.2371949964989056E-3</v>
      </c>
      <c r="F56" s="237">
        <f t="shared" si="68"/>
        <v>4.518504423855897E-3</v>
      </c>
      <c r="G56">
        <f t="shared" si="69"/>
        <v>283804402.13903743</v>
      </c>
      <c r="H56">
        <f t="shared" si="70"/>
        <v>1.8463788607905782E-3</v>
      </c>
      <c r="I56">
        <f t="shared" si="71"/>
        <v>6.407859422945282E-2</v>
      </c>
      <c r="J56">
        <f t="shared" si="54"/>
        <v>0</v>
      </c>
      <c r="K56" s="96">
        <f t="shared" si="72"/>
        <v>6.407859422945282E-2</v>
      </c>
      <c r="L56">
        <f t="shared" si="41"/>
        <v>5.4197047970479702E-3</v>
      </c>
      <c r="M56">
        <f t="shared" si="42"/>
        <v>8.1295571955719553E-3</v>
      </c>
      <c r="Q56" s="29"/>
      <c r="R56" s="29"/>
      <c r="S56" s="29">
        <v>0.6</v>
      </c>
      <c r="T56">
        <v>0.92</v>
      </c>
      <c r="U56" s="96">
        <v>1.4999999999999999E-2</v>
      </c>
      <c r="V56" s="96">
        <v>1.4E-2</v>
      </c>
      <c r="X56">
        <f t="shared" si="55"/>
        <v>54395843.74331551</v>
      </c>
      <c r="Y56">
        <f t="shared" si="73"/>
        <v>2.3211426422697031E-3</v>
      </c>
      <c r="Z56">
        <f t="shared" si="43"/>
        <v>0.40637059533130188</v>
      </c>
      <c r="AA56">
        <f t="shared" si="56"/>
        <v>4.5492191673478684E-2</v>
      </c>
      <c r="AB56">
        <f t="shared" si="57"/>
        <v>0.45186278700478055</v>
      </c>
      <c r="AC56" s="96">
        <f t="shared" si="58"/>
        <v>0.90372557400956111</v>
      </c>
      <c r="AD56">
        <f t="shared" si="74"/>
        <v>41151638.310160428</v>
      </c>
      <c r="AE56">
        <f t="shared" si="75"/>
        <v>2.4176488202229934E-3</v>
      </c>
      <c r="AF56">
        <f t="shared" si="44"/>
        <v>6.8882726217623189E-2</v>
      </c>
      <c r="AG56" s="96">
        <f t="shared" si="59"/>
        <v>0.82659271461147821</v>
      </c>
      <c r="AH56" s="96">
        <v>2.5000000000000001E-3</v>
      </c>
      <c r="AI56" s="96">
        <v>3.7000000000000002E-3</v>
      </c>
      <c r="AJ56">
        <f t="shared" si="60"/>
        <v>43535595.288128346</v>
      </c>
      <c r="AK56">
        <v>1.25</v>
      </c>
      <c r="AL56">
        <f t="shared" si="61"/>
        <v>2.3977285332156379E-3</v>
      </c>
      <c r="AM56" s="96">
        <f t="shared" si="45"/>
        <v>1.3399053466919136E-3</v>
      </c>
      <c r="AP56">
        <f t="shared" si="46"/>
        <v>7.8371135382853084E-3</v>
      </c>
      <c r="AQ56">
        <f t="shared" si="47"/>
        <v>2.038260700774211E-2</v>
      </c>
      <c r="AR56">
        <f t="shared" si="48"/>
        <v>8.3039828385116522E-3</v>
      </c>
      <c r="AS56">
        <f t="shared" si="49"/>
        <v>4.0802311804790076E-2</v>
      </c>
      <c r="AT56">
        <f t="shared" si="50"/>
        <v>4.2512164203314065E-2</v>
      </c>
      <c r="AU56">
        <f t="shared" si="51"/>
        <v>8.3039828385116504E-3</v>
      </c>
      <c r="AV56" s="26">
        <f t="shared" si="52"/>
        <v>9.1209690387904895E-3</v>
      </c>
      <c r="AW56" s="27">
        <f t="shared" si="53"/>
        <v>2.1666462508247289E-2</v>
      </c>
      <c r="AX56" s="27">
        <f t="shared" si="62"/>
        <v>9.5878383390168315E-3</v>
      </c>
      <c r="AY56" s="27">
        <f t="shared" si="63"/>
        <v>4.2086167305295255E-2</v>
      </c>
      <c r="AZ56" s="27">
        <f t="shared" si="64"/>
        <v>4.3796019703819244E-2</v>
      </c>
      <c r="BA56" s="93">
        <f t="shared" si="65"/>
        <v>1.5787838339016834E-2</v>
      </c>
    </row>
    <row r="57" spans="1:53" x14ac:dyDescent="0.25">
      <c r="A57" s="138">
        <v>0.85</v>
      </c>
      <c r="B57">
        <f t="shared" si="66"/>
        <v>948.94</v>
      </c>
      <c r="C57" s="132">
        <f t="shared" si="67"/>
        <v>74667873.936272725</v>
      </c>
      <c r="D57">
        <v>1.35</v>
      </c>
      <c r="E57" s="238">
        <f t="shared" si="76"/>
        <v>2.2179436486920129E-3</v>
      </c>
      <c r="F57" s="237">
        <f t="shared" si="68"/>
        <v>4.8379918873832865E-3</v>
      </c>
      <c r="G57">
        <f t="shared" si="69"/>
        <v>301542177.27272731</v>
      </c>
      <c r="H57">
        <f t="shared" si="70"/>
        <v>1.8316236498273793E-3</v>
      </c>
      <c r="I57">
        <f t="shared" si="71"/>
        <v>6.3566514506185223E-2</v>
      </c>
      <c r="J57">
        <f t="shared" si="54"/>
        <v>0</v>
      </c>
      <c r="K57" s="96">
        <f t="shared" si="72"/>
        <v>6.3566514506185223E-2</v>
      </c>
      <c r="L57">
        <f t="shared" si="41"/>
        <v>5.4197047970479702E-3</v>
      </c>
      <c r="M57">
        <f t="shared" si="42"/>
        <v>8.1295571955719553E-3</v>
      </c>
      <c r="Q57" s="29"/>
      <c r="R57" s="29"/>
      <c r="S57" s="29">
        <v>0.6</v>
      </c>
      <c r="T57">
        <v>0.92</v>
      </c>
      <c r="U57" s="96">
        <v>1.4999999999999999E-2</v>
      </c>
      <c r="V57" s="96">
        <v>1.4E-2</v>
      </c>
      <c r="X57">
        <f t="shared" si="55"/>
        <v>57795583.977272727</v>
      </c>
      <c r="Y57">
        <f t="shared" si="73"/>
        <v>2.3008834301033896E-3</v>
      </c>
      <c r="Z57">
        <f t="shared" si="43"/>
        <v>0.40282374389742459</v>
      </c>
      <c r="AA57">
        <f t="shared" si="56"/>
        <v>4.5692031458743204E-2</v>
      </c>
      <c r="AB57">
        <f t="shared" si="57"/>
        <v>0.44851577535616782</v>
      </c>
      <c r="AC57" s="96">
        <f t="shared" si="58"/>
        <v>0.89703155071233565</v>
      </c>
      <c r="AD57">
        <f t="shared" si="74"/>
        <v>43723615.704545453</v>
      </c>
      <c r="AE57">
        <f t="shared" si="75"/>
        <v>2.3962135412859712E-3</v>
      </c>
      <c r="AF57">
        <f t="shared" si="44"/>
        <v>6.8272000442205938E-2</v>
      </c>
      <c r="AG57" s="96">
        <f t="shared" si="59"/>
        <v>0.81926400530647125</v>
      </c>
      <c r="AH57" s="96">
        <v>2.7499999999999998E-3</v>
      </c>
      <c r="AI57" s="96">
        <v>3.7000000000000002E-3</v>
      </c>
      <c r="AJ57">
        <f t="shared" si="60"/>
        <v>46256569.993636362</v>
      </c>
      <c r="AK57">
        <v>1.35</v>
      </c>
      <c r="AL57">
        <f t="shared" si="61"/>
        <v>2.3765375168180339E-3</v>
      </c>
      <c r="AM57" s="96">
        <f t="shared" si="45"/>
        <v>1.4343083897066795E-3</v>
      </c>
      <c r="AP57">
        <f t="shared" si="46"/>
        <v>8.1300805630080443E-3</v>
      </c>
      <c r="AQ57">
        <f t="shared" si="47"/>
        <v>2.0565024762688316E-2</v>
      </c>
      <c r="AR57">
        <f t="shared" si="48"/>
        <v>8.5934916962173702E-3</v>
      </c>
      <c r="AS57">
        <f t="shared" si="49"/>
        <v>4.0984729559736283E-2</v>
      </c>
      <c r="AT57">
        <f t="shared" si="50"/>
        <v>4.2694581958260272E-2</v>
      </c>
      <c r="AU57">
        <f t="shared" si="51"/>
        <v>8.5934916962173685E-3</v>
      </c>
      <c r="AV57" s="26">
        <f t="shared" si="52"/>
        <v>9.5047129442940703E-3</v>
      </c>
      <c r="AW57" s="27">
        <f t="shared" si="53"/>
        <v>2.1939657143974341E-2</v>
      </c>
      <c r="AX57" s="27">
        <f t="shared" si="62"/>
        <v>9.9681240775033944E-3</v>
      </c>
      <c r="AY57" s="27">
        <f t="shared" si="63"/>
        <v>4.2359361941022314E-2</v>
      </c>
      <c r="AZ57" s="27">
        <f t="shared" si="64"/>
        <v>4.4069214339546296E-2</v>
      </c>
      <c r="BA57" s="93">
        <f t="shared" si="65"/>
        <v>1.6418124077503392E-2</v>
      </c>
    </row>
    <row r="58" spans="1:53" x14ac:dyDescent="0.25">
      <c r="A58" s="138">
        <v>0.9</v>
      </c>
      <c r="B58">
        <f t="shared" si="66"/>
        <v>1004.7600000000001</v>
      </c>
      <c r="C58" s="132">
        <f t="shared" si="67"/>
        <v>79060101.814877018</v>
      </c>
      <c r="D58">
        <v>1.35</v>
      </c>
      <c r="E58" s="238">
        <f t="shared" si="76"/>
        <v>2.2000028872622367E-3</v>
      </c>
      <c r="F58" s="237">
        <f t="shared" si="68"/>
        <v>4.798857773988691E-3</v>
      </c>
      <c r="G58">
        <f t="shared" si="69"/>
        <v>319279952.40641713</v>
      </c>
      <c r="H58">
        <f t="shared" si="70"/>
        <v>1.8178614982380847E-3</v>
      </c>
      <c r="I58">
        <f t="shared" si="71"/>
        <v>6.3088898917022199E-2</v>
      </c>
      <c r="J58">
        <f t="shared" si="54"/>
        <v>0</v>
      </c>
      <c r="K58" s="96">
        <f t="shared" si="72"/>
        <v>6.3088898917022199E-2</v>
      </c>
      <c r="L58">
        <f t="shared" si="41"/>
        <v>5.4197047970479702E-3</v>
      </c>
      <c r="M58">
        <f t="shared" si="42"/>
        <v>8.1295571955719553E-3</v>
      </c>
      <c r="Q58" s="29"/>
      <c r="R58" s="29"/>
      <c r="S58" s="29">
        <v>0.6</v>
      </c>
      <c r="T58">
        <v>0.92</v>
      </c>
      <c r="U58" s="96">
        <v>1.4999999999999999E-2</v>
      </c>
      <c r="V58" s="96">
        <v>1.4E-2</v>
      </c>
      <c r="X58">
        <f t="shared" si="55"/>
        <v>61195324.211229958</v>
      </c>
      <c r="Y58">
        <f t="shared" si="73"/>
        <v>2.2820065646611508E-3</v>
      </c>
      <c r="Z58">
        <f t="shared" si="43"/>
        <v>0.39951890475998558</v>
      </c>
      <c r="AA58">
        <f t="shared" si="56"/>
        <v>4.5880625561886067E-2</v>
      </c>
      <c r="AB58">
        <f t="shared" si="57"/>
        <v>0.44539953032187163</v>
      </c>
      <c r="AC58" s="96">
        <f t="shared" si="58"/>
        <v>0.89079906064374326</v>
      </c>
      <c r="AD58">
        <f t="shared" si="74"/>
        <v>46295593.098930486</v>
      </c>
      <c r="AE58">
        <f t="shared" si="75"/>
        <v>2.3762445928965843E-3</v>
      </c>
      <c r="AF58">
        <f t="shared" si="44"/>
        <v>6.7703052796355079E-2</v>
      </c>
      <c r="AG58" s="96">
        <f t="shared" si="59"/>
        <v>0.81243663355626095</v>
      </c>
      <c r="AH58" s="96">
        <v>3.2499999999999999E-3</v>
      </c>
      <c r="AI58" s="96">
        <v>3.7000000000000002E-3</v>
      </c>
      <c r="AJ58">
        <f t="shared" si="60"/>
        <v>48977544.699144393</v>
      </c>
      <c r="AK58">
        <v>1.35</v>
      </c>
      <c r="AL58">
        <f t="shared" si="61"/>
        <v>2.3567953665682225E-3</v>
      </c>
      <c r="AM58" s="96">
        <f t="shared" si="45"/>
        <v>1.4223934371617403E-3</v>
      </c>
      <c r="AP58">
        <f t="shared" si="46"/>
        <v>8.0662108968684205E-3</v>
      </c>
      <c r="AQ58">
        <f t="shared" si="47"/>
        <v>2.0398170075366269E-2</v>
      </c>
      <c r="AR58">
        <f t="shared" si="48"/>
        <v>8.5264022935109436E-3</v>
      </c>
      <c r="AS58">
        <f t="shared" si="49"/>
        <v>4.0817874872414242E-2</v>
      </c>
      <c r="AT58">
        <f t="shared" si="50"/>
        <v>4.2527727270938225E-2</v>
      </c>
      <c r="AU58">
        <f t="shared" si="51"/>
        <v>8.5264022935109453E-3</v>
      </c>
      <c r="AV58" s="26">
        <f t="shared" si="52"/>
        <v>9.4297239913227714E-3</v>
      </c>
      <c r="AW58" s="27">
        <f t="shared" si="53"/>
        <v>2.176168316982062E-2</v>
      </c>
      <c r="AX58" s="27">
        <f t="shared" si="62"/>
        <v>9.8899153879652962E-3</v>
      </c>
      <c r="AY58" s="27">
        <f t="shared" si="63"/>
        <v>4.2181387966868586E-2</v>
      </c>
      <c r="AZ58" s="27">
        <f t="shared" si="64"/>
        <v>4.3891240365392575E-2</v>
      </c>
      <c r="BA58" s="93">
        <f t="shared" si="65"/>
        <v>1.6839915387965296E-2</v>
      </c>
    </row>
    <row r="59" spans="1:53" x14ac:dyDescent="0.25">
      <c r="A59" s="138">
        <v>0.95</v>
      </c>
      <c r="B59">
        <f t="shared" si="66"/>
        <v>1060.58</v>
      </c>
      <c r="C59" s="132">
        <f t="shared" si="67"/>
        <v>83452329.693481266</v>
      </c>
      <c r="D59">
        <v>1.35</v>
      </c>
      <c r="E59" s="238">
        <f t="shared" si="76"/>
        <v>2.1832171799655623E-3</v>
      </c>
      <c r="F59" s="237">
        <f t="shared" si="68"/>
        <v>4.7622431756993286E-3</v>
      </c>
      <c r="G59">
        <f t="shared" si="69"/>
        <v>337017727.54010689</v>
      </c>
      <c r="H59">
        <f t="shared" si="70"/>
        <v>1.8049753206256908E-3</v>
      </c>
      <c r="I59">
        <f t="shared" si="71"/>
        <v>6.2641684012254673E-2</v>
      </c>
      <c r="J59">
        <f t="shared" si="54"/>
        <v>0</v>
      </c>
      <c r="K59" s="96">
        <f t="shared" si="72"/>
        <v>6.2641684012254673E-2</v>
      </c>
      <c r="L59">
        <f t="shared" si="41"/>
        <v>5.4197047970479702E-3</v>
      </c>
      <c r="M59">
        <f t="shared" si="42"/>
        <v>8.1295571955719553E-3</v>
      </c>
      <c r="Q59" s="29"/>
      <c r="R59" s="29"/>
      <c r="S59" s="29">
        <v>0.6</v>
      </c>
      <c r="T59">
        <v>0.92</v>
      </c>
      <c r="U59" s="96">
        <v>1.4999999999999999E-2</v>
      </c>
      <c r="V59" s="96">
        <v>1.4E-2</v>
      </c>
      <c r="X59">
        <f t="shared" si="55"/>
        <v>64595064.445187166</v>
      </c>
      <c r="Y59">
        <f t="shared" si="73"/>
        <v>2.2643477838288043E-3</v>
      </c>
      <c r="Z59">
        <f t="shared" si="43"/>
        <v>0.39642731997368885</v>
      </c>
      <c r="AA59">
        <f t="shared" si="56"/>
        <v>4.6059180827257323E-2</v>
      </c>
      <c r="AB59">
        <f t="shared" si="57"/>
        <v>0.4424865008009462</v>
      </c>
      <c r="AC59" s="96">
        <f t="shared" si="58"/>
        <v>0.88497300160189241</v>
      </c>
      <c r="AD59">
        <f t="shared" si="74"/>
        <v>48867570.493315503</v>
      </c>
      <c r="AE59">
        <f t="shared" si="75"/>
        <v>2.3575674785376089E-3</v>
      </c>
      <c r="AF59">
        <f t="shared" si="44"/>
        <v>6.7170911591990304E-2</v>
      </c>
      <c r="AG59" s="96">
        <f t="shared" si="59"/>
        <v>0.8060509391038837</v>
      </c>
      <c r="AH59" s="96">
        <v>3.7499999999999999E-3</v>
      </c>
      <c r="AI59" s="96">
        <v>3.7000000000000002E-3</v>
      </c>
      <c r="AJ59">
        <f t="shared" si="60"/>
        <v>51698519.404652394</v>
      </c>
      <c r="AK59">
        <v>1.35</v>
      </c>
      <c r="AL59">
        <f t="shared" si="61"/>
        <v>2.3383297157064955E-3</v>
      </c>
      <c r="AM59" s="96">
        <f t="shared" si="45"/>
        <v>1.4112488885211487E-3</v>
      </c>
      <c r="AP59">
        <f t="shared" si="46"/>
        <v>8.0064351871827026E-3</v>
      </c>
      <c r="AQ59">
        <f t="shared" si="47"/>
        <v>2.0242073338753344E-2</v>
      </c>
      <c r="AR59">
        <f t="shared" si="48"/>
        <v>8.4636168116264832E-3</v>
      </c>
      <c r="AS59">
        <f t="shared" si="49"/>
        <v>4.066177813580131E-2</v>
      </c>
      <c r="AT59">
        <f t="shared" si="50"/>
        <v>4.23716305343253E-2</v>
      </c>
      <c r="AU59">
        <f t="shared" si="51"/>
        <v>8.463616811626485E-3</v>
      </c>
      <c r="AV59" s="161">
        <f t="shared" si="52"/>
        <v>9.3595448717909979E-3</v>
      </c>
      <c r="AW59" s="94">
        <f t="shared" si="53"/>
        <v>2.1595183023361643E-2</v>
      </c>
      <c r="AX59" s="94">
        <f t="shared" si="62"/>
        <v>9.8167264962347803E-3</v>
      </c>
      <c r="AY59" s="27">
        <f t="shared" si="63"/>
        <v>4.2014887820409616E-2</v>
      </c>
      <c r="AZ59" s="27">
        <f t="shared" si="64"/>
        <v>4.3724740218933598E-2</v>
      </c>
      <c r="BA59" s="162">
        <f t="shared" si="65"/>
        <v>1.7266726496234779E-2</v>
      </c>
    </row>
    <row r="60" spans="1:53" s="29" customFormat="1" x14ac:dyDescent="0.25">
      <c r="A60" s="285"/>
      <c r="C60" s="286"/>
      <c r="E60" s="242"/>
      <c r="F60" s="242"/>
      <c r="AV60" s="11"/>
      <c r="AW60" s="11"/>
      <c r="AX60" s="11"/>
      <c r="AY60" s="11"/>
      <c r="AZ60" s="11"/>
      <c r="BA60" s="11"/>
    </row>
    <row r="61" spans="1:53" x14ac:dyDescent="0.25">
      <c r="A61" t="s">
        <v>180</v>
      </c>
      <c r="B61" s="98">
        <v>5000</v>
      </c>
      <c r="C61" s="132" t="s">
        <v>124</v>
      </c>
      <c r="D61" t="s">
        <v>181</v>
      </c>
      <c r="E61" s="238" t="s">
        <v>153</v>
      </c>
      <c r="F61" s="238">
        <v>542</v>
      </c>
      <c r="G61" t="s">
        <v>150</v>
      </c>
      <c r="H61" t="s">
        <v>233</v>
      </c>
      <c r="M61" s="5"/>
      <c r="N61" s="5"/>
      <c r="O61" s="5"/>
      <c r="P61" s="49"/>
      <c r="Q61" s="5"/>
    </row>
    <row r="62" spans="1:53" x14ac:dyDescent="0.25">
      <c r="A62" t="s">
        <v>353</v>
      </c>
      <c r="B62" s="98">
        <v>41.17</v>
      </c>
      <c r="C62" s="132" t="s">
        <v>352</v>
      </c>
      <c r="D62" t="s">
        <v>350</v>
      </c>
      <c r="E62" s="238" t="s">
        <v>410</v>
      </c>
      <c r="F62" s="239">
        <v>24.1</v>
      </c>
      <c r="G62" t="s">
        <v>364</v>
      </c>
      <c r="H62" t="s">
        <v>365</v>
      </c>
      <c r="M62" s="5"/>
      <c r="N62" s="5"/>
      <c r="O62" s="5"/>
      <c r="P62" s="49"/>
      <c r="Q62" s="5"/>
    </row>
    <row r="63" spans="1:53" x14ac:dyDescent="0.25">
      <c r="A63" t="s">
        <v>177</v>
      </c>
      <c r="B63" s="131">
        <f>0.002048</f>
        <v>2.0479999999999999E-3</v>
      </c>
      <c r="C63" s="132" t="s">
        <v>165</v>
      </c>
      <c r="D63" t="s">
        <v>324</v>
      </c>
      <c r="E63" s="238" t="s">
        <v>363</v>
      </c>
      <c r="F63" s="238">
        <f>COS(RADIANS(F62))</f>
        <v>0.91283417723304283</v>
      </c>
      <c r="M63" s="5"/>
      <c r="N63" s="5"/>
      <c r="O63" s="5"/>
      <c r="P63" s="148"/>
      <c r="Q63" s="11"/>
    </row>
    <row r="64" spans="1:53" x14ac:dyDescent="0.25">
      <c r="A64" t="s">
        <v>349</v>
      </c>
      <c r="B64" s="131">
        <f>0.000000364-0.00000007</f>
        <v>2.9399999999999996E-7</v>
      </c>
      <c r="C64" s="132" t="s">
        <v>354</v>
      </c>
      <c r="D64" t="s">
        <v>351</v>
      </c>
      <c r="M64" s="5"/>
      <c r="N64" s="5"/>
      <c r="O64" s="5"/>
      <c r="P64" s="5"/>
      <c r="Q64" s="5"/>
    </row>
    <row r="65" spans="1:53" x14ac:dyDescent="0.25">
      <c r="A65" t="s">
        <v>142</v>
      </c>
      <c r="B65" s="98">
        <v>1097.0999999999999</v>
      </c>
      <c r="C65" s="132" t="s">
        <v>135</v>
      </c>
      <c r="D65" t="s">
        <v>327</v>
      </c>
    </row>
    <row r="66" spans="1:53" x14ac:dyDescent="0.25">
      <c r="C66" s="164" t="s">
        <v>207</v>
      </c>
      <c r="G66" s="96" t="s">
        <v>379</v>
      </c>
      <c r="I66" t="s">
        <v>521</v>
      </c>
      <c r="L66" s="96" t="s">
        <v>554</v>
      </c>
      <c r="N66" s="29"/>
      <c r="R66" s="29"/>
      <c r="S66" s="96" t="s">
        <v>163</v>
      </c>
      <c r="X66" s="96" t="s">
        <v>390</v>
      </c>
      <c r="AJ66" s="96" t="s">
        <v>503</v>
      </c>
      <c r="AK66" t="s">
        <v>614</v>
      </c>
      <c r="AP66" s="96" t="s">
        <v>417</v>
      </c>
      <c r="AV66" s="96" t="s">
        <v>624</v>
      </c>
    </row>
    <row r="67" spans="1:53" x14ac:dyDescent="0.25">
      <c r="C67" s="235" t="s">
        <v>518</v>
      </c>
      <c r="D67" s="97" t="s">
        <v>360</v>
      </c>
      <c r="E67" s="240" t="s">
        <v>219</v>
      </c>
      <c r="F67" s="240" t="s">
        <v>220</v>
      </c>
      <c r="G67" s="97" t="s">
        <v>371</v>
      </c>
      <c r="H67" s="97" t="s">
        <v>372</v>
      </c>
      <c r="I67" s="97" t="s">
        <v>553</v>
      </c>
      <c r="J67" s="97" t="s">
        <v>380</v>
      </c>
      <c r="K67" s="97" t="s">
        <v>376</v>
      </c>
      <c r="L67" t="s">
        <v>629</v>
      </c>
      <c r="M67" t="s">
        <v>585</v>
      </c>
      <c r="N67" s="97" t="s">
        <v>587</v>
      </c>
      <c r="O67" s="97" t="s">
        <v>588</v>
      </c>
      <c r="P67" s="97" t="s">
        <v>589</v>
      </c>
      <c r="Q67" s="97" t="s">
        <v>590</v>
      </c>
      <c r="R67" t="s">
        <v>591</v>
      </c>
      <c r="S67" s="29" t="s">
        <v>155</v>
      </c>
      <c r="T67" t="s">
        <v>581</v>
      </c>
      <c r="U67" t="s">
        <v>142</v>
      </c>
      <c r="V67" t="s">
        <v>143</v>
      </c>
      <c r="W67" t="s">
        <v>583</v>
      </c>
      <c r="AJ67" t="s">
        <v>518</v>
      </c>
      <c r="AK67" t="s">
        <v>360</v>
      </c>
      <c r="AL67" t="s">
        <v>219</v>
      </c>
      <c r="AM67" t="s">
        <v>220</v>
      </c>
      <c r="AN67" t="s">
        <v>602</v>
      </c>
      <c r="AO67" t="s">
        <v>603</v>
      </c>
      <c r="AP67" t="s">
        <v>534</v>
      </c>
      <c r="AV67" t="s">
        <v>534</v>
      </c>
    </row>
    <row r="68" spans="1:53" x14ac:dyDescent="0.25">
      <c r="C68" s="236">
        <v>12.381</v>
      </c>
      <c r="D68" s="28">
        <v>1.2</v>
      </c>
      <c r="E68" s="236">
        <v>0.1</v>
      </c>
      <c r="F68" s="241">
        <v>775</v>
      </c>
      <c r="G68" s="133">
        <v>867.11</v>
      </c>
      <c r="H68" s="28">
        <v>6.8449999999999998</v>
      </c>
      <c r="I68" s="133">
        <v>28.07</v>
      </c>
      <c r="J68" s="28">
        <v>50</v>
      </c>
      <c r="K68" s="28"/>
      <c r="L68" s="86">
        <v>15</v>
      </c>
      <c r="M68">
        <v>20</v>
      </c>
      <c r="N68">
        <v>1.4</v>
      </c>
      <c r="O68">
        <v>0.02</v>
      </c>
      <c r="P68">
        <v>0.03</v>
      </c>
      <c r="Q68">
        <v>104.91</v>
      </c>
      <c r="R68" t="e">
        <f>Q68/N62</f>
        <v>#DIV/0!</v>
      </c>
      <c r="S68">
        <v>4.7300000000000004</v>
      </c>
      <c r="T68">
        <v>1.65</v>
      </c>
      <c r="U68">
        <v>1.1399999999999999</v>
      </c>
      <c r="V68">
        <v>4.53</v>
      </c>
      <c r="W68">
        <v>3.18</v>
      </c>
      <c r="X68" t="s">
        <v>515</v>
      </c>
      <c r="AB68" t="s">
        <v>615</v>
      </c>
      <c r="AC68" t="s">
        <v>616</v>
      </c>
      <c r="AD68" t="s">
        <v>606</v>
      </c>
      <c r="AF68" t="s">
        <v>615</v>
      </c>
      <c r="AG68" t="s">
        <v>617</v>
      </c>
      <c r="AH68" t="s">
        <v>627</v>
      </c>
      <c r="AI68" t="s">
        <v>628</v>
      </c>
      <c r="AJ68">
        <v>7.67</v>
      </c>
      <c r="AK68">
        <v>1.2</v>
      </c>
      <c r="AL68">
        <v>0.09</v>
      </c>
      <c r="AM68">
        <v>217.4</v>
      </c>
      <c r="AN68">
        <v>58.91</v>
      </c>
      <c r="AO68">
        <v>95.09</v>
      </c>
    </row>
    <row r="69" spans="1:53" x14ac:dyDescent="0.25">
      <c r="A69" t="s">
        <v>348</v>
      </c>
      <c r="B69" t="s">
        <v>355</v>
      </c>
      <c r="C69" s="132" t="s">
        <v>374</v>
      </c>
      <c r="D69" t="s">
        <v>367</v>
      </c>
      <c r="E69" s="238" t="s">
        <v>366</v>
      </c>
      <c r="F69" s="237" t="s">
        <v>356</v>
      </c>
      <c r="G69" t="s">
        <v>374</v>
      </c>
      <c r="H69" t="s">
        <v>366</v>
      </c>
      <c r="I69" t="s">
        <v>375</v>
      </c>
      <c r="J69" t="s">
        <v>377</v>
      </c>
      <c r="K69" s="96" t="s">
        <v>378</v>
      </c>
      <c r="L69" s="11" t="s">
        <v>630</v>
      </c>
      <c r="M69" s="11" t="s">
        <v>586</v>
      </c>
      <c r="N69" s="11"/>
      <c r="O69" s="11"/>
      <c r="P69" s="11"/>
      <c r="Q69" s="11"/>
      <c r="R69" s="11"/>
      <c r="S69" s="11" t="s">
        <v>555</v>
      </c>
      <c r="T69" t="s">
        <v>582</v>
      </c>
      <c r="U69" s="96" t="s">
        <v>622</v>
      </c>
      <c r="V69" s="96" t="s">
        <v>623</v>
      </c>
      <c r="X69" t="s">
        <v>374</v>
      </c>
      <c r="Y69" t="s">
        <v>366</v>
      </c>
      <c r="Z69" t="s">
        <v>611</v>
      </c>
      <c r="AA69" t="s">
        <v>377</v>
      </c>
      <c r="AB69" t="s">
        <v>612</v>
      </c>
      <c r="AC69" s="96" t="s">
        <v>612</v>
      </c>
      <c r="AD69" t="s">
        <v>374</v>
      </c>
      <c r="AE69" t="s">
        <v>366</v>
      </c>
      <c r="AF69" t="s">
        <v>613</v>
      </c>
      <c r="AG69" s="96" t="s">
        <v>613</v>
      </c>
      <c r="AH69" s="96" t="s">
        <v>110</v>
      </c>
      <c r="AI69" s="96" t="s">
        <v>110</v>
      </c>
      <c r="AJ69" t="s">
        <v>374</v>
      </c>
      <c r="AK69" t="s">
        <v>367</v>
      </c>
      <c r="AL69" t="s">
        <v>366</v>
      </c>
      <c r="AM69" s="96" t="s">
        <v>523</v>
      </c>
      <c r="AP69" t="s">
        <v>522</v>
      </c>
      <c r="AQ69" t="s">
        <v>516</v>
      </c>
      <c r="AR69" t="s">
        <v>192</v>
      </c>
      <c r="AS69" t="s">
        <v>290</v>
      </c>
      <c r="AT69" t="s">
        <v>294</v>
      </c>
      <c r="AU69" t="s">
        <v>289</v>
      </c>
      <c r="AV69" s="160" t="s">
        <v>522</v>
      </c>
      <c r="AW69" s="108" t="s">
        <v>516</v>
      </c>
      <c r="AX69" s="108" t="s">
        <v>192</v>
      </c>
      <c r="AY69" s="108" t="s">
        <v>290</v>
      </c>
      <c r="AZ69" s="108" t="s">
        <v>294</v>
      </c>
      <c r="BA69" s="51" t="s">
        <v>289</v>
      </c>
    </row>
    <row r="70" spans="1:53" x14ac:dyDescent="0.25">
      <c r="A70" s="138">
        <v>0</v>
      </c>
      <c r="B70">
        <f>A70*$B$65</f>
        <v>0</v>
      </c>
      <c r="C70" s="132">
        <f>($B$63*B70*($C$8))/$B$64</f>
        <v>0</v>
      </c>
      <c r="D70">
        <v>1.06</v>
      </c>
      <c r="E70" s="238" t="e">
        <f t="shared" ref="E70:E71" si="77">0.455/(LOG10(C70))^2.58</f>
        <v>#NUM!</v>
      </c>
      <c r="F70" s="237" t="e">
        <f>E70*(1+$D$8*$E$8+100*$E$8^4)*D70*($F$8/$F$1)</f>
        <v>#NUM!</v>
      </c>
      <c r="G70">
        <f>($B$63*B70*$J$8)/$B$64</f>
        <v>0</v>
      </c>
      <c r="H70" t="e">
        <f>1.328/SQRT(G70)</f>
        <v>#DIV/0!</v>
      </c>
      <c r="I70" t="e">
        <f>H70*(1+(60/(($J$8/$H$8)^3))+0.0025*($J$8/$H$8))*($G$8/$I$8)</f>
        <v>#DIV/0!</v>
      </c>
      <c r="J70" t="e">
        <f>(0.029*($K$8/$H$8)^3)/SQRT(I70)</f>
        <v>#DIV/0!</v>
      </c>
      <c r="K70" s="96" t="e">
        <f>I70+J70</f>
        <v>#DIV/0!</v>
      </c>
      <c r="L70">
        <f t="shared" ref="L70:L89" si="78">$N$8*$O$8*$R$8</f>
        <v>5.4197047970479702E-3</v>
      </c>
      <c r="M70">
        <f t="shared" ref="M70:M89" si="79">$N$8*$P$8*$R$8</f>
        <v>8.1295571955719553E-3</v>
      </c>
      <c r="Q70" s="29"/>
      <c r="R70" s="29"/>
      <c r="S70" s="29">
        <v>0.6</v>
      </c>
      <c r="T70">
        <v>0.92</v>
      </c>
      <c r="U70" s="96">
        <v>1.4999999999999999E-2</v>
      </c>
      <c r="V70" s="96">
        <v>1.4E-2</v>
      </c>
      <c r="X70">
        <f>($B$63*B70*$Z$2)/$B$64</f>
        <v>0</v>
      </c>
      <c r="Z70">
        <f t="shared" ref="Z70:Z89" si="80">Y70*(1+(60/($Z$2/$Z$1)^3)+0.0025*($Z$2/$Z$1))*($AC$1/$AC$2)</f>
        <v>0</v>
      </c>
      <c r="AA70" t="e">
        <f>0.029*($Z$1/$Z$1)^3/SQRT(Z70)</f>
        <v>#DIV/0!</v>
      </c>
      <c r="AB70" t="e">
        <f>Z70+AA70</f>
        <v>#DIV/0!</v>
      </c>
      <c r="AC70" s="96" t="e">
        <f>2*AB70</f>
        <v>#DIV/0!</v>
      </c>
      <c r="AD70">
        <f>($B$63*B70*$Z$4)/$B$64</f>
        <v>0</v>
      </c>
      <c r="AF70">
        <f t="shared" ref="AF70:AF89" si="81">AE70*(1+(60/($Z$4/$Z$3)^3)+0.0025*($Z$4/$Z$3))*($AC$3/$AC$4)</f>
        <v>0</v>
      </c>
      <c r="AG70" s="96">
        <f>12*AF70</f>
        <v>0</v>
      </c>
      <c r="AH70" s="96">
        <v>2.3999999999999998E-3</v>
      </c>
      <c r="AI70" s="96">
        <v>3.7000000000000002E-3</v>
      </c>
      <c r="AJ70">
        <f>($B$63*B70*$AJ$8)/$B$64</f>
        <v>0</v>
      </c>
      <c r="AM70" s="96">
        <f t="shared" ref="AM70:AM89" si="82">AL70*(1+$AK$8*$AL$8+100*$AL$8^4)*AK70*($AM$8/$F$1)</f>
        <v>0</v>
      </c>
      <c r="AP70" t="e">
        <f t="shared" ref="AP70" si="83">K70*($I$8/$F$1)+F70</f>
        <v>#DIV/0!</v>
      </c>
      <c r="AQ70" t="e">
        <f t="shared" ref="AQ70:AQ89" si="84">AP70+AC70*($AF$2/$F$1)+AG70*($AF$4/$F$1)</f>
        <v>#DIV/0!</v>
      </c>
      <c r="AR70" t="e">
        <f t="shared" ref="AR70:AR89" si="85">AQ70-AG70*($AF$4/$F$1)</f>
        <v>#DIV/0!</v>
      </c>
      <c r="AS70" t="e">
        <f t="shared" ref="AS70:AS89" si="86">AQ70+L70+U70</f>
        <v>#DIV/0!</v>
      </c>
      <c r="AT70" t="e">
        <f t="shared" ref="AT70:AT89" si="87">AQ70+M70+V70</f>
        <v>#DIV/0!</v>
      </c>
      <c r="AU70" t="e">
        <f t="shared" ref="AU70:AU89" si="88">AP70+AC70*($AF$2/$F$1)</f>
        <v>#DIV/0!</v>
      </c>
      <c r="AV70" s="26" t="e">
        <f t="shared" ref="AV70:AV89" si="89">AP70+F70*(($AN$8+$AO$8)/$F$1)</f>
        <v>#DIV/0!</v>
      </c>
      <c r="AW70" s="27" t="e">
        <f t="shared" ref="AW70:AW75" si="90">AV70+AC70*($AF$2/$F$1)+AG70*($AF$4/$F$1)</f>
        <v>#DIV/0!</v>
      </c>
      <c r="AX70" s="27" t="e">
        <f>AV70+AC70*($AF$2/$F$1)</f>
        <v>#DIV/0!</v>
      </c>
      <c r="AY70" s="27" t="e">
        <f>AW70+L70+U70</f>
        <v>#DIV/0!</v>
      </c>
      <c r="AZ70" s="27" t="e">
        <f>AW70+M70+V70</f>
        <v>#DIV/0!</v>
      </c>
      <c r="BA70" s="93" t="e">
        <f>AV70+AC70*($AF$2/$F$1)+AH70+AI70</f>
        <v>#DIV/0!</v>
      </c>
    </row>
    <row r="71" spans="1:53" x14ac:dyDescent="0.25">
      <c r="A71" s="138">
        <v>0.05</v>
      </c>
      <c r="B71">
        <f>A71*$B$65</f>
        <v>54.854999999999997</v>
      </c>
      <c r="C71" s="132">
        <f t="shared" ref="C71:C89" si="91">($B$63*B71*($C$8))/$B$64</f>
        <v>4731017.613061225</v>
      </c>
      <c r="D71">
        <v>1.06</v>
      </c>
      <c r="E71" s="238">
        <f t="shared" si="77"/>
        <v>3.3957424739066437E-3</v>
      </c>
      <c r="F71" s="237">
        <f>E71*(1+$D$8*$E$8+100*$E$8^4)*D71*($F$8/$F$1)</f>
        <v>5.8159608114671012E-3</v>
      </c>
      <c r="G71">
        <f t="shared" ref="G71:G89" si="92">($B$63*B71*$J$8)/$B$64</f>
        <v>19105959.183673471</v>
      </c>
      <c r="H71">
        <f>0.455/(LOG10(G71))^2.58</f>
        <v>2.7135170392902194E-3</v>
      </c>
      <c r="I71">
        <f>H71*(1+(60/(($J$8/$H$8)^3))+0.0025*($J$8/$H$8))*($G$8/$I$8)</f>
        <v>9.4172632165498982E-2</v>
      </c>
      <c r="J71">
        <f t="shared" ref="J71:J89" si="93">(0.029*($K$8/$H$8)^3)/SQRT(I71)</f>
        <v>0</v>
      </c>
      <c r="K71" s="96">
        <f>I71+J71</f>
        <v>9.4172632165498982E-2</v>
      </c>
      <c r="L71">
        <f t="shared" si="78"/>
        <v>5.4197047970479702E-3</v>
      </c>
      <c r="M71">
        <f t="shared" si="79"/>
        <v>8.1295571955719553E-3</v>
      </c>
      <c r="Q71" s="29"/>
      <c r="R71" s="29"/>
      <c r="S71" s="29">
        <v>0.6</v>
      </c>
      <c r="T71">
        <v>0.92</v>
      </c>
      <c r="U71" s="96">
        <v>1.4999999999999999E-2</v>
      </c>
      <c r="V71" s="96">
        <v>1.4E-2</v>
      </c>
      <c r="X71">
        <f t="shared" ref="X71:X89" si="94">($B$63*B71*$Z$2)/$B$64</f>
        <v>3661975.5102040819</v>
      </c>
      <c r="Y71">
        <f>0.455/(LOG10(X71))^2.58</f>
        <v>3.5462149497684095E-3</v>
      </c>
      <c r="Z71">
        <f t="shared" si="80"/>
        <v>0.62084830723759832</v>
      </c>
      <c r="AA71">
        <f t="shared" ref="AA71:AA89" si="95">0.029*($Z$1/$Z$1)^3/SQRT(Z71)</f>
        <v>3.6804866537924745E-2</v>
      </c>
      <c r="AB71">
        <f t="shared" ref="AB71:AB89" si="96">Z71+AA71</f>
        <v>0.65765317377552301</v>
      </c>
      <c r="AC71" s="96">
        <f t="shared" ref="AC71:AC89" si="97">2*AB71</f>
        <v>1.315306347551046</v>
      </c>
      <c r="AD71">
        <f t="shared" ref="AD71:AD89" si="98">($B$63*B71*$Z$4)/$B$64</f>
        <v>2770364.0816326533</v>
      </c>
      <c r="AE71">
        <f>0.455/(LOG10(AD71))^2.58</f>
        <v>3.7208705910169518E-3</v>
      </c>
      <c r="AF71">
        <f t="shared" si="81"/>
        <v>0.10601362285056196</v>
      </c>
      <c r="AG71" s="96">
        <f t="shared" ref="AG71:AG89" si="99">12*AF71</f>
        <v>1.2721634742067436</v>
      </c>
      <c r="AH71" s="96">
        <v>2.3999999999999998E-3</v>
      </c>
      <c r="AI71" s="96">
        <v>3.7000000000000002E-3</v>
      </c>
      <c r="AJ71">
        <f t="shared" ref="AJ71:AJ89" si="100">($B$63*B71*$AJ$8)/$B$64</f>
        <v>2930854.1387755107</v>
      </c>
      <c r="AM71" s="96">
        <f t="shared" si="82"/>
        <v>0</v>
      </c>
      <c r="AP71">
        <f>K71*($I$8/$F$1)+F71</f>
        <v>1.0693130156274402E-2</v>
      </c>
      <c r="AQ71">
        <f t="shared" si="84"/>
        <v>2.9962171656332894E-2</v>
      </c>
      <c r="AR71">
        <f t="shared" si="85"/>
        <v>1.1372624210359814E-2</v>
      </c>
      <c r="AS71">
        <f t="shared" si="86"/>
        <v>5.0381876453380867E-2</v>
      </c>
      <c r="AT71">
        <f t="shared" si="87"/>
        <v>5.2091728851904849E-2</v>
      </c>
      <c r="AU71">
        <f t="shared" si="88"/>
        <v>1.1372624210359812E-2</v>
      </c>
      <c r="AV71" s="26">
        <f t="shared" si="89"/>
        <v>1.2345635626691253E-2</v>
      </c>
      <c r="AW71" s="27">
        <f>AV71+AC71*($AF$2/$F$1)+AG71*($AF$4/$F$1)</f>
        <v>3.1614677126749743E-2</v>
      </c>
      <c r="AX71" s="27">
        <f>AV71+AC71*($AF$2/$F$1)</f>
        <v>1.3025129680776664E-2</v>
      </c>
      <c r="AY71" s="27">
        <f t="shared" ref="AY71:AY89" si="101">AW71+L71+U71</f>
        <v>5.203438192379771E-2</v>
      </c>
      <c r="AZ71" s="27">
        <f t="shared" ref="AZ71:AZ89" si="102">AW71+M71+V71</f>
        <v>5.3744234322321699E-2</v>
      </c>
      <c r="BA71" s="93">
        <f>AV71+AC71*($AF$2/$F$1)+AH71+AI71</f>
        <v>1.9125129680776662E-2</v>
      </c>
    </row>
    <row r="72" spans="1:53" x14ac:dyDescent="0.25">
      <c r="A72" s="138">
        <v>0.1</v>
      </c>
      <c r="B72">
        <f t="shared" ref="B72:B89" si="103">A72*$B$65</f>
        <v>109.71</v>
      </c>
      <c r="C72" s="132">
        <f t="shared" si="91"/>
        <v>9462035.2261224501</v>
      </c>
      <c r="D72">
        <v>1.06</v>
      </c>
      <c r="E72" s="238">
        <f>0.455/(LOG10(C72))^2.58</f>
        <v>3.0304643470495385E-3</v>
      </c>
      <c r="F72" s="237">
        <f t="shared" ref="F72:F89" si="104">E72*(1+$D$8*$E$8+100*$E$8^4)*D72*($F$8/$F$1)</f>
        <v>5.1903411458382879E-3</v>
      </c>
      <c r="G72">
        <f t="shared" si="92"/>
        <v>38211918.367346942</v>
      </c>
      <c r="H72">
        <f t="shared" ref="H72:H89" si="105">0.455/(LOG10(G72))^2.58</f>
        <v>2.4442175569436625E-3</v>
      </c>
      <c r="I72">
        <f t="shared" ref="I72:I89" si="106">H72*(1+(60/(($J$8/$H$8)^3))+0.0025*($J$8/$H$8))*($G$8/$I$8)</f>
        <v>8.4826591316603042E-2</v>
      </c>
      <c r="J72">
        <f t="shared" si="93"/>
        <v>0</v>
      </c>
      <c r="K72" s="96">
        <f t="shared" ref="K72:K89" si="107">I72+J72</f>
        <v>8.4826591316603042E-2</v>
      </c>
      <c r="L72">
        <f t="shared" si="78"/>
        <v>5.4197047970479702E-3</v>
      </c>
      <c r="M72">
        <f t="shared" si="79"/>
        <v>8.1295571955719553E-3</v>
      </c>
      <c r="Q72" s="29"/>
      <c r="R72" s="29"/>
      <c r="S72" s="29">
        <v>0.6</v>
      </c>
      <c r="T72">
        <v>0.92</v>
      </c>
      <c r="U72" s="96">
        <v>1.4999999999999999E-2</v>
      </c>
      <c r="V72" s="96">
        <v>1.4E-2</v>
      </c>
      <c r="X72">
        <f t="shared" si="94"/>
        <v>7323951.0204081638</v>
      </c>
      <c r="Y72">
        <f t="shared" ref="Y72:Y89" si="108">0.455/(LOG10(X72))^2.58</f>
        <v>3.1587870576720726E-3</v>
      </c>
      <c r="Z72">
        <f t="shared" si="80"/>
        <v>0.55301994533856835</v>
      </c>
      <c r="AA72">
        <f t="shared" si="95"/>
        <v>3.8996676918508569E-2</v>
      </c>
      <c r="AB72">
        <f t="shared" si="96"/>
        <v>0.59201662225707696</v>
      </c>
      <c r="AC72" s="96">
        <f t="shared" si="97"/>
        <v>1.1840332445141539</v>
      </c>
      <c r="AD72">
        <f t="shared" si="98"/>
        <v>5540728.1632653065</v>
      </c>
      <c r="AE72">
        <f t="shared" ref="AE72:AE89" si="109">0.455/(LOG10(AD72))^2.58</f>
        <v>3.3073187777470912E-3</v>
      </c>
      <c r="AF72">
        <f t="shared" si="81"/>
        <v>9.4230862636594248E-2</v>
      </c>
      <c r="AG72" s="96">
        <f t="shared" si="99"/>
        <v>1.130770351639131</v>
      </c>
      <c r="AH72" s="96">
        <v>2.3999999999999998E-3</v>
      </c>
      <c r="AI72" s="96">
        <v>3.7000000000000002E-3</v>
      </c>
      <c r="AJ72">
        <f t="shared" si="100"/>
        <v>5861708.2775510214</v>
      </c>
      <c r="AM72" s="96">
        <f t="shared" si="82"/>
        <v>0</v>
      </c>
      <c r="AP72">
        <f t="shared" ref="AP72:AP89" si="110">K72*($I$8/$F$1)+F72</f>
        <v>9.5834821389324705E-3</v>
      </c>
      <c r="AQ72">
        <f t="shared" si="84"/>
        <v>2.6718593750456234E-2</v>
      </c>
      <c r="AR72">
        <f t="shared" si="85"/>
        <v>1.0195159829825391E-2</v>
      </c>
      <c r="AS72">
        <f t="shared" si="86"/>
        <v>4.7138298547504204E-2</v>
      </c>
      <c r="AT72">
        <f t="shared" si="87"/>
        <v>4.8848150946028186E-2</v>
      </c>
      <c r="AU72">
        <f t="shared" si="88"/>
        <v>1.0195159829825391E-2</v>
      </c>
      <c r="AV72" s="26">
        <f t="shared" si="89"/>
        <v>1.1058228516163275E-2</v>
      </c>
      <c r="AW72" s="27">
        <f t="shared" si="90"/>
        <v>2.8193340127687039E-2</v>
      </c>
      <c r="AX72" s="27">
        <f t="shared" ref="AX72:AX89" si="111">AV72+AC72*($AF$2/$F$1)</f>
        <v>1.1669906207056196E-2</v>
      </c>
      <c r="AY72" s="27">
        <f t="shared" si="101"/>
        <v>4.8613044924735005E-2</v>
      </c>
      <c r="AZ72" s="27">
        <f t="shared" si="102"/>
        <v>5.0322897323258994E-2</v>
      </c>
      <c r="BA72" s="93">
        <f t="shared" ref="BA72:BA89" si="112">AV72+AC72*($AF$2/$F$1)+AH72+AI72</f>
        <v>1.7769906207056194E-2</v>
      </c>
    </row>
    <row r="73" spans="1:53" x14ac:dyDescent="0.25">
      <c r="A73" s="138">
        <v>0.15</v>
      </c>
      <c r="B73">
        <f t="shared" si="103"/>
        <v>164.56499999999997</v>
      </c>
      <c r="C73" s="132">
        <f t="shared" si="91"/>
        <v>14193052.839183671</v>
      </c>
      <c r="D73">
        <v>1.06</v>
      </c>
      <c r="E73" s="238">
        <f t="shared" ref="E73:E89" si="113">0.455/(LOG10(C73))^2.58</f>
        <v>2.8416890473116001E-3</v>
      </c>
      <c r="F73" s="237">
        <f t="shared" si="104"/>
        <v>4.8670216497677535E-3</v>
      </c>
      <c r="G73">
        <f t="shared" si="92"/>
        <v>57317877.551020399</v>
      </c>
      <c r="H73">
        <f t="shared" si="105"/>
        <v>2.3036424794367727E-3</v>
      </c>
      <c r="I73">
        <f t="shared" si="106"/>
        <v>7.9947932043781353E-2</v>
      </c>
      <c r="J73">
        <f t="shared" si="93"/>
        <v>0</v>
      </c>
      <c r="K73" s="96">
        <f t="shared" si="107"/>
        <v>7.9947932043781353E-2</v>
      </c>
      <c r="L73">
        <f t="shared" si="78"/>
        <v>5.4197047970479702E-3</v>
      </c>
      <c r="M73">
        <f t="shared" si="79"/>
        <v>8.1295571955719553E-3</v>
      </c>
      <c r="Q73" s="29"/>
      <c r="R73" s="29"/>
      <c r="S73" s="29">
        <v>0.6</v>
      </c>
      <c r="T73">
        <v>0.92</v>
      </c>
      <c r="U73" s="96">
        <v>1.4999999999999999E-2</v>
      </c>
      <c r="V73" s="96">
        <v>1.4E-2</v>
      </c>
      <c r="X73">
        <f t="shared" si="94"/>
        <v>10985926.530612243</v>
      </c>
      <c r="Y73">
        <f t="shared" si="108"/>
        <v>2.9589714657038239E-3</v>
      </c>
      <c r="Z73">
        <f t="shared" si="80"/>
        <v>0.51803752780596302</v>
      </c>
      <c r="AA73">
        <f t="shared" si="95"/>
        <v>4.029186654620829E-2</v>
      </c>
      <c r="AB73">
        <f t="shared" si="96"/>
        <v>0.55832939435217133</v>
      </c>
      <c r="AC73" s="96">
        <f t="shared" si="97"/>
        <v>1.1166587887043427</v>
      </c>
      <c r="AD73">
        <f t="shared" si="98"/>
        <v>8311092.2448979579</v>
      </c>
      <c r="AE73">
        <f t="shared" si="109"/>
        <v>3.094518148321874E-3</v>
      </c>
      <c r="AF73">
        <f t="shared" si="81"/>
        <v>8.816782843037603E-2</v>
      </c>
      <c r="AG73" s="96">
        <f t="shared" si="99"/>
        <v>1.0580139411645124</v>
      </c>
      <c r="AH73" s="96">
        <v>2.3999999999999998E-3</v>
      </c>
      <c r="AI73" s="96">
        <v>3.7000000000000002E-3</v>
      </c>
      <c r="AJ73">
        <f t="shared" si="100"/>
        <v>8792562.4163265284</v>
      </c>
      <c r="AM73" s="96">
        <f t="shared" si="82"/>
        <v>0</v>
      </c>
      <c r="AP73">
        <f t="shared" si="110"/>
        <v>9.0074984993414493E-3</v>
      </c>
      <c r="AQ73">
        <f t="shared" si="84"/>
        <v>2.5044647714950592E-2</v>
      </c>
      <c r="AR73">
        <f t="shared" si="85"/>
        <v>9.5843701983031031E-3</v>
      </c>
      <c r="AS73">
        <f t="shared" si="86"/>
        <v>4.5464352511998561E-2</v>
      </c>
      <c r="AT73">
        <f t="shared" si="87"/>
        <v>4.7174204910522544E-2</v>
      </c>
      <c r="AU73">
        <f t="shared" si="88"/>
        <v>9.5843701983031031E-3</v>
      </c>
      <c r="AV73" s="26">
        <f t="shared" si="89"/>
        <v>1.0390379189496863E-2</v>
      </c>
      <c r="AW73" s="27">
        <f t="shared" si="90"/>
        <v>2.6427528405106003E-2</v>
      </c>
      <c r="AX73" s="27">
        <f t="shared" si="111"/>
        <v>1.0967250888458516E-2</v>
      </c>
      <c r="AY73" s="27">
        <f t="shared" si="101"/>
        <v>4.6847233202153976E-2</v>
      </c>
      <c r="AZ73" s="27">
        <f t="shared" si="102"/>
        <v>4.8557085600677959E-2</v>
      </c>
      <c r="BA73" s="93">
        <f t="shared" si="112"/>
        <v>1.7067250888458514E-2</v>
      </c>
    </row>
    <row r="74" spans="1:53" x14ac:dyDescent="0.25">
      <c r="A74" s="138">
        <v>0.2</v>
      </c>
      <c r="B74">
        <f t="shared" si="103"/>
        <v>219.42</v>
      </c>
      <c r="C74" s="132">
        <f t="shared" si="91"/>
        <v>18924070.4522449</v>
      </c>
      <c r="D74">
        <v>1.06</v>
      </c>
      <c r="E74" s="238">
        <f t="shared" si="113"/>
        <v>2.7175154887007138E-3</v>
      </c>
      <c r="F74" s="237">
        <f t="shared" si="104"/>
        <v>4.6543469383458118E-3</v>
      </c>
      <c r="G74">
        <f t="shared" si="92"/>
        <v>76423836.734693885</v>
      </c>
      <c r="H74">
        <f t="shared" si="105"/>
        <v>2.2106232430852903E-3</v>
      </c>
      <c r="I74">
        <f t="shared" si="106"/>
        <v>7.6719698646899828E-2</v>
      </c>
      <c r="J74">
        <f t="shared" si="93"/>
        <v>0</v>
      </c>
      <c r="K74" s="96">
        <f t="shared" si="107"/>
        <v>7.6719698646899828E-2</v>
      </c>
      <c r="L74">
        <f t="shared" si="78"/>
        <v>5.4197047970479702E-3</v>
      </c>
      <c r="M74">
        <f t="shared" si="79"/>
        <v>8.1295571955719553E-3</v>
      </c>
      <c r="Q74" s="29"/>
      <c r="R74" s="29"/>
      <c r="S74" s="29">
        <v>0.6</v>
      </c>
      <c r="T74">
        <v>0.92</v>
      </c>
      <c r="U74" s="96">
        <v>1.4999999999999999E-2</v>
      </c>
      <c r="V74" s="96">
        <v>1.4E-2</v>
      </c>
      <c r="X74">
        <f t="shared" si="94"/>
        <v>14647902.040816328</v>
      </c>
      <c r="Y74">
        <f t="shared" si="108"/>
        <v>2.8276936573636341E-3</v>
      </c>
      <c r="Z74">
        <f t="shared" si="80"/>
        <v>0.49505426079018566</v>
      </c>
      <c r="AA74">
        <f t="shared" si="95"/>
        <v>4.1216546191296832E-2</v>
      </c>
      <c r="AB74">
        <f t="shared" si="96"/>
        <v>0.53627080698148255</v>
      </c>
      <c r="AC74" s="96">
        <f t="shared" si="97"/>
        <v>1.0725416139629651</v>
      </c>
      <c r="AD74">
        <f t="shared" si="98"/>
        <v>11081456.326530613</v>
      </c>
      <c r="AE74">
        <f t="shared" si="109"/>
        <v>2.9548983548547221E-3</v>
      </c>
      <c r="AF74">
        <f t="shared" si="81"/>
        <v>8.418983463429118E-2</v>
      </c>
      <c r="AG74" s="96">
        <f t="shared" si="99"/>
        <v>1.0102780156114941</v>
      </c>
      <c r="AH74" s="96">
        <v>2.3999999999999998E-3</v>
      </c>
      <c r="AI74" s="96">
        <v>3.7000000000000002E-3</v>
      </c>
      <c r="AJ74">
        <f t="shared" si="100"/>
        <v>11723416.555102043</v>
      </c>
      <c r="AM74" s="96">
        <f t="shared" si="82"/>
        <v>0</v>
      </c>
      <c r="AP74">
        <f t="shared" si="110"/>
        <v>8.6276346524020442E-3</v>
      </c>
      <c r="AQ74">
        <f t="shared" si="84"/>
        <v>2.3944449293643123E-2</v>
      </c>
      <c r="AR74">
        <f t="shared" si="85"/>
        <v>9.1817151909807E-3</v>
      </c>
      <c r="AS74">
        <f t="shared" si="86"/>
        <v>4.4364154090691096E-2</v>
      </c>
      <c r="AT74">
        <f t="shared" si="87"/>
        <v>4.6074006489215079E-2</v>
      </c>
      <c r="AU74">
        <f t="shared" si="88"/>
        <v>9.1817151909806983E-3</v>
      </c>
      <c r="AV74" s="26">
        <f t="shared" si="89"/>
        <v>9.9500874725224411E-3</v>
      </c>
      <c r="AW74" s="27">
        <f t="shared" si="90"/>
        <v>2.526690211376352E-2</v>
      </c>
      <c r="AX74" s="27">
        <f t="shared" si="111"/>
        <v>1.0504168011101095E-2</v>
      </c>
      <c r="AY74" s="27">
        <f t="shared" si="101"/>
        <v>4.5686606910811486E-2</v>
      </c>
      <c r="AZ74" s="27">
        <f t="shared" si="102"/>
        <v>4.7396459309335476E-2</v>
      </c>
      <c r="BA74" s="93">
        <f t="shared" si="112"/>
        <v>1.6604168011101095E-2</v>
      </c>
    </row>
    <row r="75" spans="1:53" x14ac:dyDescent="0.25">
      <c r="A75" s="138">
        <v>0.25</v>
      </c>
      <c r="B75">
        <f t="shared" si="103"/>
        <v>274.27499999999998</v>
      </c>
      <c r="C75" s="132">
        <f t="shared" si="91"/>
        <v>23655088.065306123</v>
      </c>
      <c r="D75">
        <v>1.06</v>
      </c>
      <c r="E75" s="238">
        <f t="shared" si="113"/>
        <v>2.6263268556026517E-3</v>
      </c>
      <c r="F75" s="237">
        <f t="shared" si="104"/>
        <v>4.4981662148001183E-3</v>
      </c>
      <c r="G75">
        <f t="shared" si="92"/>
        <v>95529795.918367356</v>
      </c>
      <c r="H75">
        <f t="shared" si="105"/>
        <v>2.1420245354762352E-3</v>
      </c>
      <c r="I75">
        <f t="shared" si="106"/>
        <v>7.4338979909866973E-2</v>
      </c>
      <c r="J75">
        <f t="shared" si="93"/>
        <v>0</v>
      </c>
      <c r="K75" s="96">
        <f t="shared" si="107"/>
        <v>7.4338979909866973E-2</v>
      </c>
      <c r="L75">
        <f t="shared" si="78"/>
        <v>5.4197047970479702E-3</v>
      </c>
      <c r="M75">
        <f t="shared" si="79"/>
        <v>8.1295571955719553E-3</v>
      </c>
      <c r="Q75" s="29"/>
      <c r="R75" s="29"/>
      <c r="S75" s="29">
        <v>0.6</v>
      </c>
      <c r="T75">
        <v>0.92</v>
      </c>
      <c r="U75" s="96">
        <v>1.4999999999999999E-2</v>
      </c>
      <c r="V75" s="96">
        <v>1.4E-2</v>
      </c>
      <c r="X75">
        <f t="shared" si="94"/>
        <v>18309877.551020414</v>
      </c>
      <c r="Y75">
        <f t="shared" si="108"/>
        <v>2.7313699789544865E-3</v>
      </c>
      <c r="Z75">
        <f t="shared" si="80"/>
        <v>0.47819053607684769</v>
      </c>
      <c r="AA75">
        <f t="shared" si="95"/>
        <v>4.1937014479470368E-2</v>
      </c>
      <c r="AB75">
        <f t="shared" si="96"/>
        <v>0.5201275505563181</v>
      </c>
      <c r="AC75" s="96">
        <f t="shared" si="97"/>
        <v>1.0402551011126362</v>
      </c>
      <c r="AD75">
        <f t="shared" si="98"/>
        <v>13851820.408163268</v>
      </c>
      <c r="AE75">
        <f t="shared" si="109"/>
        <v>2.8525519668870856E-3</v>
      </c>
      <c r="AF75">
        <f t="shared" si="81"/>
        <v>8.1273820462684956E-2</v>
      </c>
      <c r="AG75" s="96">
        <f t="shared" si="99"/>
        <v>0.97528584555221953</v>
      </c>
      <c r="AH75" s="96">
        <v>2.3999999999999998E-3</v>
      </c>
      <c r="AI75" s="96">
        <v>3.7000000000000002E-3</v>
      </c>
      <c r="AJ75">
        <f t="shared" si="100"/>
        <v>14654270.693877554</v>
      </c>
      <c r="AM75" s="96">
        <f t="shared" si="82"/>
        <v>0</v>
      </c>
      <c r="AP75">
        <f t="shared" si="110"/>
        <v>8.3481572961100186E-3</v>
      </c>
      <c r="AQ75">
        <f t="shared" si="84"/>
        <v>2.3136967858997687E-2</v>
      </c>
      <c r="AR75">
        <f t="shared" si="85"/>
        <v>8.8855584553563967E-3</v>
      </c>
      <c r="AS75">
        <f t="shared" si="86"/>
        <v>4.3556672656045653E-2</v>
      </c>
      <c r="AT75">
        <f t="shared" si="87"/>
        <v>4.5266525054569642E-2</v>
      </c>
      <c r="AU75">
        <f t="shared" si="88"/>
        <v>8.8855584553563984E-3</v>
      </c>
      <c r="AV75" s="26">
        <f t="shared" si="89"/>
        <v>9.6262340434886493E-3</v>
      </c>
      <c r="AW75" s="27">
        <f t="shared" si="90"/>
        <v>2.4415044606376321E-2</v>
      </c>
      <c r="AX75" s="27">
        <f t="shared" si="111"/>
        <v>1.0163635202735029E-2</v>
      </c>
      <c r="AY75" s="27">
        <f t="shared" si="101"/>
        <v>4.4834749403424287E-2</v>
      </c>
      <c r="AZ75" s="27">
        <f t="shared" si="102"/>
        <v>4.6544601801948277E-2</v>
      </c>
      <c r="BA75" s="93">
        <f t="shared" si="112"/>
        <v>1.6263635202735029E-2</v>
      </c>
    </row>
    <row r="76" spans="1:53" x14ac:dyDescent="0.25">
      <c r="A76" s="138">
        <v>0.3</v>
      </c>
      <c r="B76">
        <f t="shared" si="103"/>
        <v>329.12999999999994</v>
      </c>
      <c r="C76" s="132">
        <f t="shared" si="91"/>
        <v>28386105.678367343</v>
      </c>
      <c r="D76">
        <v>1.1499999999999999</v>
      </c>
      <c r="E76" s="238">
        <f t="shared" si="113"/>
        <v>2.5549428834471554E-3</v>
      </c>
      <c r="F76" s="237">
        <f t="shared" si="104"/>
        <v>4.7474444920768888E-3</v>
      </c>
      <c r="G76">
        <f t="shared" si="92"/>
        <v>114635755.1020408</v>
      </c>
      <c r="H76">
        <f t="shared" si="105"/>
        <v>2.0881491283127472E-3</v>
      </c>
      <c r="I76">
        <f t="shared" si="106"/>
        <v>7.2469233441313091E-2</v>
      </c>
      <c r="J76">
        <f t="shared" si="93"/>
        <v>0</v>
      </c>
      <c r="K76" s="96">
        <f t="shared" si="107"/>
        <v>7.2469233441313091E-2</v>
      </c>
      <c r="L76">
        <f t="shared" si="78"/>
        <v>5.4197047970479702E-3</v>
      </c>
      <c r="M76">
        <f t="shared" si="79"/>
        <v>8.1295571955719553E-3</v>
      </c>
      <c r="Q76" s="29"/>
      <c r="R76" s="29"/>
      <c r="S76" s="29">
        <v>0.6</v>
      </c>
      <c r="T76">
        <v>0.92</v>
      </c>
      <c r="U76" s="96">
        <v>1.4999999999999999E-2</v>
      </c>
      <c r="V76" s="96">
        <v>1.4E-2</v>
      </c>
      <c r="X76">
        <f t="shared" si="94"/>
        <v>21971853.061224487</v>
      </c>
      <c r="Y76">
        <f t="shared" si="108"/>
        <v>2.6560157214492678E-3</v>
      </c>
      <c r="Z76">
        <f t="shared" si="80"/>
        <v>0.46499800153566984</v>
      </c>
      <c r="AA76">
        <f t="shared" si="95"/>
        <v>4.2527754743603437E-2</v>
      </c>
      <c r="AB76">
        <f t="shared" si="96"/>
        <v>0.50752575627927332</v>
      </c>
      <c r="AC76" s="96">
        <f t="shared" si="97"/>
        <v>1.0150515125585466</v>
      </c>
      <c r="AD76">
        <f t="shared" si="98"/>
        <v>16622184.489795916</v>
      </c>
      <c r="AE76">
        <f t="shared" si="109"/>
        <v>2.7725452653410516E-3</v>
      </c>
      <c r="AF76">
        <f t="shared" si="81"/>
        <v>7.8994300098903486E-2</v>
      </c>
      <c r="AG76" s="96">
        <f t="shared" si="99"/>
        <v>0.94793160118684183</v>
      </c>
      <c r="AH76" s="96">
        <v>2.3999999999999998E-3</v>
      </c>
      <c r="AI76" s="96">
        <v>3.7000000000000002E-3</v>
      </c>
      <c r="AJ76">
        <f t="shared" si="100"/>
        <v>17585124.832653057</v>
      </c>
      <c r="AM76" s="96">
        <f t="shared" si="82"/>
        <v>0</v>
      </c>
      <c r="AP76">
        <f t="shared" si="110"/>
        <v>8.5006020247293951E-3</v>
      </c>
      <c r="AQ76">
        <f t="shared" si="84"/>
        <v>2.2876677126050762E-2</v>
      </c>
      <c r="AR76">
        <f t="shared" si="85"/>
        <v>9.0249828799256922E-3</v>
      </c>
      <c r="AS76">
        <f t="shared" si="86"/>
        <v>4.3296381923098731E-2</v>
      </c>
      <c r="AT76">
        <f t="shared" si="87"/>
        <v>4.5006234321622714E-2</v>
      </c>
      <c r="AU76">
        <f t="shared" si="88"/>
        <v>9.0249828799256922E-3</v>
      </c>
      <c r="AV76" s="26">
        <f t="shared" si="89"/>
        <v>9.8495069173121265E-3</v>
      </c>
      <c r="AW76" s="27">
        <f>AV76+AC76*($AF$2/$F$1)+AG76*($AF$4/$F$1)</f>
        <v>2.4225582018633493E-2</v>
      </c>
      <c r="AX76" s="27">
        <f t="shared" si="111"/>
        <v>1.0373887772508424E-2</v>
      </c>
      <c r="AY76" s="27">
        <f t="shared" si="101"/>
        <v>4.4645286815681459E-2</v>
      </c>
      <c r="AZ76" s="27">
        <f t="shared" si="102"/>
        <v>4.6355139214205449E-2</v>
      </c>
      <c r="BA76" s="93">
        <f t="shared" si="112"/>
        <v>1.6473887772508425E-2</v>
      </c>
    </row>
    <row r="77" spans="1:53" x14ac:dyDescent="0.25">
      <c r="A77" s="138">
        <v>0.35</v>
      </c>
      <c r="B77">
        <f t="shared" si="103"/>
        <v>383.98499999999996</v>
      </c>
      <c r="C77" s="132">
        <f t="shared" si="91"/>
        <v>33117123.29142857</v>
      </c>
      <c r="D77">
        <v>1.1499999999999999</v>
      </c>
      <c r="E77" s="238">
        <f>0.455/(LOG10(C77))^2.58</f>
        <v>2.4966722248899184E-3</v>
      </c>
      <c r="F77" s="237">
        <f t="shared" si="104"/>
        <v>4.6391693839288707E-3</v>
      </c>
      <c r="G77">
        <f t="shared" si="92"/>
        <v>133741714.28571428</v>
      </c>
      <c r="H77">
        <f t="shared" si="105"/>
        <v>2.0440541958593639E-3</v>
      </c>
      <c r="I77">
        <f t="shared" si="106"/>
        <v>7.0938918431615872E-2</v>
      </c>
      <c r="J77">
        <f t="shared" si="93"/>
        <v>0</v>
      </c>
      <c r="K77" s="96">
        <f t="shared" si="107"/>
        <v>7.0938918431615872E-2</v>
      </c>
      <c r="L77">
        <f t="shared" si="78"/>
        <v>5.4197047970479702E-3</v>
      </c>
      <c r="M77">
        <f t="shared" si="79"/>
        <v>8.1295571955719553E-3</v>
      </c>
      <c r="Q77" s="29"/>
      <c r="R77" s="29"/>
      <c r="S77" s="29">
        <v>0.6</v>
      </c>
      <c r="T77">
        <v>0.92</v>
      </c>
      <c r="U77" s="96">
        <v>1.4999999999999999E-2</v>
      </c>
      <c r="V77" s="96">
        <v>1.4E-2</v>
      </c>
      <c r="X77">
        <f t="shared" si="94"/>
        <v>25633828.571428571</v>
      </c>
      <c r="Y77">
        <f t="shared" si="108"/>
        <v>2.5945368957222426E-3</v>
      </c>
      <c r="Z77">
        <f t="shared" si="80"/>
        <v>0.45423468757296948</v>
      </c>
      <c r="AA77">
        <f t="shared" si="95"/>
        <v>4.3028662816117696E-2</v>
      </c>
      <c r="AB77">
        <f t="shared" si="96"/>
        <v>0.4972633503890872</v>
      </c>
      <c r="AC77" s="96">
        <f t="shared" si="97"/>
        <v>0.9945267007781744</v>
      </c>
      <c r="AD77">
        <f t="shared" si="98"/>
        <v>19392548.571428571</v>
      </c>
      <c r="AE77">
        <f t="shared" si="109"/>
        <v>2.707309782344233E-3</v>
      </c>
      <c r="AF77">
        <f t="shared" si="81"/>
        <v>7.7135635648816064E-2</v>
      </c>
      <c r="AG77" s="96">
        <f t="shared" si="99"/>
        <v>0.92562762778579277</v>
      </c>
      <c r="AH77" s="96">
        <v>2.3999999999999998E-3</v>
      </c>
      <c r="AI77" s="96">
        <v>3.7000000000000002E-3</v>
      </c>
      <c r="AJ77">
        <f t="shared" si="100"/>
        <v>20515978.971428569</v>
      </c>
      <c r="AM77" s="96">
        <f t="shared" si="82"/>
        <v>0</v>
      </c>
      <c r="AP77">
        <f t="shared" si="110"/>
        <v>8.3130724104518543E-3</v>
      </c>
      <c r="AQ77">
        <f t="shared" si="84"/>
        <v>2.2352626447871352E-2</v>
      </c>
      <c r="AR77">
        <f t="shared" si="85"/>
        <v>8.8268500418501733E-3</v>
      </c>
      <c r="AS77">
        <f t="shared" si="86"/>
        <v>4.2772331244919318E-2</v>
      </c>
      <c r="AT77">
        <f t="shared" si="87"/>
        <v>4.4482183643443307E-2</v>
      </c>
      <c r="AU77">
        <f t="shared" si="88"/>
        <v>8.8268500418501733E-3</v>
      </c>
      <c r="AV77" s="26">
        <f t="shared" si="89"/>
        <v>9.6312127889113495E-3</v>
      </c>
      <c r="AW77" s="27">
        <f t="shared" ref="AW77:AW89" si="114">AV77+AC77*($AF$2/$F$1)+AG77*($AF$4/$F$1)</f>
        <v>2.3670766826330847E-2</v>
      </c>
      <c r="AX77" s="27">
        <f t="shared" si="111"/>
        <v>1.0144990420309669E-2</v>
      </c>
      <c r="AY77" s="27">
        <f t="shared" si="101"/>
        <v>4.4090471623378813E-2</v>
      </c>
      <c r="AZ77" s="27">
        <f t="shared" si="102"/>
        <v>4.5800324021902802E-2</v>
      </c>
      <c r="BA77" s="93">
        <f t="shared" si="112"/>
        <v>1.624499042030967E-2</v>
      </c>
    </row>
    <row r="78" spans="1:53" x14ac:dyDescent="0.25">
      <c r="A78" s="138">
        <v>0.4</v>
      </c>
      <c r="B78">
        <f t="shared" si="103"/>
        <v>438.84</v>
      </c>
      <c r="C78" s="132">
        <f t="shared" si="91"/>
        <v>37848140.9044898</v>
      </c>
      <c r="D78">
        <v>1.1499999999999999</v>
      </c>
      <c r="E78" s="238">
        <f t="shared" si="113"/>
        <v>2.4476760525044606E-3</v>
      </c>
      <c r="F78" s="237">
        <f t="shared" si="104"/>
        <v>4.5481275801252741E-3</v>
      </c>
      <c r="G78">
        <f t="shared" si="92"/>
        <v>152847673.46938777</v>
      </c>
      <c r="H78">
        <f t="shared" si="105"/>
        <v>2.006895036083263E-3</v>
      </c>
      <c r="I78">
        <f t="shared" si="106"/>
        <v>6.9649309472282012E-2</v>
      </c>
      <c r="J78">
        <f t="shared" si="93"/>
        <v>0</v>
      </c>
      <c r="K78" s="96">
        <f t="shared" si="107"/>
        <v>6.9649309472282012E-2</v>
      </c>
      <c r="L78">
        <f t="shared" si="78"/>
        <v>5.4197047970479702E-3</v>
      </c>
      <c r="M78">
        <f t="shared" si="79"/>
        <v>8.1295571955719553E-3</v>
      </c>
      <c r="Q78" s="29"/>
      <c r="R78" s="29"/>
      <c r="S78" s="29">
        <v>0.6</v>
      </c>
      <c r="T78">
        <v>0.92</v>
      </c>
      <c r="U78" s="96">
        <v>1.4999999999999999E-2</v>
      </c>
      <c r="V78" s="96">
        <v>1.4E-2</v>
      </c>
      <c r="X78">
        <f t="shared" si="94"/>
        <v>29295804.081632655</v>
      </c>
      <c r="Y78">
        <f t="shared" si="108"/>
        <v>2.5428662893560551E-3</v>
      </c>
      <c r="Z78">
        <f t="shared" si="80"/>
        <v>0.44518853302486955</v>
      </c>
      <c r="AA78">
        <f t="shared" si="95"/>
        <v>4.3463631824410404E-2</v>
      </c>
      <c r="AB78">
        <f t="shared" si="96"/>
        <v>0.48865216484927998</v>
      </c>
      <c r="AC78" s="96">
        <f t="shared" si="97"/>
        <v>0.97730432969855996</v>
      </c>
      <c r="AD78">
        <f t="shared" si="98"/>
        <v>22162912.653061226</v>
      </c>
      <c r="AE78">
        <f t="shared" si="109"/>
        <v>2.6525094068357196E-3</v>
      </c>
      <c r="AF78">
        <f t="shared" si="81"/>
        <v>7.5574284293234276E-2</v>
      </c>
      <c r="AG78" s="96">
        <f t="shared" si="99"/>
        <v>0.90689141151881136</v>
      </c>
      <c r="AH78" s="96">
        <v>2.3999999999999998E-3</v>
      </c>
      <c r="AI78" s="96">
        <v>3.7000000000000002E-3</v>
      </c>
      <c r="AJ78">
        <f t="shared" si="100"/>
        <v>23446833.110204086</v>
      </c>
      <c r="AM78" s="96">
        <f t="shared" si="82"/>
        <v>0</v>
      </c>
      <c r="AP78">
        <f t="shared" si="110"/>
        <v>8.1552421869277754E-3</v>
      </c>
      <c r="AQ78">
        <f t="shared" si="84"/>
        <v>2.1912115234058005E-2</v>
      </c>
      <c r="AR78">
        <f t="shared" si="85"/>
        <v>8.6601226524547093E-3</v>
      </c>
      <c r="AS78">
        <f t="shared" si="86"/>
        <v>4.2331820031105971E-2</v>
      </c>
      <c r="AT78">
        <f t="shared" si="87"/>
        <v>4.4041672429629961E-2</v>
      </c>
      <c r="AU78">
        <f t="shared" si="88"/>
        <v>8.6601226524547076E-3</v>
      </c>
      <c r="AV78" s="26">
        <f t="shared" si="89"/>
        <v>9.4475145989928906E-3</v>
      </c>
      <c r="AW78" s="27">
        <f t="shared" si="114"/>
        <v>2.320438764612312E-2</v>
      </c>
      <c r="AX78" s="27">
        <f t="shared" si="111"/>
        <v>9.9523950645198228E-3</v>
      </c>
      <c r="AY78" s="27">
        <f t="shared" si="101"/>
        <v>4.3624092443171086E-2</v>
      </c>
      <c r="AZ78" s="27">
        <f t="shared" si="102"/>
        <v>4.5333944841695076E-2</v>
      </c>
      <c r="BA78" s="93">
        <f t="shared" si="112"/>
        <v>1.6052395064519824E-2</v>
      </c>
    </row>
    <row r="79" spans="1:53" x14ac:dyDescent="0.25">
      <c r="A79" s="138">
        <v>0.45</v>
      </c>
      <c r="B79">
        <f t="shared" si="103"/>
        <v>493.69499999999999</v>
      </c>
      <c r="C79" s="132">
        <f t="shared" si="91"/>
        <v>42579158.51755102</v>
      </c>
      <c r="D79">
        <v>1.1499999999999999</v>
      </c>
      <c r="E79" s="238">
        <f t="shared" si="113"/>
        <v>2.4055589610701162E-3</v>
      </c>
      <c r="F79" s="237">
        <f t="shared" si="104"/>
        <v>4.4698680796692392E-3</v>
      </c>
      <c r="G79">
        <f t="shared" si="92"/>
        <v>171953632.65306124</v>
      </c>
      <c r="H79">
        <f t="shared" si="105"/>
        <v>1.9748919099942175E-3</v>
      </c>
      <c r="I79">
        <f t="shared" si="106"/>
        <v>6.8538640706362605E-2</v>
      </c>
      <c r="J79">
        <f t="shared" si="93"/>
        <v>0</v>
      </c>
      <c r="K79" s="96">
        <f t="shared" si="107"/>
        <v>6.8538640706362605E-2</v>
      </c>
      <c r="L79">
        <f t="shared" si="78"/>
        <v>5.4197047970479702E-3</v>
      </c>
      <c r="M79">
        <f t="shared" si="79"/>
        <v>8.1295571955719553E-3</v>
      </c>
      <c r="Q79" s="29"/>
      <c r="R79" s="29"/>
      <c r="S79" s="29">
        <v>0.6</v>
      </c>
      <c r="T79">
        <v>0.92</v>
      </c>
      <c r="U79" s="96">
        <v>1.4999999999999999E-2</v>
      </c>
      <c r="V79" s="96">
        <v>1.4E-2</v>
      </c>
      <c r="X79">
        <f t="shared" si="94"/>
        <v>32957779.591836739</v>
      </c>
      <c r="Y79">
        <f t="shared" si="108"/>
        <v>2.4984673323132354E-3</v>
      </c>
      <c r="Z79">
        <f t="shared" si="80"/>
        <v>0.43741545166527801</v>
      </c>
      <c r="AA79">
        <f t="shared" si="95"/>
        <v>4.3848115971144276E-2</v>
      </c>
      <c r="AB79">
        <f t="shared" si="96"/>
        <v>0.48126356763642231</v>
      </c>
      <c r="AC79" s="96">
        <f t="shared" si="97"/>
        <v>0.96252713527284461</v>
      </c>
      <c r="AD79">
        <f t="shared" si="98"/>
        <v>24933276.734693877</v>
      </c>
      <c r="AE79">
        <f t="shared" si="109"/>
        <v>2.6054414816188416E-3</v>
      </c>
      <c r="AF79">
        <f t="shared" si="81"/>
        <v>7.4233242956202233E-2</v>
      </c>
      <c r="AG79" s="96">
        <f t="shared" si="99"/>
        <v>0.8907989154744268</v>
      </c>
      <c r="AH79" s="96">
        <v>2.3999999999999998E-3</v>
      </c>
      <c r="AI79" s="96">
        <v>3.7000000000000002E-3</v>
      </c>
      <c r="AJ79">
        <f t="shared" si="100"/>
        <v>26377687.248979591</v>
      </c>
      <c r="AM79" s="96">
        <f t="shared" si="82"/>
        <v>0</v>
      </c>
      <c r="AP79">
        <f t="shared" si="110"/>
        <v>8.0194615199415606E-3</v>
      </c>
      <c r="AQ79">
        <f t="shared" si="84"/>
        <v>2.1533548251369342E-2</v>
      </c>
      <c r="AR79">
        <f t="shared" si="85"/>
        <v>8.5167080104884187E-3</v>
      </c>
      <c r="AS79">
        <f t="shared" si="86"/>
        <v>4.1953253048417308E-2</v>
      </c>
      <c r="AT79">
        <f t="shared" si="87"/>
        <v>4.3663105446941297E-2</v>
      </c>
      <c r="AU79">
        <f t="shared" si="88"/>
        <v>8.516708010488417E-3</v>
      </c>
      <c r="AV79" s="26">
        <f t="shared" si="89"/>
        <v>9.2894978377811594E-3</v>
      </c>
      <c r="AW79" s="27">
        <f t="shared" si="114"/>
        <v>2.2803584569208939E-2</v>
      </c>
      <c r="AX79" s="27">
        <f t="shared" si="111"/>
        <v>9.7867443283280158E-3</v>
      </c>
      <c r="AY79" s="27">
        <f t="shared" si="101"/>
        <v>4.3223289366256912E-2</v>
      </c>
      <c r="AZ79" s="27">
        <f t="shared" si="102"/>
        <v>4.4933141764780894E-2</v>
      </c>
      <c r="BA79" s="93">
        <f t="shared" si="112"/>
        <v>1.5886744328328015E-2</v>
      </c>
    </row>
    <row r="80" spans="1:53" x14ac:dyDescent="0.25">
      <c r="A80" s="138">
        <v>0.5</v>
      </c>
      <c r="B80">
        <f t="shared" si="103"/>
        <v>548.54999999999995</v>
      </c>
      <c r="C80" s="132">
        <f t="shared" si="91"/>
        <v>47310176.130612247</v>
      </c>
      <c r="D80">
        <v>1.1499999999999999</v>
      </c>
      <c r="E80" s="238">
        <f t="shared" si="113"/>
        <v>2.3687312994792888E-3</v>
      </c>
      <c r="F80" s="237">
        <f t="shared" si="104"/>
        <v>4.4014370864332757E-3</v>
      </c>
      <c r="G80">
        <f t="shared" si="92"/>
        <v>191059591.83673471</v>
      </c>
      <c r="H80">
        <f t="shared" si="105"/>
        <v>1.9468610948395165E-3</v>
      </c>
      <c r="I80">
        <f t="shared" si="106"/>
        <v>6.7565831025553219E-2</v>
      </c>
      <c r="J80">
        <f t="shared" si="93"/>
        <v>0</v>
      </c>
      <c r="K80" s="96">
        <f t="shared" si="107"/>
        <v>6.7565831025553219E-2</v>
      </c>
      <c r="L80">
        <f t="shared" si="78"/>
        <v>5.4197047970479702E-3</v>
      </c>
      <c r="M80">
        <f t="shared" si="79"/>
        <v>8.1295571955719553E-3</v>
      </c>
      <c r="Q80" s="29"/>
      <c r="R80" s="29"/>
      <c r="S80" s="29">
        <v>0.6</v>
      </c>
      <c r="T80">
        <v>0.92</v>
      </c>
      <c r="U80" s="96">
        <v>1.4999999999999999E-2</v>
      </c>
      <c r="V80" s="96">
        <v>1.4E-2</v>
      </c>
      <c r="X80">
        <f t="shared" si="94"/>
        <v>36619755.102040827</v>
      </c>
      <c r="Y80">
        <f t="shared" si="108"/>
        <v>2.4596574532878904E-3</v>
      </c>
      <c r="Z80">
        <f t="shared" si="80"/>
        <v>0.43062086982568737</v>
      </c>
      <c r="AA80">
        <f t="shared" si="95"/>
        <v>4.4192692359175431E-2</v>
      </c>
      <c r="AB80">
        <f t="shared" si="96"/>
        <v>0.47481356218486281</v>
      </c>
      <c r="AC80" s="96">
        <f t="shared" si="97"/>
        <v>0.94962712436972563</v>
      </c>
      <c r="AD80">
        <f t="shared" si="98"/>
        <v>27703640.816326536</v>
      </c>
      <c r="AE80">
        <f t="shared" si="109"/>
        <v>2.5643141770612349E-3</v>
      </c>
      <c r="AF80">
        <f t="shared" si="81"/>
        <v>7.3061459512629517E-2</v>
      </c>
      <c r="AG80" s="96">
        <f t="shared" si="99"/>
        <v>0.87673751415155421</v>
      </c>
      <c r="AH80" s="96">
        <v>2.3999999999999998E-3</v>
      </c>
      <c r="AI80" s="96">
        <v>3.7000000000000002E-3</v>
      </c>
      <c r="AJ80">
        <f t="shared" si="100"/>
        <v>29308541.387755107</v>
      </c>
      <c r="AM80" s="96">
        <f t="shared" si="82"/>
        <v>0</v>
      </c>
      <c r="AP80">
        <f t="shared" si="110"/>
        <v>7.9006490364098049E-3</v>
      </c>
      <c r="AQ80">
        <f t="shared" si="84"/>
        <v>2.1202598680143812E-2</v>
      </c>
      <c r="AR80">
        <f t="shared" si="85"/>
        <v>8.3912313146819861E-3</v>
      </c>
      <c r="AS80">
        <f t="shared" si="86"/>
        <v>4.1622303477191785E-2</v>
      </c>
      <c r="AT80">
        <f t="shared" si="87"/>
        <v>4.3332155875715768E-2</v>
      </c>
      <c r="AU80">
        <f t="shared" si="88"/>
        <v>8.3912313146819878E-3</v>
      </c>
      <c r="AV80" s="26">
        <f t="shared" si="89"/>
        <v>9.1512418617063444E-3</v>
      </c>
      <c r="AW80" s="27">
        <f t="shared" si="114"/>
        <v>2.2453191505440354E-2</v>
      </c>
      <c r="AX80" s="27">
        <f t="shared" si="111"/>
        <v>9.6418241399785273E-3</v>
      </c>
      <c r="AY80" s="27">
        <f t="shared" si="101"/>
        <v>4.287289630248832E-2</v>
      </c>
      <c r="AZ80" s="27">
        <f t="shared" si="102"/>
        <v>4.4582748701012309E-2</v>
      </c>
      <c r="BA80" s="93">
        <f t="shared" si="112"/>
        <v>1.5741824139978527E-2</v>
      </c>
    </row>
    <row r="81" spans="1:53" x14ac:dyDescent="0.25">
      <c r="A81" s="138">
        <v>0.55000000000000004</v>
      </c>
      <c r="B81">
        <f t="shared" si="103"/>
        <v>603.40499999999997</v>
      </c>
      <c r="C81" s="132">
        <f t="shared" si="91"/>
        <v>52041193.743673466</v>
      </c>
      <c r="D81">
        <v>1.1499999999999999</v>
      </c>
      <c r="E81" s="238">
        <f t="shared" si="113"/>
        <v>2.3360871842787994E-3</v>
      </c>
      <c r="F81" s="237">
        <f t="shared" si="104"/>
        <v>4.3407797128726614E-3</v>
      </c>
      <c r="G81">
        <f t="shared" si="92"/>
        <v>210165551.02040815</v>
      </c>
      <c r="H81">
        <f t="shared" si="105"/>
        <v>1.9219774980128185E-3</v>
      </c>
      <c r="I81">
        <f t="shared" si="106"/>
        <v>6.6702245583860842E-2</v>
      </c>
      <c r="J81">
        <f t="shared" si="93"/>
        <v>0</v>
      </c>
      <c r="K81" s="96">
        <f t="shared" si="107"/>
        <v>6.6702245583860842E-2</v>
      </c>
      <c r="L81">
        <f t="shared" si="78"/>
        <v>5.4197047970479702E-3</v>
      </c>
      <c r="M81">
        <f t="shared" si="79"/>
        <v>8.1295571955719553E-3</v>
      </c>
      <c r="Q81" s="29"/>
      <c r="R81" s="29"/>
      <c r="S81" s="29">
        <v>0.6</v>
      </c>
      <c r="T81">
        <v>0.92</v>
      </c>
      <c r="U81" s="96">
        <v>1.4999999999999999E-2</v>
      </c>
      <c r="V81" s="96">
        <v>1.4E-2</v>
      </c>
      <c r="X81">
        <f t="shared" si="94"/>
        <v>40281730.612244904</v>
      </c>
      <c r="Y81">
        <f t="shared" si="108"/>
        <v>2.4252665863409477E-3</v>
      </c>
      <c r="Z81">
        <f t="shared" si="80"/>
        <v>0.42459993995231993</v>
      </c>
      <c r="AA81">
        <f t="shared" si="95"/>
        <v>4.4504920921047506E-2</v>
      </c>
      <c r="AB81">
        <f t="shared" si="96"/>
        <v>0.46910486087336745</v>
      </c>
      <c r="AC81" s="96">
        <f t="shared" si="97"/>
        <v>0.93820972174673489</v>
      </c>
      <c r="AD81">
        <f t="shared" si="98"/>
        <v>30474004.89795918</v>
      </c>
      <c r="AE81">
        <f t="shared" si="109"/>
        <v>2.5278819996199784E-3</v>
      </c>
      <c r="AF81">
        <f t="shared" si="81"/>
        <v>7.2023447836489368E-2</v>
      </c>
      <c r="AG81" s="96">
        <f t="shared" si="99"/>
        <v>0.86428137403787242</v>
      </c>
      <c r="AH81" s="96">
        <v>2.3999999999999998E-3</v>
      </c>
      <c r="AI81" s="96">
        <v>3.7000000000000002E-3</v>
      </c>
      <c r="AJ81">
        <f t="shared" si="100"/>
        <v>32239395.526530612</v>
      </c>
      <c r="AM81" s="96">
        <f t="shared" si="82"/>
        <v>0</v>
      </c>
      <c r="AP81">
        <f t="shared" si="110"/>
        <v>7.7952668596235359E-3</v>
      </c>
      <c r="AQ81">
        <f t="shared" si="84"/>
        <v>2.0909302292223233E-2</v>
      </c>
      <c r="AR81">
        <f t="shared" si="85"/>
        <v>8.27995084871779E-3</v>
      </c>
      <c r="AS81">
        <f t="shared" si="86"/>
        <v>4.1329007089271202E-2</v>
      </c>
      <c r="AT81">
        <f t="shared" si="87"/>
        <v>4.3038859487795185E-2</v>
      </c>
      <c r="AU81">
        <f t="shared" si="88"/>
        <v>8.27995084871779E-3</v>
      </c>
      <c r="AV81" s="26">
        <f t="shared" si="89"/>
        <v>9.0286249330227795E-3</v>
      </c>
      <c r="AW81" s="27">
        <f t="shared" si="114"/>
        <v>2.2142660365622478E-2</v>
      </c>
      <c r="AX81" s="27">
        <f t="shared" si="111"/>
        <v>9.5133089221170336E-3</v>
      </c>
      <c r="AY81" s="27">
        <f t="shared" si="101"/>
        <v>4.2562365162670451E-2</v>
      </c>
      <c r="AZ81" s="27">
        <f t="shared" si="102"/>
        <v>4.4272217561194434E-2</v>
      </c>
      <c r="BA81" s="93">
        <f t="shared" si="112"/>
        <v>1.5613308922117033E-2</v>
      </c>
    </row>
    <row r="82" spans="1:53" x14ac:dyDescent="0.25">
      <c r="A82" s="138">
        <v>0.6</v>
      </c>
      <c r="B82">
        <f t="shared" si="103"/>
        <v>658.25999999999988</v>
      </c>
      <c r="C82" s="132">
        <f t="shared" si="91"/>
        <v>56772211.356734686</v>
      </c>
      <c r="D82">
        <v>1.1499999999999999</v>
      </c>
      <c r="E82" s="238">
        <f t="shared" si="113"/>
        <v>2.3068280110709275E-3</v>
      </c>
      <c r="F82" s="237">
        <f t="shared" si="104"/>
        <v>4.2864120392982832E-3</v>
      </c>
      <c r="G82">
        <f t="shared" si="92"/>
        <v>229271510.20408159</v>
      </c>
      <c r="H82">
        <f t="shared" si="105"/>
        <v>1.8996442592329121E-3</v>
      </c>
      <c r="I82">
        <f t="shared" si="106"/>
        <v>6.5927170340097305E-2</v>
      </c>
      <c r="J82">
        <f t="shared" si="93"/>
        <v>0</v>
      </c>
      <c r="K82" s="96">
        <f t="shared" si="107"/>
        <v>6.5927170340097305E-2</v>
      </c>
      <c r="L82">
        <f t="shared" si="78"/>
        <v>5.4197047970479702E-3</v>
      </c>
      <c r="M82">
        <f t="shared" si="79"/>
        <v>8.1295571955719553E-3</v>
      </c>
      <c r="Q82" s="29"/>
      <c r="R82" s="29"/>
      <c r="S82" s="29">
        <v>0.6</v>
      </c>
      <c r="T82">
        <v>0.92</v>
      </c>
      <c r="U82" s="96">
        <v>1.4999999999999999E-2</v>
      </c>
      <c r="V82" s="96">
        <v>1.4E-2</v>
      </c>
      <c r="X82">
        <f t="shared" si="94"/>
        <v>43943706.122448973</v>
      </c>
      <c r="Y82">
        <f t="shared" si="108"/>
        <v>2.39445007177217E-3</v>
      </c>
      <c r="Z82">
        <f t="shared" si="80"/>
        <v>0.41920478450461141</v>
      </c>
      <c r="AA82">
        <f t="shared" si="95"/>
        <v>4.4790393978099467E-2</v>
      </c>
      <c r="AB82">
        <f t="shared" si="96"/>
        <v>0.46399517848271088</v>
      </c>
      <c r="AC82" s="96">
        <f t="shared" si="97"/>
        <v>0.92799035696542176</v>
      </c>
      <c r="AD82">
        <f t="shared" si="98"/>
        <v>33244368.979591832</v>
      </c>
      <c r="AE82">
        <f t="shared" si="109"/>
        <v>2.4952461905573373E-3</v>
      </c>
      <c r="AF82">
        <f t="shared" si="81"/>
        <v>7.1093600837310561E-2</v>
      </c>
      <c r="AG82" s="96">
        <f t="shared" si="99"/>
        <v>0.85312321004772673</v>
      </c>
      <c r="AH82" s="96">
        <v>2.3999999999999998E-3</v>
      </c>
      <c r="AI82" s="96">
        <v>3.7000000000000002E-3</v>
      </c>
      <c r="AJ82">
        <f t="shared" si="100"/>
        <v>35170249.665306114</v>
      </c>
      <c r="AM82" s="96">
        <f t="shared" si="82"/>
        <v>0</v>
      </c>
      <c r="AP82">
        <f t="shared" si="110"/>
        <v>7.7007582965797064E-3</v>
      </c>
      <c r="AQ82">
        <f t="shared" si="84"/>
        <v>2.0646465166558145E-2</v>
      </c>
      <c r="AR82">
        <f t="shared" si="85"/>
        <v>8.1801629090341669E-3</v>
      </c>
      <c r="AS82">
        <f t="shared" si="86"/>
        <v>4.1066169963606111E-2</v>
      </c>
      <c r="AT82">
        <f t="shared" si="87"/>
        <v>4.2776022362130101E-2</v>
      </c>
      <c r="AU82">
        <f t="shared" si="88"/>
        <v>8.1801629090341686E-3</v>
      </c>
      <c r="AV82" s="26">
        <f t="shared" si="89"/>
        <v>8.9186687284098457E-3</v>
      </c>
      <c r="AW82" s="27">
        <f t="shared" si="114"/>
        <v>2.1864375598388285E-2</v>
      </c>
      <c r="AX82" s="27">
        <f t="shared" si="111"/>
        <v>9.3980733408643071E-3</v>
      </c>
      <c r="AY82" s="27">
        <f t="shared" si="101"/>
        <v>4.2284080395436255E-2</v>
      </c>
      <c r="AZ82" s="27">
        <f t="shared" si="102"/>
        <v>4.3993932793960237E-2</v>
      </c>
      <c r="BA82" s="93">
        <f t="shared" si="112"/>
        <v>1.5498073340864307E-2</v>
      </c>
    </row>
    <row r="83" spans="1:53" x14ac:dyDescent="0.25">
      <c r="A83" s="138">
        <v>0.65</v>
      </c>
      <c r="B83">
        <f t="shared" si="103"/>
        <v>713.11500000000001</v>
      </c>
      <c r="C83" s="132">
        <f t="shared" si="91"/>
        <v>61503228.969795927</v>
      </c>
      <c r="D83">
        <v>1.25</v>
      </c>
      <c r="E83" s="238">
        <f t="shared" si="113"/>
        <v>2.2803593251786076E-3</v>
      </c>
      <c r="F83" s="237">
        <f t="shared" si="104"/>
        <v>4.6056842228440172E-3</v>
      </c>
      <c r="G83">
        <f t="shared" si="92"/>
        <v>248377469.38775513</v>
      </c>
      <c r="H83">
        <f t="shared" si="105"/>
        <v>1.8794164097362242E-3</v>
      </c>
      <c r="I83">
        <f t="shared" si="106"/>
        <v>6.5225162649499235E-2</v>
      </c>
      <c r="J83">
        <f t="shared" si="93"/>
        <v>0</v>
      </c>
      <c r="K83" s="96">
        <f t="shared" si="107"/>
        <v>6.5225162649499235E-2</v>
      </c>
      <c r="L83">
        <f t="shared" si="78"/>
        <v>5.4197047970479702E-3</v>
      </c>
      <c r="M83">
        <f t="shared" si="79"/>
        <v>8.1295571955719553E-3</v>
      </c>
      <c r="Q83" s="29"/>
      <c r="R83" s="29"/>
      <c r="S83" s="29">
        <v>0.6</v>
      </c>
      <c r="T83">
        <v>0.92</v>
      </c>
      <c r="U83" s="96">
        <v>1.4999999999999999E-2</v>
      </c>
      <c r="V83" s="96">
        <v>1.4E-2</v>
      </c>
      <c r="X83">
        <f t="shared" si="94"/>
        <v>47605681.632653072</v>
      </c>
      <c r="Y83">
        <f t="shared" si="108"/>
        <v>2.3665793684410339E-3</v>
      </c>
      <c r="Z83">
        <f t="shared" si="80"/>
        <v>0.41432536257735703</v>
      </c>
      <c r="AA83">
        <f t="shared" si="95"/>
        <v>4.5053365489849742E-2</v>
      </c>
      <c r="AB83">
        <f t="shared" si="96"/>
        <v>0.45937872806720675</v>
      </c>
      <c r="AC83" s="96">
        <f t="shared" si="97"/>
        <v>0.91875745613441351</v>
      </c>
      <c r="AD83">
        <f t="shared" si="98"/>
        <v>36014733.06122449</v>
      </c>
      <c r="AE83">
        <f t="shared" si="109"/>
        <v>2.4657381857629509E-3</v>
      </c>
      <c r="AF83">
        <f t="shared" si="81"/>
        <v>7.0252870041970089E-2</v>
      </c>
      <c r="AG83" s="96">
        <f t="shared" si="99"/>
        <v>0.84303444050364107</v>
      </c>
      <c r="AH83" s="96">
        <v>2.3999999999999998E-3</v>
      </c>
      <c r="AI83" s="96">
        <v>3.7000000000000002E-3</v>
      </c>
      <c r="AJ83">
        <f t="shared" si="100"/>
        <v>38101103.804081634</v>
      </c>
      <c r="AM83" s="96">
        <f t="shared" si="82"/>
        <v>0</v>
      </c>
      <c r="AP83">
        <f t="shared" si="110"/>
        <v>7.9836737349684508E-3</v>
      </c>
      <c r="AQ83">
        <f t="shared" si="84"/>
        <v>2.0777188230367848E-2</v>
      </c>
      <c r="AR83">
        <f t="shared" si="85"/>
        <v>8.4583085831559709E-3</v>
      </c>
      <c r="AS83">
        <f t="shared" si="86"/>
        <v>4.1196893027415818E-2</v>
      </c>
      <c r="AT83">
        <f t="shared" si="87"/>
        <v>4.29067454259398E-2</v>
      </c>
      <c r="AU83">
        <f t="shared" si="88"/>
        <v>8.4583085831559709E-3</v>
      </c>
      <c r="AV83" s="26">
        <f t="shared" si="89"/>
        <v>9.2922998794665659E-3</v>
      </c>
      <c r="AW83" s="27">
        <f t="shared" si="114"/>
        <v>2.2085814374865963E-2</v>
      </c>
      <c r="AX83" s="27">
        <f t="shared" si="111"/>
        <v>9.766934727654086E-3</v>
      </c>
      <c r="AY83" s="27">
        <f t="shared" si="101"/>
        <v>4.2505519171913933E-2</v>
      </c>
      <c r="AZ83" s="27">
        <f t="shared" si="102"/>
        <v>4.4215371570437915E-2</v>
      </c>
      <c r="BA83" s="93">
        <f t="shared" si="112"/>
        <v>1.5866934727654085E-2</v>
      </c>
    </row>
    <row r="84" spans="1:53" x14ac:dyDescent="0.25">
      <c r="A84" s="138">
        <v>0.7</v>
      </c>
      <c r="B84">
        <f t="shared" si="103"/>
        <v>767.96999999999991</v>
      </c>
      <c r="C84" s="132">
        <f t="shared" si="91"/>
        <v>66234246.582857139</v>
      </c>
      <c r="D84">
        <v>1.25</v>
      </c>
      <c r="E84" s="238">
        <f t="shared" si="113"/>
        <v>2.256227380518081E-3</v>
      </c>
      <c r="F84" s="237">
        <f t="shared" si="104"/>
        <v>4.5569444845219315E-3</v>
      </c>
      <c r="G84">
        <f t="shared" si="92"/>
        <v>267483428.57142857</v>
      </c>
      <c r="H84">
        <f t="shared" si="105"/>
        <v>1.8609538313177135E-3</v>
      </c>
      <c r="I84">
        <f t="shared" si="106"/>
        <v>6.4584418706838065E-2</v>
      </c>
      <c r="J84">
        <f t="shared" si="93"/>
        <v>0</v>
      </c>
      <c r="K84" s="96">
        <f t="shared" si="107"/>
        <v>6.4584418706838065E-2</v>
      </c>
      <c r="L84">
        <f t="shared" si="78"/>
        <v>5.4197047970479702E-3</v>
      </c>
      <c r="M84">
        <f t="shared" si="79"/>
        <v>8.1295571955719553E-3</v>
      </c>
      <c r="Q84" s="29"/>
      <c r="R84" s="29"/>
      <c r="S84" s="29">
        <v>0.6</v>
      </c>
      <c r="T84">
        <v>0.92</v>
      </c>
      <c r="U84" s="96">
        <v>1.4999999999999999E-2</v>
      </c>
      <c r="V84" s="96">
        <v>1.4E-2</v>
      </c>
      <c r="X84">
        <f t="shared" si="94"/>
        <v>51267657.142857142</v>
      </c>
      <c r="Y84">
        <f t="shared" si="108"/>
        <v>2.3411748471426877E-3</v>
      </c>
      <c r="Z84">
        <f t="shared" si="80"/>
        <v>0.40987770380097927</v>
      </c>
      <c r="AA84">
        <f t="shared" si="95"/>
        <v>4.5297147145356514E-2</v>
      </c>
      <c r="AB84">
        <f t="shared" si="96"/>
        <v>0.45517485094633581</v>
      </c>
      <c r="AC84" s="96">
        <f t="shared" si="97"/>
        <v>0.91034970189267161</v>
      </c>
      <c r="AD84">
        <f t="shared" si="98"/>
        <v>38785097.142857142</v>
      </c>
      <c r="AE84">
        <f t="shared" si="109"/>
        <v>2.4388479766524582E-3</v>
      </c>
      <c r="AF84">
        <f t="shared" si="81"/>
        <v>6.9486724480795542E-2</v>
      </c>
      <c r="AG84" s="96">
        <f t="shared" si="99"/>
        <v>0.8338406937695465</v>
      </c>
      <c r="AH84" s="96">
        <v>2.3999999999999998E-3</v>
      </c>
      <c r="AI84" s="96">
        <v>3.7000000000000002E-3</v>
      </c>
      <c r="AJ84">
        <f t="shared" si="100"/>
        <v>41031957.942857139</v>
      </c>
      <c r="AM84" s="96">
        <f t="shared" si="82"/>
        <v>0</v>
      </c>
      <c r="AP84">
        <f t="shared" si="110"/>
        <v>7.9017500806491357E-3</v>
      </c>
      <c r="AQ84">
        <f t="shared" si="84"/>
        <v>2.055657703855459E-2</v>
      </c>
      <c r="AR84">
        <f t="shared" si="85"/>
        <v>8.3720414395604785E-3</v>
      </c>
      <c r="AS84">
        <f t="shared" si="86"/>
        <v>4.0976281835602563E-2</v>
      </c>
      <c r="AT84">
        <f t="shared" si="87"/>
        <v>4.2686134234126545E-2</v>
      </c>
      <c r="AU84">
        <f t="shared" si="88"/>
        <v>8.3720414395604785E-3</v>
      </c>
      <c r="AV84" s="26">
        <f t="shared" si="89"/>
        <v>9.1965276648121944E-3</v>
      </c>
      <c r="AW84" s="27">
        <f t="shared" si="114"/>
        <v>2.1851354622717648E-2</v>
      </c>
      <c r="AX84" s="27">
        <f t="shared" si="111"/>
        <v>9.6668190237235371E-3</v>
      </c>
      <c r="AY84" s="27">
        <f t="shared" si="101"/>
        <v>4.2271059419765618E-2</v>
      </c>
      <c r="AZ84" s="27">
        <f t="shared" si="102"/>
        <v>4.39809118182896E-2</v>
      </c>
      <c r="BA84" s="93">
        <f t="shared" si="112"/>
        <v>1.5766819023723538E-2</v>
      </c>
    </row>
    <row r="85" spans="1:53" x14ac:dyDescent="0.25">
      <c r="A85" s="138">
        <v>0.75</v>
      </c>
      <c r="B85">
        <f t="shared" si="103"/>
        <v>822.82499999999993</v>
      </c>
      <c r="C85" s="132">
        <f t="shared" si="91"/>
        <v>70965264.195918366</v>
      </c>
      <c r="D85">
        <v>1.25</v>
      </c>
      <c r="E85" s="238">
        <f t="shared" si="113"/>
        <v>2.2340784284983102E-3</v>
      </c>
      <c r="F85" s="237">
        <f t="shared" si="104"/>
        <v>4.5122098333888264E-3</v>
      </c>
      <c r="G85">
        <f t="shared" si="92"/>
        <v>286589387.75510204</v>
      </c>
      <c r="H85">
        <f t="shared" si="105"/>
        <v>1.8439910236714796E-3</v>
      </c>
      <c r="I85">
        <f t="shared" si="106"/>
        <v>6.3995724321716102E-2</v>
      </c>
      <c r="J85">
        <f t="shared" si="93"/>
        <v>0</v>
      </c>
      <c r="K85" s="96">
        <f t="shared" si="107"/>
        <v>6.3995724321716102E-2</v>
      </c>
      <c r="L85">
        <f t="shared" si="78"/>
        <v>5.4197047970479702E-3</v>
      </c>
      <c r="M85">
        <f t="shared" si="79"/>
        <v>8.1295571955719553E-3</v>
      </c>
      <c r="Q85" s="29"/>
      <c r="R85" s="29"/>
      <c r="S85" s="29">
        <v>0.6</v>
      </c>
      <c r="T85">
        <v>0.92</v>
      </c>
      <c r="U85" s="96">
        <v>1.4999999999999999E-2</v>
      </c>
      <c r="V85" s="96">
        <v>1.4E-2</v>
      </c>
      <c r="X85">
        <f t="shared" si="94"/>
        <v>54929632.653061226</v>
      </c>
      <c r="Y85">
        <f t="shared" si="108"/>
        <v>2.3178626763448061E-3</v>
      </c>
      <c r="Z85">
        <f t="shared" si="80"/>
        <v>0.40579636017604082</v>
      </c>
      <c r="AA85">
        <f t="shared" si="95"/>
        <v>4.5524367886994897E-2</v>
      </c>
      <c r="AB85">
        <f t="shared" si="96"/>
        <v>0.45132072806303569</v>
      </c>
      <c r="AC85" s="96">
        <f t="shared" si="97"/>
        <v>0.90264145612607138</v>
      </c>
      <c r="AD85">
        <f t="shared" si="98"/>
        <v>41555461.224489793</v>
      </c>
      <c r="AE85">
        <f t="shared" si="109"/>
        <v>2.4141781682398855E-3</v>
      </c>
      <c r="AF85">
        <f t="shared" si="81"/>
        <v>6.8783841727721548E-2</v>
      </c>
      <c r="AG85" s="96">
        <f t="shared" si="99"/>
        <v>0.82540610073265852</v>
      </c>
      <c r="AH85" s="96">
        <v>2.3999999999999998E-3</v>
      </c>
      <c r="AI85" s="96">
        <v>3.7000000000000002E-3</v>
      </c>
      <c r="AJ85">
        <f t="shared" si="100"/>
        <v>43962812.081632651</v>
      </c>
      <c r="AM85" s="96">
        <f t="shared" si="82"/>
        <v>0</v>
      </c>
      <c r="AP85">
        <f t="shared" si="110"/>
        <v>7.8265271428179239E-3</v>
      </c>
      <c r="AQ85">
        <f t="shared" si="84"/>
        <v>2.0354121101338135E-2</v>
      </c>
      <c r="AR85">
        <f t="shared" si="85"/>
        <v>8.2928363821450444E-3</v>
      </c>
      <c r="AS85">
        <f t="shared" si="86"/>
        <v>4.0773825898386101E-2</v>
      </c>
      <c r="AT85">
        <f t="shared" si="87"/>
        <v>4.2483678296910091E-2</v>
      </c>
      <c r="AU85">
        <f t="shared" si="88"/>
        <v>8.2928363821450461E-3</v>
      </c>
      <c r="AV85" s="26">
        <f t="shared" si="89"/>
        <v>9.1085941434486967E-3</v>
      </c>
      <c r="AW85" s="27">
        <f t="shared" si="114"/>
        <v>2.163618810196891E-2</v>
      </c>
      <c r="AX85" s="27">
        <f t="shared" si="111"/>
        <v>9.5749033827758189E-3</v>
      </c>
      <c r="AY85" s="27">
        <f t="shared" si="101"/>
        <v>4.2055892899016879E-2</v>
      </c>
      <c r="AZ85" s="27">
        <f t="shared" si="102"/>
        <v>4.3765745297540862E-2</v>
      </c>
      <c r="BA85" s="93">
        <f t="shared" si="112"/>
        <v>1.5674903382775818E-2</v>
      </c>
    </row>
    <row r="86" spans="1:53" x14ac:dyDescent="0.25">
      <c r="A86" s="138">
        <v>0.8</v>
      </c>
      <c r="B86">
        <f t="shared" si="103"/>
        <v>877.68</v>
      </c>
      <c r="C86" s="132">
        <f t="shared" si="91"/>
        <v>75696281.808979601</v>
      </c>
      <c r="D86">
        <v>1.25</v>
      </c>
      <c r="E86" s="238">
        <f t="shared" si="113"/>
        <v>2.2136316519204822E-3</v>
      </c>
      <c r="F86" s="237">
        <f t="shared" si="104"/>
        <v>4.4709130977153193E-3</v>
      </c>
      <c r="G86">
        <f t="shared" si="92"/>
        <v>305695346.93877554</v>
      </c>
      <c r="H86">
        <f t="shared" si="105"/>
        <v>1.8283169769857971E-3</v>
      </c>
      <c r="I86">
        <f t="shared" si="106"/>
        <v>6.3451756396804268E-2</v>
      </c>
      <c r="J86">
        <f t="shared" si="93"/>
        <v>0</v>
      </c>
      <c r="K86" s="96">
        <f t="shared" si="107"/>
        <v>6.3451756396804268E-2</v>
      </c>
      <c r="L86">
        <f t="shared" si="78"/>
        <v>5.4197047970479702E-3</v>
      </c>
      <c r="M86">
        <f t="shared" si="79"/>
        <v>8.1295571955719553E-3</v>
      </c>
      <c r="Q86" s="29"/>
      <c r="R86" s="29"/>
      <c r="S86" s="29">
        <v>0.6</v>
      </c>
      <c r="T86">
        <v>0.92</v>
      </c>
      <c r="U86" s="96">
        <v>1.4999999999999999E-2</v>
      </c>
      <c r="V86" s="96">
        <v>1.4E-2</v>
      </c>
      <c r="X86">
        <f t="shared" si="94"/>
        <v>58591608.16326531</v>
      </c>
      <c r="Y86">
        <f t="shared" si="108"/>
        <v>2.2963461663659014E-3</v>
      </c>
      <c r="Z86">
        <f t="shared" si="80"/>
        <v>0.4020293891978895</v>
      </c>
      <c r="AA86">
        <f t="shared" si="95"/>
        <v>4.5737149763237617E-2</v>
      </c>
      <c r="AB86">
        <f t="shared" si="96"/>
        <v>0.44776653896112711</v>
      </c>
      <c r="AC86" s="96">
        <f t="shared" si="97"/>
        <v>0.89553307792225423</v>
      </c>
      <c r="AD86">
        <f t="shared" si="98"/>
        <v>44325825.306122452</v>
      </c>
      <c r="AE86">
        <f t="shared" si="109"/>
        <v>2.3914134534842803E-3</v>
      </c>
      <c r="AF86">
        <f t="shared" si="81"/>
        <v>6.8135238175040136E-2</v>
      </c>
      <c r="AG86" s="96">
        <f t="shared" si="99"/>
        <v>0.81762285810048163</v>
      </c>
      <c r="AH86" s="96">
        <v>2.5000000000000001E-3</v>
      </c>
      <c r="AI86" s="96">
        <v>3.7000000000000002E-3</v>
      </c>
      <c r="AJ86">
        <f t="shared" si="100"/>
        <v>46893666.220408171</v>
      </c>
      <c r="AM86" s="96">
        <f t="shared" si="82"/>
        <v>0</v>
      </c>
      <c r="AP86">
        <f t="shared" si="110"/>
        <v>7.7570584889667879E-3</v>
      </c>
      <c r="AQ86">
        <f t="shared" si="84"/>
        <v>2.0167247230616317E-2</v>
      </c>
      <c r="AR86">
        <f t="shared" si="85"/>
        <v>8.2196955033915671E-3</v>
      </c>
      <c r="AS86">
        <f t="shared" si="86"/>
        <v>4.0586952027664283E-2</v>
      </c>
      <c r="AT86">
        <f t="shared" si="87"/>
        <v>4.2296804426188273E-2</v>
      </c>
      <c r="AU86">
        <f t="shared" si="88"/>
        <v>8.2196955033915688E-3</v>
      </c>
      <c r="AV86" s="26">
        <f t="shared" si="89"/>
        <v>9.0273917307530597E-3</v>
      </c>
      <c r="AW86" s="27">
        <f t="shared" si="114"/>
        <v>2.143758047240259E-2</v>
      </c>
      <c r="AX86" s="27">
        <f t="shared" si="111"/>
        <v>9.4900287451778406E-3</v>
      </c>
      <c r="AY86" s="27">
        <f t="shared" si="101"/>
        <v>4.185728526945056E-2</v>
      </c>
      <c r="AZ86" s="27">
        <f t="shared" si="102"/>
        <v>4.3567137667974543E-2</v>
      </c>
      <c r="BA86" s="93">
        <f t="shared" si="112"/>
        <v>1.5690028745177841E-2</v>
      </c>
    </row>
    <row r="87" spans="1:53" x14ac:dyDescent="0.25">
      <c r="A87" s="138">
        <v>0.85</v>
      </c>
      <c r="B87">
        <f>A87*$B$65</f>
        <v>932.53499999999985</v>
      </c>
      <c r="C87" s="132">
        <f t="shared" si="91"/>
        <v>80427299.422040805</v>
      </c>
      <c r="D87">
        <v>1.35</v>
      </c>
      <c r="E87" s="238">
        <f t="shared" si="113"/>
        <v>2.1946606207700141E-3</v>
      </c>
      <c r="F87" s="237">
        <f t="shared" si="104"/>
        <v>4.7872047087880254E-3</v>
      </c>
      <c r="G87">
        <f t="shared" si="92"/>
        <v>324801306.12244898</v>
      </c>
      <c r="H87">
        <f t="shared" si="105"/>
        <v>1.8137613643166633E-3</v>
      </c>
      <c r="I87">
        <f t="shared" si="106"/>
        <v>6.2946603734047313E-2</v>
      </c>
      <c r="J87">
        <f t="shared" si="93"/>
        <v>0</v>
      </c>
      <c r="K87" s="96">
        <f t="shared" si="107"/>
        <v>6.2946603734047313E-2</v>
      </c>
      <c r="L87">
        <f t="shared" si="78"/>
        <v>5.4197047970479702E-3</v>
      </c>
      <c r="M87">
        <f t="shared" si="79"/>
        <v>8.1295571955719553E-3</v>
      </c>
      <c r="Q87" s="29"/>
      <c r="R87" s="29"/>
      <c r="S87" s="29">
        <v>0.6</v>
      </c>
      <c r="T87">
        <v>0.92</v>
      </c>
      <c r="U87" s="96">
        <v>1.4999999999999999E-2</v>
      </c>
      <c r="V87" s="96">
        <v>1.4E-2</v>
      </c>
      <c r="X87">
        <f t="shared" si="94"/>
        <v>62253583.673469394</v>
      </c>
      <c r="Y87">
        <f t="shared" si="108"/>
        <v>2.2763861409864036E-3</v>
      </c>
      <c r="Z87">
        <f t="shared" si="80"/>
        <v>0.39853491744566533</v>
      </c>
      <c r="AA87">
        <f t="shared" si="95"/>
        <v>4.5937230541059908E-2</v>
      </c>
      <c r="AB87">
        <f t="shared" si="96"/>
        <v>0.44447214798672524</v>
      </c>
      <c r="AC87" s="96">
        <f t="shared" si="97"/>
        <v>0.88894429597345048</v>
      </c>
      <c r="AD87">
        <f t="shared" si="98"/>
        <v>47096189.387755103</v>
      </c>
      <c r="AE87">
        <f t="shared" si="109"/>
        <v>2.3702997101249916E-3</v>
      </c>
      <c r="AF87">
        <f t="shared" si="81"/>
        <v>6.7533673468420388E-2</v>
      </c>
      <c r="AG87" s="96">
        <f t="shared" si="99"/>
        <v>0.81040408162104471</v>
      </c>
      <c r="AH87" s="96">
        <v>2.7499999999999998E-3</v>
      </c>
      <c r="AI87" s="96">
        <v>3.7000000000000002E-3</v>
      </c>
      <c r="AJ87">
        <f t="shared" si="100"/>
        <v>49824520.359183677</v>
      </c>
      <c r="AM87" s="96">
        <f t="shared" si="82"/>
        <v>0</v>
      </c>
      <c r="AP87">
        <f t="shared" si="110"/>
        <v>8.0471884113981883E-3</v>
      </c>
      <c r="AQ87">
        <f t="shared" si="84"/>
        <v>2.0348488649979811E-2</v>
      </c>
      <c r="AR87">
        <f t="shared" si="85"/>
        <v>8.5064216270302282E-3</v>
      </c>
      <c r="AS87">
        <f t="shared" si="86"/>
        <v>4.0768193447027784E-2</v>
      </c>
      <c r="AT87">
        <f t="shared" si="87"/>
        <v>4.2478045845551766E-2</v>
      </c>
      <c r="AU87">
        <f t="shared" si="88"/>
        <v>8.5064216270302299E-3</v>
      </c>
      <c r="AV87" s="26">
        <f t="shared" si="89"/>
        <v>9.4073904873268888E-3</v>
      </c>
      <c r="AW87" s="27">
        <f t="shared" si="114"/>
        <v>2.1708690725908513E-2</v>
      </c>
      <c r="AX87" s="27">
        <f t="shared" si="111"/>
        <v>9.8666237029589304E-3</v>
      </c>
      <c r="AY87" s="27">
        <f t="shared" si="101"/>
        <v>4.2128395522956483E-2</v>
      </c>
      <c r="AZ87" s="27">
        <f t="shared" si="102"/>
        <v>4.3838247921480465E-2</v>
      </c>
      <c r="BA87" s="93">
        <f t="shared" si="112"/>
        <v>1.6316623702958929E-2</v>
      </c>
    </row>
    <row r="88" spans="1:53" x14ac:dyDescent="0.25">
      <c r="A88" s="138">
        <v>0.9</v>
      </c>
      <c r="B88">
        <f t="shared" si="103"/>
        <v>987.39</v>
      </c>
      <c r="C88" s="132">
        <f t="shared" si="91"/>
        <v>85158317.03510204</v>
      </c>
      <c r="D88">
        <v>1.35</v>
      </c>
      <c r="E88" s="238">
        <f t="shared" si="113"/>
        <v>2.1769802531710885E-3</v>
      </c>
      <c r="F88" s="237">
        <f t="shared" si="104"/>
        <v>4.7486385914477574E-3</v>
      </c>
      <c r="G88">
        <f t="shared" si="92"/>
        <v>343907265.30612248</v>
      </c>
      <c r="H88">
        <f t="shared" si="105"/>
        <v>1.8001848216664092E-3</v>
      </c>
      <c r="I88">
        <f t="shared" si="106"/>
        <v>6.2475429704708603E-2</v>
      </c>
      <c r="J88">
        <f t="shared" si="93"/>
        <v>0</v>
      </c>
      <c r="K88" s="96">
        <f t="shared" si="107"/>
        <v>6.2475429704708603E-2</v>
      </c>
      <c r="L88">
        <f t="shared" si="78"/>
        <v>5.4197047970479702E-3</v>
      </c>
      <c r="M88">
        <f t="shared" si="79"/>
        <v>8.1295571955719553E-3</v>
      </c>
      <c r="Q88" s="29"/>
      <c r="R88" s="29"/>
      <c r="S88" s="29">
        <v>0.6</v>
      </c>
      <c r="T88">
        <v>0.92</v>
      </c>
      <c r="U88" s="96">
        <v>1.4999999999999999E-2</v>
      </c>
      <c r="V88" s="96">
        <v>1.4E-2</v>
      </c>
      <c r="X88">
        <f t="shared" si="94"/>
        <v>65915559.183673479</v>
      </c>
      <c r="Y88">
        <f t="shared" si="108"/>
        <v>2.2577871393272241E-3</v>
      </c>
      <c r="Z88">
        <f t="shared" si="80"/>
        <v>0.39527872489671534</v>
      </c>
      <c r="AA88">
        <f t="shared" si="95"/>
        <v>4.6126051328136228E-2</v>
      </c>
      <c r="AB88">
        <f t="shared" si="96"/>
        <v>0.44140477622485158</v>
      </c>
      <c r="AC88" s="96">
        <f t="shared" si="97"/>
        <v>0.88280955244970316</v>
      </c>
      <c r="AD88">
        <f t="shared" si="98"/>
        <v>49866553.469387755</v>
      </c>
      <c r="AE88">
        <f t="shared" si="109"/>
        <v>2.3506293103247749E-3</v>
      </c>
      <c r="AF88">
        <f t="shared" si="81"/>
        <v>6.6973231954873952E-2</v>
      </c>
      <c r="AG88" s="96">
        <f t="shared" si="99"/>
        <v>0.80367878345848742</v>
      </c>
      <c r="AH88" s="96">
        <v>3.2499999999999999E-3</v>
      </c>
      <c r="AI88" s="96">
        <v>3.7000000000000002E-3</v>
      </c>
      <c r="AJ88">
        <f t="shared" si="100"/>
        <v>52755374.497959182</v>
      </c>
      <c r="AM88" s="96">
        <f t="shared" si="82"/>
        <v>0</v>
      </c>
      <c r="AP88">
        <f t="shared" si="110"/>
        <v>7.9842203475569279E-3</v>
      </c>
      <c r="AQ88">
        <f t="shared" si="84"/>
        <v>2.0184077616333933E-2</v>
      </c>
      <c r="AR88">
        <f t="shared" si="85"/>
        <v>8.4402843229921982E-3</v>
      </c>
      <c r="AS88">
        <f t="shared" si="86"/>
        <v>4.0603782413381903E-2</v>
      </c>
      <c r="AT88">
        <f t="shared" si="87"/>
        <v>4.2313634811905886E-2</v>
      </c>
      <c r="AU88">
        <f t="shared" si="88"/>
        <v>8.4402843229921982E-3</v>
      </c>
      <c r="AV88" s="26">
        <f t="shared" si="89"/>
        <v>9.3334645229867334E-3</v>
      </c>
      <c r="AW88" s="27">
        <f t="shared" si="114"/>
        <v>2.1533321791763739E-2</v>
      </c>
      <c r="AX88" s="27">
        <f t="shared" si="111"/>
        <v>9.7895284984220038E-3</v>
      </c>
      <c r="AY88" s="27">
        <f t="shared" si="101"/>
        <v>4.1953026588811712E-2</v>
      </c>
      <c r="AZ88" s="27">
        <f t="shared" si="102"/>
        <v>4.3662878987335695E-2</v>
      </c>
      <c r="BA88" s="93">
        <f t="shared" si="112"/>
        <v>1.6739528498422002E-2</v>
      </c>
    </row>
    <row r="89" spans="1:53" x14ac:dyDescent="0.25">
      <c r="A89" s="138">
        <v>0.95</v>
      </c>
      <c r="B89">
        <f t="shared" si="103"/>
        <v>1042.2449999999999</v>
      </c>
      <c r="C89" s="132">
        <f t="shared" si="91"/>
        <v>89889334.648163274</v>
      </c>
      <c r="D89">
        <v>1.35</v>
      </c>
      <c r="E89" s="238">
        <f t="shared" si="113"/>
        <v>2.1604374380303562E-3</v>
      </c>
      <c r="F89" s="237">
        <f t="shared" si="104"/>
        <v>4.712553812877056E-3</v>
      </c>
      <c r="G89">
        <f t="shared" si="92"/>
        <v>363013224.48979592</v>
      </c>
      <c r="H89">
        <f t="shared" si="105"/>
        <v>1.7874719500942083E-3</v>
      </c>
      <c r="I89">
        <f t="shared" si="106"/>
        <v>6.2034229387555165E-2</v>
      </c>
      <c r="J89">
        <f t="shared" si="93"/>
        <v>0</v>
      </c>
      <c r="K89" s="96">
        <f t="shared" si="107"/>
        <v>6.2034229387555165E-2</v>
      </c>
      <c r="L89">
        <f t="shared" si="78"/>
        <v>5.4197047970479702E-3</v>
      </c>
      <c r="M89">
        <f t="shared" si="79"/>
        <v>8.1295571955719553E-3</v>
      </c>
      <c r="Q89" s="29"/>
      <c r="R89" s="29"/>
      <c r="S89" s="29">
        <v>0.6</v>
      </c>
      <c r="T89">
        <v>0.92</v>
      </c>
      <c r="U89" s="96">
        <v>1.4999999999999999E-2</v>
      </c>
      <c r="V89" s="96">
        <v>1.4E-2</v>
      </c>
      <c r="X89">
        <f t="shared" si="94"/>
        <v>69577534.693877548</v>
      </c>
      <c r="Y89">
        <f t="shared" si="108"/>
        <v>2.2403874947507329E-3</v>
      </c>
      <c r="Z89">
        <f t="shared" si="80"/>
        <v>0.39223250800494019</v>
      </c>
      <c r="AA89">
        <f t="shared" si="95"/>
        <v>4.6304820547361097E-2</v>
      </c>
      <c r="AB89">
        <f t="shared" si="96"/>
        <v>0.43853732855230132</v>
      </c>
      <c r="AC89" s="96">
        <f t="shared" si="97"/>
        <v>0.87707465710460264</v>
      </c>
      <c r="AD89">
        <f t="shared" si="98"/>
        <v>52636917.551020406</v>
      </c>
      <c r="AE89">
        <f t="shared" si="109"/>
        <v>2.33223056063124E-3</v>
      </c>
      <c r="AF89">
        <f t="shared" si="81"/>
        <v>6.6449021810172509E-2</v>
      </c>
      <c r="AG89" s="96">
        <f t="shared" si="99"/>
        <v>0.79738826172207011</v>
      </c>
      <c r="AH89" s="96">
        <v>3.7499999999999999E-3</v>
      </c>
      <c r="AI89" s="96">
        <v>3.7000000000000002E-3</v>
      </c>
      <c r="AJ89">
        <f t="shared" si="100"/>
        <v>55686228.636734687</v>
      </c>
      <c r="AM89" s="96">
        <f t="shared" si="82"/>
        <v>0</v>
      </c>
      <c r="AP89">
        <f t="shared" si="110"/>
        <v>7.9252859510849406E-3</v>
      </c>
      <c r="AQ89">
        <f t="shared" si="84"/>
        <v>2.0030260004273288E-2</v>
      </c>
      <c r="AR89">
        <f t="shared" si="85"/>
        <v>8.3783872499581663E-3</v>
      </c>
      <c r="AS89">
        <f t="shared" si="86"/>
        <v>4.0449964801321257E-2</v>
      </c>
      <c r="AT89">
        <f t="shared" si="87"/>
        <v>4.215981719984524E-2</v>
      </c>
      <c r="AU89">
        <f t="shared" si="88"/>
        <v>8.3783872499581663E-3</v>
      </c>
      <c r="AV89" s="161">
        <f t="shared" si="89"/>
        <v>9.2642772558507464E-3</v>
      </c>
      <c r="AW89" s="94">
        <f t="shared" si="114"/>
        <v>2.1369251309039092E-2</v>
      </c>
      <c r="AX89" s="94">
        <f t="shared" si="111"/>
        <v>9.7173785547239721E-3</v>
      </c>
      <c r="AY89" s="27">
        <f t="shared" si="101"/>
        <v>4.1788956106087058E-2</v>
      </c>
      <c r="AZ89" s="27">
        <f t="shared" si="102"/>
        <v>4.3498808504611047E-2</v>
      </c>
      <c r="BA89" s="162">
        <f t="shared" si="112"/>
        <v>1.7167378554723972E-2</v>
      </c>
    </row>
    <row r="90" spans="1:53" x14ac:dyDescent="0.25">
      <c r="A90" s="138"/>
      <c r="F90" s="242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</row>
    <row r="91" spans="1:53" x14ac:dyDescent="0.25">
      <c r="A91" t="s">
        <v>180</v>
      </c>
      <c r="B91" s="98">
        <v>15000</v>
      </c>
      <c r="C91" s="132" t="s">
        <v>124</v>
      </c>
      <c r="D91" t="s">
        <v>181</v>
      </c>
      <c r="E91" s="238" t="s">
        <v>153</v>
      </c>
      <c r="F91" s="238">
        <v>542</v>
      </c>
      <c r="G91" t="s">
        <v>150</v>
      </c>
      <c r="H91" t="s">
        <v>233</v>
      </c>
    </row>
    <row r="92" spans="1:53" x14ac:dyDescent="0.25">
      <c r="A92" t="s">
        <v>353</v>
      </c>
      <c r="B92" s="98">
        <v>5.53</v>
      </c>
      <c r="C92" s="132" t="s">
        <v>352</v>
      </c>
      <c r="D92" t="s">
        <v>350</v>
      </c>
      <c r="E92" s="238" t="s">
        <v>410</v>
      </c>
      <c r="F92" s="239">
        <v>24.1</v>
      </c>
      <c r="G92" t="s">
        <v>364</v>
      </c>
      <c r="H92" t="s">
        <v>365</v>
      </c>
    </row>
    <row r="93" spans="1:53" x14ac:dyDescent="0.25">
      <c r="A93" t="s">
        <v>177</v>
      </c>
      <c r="B93" s="131">
        <v>1.4959999999999999E-3</v>
      </c>
      <c r="C93" s="132" t="s">
        <v>165</v>
      </c>
      <c r="D93" t="s">
        <v>324</v>
      </c>
      <c r="E93" s="238" t="s">
        <v>363</v>
      </c>
      <c r="F93" s="238">
        <f>$F$3</f>
        <v>0.91283417723304283</v>
      </c>
    </row>
    <row r="94" spans="1:53" x14ac:dyDescent="0.25">
      <c r="A94" t="s">
        <v>349</v>
      </c>
      <c r="B94" s="131">
        <f>0.000000343-0.00000014</f>
        <v>2.0299999999999998E-7</v>
      </c>
      <c r="C94" s="132" t="s">
        <v>354</v>
      </c>
      <c r="D94" t="s">
        <v>351</v>
      </c>
    </row>
    <row r="95" spans="1:53" x14ac:dyDescent="0.25">
      <c r="A95" t="s">
        <v>142</v>
      </c>
      <c r="B95" s="98">
        <v>1057.4000000000001</v>
      </c>
      <c r="C95" s="132" t="s">
        <v>135</v>
      </c>
      <c r="D95" t="s">
        <v>327</v>
      </c>
    </row>
    <row r="96" spans="1:53" x14ac:dyDescent="0.25">
      <c r="C96" s="164" t="s">
        <v>207</v>
      </c>
      <c r="G96" s="96" t="s">
        <v>379</v>
      </c>
      <c r="I96" t="s">
        <v>521</v>
      </c>
      <c r="L96" s="96" t="s">
        <v>554</v>
      </c>
      <c r="N96" s="29"/>
      <c r="S96" s="96" t="s">
        <v>163</v>
      </c>
      <c r="X96" s="96" t="s">
        <v>390</v>
      </c>
      <c r="AJ96" s="96" t="s">
        <v>503</v>
      </c>
      <c r="AK96" t="s">
        <v>614</v>
      </c>
      <c r="AP96" s="96" t="s">
        <v>417</v>
      </c>
      <c r="AV96" s="96" t="s">
        <v>624</v>
      </c>
    </row>
    <row r="97" spans="1:53" x14ac:dyDescent="0.25">
      <c r="C97" s="235" t="s">
        <v>518</v>
      </c>
      <c r="D97" s="97" t="s">
        <v>360</v>
      </c>
      <c r="E97" s="240" t="s">
        <v>219</v>
      </c>
      <c r="F97" s="240" t="s">
        <v>220</v>
      </c>
      <c r="G97" s="97" t="s">
        <v>371</v>
      </c>
      <c r="H97" s="97" t="s">
        <v>372</v>
      </c>
      <c r="I97" s="97" t="s">
        <v>553</v>
      </c>
      <c r="J97" s="97" t="s">
        <v>380</v>
      </c>
      <c r="K97" s="97" t="s">
        <v>376</v>
      </c>
      <c r="L97" t="s">
        <v>629</v>
      </c>
      <c r="M97" t="s">
        <v>585</v>
      </c>
      <c r="N97" t="s">
        <v>587</v>
      </c>
      <c r="O97" s="29" t="s">
        <v>588</v>
      </c>
      <c r="P97" t="s">
        <v>589</v>
      </c>
      <c r="Q97" t="s">
        <v>590</v>
      </c>
      <c r="R97" t="s">
        <v>591</v>
      </c>
      <c r="S97" t="s">
        <v>155</v>
      </c>
      <c r="T97" t="s">
        <v>581</v>
      </c>
      <c r="U97" t="s">
        <v>142</v>
      </c>
      <c r="V97" t="s">
        <v>143</v>
      </c>
      <c r="W97" t="s">
        <v>583</v>
      </c>
      <c r="AJ97" t="s">
        <v>518</v>
      </c>
      <c r="AK97" t="s">
        <v>360</v>
      </c>
      <c r="AL97" t="s">
        <v>219</v>
      </c>
      <c r="AM97" t="s">
        <v>220</v>
      </c>
      <c r="AN97" t="s">
        <v>602</v>
      </c>
      <c r="AO97" t="s">
        <v>603</v>
      </c>
      <c r="AP97" t="s">
        <v>534</v>
      </c>
      <c r="AV97" t="s">
        <v>534</v>
      </c>
    </row>
    <row r="98" spans="1:53" x14ac:dyDescent="0.25">
      <c r="C98" s="236">
        <v>12.381</v>
      </c>
      <c r="D98" s="28">
        <v>1.2</v>
      </c>
      <c r="E98" s="236">
        <v>0.1</v>
      </c>
      <c r="F98" s="241">
        <v>775</v>
      </c>
      <c r="G98" s="133">
        <v>867.11</v>
      </c>
      <c r="H98" s="28">
        <v>6.8449999999999998</v>
      </c>
      <c r="I98" s="28">
        <v>28.07</v>
      </c>
      <c r="J98" s="28">
        <v>50</v>
      </c>
      <c r="K98" s="28"/>
      <c r="L98" s="86">
        <v>15</v>
      </c>
      <c r="M98">
        <v>20</v>
      </c>
      <c r="N98">
        <v>1.4</v>
      </c>
      <c r="O98">
        <v>0.02</v>
      </c>
      <c r="P98">
        <v>0.03</v>
      </c>
      <c r="Q98">
        <v>104.91</v>
      </c>
      <c r="R98" t="e">
        <f>Q98/N92</f>
        <v>#DIV/0!</v>
      </c>
      <c r="S98">
        <v>4.7300000000000004</v>
      </c>
      <c r="T98">
        <v>1.65</v>
      </c>
      <c r="U98">
        <v>1.1399999999999999</v>
      </c>
      <c r="V98">
        <v>4.53</v>
      </c>
      <c r="W98">
        <v>3.18</v>
      </c>
      <c r="X98" t="s">
        <v>515</v>
      </c>
      <c r="AB98" t="s">
        <v>615</v>
      </c>
      <c r="AC98" t="s">
        <v>616</v>
      </c>
      <c r="AD98" t="s">
        <v>606</v>
      </c>
      <c r="AF98" t="s">
        <v>615</v>
      </c>
      <c r="AG98" t="s">
        <v>617</v>
      </c>
      <c r="AH98" t="s">
        <v>627</v>
      </c>
      <c r="AI98" t="s">
        <v>628</v>
      </c>
      <c r="AJ98">
        <v>7.67</v>
      </c>
      <c r="AK98">
        <v>1.2</v>
      </c>
      <c r="AL98">
        <v>0.09</v>
      </c>
      <c r="AM98">
        <v>217.4</v>
      </c>
      <c r="AN98">
        <v>58.91</v>
      </c>
      <c r="AO98">
        <v>95.09</v>
      </c>
    </row>
    <row r="99" spans="1:53" x14ac:dyDescent="0.25">
      <c r="A99" t="s">
        <v>348</v>
      </c>
      <c r="B99" t="s">
        <v>355</v>
      </c>
      <c r="C99" s="132" t="s">
        <v>374</v>
      </c>
      <c r="D99" t="s">
        <v>367</v>
      </c>
      <c r="E99" s="238" t="s">
        <v>366</v>
      </c>
      <c r="F99" s="237" t="s">
        <v>356</v>
      </c>
      <c r="G99" t="s">
        <v>374</v>
      </c>
      <c r="H99" t="s">
        <v>366</v>
      </c>
      <c r="I99" t="s">
        <v>375</v>
      </c>
      <c r="J99" t="s">
        <v>377</v>
      </c>
      <c r="K99" s="96" t="s">
        <v>378</v>
      </c>
      <c r="L99" s="11" t="s">
        <v>630</v>
      </c>
      <c r="M99" s="11" t="s">
        <v>586</v>
      </c>
      <c r="N99" s="11"/>
      <c r="O99" s="11"/>
      <c r="S99" t="s">
        <v>555</v>
      </c>
      <c r="T99" t="s">
        <v>582</v>
      </c>
      <c r="U99" s="96" t="s">
        <v>622</v>
      </c>
      <c r="V99" s="96" t="s">
        <v>623</v>
      </c>
      <c r="X99" t="s">
        <v>374</v>
      </c>
      <c r="Y99" t="s">
        <v>366</v>
      </c>
      <c r="Z99" t="s">
        <v>611</v>
      </c>
      <c r="AA99" t="s">
        <v>377</v>
      </c>
      <c r="AB99" t="s">
        <v>612</v>
      </c>
      <c r="AC99" s="96" t="s">
        <v>612</v>
      </c>
      <c r="AD99" t="s">
        <v>374</v>
      </c>
      <c r="AE99" t="s">
        <v>366</v>
      </c>
      <c r="AF99" t="s">
        <v>613</v>
      </c>
      <c r="AG99" s="96" t="s">
        <v>613</v>
      </c>
      <c r="AH99" s="96" t="s">
        <v>110</v>
      </c>
      <c r="AI99" s="96" t="s">
        <v>110</v>
      </c>
      <c r="AJ99" t="s">
        <v>374</v>
      </c>
      <c r="AK99" t="s">
        <v>367</v>
      </c>
      <c r="AL99" t="s">
        <v>366</v>
      </c>
      <c r="AM99" s="96" t="s">
        <v>523</v>
      </c>
      <c r="AP99" t="s">
        <v>522</v>
      </c>
      <c r="AQ99" t="s">
        <v>516</v>
      </c>
      <c r="AR99" t="s">
        <v>192</v>
      </c>
      <c r="AS99" t="s">
        <v>290</v>
      </c>
      <c r="AT99" t="s">
        <v>294</v>
      </c>
      <c r="AU99" t="s">
        <v>289</v>
      </c>
      <c r="AV99" s="160" t="s">
        <v>522</v>
      </c>
      <c r="AW99" s="108" t="s">
        <v>516</v>
      </c>
      <c r="AX99" s="108" t="s">
        <v>192</v>
      </c>
      <c r="AY99" s="108" t="s">
        <v>290</v>
      </c>
      <c r="AZ99" s="108" t="s">
        <v>294</v>
      </c>
      <c r="BA99" s="51" t="s">
        <v>289</v>
      </c>
    </row>
    <row r="100" spans="1:53" x14ac:dyDescent="0.25">
      <c r="A100" s="138">
        <v>0</v>
      </c>
      <c r="B100">
        <f>A100*$B$95</f>
        <v>0</v>
      </c>
      <c r="C100" s="132">
        <f>($B$93*B100*($C$8))/$B$94</f>
        <v>0</v>
      </c>
      <c r="D100">
        <v>1.06</v>
      </c>
      <c r="E100" s="238" t="e">
        <f>0.455/(LOG10(C100))^2.58</f>
        <v>#NUM!</v>
      </c>
      <c r="F100" s="237" t="e">
        <f>E100*(1+$D$8*$E$8+100*$E$8^4)*D100*($F$8/$F$1)</f>
        <v>#NUM!</v>
      </c>
      <c r="G100" s="132">
        <f>($B$93*B100*$J$8)/$B$94</f>
        <v>0</v>
      </c>
      <c r="H100" t="e">
        <f>1.328/SQRT(G100)</f>
        <v>#DIV/0!</v>
      </c>
      <c r="I100" t="e">
        <f>H100*(1+(60/(($J$8/$H$8)^3))+0.0025*($J$8/$H$8))*($G$8/$I$8)</f>
        <v>#DIV/0!</v>
      </c>
      <c r="J100" t="e">
        <f>(0.029*($K$8/$H$8)^3)/SQRT(I100)</f>
        <v>#DIV/0!</v>
      </c>
      <c r="K100" s="96" t="e">
        <f>I100+J100</f>
        <v>#DIV/0!</v>
      </c>
      <c r="L100">
        <f t="shared" ref="L100:L119" si="115">$N$8*$O$8*$R$8</f>
        <v>5.4197047970479702E-3</v>
      </c>
      <c r="M100">
        <f t="shared" ref="M100:M119" si="116">$N$8*$P$8*$R$8</f>
        <v>8.1295571955719553E-3</v>
      </c>
      <c r="S100">
        <v>0.6</v>
      </c>
      <c r="T100">
        <v>0.92</v>
      </c>
      <c r="U100" s="96">
        <v>1.4999999999999999E-2</v>
      </c>
      <c r="V100" s="96">
        <v>1.4E-2</v>
      </c>
      <c r="X100" s="132">
        <f>$B$93*B100*$Z$2/$B$94</f>
        <v>0</v>
      </c>
      <c r="Z100">
        <f t="shared" ref="Z100:Z119" si="117">Y100*(1+(60/($Z$2/$Z$1)^3)+0.0025*($Z$2/$Z$1))*($AC$1/$AC$2)</f>
        <v>0</v>
      </c>
      <c r="AA100" t="e">
        <f>0.029*($Z$1/$Z$1)^3/SQRT(Z100)</f>
        <v>#DIV/0!</v>
      </c>
      <c r="AB100" t="e">
        <f>Z100+AA100</f>
        <v>#DIV/0!</v>
      </c>
      <c r="AC100" s="96" t="e">
        <f>2*AB100</f>
        <v>#DIV/0!</v>
      </c>
      <c r="AD100" s="132">
        <f>$B$93*B100*$Z$4/$B$94</f>
        <v>0</v>
      </c>
      <c r="AF100">
        <f>AE100*(1+(60/($Z$4/$Z$3)^3)+0.0025*($Z$4/$Z$3))*($AC$3/$AC$4)</f>
        <v>0</v>
      </c>
      <c r="AG100" s="96">
        <f>12*AF100</f>
        <v>0</v>
      </c>
      <c r="AH100" s="96">
        <v>2.3999999999999998E-3</v>
      </c>
      <c r="AI100" s="96">
        <v>3.7000000000000002E-3</v>
      </c>
      <c r="AJ100" s="132">
        <f>($B$93*B100*$AJ$8)/$B$94</f>
        <v>0</v>
      </c>
      <c r="AM100" s="96">
        <f t="shared" ref="AM100:AM119" si="118">AL100*(1+$AK$8*$AL$8+100*$AL$8^4)*AK100*($AM$8/$F$1)</f>
        <v>0</v>
      </c>
      <c r="AP100" t="e">
        <f t="shared" ref="AP100:AP119" si="119">K100*($I$8/$F$1)+F100</f>
        <v>#DIV/0!</v>
      </c>
      <c r="AQ100" t="e">
        <f t="shared" ref="AQ100:AQ119" si="120">AP100+AC100*($AF$2/$F$1)+AG100*($AF$4/$F$1)</f>
        <v>#DIV/0!</v>
      </c>
      <c r="AR100" t="e">
        <f t="shared" ref="AR100:AR119" si="121">AQ100-AG100*($AF$4/$F$1)</f>
        <v>#DIV/0!</v>
      </c>
      <c r="AS100" t="e">
        <f t="shared" ref="AS100:AS119" si="122">AQ100+L100+U100</f>
        <v>#DIV/0!</v>
      </c>
      <c r="AT100" t="e">
        <f t="shared" ref="AT100:AT119" si="123">AQ100+M100+V100</f>
        <v>#DIV/0!</v>
      </c>
      <c r="AU100" t="e">
        <f t="shared" ref="AU100:AU119" si="124">AP100+AC100*($AF$2/$F$1)</f>
        <v>#DIV/0!</v>
      </c>
      <c r="AV100" s="26" t="e">
        <f t="shared" ref="AV100:AV119" si="125">AP100+F100*(($AN$8+$AO$8)/$F$1)</f>
        <v>#DIV/0!</v>
      </c>
      <c r="AW100" s="27" t="e">
        <f t="shared" ref="AW100:AW119" si="126">AV100+AC100*($AF$2/$F$1)+AG100*($AF$4/$F$1)</f>
        <v>#DIV/0!</v>
      </c>
      <c r="AX100" s="27" t="e">
        <f t="shared" ref="AX100:AX119" si="127">AV100+AC100*($AF$2/$F$1)</f>
        <v>#DIV/0!</v>
      </c>
      <c r="AY100" s="27" t="e">
        <f>AW100+L100+U100</f>
        <v>#DIV/0!</v>
      </c>
      <c r="AZ100" s="27" t="e">
        <f>AW100+M100+V100</f>
        <v>#DIV/0!</v>
      </c>
      <c r="BA100" s="93" t="e">
        <f>AV100+AC100*($AF$2/$F$1)+AH100+AI100</f>
        <v>#DIV/0!</v>
      </c>
    </row>
    <row r="101" spans="1:53" x14ac:dyDescent="0.25">
      <c r="A101" s="138">
        <v>0.05</v>
      </c>
      <c r="B101">
        <f t="shared" ref="B101:B119" si="128">A101*$B$95</f>
        <v>52.870000000000005</v>
      </c>
      <c r="C101" s="132">
        <f>($B$93*B101*($C$8))/$B$94</f>
        <v>4823925.4734975379</v>
      </c>
      <c r="D101">
        <v>1.06</v>
      </c>
      <c r="E101" s="238">
        <f>0.455/(LOG10(C101))^2.58</f>
        <v>3.3846819519668947E-3</v>
      </c>
      <c r="F101" s="237">
        <f>E101*(1+$D$8*$E$8+100*$E$8^4)*D101*($F$8/$F$1)</f>
        <v>5.7970172188212344E-3</v>
      </c>
      <c r="G101" s="132">
        <f t="shared" ref="G101:G119" si="129">($B$93*B101*$J$8)/$B$94</f>
        <v>19481162.561576359</v>
      </c>
      <c r="H101">
        <f>0.455/(LOG10(G101))^2.58</f>
        <v>2.7054129837099606E-3</v>
      </c>
      <c r="I101">
        <f>H101*(1+(60/(($J$8/$H$8)^3))+0.0025*($J$8/$H$8))*($G$8/$I$8)</f>
        <v>9.3891380846948896E-2</v>
      </c>
      <c r="J101">
        <f t="shared" ref="J101:J119" si="130">(0.029*($K$8/$H$8)^3)/SQRT(I101)</f>
        <v>0</v>
      </c>
      <c r="K101" s="96">
        <f>I101+J101</f>
        <v>9.3891380846948896E-2</v>
      </c>
      <c r="L101">
        <f t="shared" si="115"/>
        <v>5.4197047970479702E-3</v>
      </c>
      <c r="M101">
        <f t="shared" si="116"/>
        <v>8.1295571955719553E-3</v>
      </c>
      <c r="S101">
        <v>0.6</v>
      </c>
      <c r="T101">
        <v>0.92</v>
      </c>
      <c r="U101" s="96">
        <v>1.4999999999999999E-2</v>
      </c>
      <c r="V101" s="96">
        <v>1.4E-2</v>
      </c>
      <c r="X101" s="132">
        <f t="shared" ref="X101:X119" si="131">$B$93*B101*$Z$2/$B$94</f>
        <v>3733889.490968802</v>
      </c>
      <c r="Y101">
        <f>0.455/(LOG10(X101))^2.58</f>
        <v>3.5344690076350056E-3</v>
      </c>
      <c r="Z101">
        <f t="shared" si="117"/>
        <v>0.61879190389100736</v>
      </c>
      <c r="AA101">
        <f t="shared" ref="AA101:AA119" si="132">0.029*($Z$1/$Z$1)^3/SQRT(Z101)</f>
        <v>3.6865971793044107E-2</v>
      </c>
      <c r="AB101">
        <f t="shared" ref="AB101:AB119" si="133">Z101+AA101</f>
        <v>0.65565787568405143</v>
      </c>
      <c r="AC101" s="96">
        <f t="shared" ref="AC101:AC119" si="134">2*AB101</f>
        <v>1.3113157513681029</v>
      </c>
      <c r="AD101" s="132">
        <f t="shared" ref="AD101:AD119" si="135">$B$93*B101*$Z$4/$B$94</f>
        <v>2824768.5714285718</v>
      </c>
      <c r="AE101">
        <f>0.455/(LOG10(AD101))^2.58</f>
        <v>3.7083148769970118E-3</v>
      </c>
      <c r="AF101">
        <f t="shared" ref="AF101:AF119" si="136">AE101*(1+(60/($Z$4/$Z$3)^3)+0.0025*($Z$4/$Z$3))*($AC$3/$AC$4)</f>
        <v>0.10565589024520262</v>
      </c>
      <c r="AG101" s="96">
        <f t="shared" ref="AG101:AG119" si="137">12*AF101</f>
        <v>1.2678706829424315</v>
      </c>
      <c r="AH101" s="96">
        <v>2.3999999999999998E-3</v>
      </c>
      <c r="AI101" s="96">
        <v>3.7000000000000002E-3</v>
      </c>
      <c r="AJ101" s="132">
        <f t="shared" ref="AJ101:AJ119" si="138">($B$93*B101*$AJ$8)/$B$94</f>
        <v>2988410.3369458131</v>
      </c>
      <c r="AM101" s="96">
        <f t="shared" si="118"/>
        <v>0</v>
      </c>
      <c r="AP101" s="132">
        <f>K101*($I$8/$F$1)+F101</f>
        <v>1.0659620651245323E-2</v>
      </c>
      <c r="AQ101">
        <f t="shared" si="120"/>
        <v>2.9863871978343344E-2</v>
      </c>
      <c r="AR101">
        <f t="shared" si="121"/>
        <v>1.1337053142727E-2</v>
      </c>
      <c r="AS101">
        <f t="shared" si="122"/>
        <v>5.0283576775391317E-2</v>
      </c>
      <c r="AT101">
        <f t="shared" si="123"/>
        <v>5.19934291739153E-2</v>
      </c>
      <c r="AU101">
        <f t="shared" si="124"/>
        <v>1.1337053142727E-2</v>
      </c>
      <c r="AV101" s="234">
        <f>AP101+F101*(($AN$8+$AO$8)/$F$1)</f>
        <v>1.2306743624858736E-2</v>
      </c>
      <c r="AW101" s="27">
        <f t="shared" si="126"/>
        <v>3.1510994951956757E-2</v>
      </c>
      <c r="AX101" s="27">
        <f t="shared" si="127"/>
        <v>1.2984176116340413E-2</v>
      </c>
      <c r="AY101" s="27">
        <f t="shared" ref="AY101:AY119" si="139">AW101+L101+U101</f>
        <v>5.193069974900473E-2</v>
      </c>
      <c r="AZ101" s="27">
        <f t="shared" ref="AZ101:AZ119" si="140">AW101+M101+V101</f>
        <v>5.3640552147528713E-2</v>
      </c>
      <c r="BA101" s="93">
        <f t="shared" ref="BA101:BA119" si="141">AV101+AC101*($AF$2/$F$1)+AH101+AI101</f>
        <v>1.9084176116340411E-2</v>
      </c>
    </row>
    <row r="102" spans="1:53" x14ac:dyDescent="0.25">
      <c r="A102" s="138">
        <v>0.1</v>
      </c>
      <c r="B102">
        <f t="shared" si="128"/>
        <v>105.74000000000001</v>
      </c>
      <c r="C102" s="132">
        <f t="shared" ref="C102:C119" si="142">($B$93*B102*($C$8))/$B$94</f>
        <v>9647850.9469950758</v>
      </c>
      <c r="D102">
        <v>1.06</v>
      </c>
      <c r="E102" s="238">
        <f>0.455/(LOG10(C102))^2.58</f>
        <v>3.0210186233561465E-3</v>
      </c>
      <c r="F102" s="237">
        <f t="shared" ref="F102:F119" si="143">E102*(1+$D$8*$E$8+100*$E$8^4)*D102*($F$8/$F$1)</f>
        <v>5.1741632527092145E-3</v>
      </c>
      <c r="G102" s="132">
        <f t="shared" si="129"/>
        <v>38962325.123152718</v>
      </c>
      <c r="H102">
        <f t="shared" ref="H102:H119" si="144">0.455/(LOG10(G102))^2.58</f>
        <v>2.4372070180967756E-3</v>
      </c>
      <c r="I102">
        <f t="shared" ref="I102:I119" si="145">H102*(1+(60/(($J$8/$H$8)^3))+0.0025*($J$8/$H$8))*($G$8/$I$8)</f>
        <v>8.45832905056811E-2</v>
      </c>
      <c r="J102">
        <f t="shared" si="130"/>
        <v>0</v>
      </c>
      <c r="K102" s="96">
        <f t="shared" ref="K102:K119" si="146">I102+J102</f>
        <v>8.45832905056811E-2</v>
      </c>
      <c r="L102">
        <f t="shared" si="115"/>
        <v>5.4197047970479702E-3</v>
      </c>
      <c r="M102">
        <f t="shared" si="116"/>
        <v>8.1295571955719553E-3</v>
      </c>
      <c r="S102">
        <v>0.6</v>
      </c>
      <c r="T102">
        <v>0.92</v>
      </c>
      <c r="U102" s="96">
        <v>1.4999999999999999E-2</v>
      </c>
      <c r="V102" s="96">
        <v>1.4E-2</v>
      </c>
      <c r="X102" s="132">
        <f t="shared" si="131"/>
        <v>7467778.981937604</v>
      </c>
      <c r="Y102">
        <f t="shared" ref="Y102:Y119" si="147">0.455/(LOG10(X102))^2.58</f>
        <v>3.1487821691432707E-3</v>
      </c>
      <c r="Z102">
        <f t="shared" si="117"/>
        <v>0.55126835436193766</v>
      </c>
      <c r="AA102">
        <f t="shared" si="132"/>
        <v>3.905858148289048E-2</v>
      </c>
      <c r="AB102">
        <f t="shared" si="133"/>
        <v>0.59032693584482809</v>
      </c>
      <c r="AC102" s="96">
        <f t="shared" si="134"/>
        <v>1.1806538716896562</v>
      </c>
      <c r="AD102" s="132">
        <f t="shared" si="135"/>
        <v>5649537.1428571437</v>
      </c>
      <c r="AE102">
        <f t="shared" ref="AE102:AE119" si="148">0.455/(LOG10(AD102))^2.58</f>
        <v>3.2966556264625315E-3</v>
      </c>
      <c r="AF102">
        <f t="shared" si="136"/>
        <v>9.3927052205398681E-2</v>
      </c>
      <c r="AG102" s="96">
        <f t="shared" si="137"/>
        <v>1.1271246264647843</v>
      </c>
      <c r="AH102" s="96">
        <v>2.3999999999999998E-3</v>
      </c>
      <c r="AI102" s="96">
        <v>3.7000000000000002E-3</v>
      </c>
      <c r="AJ102" s="132">
        <f t="shared" si="138"/>
        <v>5976820.6738916263</v>
      </c>
      <c r="AM102" s="96">
        <f t="shared" si="118"/>
        <v>0</v>
      </c>
      <c r="AP102">
        <f t="shared" si="119"/>
        <v>9.554703777606758E-3</v>
      </c>
      <c r="AQ102">
        <f t="shared" si="120"/>
        <v>2.6634796260400478E-2</v>
      </c>
      <c r="AR102">
        <f t="shared" si="121"/>
        <v>1.0164635667040529E-2</v>
      </c>
      <c r="AS102">
        <f t="shared" si="122"/>
        <v>4.7054501057448447E-2</v>
      </c>
      <c r="AT102">
        <f t="shared" si="123"/>
        <v>4.876435345597243E-2</v>
      </c>
      <c r="AU102">
        <f t="shared" si="124"/>
        <v>1.0164635667040529E-2</v>
      </c>
      <c r="AV102" s="26">
        <f t="shared" si="125"/>
        <v>1.1024853484096092E-2</v>
      </c>
      <c r="AW102" s="27">
        <f t="shared" si="126"/>
        <v>2.8104945966889811E-2</v>
      </c>
      <c r="AX102" s="27">
        <f t="shared" si="127"/>
        <v>1.1634785373529863E-2</v>
      </c>
      <c r="AY102" s="27">
        <f t="shared" si="139"/>
        <v>4.8524650763937777E-2</v>
      </c>
      <c r="AZ102" s="27">
        <f t="shared" si="140"/>
        <v>5.0234503162461766E-2</v>
      </c>
      <c r="BA102" s="93">
        <f t="shared" si="141"/>
        <v>1.7734785373529863E-2</v>
      </c>
    </row>
    <row r="103" spans="1:53" x14ac:dyDescent="0.25">
      <c r="A103" s="138">
        <v>0.15</v>
      </c>
      <c r="B103">
        <f t="shared" si="128"/>
        <v>158.61000000000001</v>
      </c>
      <c r="C103" s="132">
        <f t="shared" si="142"/>
        <v>14471776.420492614</v>
      </c>
      <c r="D103">
        <v>1.06</v>
      </c>
      <c r="E103" s="238">
        <f t="shared" ref="E103:E118" si="149">0.455/(LOG10(C103))^2.58</f>
        <v>2.833049337589945E-3</v>
      </c>
      <c r="F103" s="237">
        <f t="shared" si="143"/>
        <v>4.8522242340185585E-3</v>
      </c>
      <c r="G103" s="132">
        <f t="shared" si="129"/>
        <v>58443487.684729069</v>
      </c>
      <c r="H103">
        <f t="shared" si="144"/>
        <v>2.2971848160783996E-3</v>
      </c>
      <c r="I103">
        <f t="shared" si="145"/>
        <v>7.9723818781439082E-2</v>
      </c>
      <c r="J103">
        <f t="shared" si="130"/>
        <v>0</v>
      </c>
      <c r="K103" s="96">
        <f t="shared" si="146"/>
        <v>7.9723818781439082E-2</v>
      </c>
      <c r="L103">
        <f t="shared" si="115"/>
        <v>5.4197047970479702E-3</v>
      </c>
      <c r="M103">
        <f t="shared" si="116"/>
        <v>8.1295571955719553E-3</v>
      </c>
      <c r="S103">
        <v>0.6</v>
      </c>
      <c r="T103">
        <v>0.92</v>
      </c>
      <c r="U103" s="96">
        <v>1.4999999999999999E-2</v>
      </c>
      <c r="V103" s="96">
        <v>1.4E-2</v>
      </c>
      <c r="X103" s="132">
        <f t="shared" si="131"/>
        <v>11201668.472906405</v>
      </c>
      <c r="Y103">
        <f t="shared" si="147"/>
        <v>2.9498333483444876E-3</v>
      </c>
      <c r="Z103">
        <f t="shared" si="117"/>
        <v>0.51643768550248026</v>
      </c>
      <c r="AA103">
        <f t="shared" si="132"/>
        <v>4.0354227203998193E-2</v>
      </c>
      <c r="AB103">
        <f t="shared" si="133"/>
        <v>0.55679191270647843</v>
      </c>
      <c r="AC103" s="96">
        <f t="shared" si="134"/>
        <v>1.1135838254129569</v>
      </c>
      <c r="AD103" s="132">
        <f t="shared" si="135"/>
        <v>8474305.7142857146</v>
      </c>
      <c r="AE103">
        <f t="shared" si="148"/>
        <v>3.0847944311825437E-3</v>
      </c>
      <c r="AF103">
        <f t="shared" si="136"/>
        <v>8.7890783997816829E-2</v>
      </c>
      <c r="AG103" s="96">
        <f t="shared" si="137"/>
        <v>1.0546894079738021</v>
      </c>
      <c r="AH103" s="96">
        <v>2.3999999999999998E-3</v>
      </c>
      <c r="AI103" s="96">
        <v>3.7000000000000002E-3</v>
      </c>
      <c r="AJ103" s="132">
        <f t="shared" si="138"/>
        <v>8965231.0108374394</v>
      </c>
      <c r="AM103" s="96">
        <f t="shared" si="118"/>
        <v>0</v>
      </c>
      <c r="AP103">
        <f t="shared" si="119"/>
        <v>8.981094332164305E-3</v>
      </c>
      <c r="AQ103">
        <f t="shared" si="120"/>
        <v>2.4968075111256816E-2</v>
      </c>
      <c r="AR103">
        <f t="shared" si="121"/>
        <v>9.5563774892042097E-3</v>
      </c>
      <c r="AS103">
        <f t="shared" si="122"/>
        <v>4.5387779908304782E-2</v>
      </c>
      <c r="AT103">
        <f t="shared" si="123"/>
        <v>4.7097632306828771E-2</v>
      </c>
      <c r="AU103">
        <f t="shared" si="124"/>
        <v>9.5563774892042097E-3</v>
      </c>
      <c r="AV103" s="26">
        <f t="shared" si="125"/>
        <v>1.0359770590538582E-2</v>
      </c>
      <c r="AW103" s="27">
        <f t="shared" si="126"/>
        <v>2.6346751369631091E-2</v>
      </c>
      <c r="AX103" s="27">
        <f t="shared" si="127"/>
        <v>1.0935053747578487E-2</v>
      </c>
      <c r="AY103" s="27">
        <f t="shared" si="139"/>
        <v>4.6766456166679057E-2</v>
      </c>
      <c r="AZ103" s="27">
        <f t="shared" si="140"/>
        <v>4.8476308565203047E-2</v>
      </c>
      <c r="BA103" s="93">
        <f t="shared" si="141"/>
        <v>1.7035053747578487E-2</v>
      </c>
    </row>
    <row r="104" spans="1:53" x14ac:dyDescent="0.25">
      <c r="A104" s="138">
        <v>0.2</v>
      </c>
      <c r="B104">
        <f t="shared" si="128"/>
        <v>211.48000000000002</v>
      </c>
      <c r="C104" s="132">
        <f t="shared" si="142"/>
        <v>19295701.893990152</v>
      </c>
      <c r="D104">
        <v>1.06</v>
      </c>
      <c r="E104" s="238">
        <f t="shared" si="149"/>
        <v>2.7093948679148814E-3</v>
      </c>
      <c r="F104" s="237">
        <f t="shared" si="143"/>
        <v>4.6404385773266511E-3</v>
      </c>
      <c r="G104" s="132">
        <f t="shared" si="129"/>
        <v>77924650.246305436</v>
      </c>
      <c r="H104">
        <f t="shared" si="144"/>
        <v>2.2045243596841356E-3</v>
      </c>
      <c r="I104">
        <f t="shared" si="145"/>
        <v>7.6508036846055769E-2</v>
      </c>
      <c r="J104">
        <f t="shared" si="130"/>
        <v>0</v>
      </c>
      <c r="K104" s="96">
        <f t="shared" si="146"/>
        <v>7.6508036846055769E-2</v>
      </c>
      <c r="L104">
        <f t="shared" si="115"/>
        <v>5.4197047970479702E-3</v>
      </c>
      <c r="M104">
        <f t="shared" si="116"/>
        <v>8.1295571955719553E-3</v>
      </c>
      <c r="S104">
        <v>0.6</v>
      </c>
      <c r="T104">
        <v>0.92</v>
      </c>
      <c r="U104" s="96">
        <v>1.4999999999999999E-2</v>
      </c>
      <c r="V104" s="96">
        <v>1.4E-2</v>
      </c>
      <c r="X104" s="132">
        <f t="shared" si="131"/>
        <v>14935557.963875208</v>
      </c>
      <c r="Y104">
        <f t="shared" si="147"/>
        <v>2.8191128999457693E-3</v>
      </c>
      <c r="Z104">
        <f t="shared" si="117"/>
        <v>0.49355199744936767</v>
      </c>
      <c r="AA104">
        <f t="shared" si="132"/>
        <v>4.1279225566525239E-2</v>
      </c>
      <c r="AB104">
        <f t="shared" si="133"/>
        <v>0.53483122301589292</v>
      </c>
      <c r="AC104" s="96">
        <f t="shared" si="134"/>
        <v>1.0696624460317858</v>
      </c>
      <c r="AD104" s="132">
        <f t="shared" si="135"/>
        <v>11299074.285714287</v>
      </c>
      <c r="AE104">
        <f t="shared" si="148"/>
        <v>2.9457776768235145E-3</v>
      </c>
      <c r="AF104">
        <f t="shared" si="136"/>
        <v>8.3929971761533342E-2</v>
      </c>
      <c r="AG104" s="96">
        <f t="shared" si="137"/>
        <v>1.0071596611384002</v>
      </c>
      <c r="AH104" s="96">
        <v>2.3999999999999998E-3</v>
      </c>
      <c r="AI104" s="96">
        <v>3.7000000000000002E-3</v>
      </c>
      <c r="AJ104" s="132">
        <f t="shared" si="138"/>
        <v>11953641.347783253</v>
      </c>
      <c r="AM104" s="96">
        <f t="shared" si="118"/>
        <v>0</v>
      </c>
      <c r="AP104">
        <f t="shared" si="119"/>
        <v>8.6027643970107565E-3</v>
      </c>
      <c r="AQ104">
        <f t="shared" si="120"/>
        <v>2.3872524546651033E-2</v>
      </c>
      <c r="AR104">
        <f t="shared" si="121"/>
        <v>9.1553575425622324E-3</v>
      </c>
      <c r="AS104">
        <f t="shared" si="122"/>
        <v>4.4292229343699002E-2</v>
      </c>
      <c r="AT104">
        <f t="shared" si="123"/>
        <v>4.6002081742222985E-2</v>
      </c>
      <c r="AU104">
        <f t="shared" si="124"/>
        <v>9.1553575425622324E-3</v>
      </c>
      <c r="AV104" s="26">
        <f t="shared" si="125"/>
        <v>9.9212653949965583E-3</v>
      </c>
      <c r="AW104" s="27">
        <f t="shared" si="126"/>
        <v>2.5191025544636834E-2</v>
      </c>
      <c r="AX104" s="27">
        <f t="shared" si="127"/>
        <v>1.0473858540548034E-2</v>
      </c>
      <c r="AY104" s="27">
        <f t="shared" si="139"/>
        <v>4.5610730341684808E-2</v>
      </c>
      <c r="AZ104" s="27">
        <f t="shared" si="140"/>
        <v>4.732058274020879E-2</v>
      </c>
      <c r="BA104" s="93">
        <f t="shared" si="141"/>
        <v>1.6573858540548034E-2</v>
      </c>
    </row>
    <row r="105" spans="1:53" x14ac:dyDescent="0.25">
      <c r="A105" s="138">
        <v>0.25</v>
      </c>
      <c r="B105">
        <f t="shared" si="128"/>
        <v>264.35000000000002</v>
      </c>
      <c r="C105" s="132">
        <f t="shared" si="142"/>
        <v>24119627.367487691</v>
      </c>
      <c r="D105">
        <v>1.06</v>
      </c>
      <c r="E105" s="238">
        <f t="shared" si="149"/>
        <v>2.6185816603519966E-3</v>
      </c>
      <c r="F105" s="237">
        <f t="shared" si="143"/>
        <v>4.4849008531299955E-3</v>
      </c>
      <c r="G105" s="132">
        <f t="shared" si="129"/>
        <v>97405812.807881802</v>
      </c>
      <c r="H105">
        <f t="shared" si="144"/>
        <v>2.1361865390306851E-3</v>
      </c>
      <c r="I105">
        <f t="shared" si="145"/>
        <v>7.413637219305895E-2</v>
      </c>
      <c r="J105">
        <f t="shared" si="130"/>
        <v>0</v>
      </c>
      <c r="K105" s="96">
        <f t="shared" si="146"/>
        <v>7.413637219305895E-2</v>
      </c>
      <c r="L105">
        <f t="shared" si="115"/>
        <v>5.4197047970479702E-3</v>
      </c>
      <c r="M105">
        <f t="shared" si="116"/>
        <v>8.1295571955719553E-3</v>
      </c>
      <c r="S105">
        <v>0.6</v>
      </c>
      <c r="T105">
        <v>0.92</v>
      </c>
      <c r="U105" s="96">
        <v>1.4999999999999999E-2</v>
      </c>
      <c r="V105" s="96">
        <v>1.4E-2</v>
      </c>
      <c r="X105" s="132">
        <f t="shared" si="131"/>
        <v>18669447.454844009</v>
      </c>
      <c r="Y105">
        <f t="shared" si="147"/>
        <v>2.7231918874484244E-3</v>
      </c>
      <c r="Z105">
        <f t="shared" si="117"/>
        <v>0.47675876887156182</v>
      </c>
      <c r="AA105">
        <f t="shared" si="132"/>
        <v>4.1999938366273436E-2</v>
      </c>
      <c r="AB105">
        <f t="shared" si="133"/>
        <v>0.51875870723783524</v>
      </c>
      <c r="AC105" s="96">
        <f t="shared" si="134"/>
        <v>1.0375174144756705</v>
      </c>
      <c r="AD105" s="132">
        <f t="shared" si="135"/>
        <v>14123842.85714286</v>
      </c>
      <c r="AE105">
        <f t="shared" si="148"/>
        <v>2.8438664222053081E-3</v>
      </c>
      <c r="AF105">
        <f t="shared" si="136"/>
        <v>8.1026355243021389E-2</v>
      </c>
      <c r="AG105" s="96">
        <f t="shared" si="137"/>
        <v>0.97231626291625672</v>
      </c>
      <c r="AH105" s="96">
        <v>2.3999999999999998E-3</v>
      </c>
      <c r="AI105" s="96">
        <v>3.7000000000000002E-3</v>
      </c>
      <c r="AJ105" s="132">
        <f t="shared" si="138"/>
        <v>14942051.684729068</v>
      </c>
      <c r="AM105" s="96">
        <f t="shared" si="118"/>
        <v>0</v>
      </c>
      <c r="AP105">
        <f t="shared" si="119"/>
        <v>8.3243989480731029E-3</v>
      </c>
      <c r="AQ105">
        <f t="shared" si="120"/>
        <v>2.3068402044659708E-2</v>
      </c>
      <c r="AR105">
        <f t="shared" si="121"/>
        <v>8.8603858042597943E-3</v>
      </c>
      <c r="AS105">
        <f t="shared" si="122"/>
        <v>4.3488106841707674E-2</v>
      </c>
      <c r="AT105">
        <f t="shared" si="123"/>
        <v>4.5197959240231664E-2</v>
      </c>
      <c r="AU105">
        <f t="shared" si="124"/>
        <v>8.860385804259796E-3</v>
      </c>
      <c r="AV105" s="26">
        <f t="shared" si="125"/>
        <v>9.5987065705491533E-3</v>
      </c>
      <c r="AW105" s="27">
        <f t="shared" si="126"/>
        <v>2.434270966713576E-2</v>
      </c>
      <c r="AX105" s="27">
        <f t="shared" si="127"/>
        <v>1.0134693426735846E-2</v>
      </c>
      <c r="AY105" s="27">
        <f t="shared" si="139"/>
        <v>4.4762414464183733E-2</v>
      </c>
      <c r="AZ105" s="27">
        <f t="shared" si="140"/>
        <v>4.6472266862707716E-2</v>
      </c>
      <c r="BA105" s="93">
        <f t="shared" si="141"/>
        <v>1.6234693426735846E-2</v>
      </c>
    </row>
    <row r="106" spans="1:53" x14ac:dyDescent="0.25">
      <c r="A106" s="138">
        <v>0.3</v>
      </c>
      <c r="B106">
        <f t="shared" si="128"/>
        <v>317.22000000000003</v>
      </c>
      <c r="C106" s="132">
        <f t="shared" si="142"/>
        <v>28943552.840985227</v>
      </c>
      <c r="D106">
        <v>1.1499999999999999</v>
      </c>
      <c r="E106" s="238">
        <f t="shared" si="149"/>
        <v>2.547488089544732E-3</v>
      </c>
      <c r="F106" s="237">
        <f t="shared" si="143"/>
        <v>4.7335924328074149E-3</v>
      </c>
      <c r="G106" s="132">
        <f t="shared" si="129"/>
        <v>116886975.36945814</v>
      </c>
      <c r="H106">
        <f t="shared" si="144"/>
        <v>2.0825137767874593E-3</v>
      </c>
      <c r="I106">
        <f t="shared" si="145"/>
        <v>7.2273658518204068E-2</v>
      </c>
      <c r="J106">
        <f t="shared" si="130"/>
        <v>0</v>
      </c>
      <c r="K106" s="96">
        <f t="shared" si="146"/>
        <v>7.2273658518204068E-2</v>
      </c>
      <c r="L106">
        <f t="shared" si="115"/>
        <v>5.4197047970479702E-3</v>
      </c>
      <c r="M106">
        <f t="shared" si="116"/>
        <v>8.1295571955719553E-3</v>
      </c>
      <c r="S106">
        <v>0.6</v>
      </c>
      <c r="T106">
        <v>0.92</v>
      </c>
      <c r="U106" s="96">
        <v>1.4999999999999999E-2</v>
      </c>
      <c r="V106" s="96">
        <v>1.4E-2</v>
      </c>
      <c r="X106" s="132">
        <f t="shared" si="131"/>
        <v>22403336.94581281</v>
      </c>
      <c r="Y106">
        <f t="shared" si="147"/>
        <v>2.6481488409817312E-3</v>
      </c>
      <c r="Z106">
        <f t="shared" si="117"/>
        <v>0.46362071914001879</v>
      </c>
      <c r="AA106">
        <f t="shared" si="132"/>
        <v>4.2590876698010829E-2</v>
      </c>
      <c r="AB106">
        <f t="shared" si="133"/>
        <v>0.50621159583802966</v>
      </c>
      <c r="AC106" s="96">
        <f t="shared" si="134"/>
        <v>1.0124231916760593</v>
      </c>
      <c r="AD106" s="132">
        <f t="shared" si="135"/>
        <v>16948611.428571429</v>
      </c>
      <c r="AE106">
        <f t="shared" si="148"/>
        <v>2.7641957075021685E-3</v>
      </c>
      <c r="AF106">
        <f t="shared" si="136"/>
        <v>7.8756407687961466E-2</v>
      </c>
      <c r="AG106" s="96">
        <f t="shared" si="137"/>
        <v>0.94507689225553759</v>
      </c>
      <c r="AH106" s="96">
        <v>2.3999999999999998E-3</v>
      </c>
      <c r="AI106" s="96">
        <v>3.7000000000000002E-3</v>
      </c>
      <c r="AJ106" s="132">
        <f t="shared" si="138"/>
        <v>17930462.021674879</v>
      </c>
      <c r="AM106" s="96">
        <f t="shared" si="118"/>
        <v>0</v>
      </c>
      <c r="AP106">
        <f t="shared" si="119"/>
        <v>8.4766212051431873E-3</v>
      </c>
      <c r="AQ106">
        <f t="shared" si="120"/>
        <v>2.2809623936385172E-2</v>
      </c>
      <c r="AR106">
        <f t="shared" si="121"/>
        <v>8.9996442561935518E-3</v>
      </c>
      <c r="AS106">
        <f t="shared" si="122"/>
        <v>4.3229328733433145E-2</v>
      </c>
      <c r="AT106">
        <f t="shared" si="123"/>
        <v>4.4939181131957127E-2</v>
      </c>
      <c r="AU106">
        <f t="shared" si="124"/>
        <v>8.9996442561935501E-3</v>
      </c>
      <c r="AV106" s="26">
        <f t="shared" si="125"/>
        <v>9.8215902727674352E-3</v>
      </c>
      <c r="AW106" s="27">
        <f t="shared" si="126"/>
        <v>2.415459300400942E-2</v>
      </c>
      <c r="AX106" s="27">
        <f t="shared" si="127"/>
        <v>1.0344613323817798E-2</v>
      </c>
      <c r="AY106" s="27">
        <f t="shared" si="139"/>
        <v>4.4574297801057386E-2</v>
      </c>
      <c r="AZ106" s="27">
        <f t="shared" si="140"/>
        <v>4.6284150199581375E-2</v>
      </c>
      <c r="BA106" s="93">
        <f t="shared" si="141"/>
        <v>1.6444613323817796E-2</v>
      </c>
    </row>
    <row r="107" spans="1:53" x14ac:dyDescent="0.25">
      <c r="A107" s="138">
        <v>0.35</v>
      </c>
      <c r="B107">
        <f t="shared" si="128"/>
        <v>370.09000000000003</v>
      </c>
      <c r="C107" s="132">
        <f t="shared" si="142"/>
        <v>33767478.314482763</v>
      </c>
      <c r="D107">
        <v>1.1499999999999999</v>
      </c>
      <c r="E107" s="238">
        <f t="shared" si="149"/>
        <v>2.489452174720077E-3</v>
      </c>
      <c r="F107" s="237">
        <f t="shared" si="143"/>
        <v>4.6257535116471836E-3</v>
      </c>
      <c r="G107" s="132">
        <f t="shared" si="129"/>
        <v>136368137.93103448</v>
      </c>
      <c r="H107">
        <f t="shared" si="144"/>
        <v>2.038583205699147E-3</v>
      </c>
      <c r="I107">
        <f t="shared" si="145"/>
        <v>7.0749047671093981E-2</v>
      </c>
      <c r="J107">
        <f t="shared" si="130"/>
        <v>0</v>
      </c>
      <c r="K107" s="96">
        <f t="shared" si="146"/>
        <v>7.0749047671093981E-2</v>
      </c>
      <c r="L107">
        <f t="shared" si="115"/>
        <v>5.4197047970479702E-3</v>
      </c>
      <c r="M107">
        <f t="shared" si="116"/>
        <v>8.1295571955719553E-3</v>
      </c>
      <c r="S107">
        <v>0.6</v>
      </c>
      <c r="T107">
        <v>0.92</v>
      </c>
      <c r="U107" s="96">
        <v>1.4999999999999999E-2</v>
      </c>
      <c r="V107" s="96">
        <v>1.4E-2</v>
      </c>
      <c r="X107" s="132">
        <f t="shared" si="131"/>
        <v>26137226.436781615</v>
      </c>
      <c r="Y107">
        <f t="shared" si="147"/>
        <v>2.5869214090313412E-3</v>
      </c>
      <c r="Z107">
        <f t="shared" si="117"/>
        <v>0.45290141756880764</v>
      </c>
      <c r="AA107">
        <f t="shared" si="132"/>
        <v>4.309195105510024E-2</v>
      </c>
      <c r="AB107">
        <f t="shared" si="133"/>
        <v>0.49599336862390786</v>
      </c>
      <c r="AC107" s="96">
        <f t="shared" si="134"/>
        <v>0.99198673724781572</v>
      </c>
      <c r="AD107" s="132">
        <f t="shared" si="135"/>
        <v>19773380</v>
      </c>
      <c r="AE107">
        <f t="shared" si="148"/>
        <v>2.6992314241623392E-3</v>
      </c>
      <c r="AF107">
        <f t="shared" si="136"/>
        <v>7.6905470154854882E-2</v>
      </c>
      <c r="AG107" s="96">
        <f t="shared" si="137"/>
        <v>0.92286564185825859</v>
      </c>
      <c r="AH107" s="96">
        <v>2.3999999999999998E-3</v>
      </c>
      <c r="AI107" s="96">
        <v>3.7000000000000002E-3</v>
      </c>
      <c r="AJ107" s="132">
        <f t="shared" si="138"/>
        <v>20918872.358620688</v>
      </c>
      <c r="AM107" s="96">
        <f t="shared" si="118"/>
        <v>0</v>
      </c>
      <c r="AP107">
        <f t="shared" si="119"/>
        <v>8.2898231945394488E-3</v>
      </c>
      <c r="AQ107">
        <f t="shared" si="120"/>
        <v>2.2287705426913614E-2</v>
      </c>
      <c r="AR107">
        <f t="shared" si="121"/>
        <v>8.8022886676564025E-3</v>
      </c>
      <c r="AS107">
        <f t="shared" si="122"/>
        <v>4.2707410223961587E-2</v>
      </c>
      <c r="AT107">
        <f t="shared" si="123"/>
        <v>4.4417262622485569E-2</v>
      </c>
      <c r="AU107">
        <f t="shared" si="124"/>
        <v>8.8022886676564008E-3</v>
      </c>
      <c r="AV107" s="26">
        <f t="shared" si="125"/>
        <v>9.6041516830886482E-3</v>
      </c>
      <c r="AW107" s="27">
        <f t="shared" si="126"/>
        <v>2.3602033915462811E-2</v>
      </c>
      <c r="AX107" s="27">
        <f t="shared" si="127"/>
        <v>1.01166171562056E-2</v>
      </c>
      <c r="AY107" s="27">
        <f t="shared" si="139"/>
        <v>4.4021738712510777E-2</v>
      </c>
      <c r="AZ107" s="27">
        <f t="shared" si="140"/>
        <v>4.5731591111034767E-2</v>
      </c>
      <c r="BA107" s="93">
        <f t="shared" si="141"/>
        <v>1.62166171562056E-2</v>
      </c>
    </row>
    <row r="108" spans="1:53" x14ac:dyDescent="0.25">
      <c r="A108" s="138">
        <v>0.4</v>
      </c>
      <c r="B108">
        <f t="shared" si="128"/>
        <v>422.96000000000004</v>
      </c>
      <c r="C108" s="132">
        <f t="shared" si="142"/>
        <v>38591403.787980303</v>
      </c>
      <c r="D108">
        <v>1.1499999999999999</v>
      </c>
      <c r="E108" s="238">
        <f t="shared" si="149"/>
        <v>2.4406517529993515E-3</v>
      </c>
      <c r="F108" s="237">
        <f t="shared" si="143"/>
        <v>4.5350754402076745E-3</v>
      </c>
      <c r="G108" s="132">
        <f t="shared" si="129"/>
        <v>155849300.49261087</v>
      </c>
      <c r="H108">
        <f t="shared" si="144"/>
        <v>2.0015614951887548E-3</v>
      </c>
      <c r="I108">
        <f t="shared" si="145"/>
        <v>6.9464208889707627E-2</v>
      </c>
      <c r="J108">
        <f t="shared" si="130"/>
        <v>0</v>
      </c>
      <c r="K108" s="96">
        <f t="shared" si="146"/>
        <v>6.9464208889707627E-2</v>
      </c>
      <c r="L108">
        <f t="shared" si="115"/>
        <v>5.4197047970479702E-3</v>
      </c>
      <c r="M108">
        <f t="shared" si="116"/>
        <v>8.1295571955719553E-3</v>
      </c>
      <c r="S108">
        <v>0.6</v>
      </c>
      <c r="T108">
        <v>0.92</v>
      </c>
      <c r="U108" s="96">
        <v>1.4999999999999999E-2</v>
      </c>
      <c r="V108" s="96">
        <v>1.4E-2</v>
      </c>
      <c r="X108" s="132">
        <f t="shared" si="131"/>
        <v>29871115.927750416</v>
      </c>
      <c r="Y108">
        <f t="shared" si="147"/>
        <v>2.5354603178481326E-3</v>
      </c>
      <c r="Z108">
        <f t="shared" si="117"/>
        <v>0.44389194357970801</v>
      </c>
      <c r="AA108">
        <f t="shared" si="132"/>
        <v>4.3527063245971311E-2</v>
      </c>
      <c r="AB108">
        <f t="shared" si="133"/>
        <v>0.48741900682567935</v>
      </c>
      <c r="AC108" s="96">
        <f t="shared" si="134"/>
        <v>0.97483801365135869</v>
      </c>
      <c r="AD108" s="132">
        <f t="shared" si="135"/>
        <v>22598148.571428575</v>
      </c>
      <c r="AE108">
        <f t="shared" si="148"/>
        <v>2.6446569251495225E-3</v>
      </c>
      <c r="AF108">
        <f t="shared" si="136"/>
        <v>7.5350554386063848E-2</v>
      </c>
      <c r="AG108" s="96">
        <f t="shared" si="137"/>
        <v>0.90420665263276612</v>
      </c>
      <c r="AH108" s="96">
        <v>2.3999999999999998E-3</v>
      </c>
      <c r="AI108" s="96">
        <v>3.7000000000000002E-3</v>
      </c>
      <c r="AJ108" s="132">
        <f t="shared" si="138"/>
        <v>23907282.695566505</v>
      </c>
      <c r="AM108" s="96">
        <f t="shared" si="118"/>
        <v>0</v>
      </c>
      <c r="AP108">
        <f t="shared" si="119"/>
        <v>8.1326037493111673E-3</v>
      </c>
      <c r="AQ108">
        <f t="shared" si="120"/>
        <v>2.1848971521772217E-2</v>
      </c>
      <c r="AR108">
        <f t="shared" si="121"/>
        <v>8.6362101032269999E-3</v>
      </c>
      <c r="AS108">
        <f t="shared" si="122"/>
        <v>4.2268676318820184E-2</v>
      </c>
      <c r="AT108">
        <f t="shared" si="123"/>
        <v>4.3978528717344173E-2</v>
      </c>
      <c r="AU108">
        <f t="shared" si="124"/>
        <v>8.6362101032269982E-3</v>
      </c>
      <c r="AV108" s="26">
        <f t="shared" si="125"/>
        <v>9.4211676197760788E-3</v>
      </c>
      <c r="AW108" s="27">
        <f t="shared" si="126"/>
        <v>2.3137535392237125E-2</v>
      </c>
      <c r="AX108" s="27">
        <f t="shared" si="127"/>
        <v>9.9247739736919097E-3</v>
      </c>
      <c r="AY108" s="27">
        <f t="shared" si="139"/>
        <v>4.3557240189285099E-2</v>
      </c>
      <c r="AZ108" s="27">
        <f t="shared" si="140"/>
        <v>4.5267092587809081E-2</v>
      </c>
      <c r="BA108" s="93">
        <f t="shared" si="141"/>
        <v>1.6024773973691911E-2</v>
      </c>
    </row>
    <row r="109" spans="1:53" x14ac:dyDescent="0.25">
      <c r="A109" s="138">
        <v>0.45</v>
      </c>
      <c r="B109">
        <f t="shared" si="128"/>
        <v>475.83000000000004</v>
      </c>
      <c r="C109" s="132">
        <f t="shared" si="142"/>
        <v>43415329.261477843</v>
      </c>
      <c r="D109">
        <v>1.1499999999999999</v>
      </c>
      <c r="E109" s="238">
        <f>0.455/(LOG10(C109))^2.58</f>
        <v>2.3987017232790482E-3</v>
      </c>
      <c r="F109" s="237">
        <f t="shared" si="143"/>
        <v>4.4571263639960708E-3</v>
      </c>
      <c r="G109" s="132">
        <f t="shared" si="129"/>
        <v>175330463.05418721</v>
      </c>
      <c r="H109">
        <f t="shared" si="144"/>
        <v>1.9696759609885979E-3</v>
      </c>
      <c r="I109">
        <f t="shared" si="145"/>
        <v>6.8357621151302547E-2</v>
      </c>
      <c r="J109">
        <f t="shared" si="130"/>
        <v>0</v>
      </c>
      <c r="K109" s="96">
        <f t="shared" si="146"/>
        <v>6.8357621151302547E-2</v>
      </c>
      <c r="L109">
        <f t="shared" si="115"/>
        <v>5.4197047970479702E-3</v>
      </c>
      <c r="M109">
        <f t="shared" si="116"/>
        <v>8.1295571955719553E-3</v>
      </c>
      <c r="S109">
        <v>0.6</v>
      </c>
      <c r="T109">
        <v>0.92</v>
      </c>
      <c r="U109" s="96">
        <v>1.4999999999999999E-2</v>
      </c>
      <c r="V109" s="96">
        <v>1.4E-2</v>
      </c>
      <c r="X109" s="132">
        <f t="shared" si="131"/>
        <v>33605005.418719217</v>
      </c>
      <c r="Y109">
        <f t="shared" si="147"/>
        <v>2.4912400818666728E-3</v>
      </c>
      <c r="Z109">
        <f t="shared" si="117"/>
        <v>0.43615015154408154</v>
      </c>
      <c r="AA109">
        <f t="shared" si="132"/>
        <v>4.3911673035146363E-2</v>
      </c>
      <c r="AB109">
        <f t="shared" si="133"/>
        <v>0.48006182457922791</v>
      </c>
      <c r="AC109" s="96">
        <f t="shared" si="134"/>
        <v>0.96012364915845583</v>
      </c>
      <c r="AD109" s="132">
        <f t="shared" si="135"/>
        <v>25422917.142857146</v>
      </c>
      <c r="AE109">
        <f t="shared" si="148"/>
        <v>2.5977815711569967E-3</v>
      </c>
      <c r="AF109">
        <f t="shared" si="136"/>
        <v>7.4014999714759874E-2</v>
      </c>
      <c r="AG109" s="96">
        <f t="shared" si="137"/>
        <v>0.88817999657711844</v>
      </c>
      <c r="AH109" s="96">
        <v>2.3999999999999998E-3</v>
      </c>
      <c r="AI109" s="96">
        <v>3.7000000000000002E-3</v>
      </c>
      <c r="AJ109" s="132">
        <f t="shared" si="138"/>
        <v>26895693.032512318</v>
      </c>
      <c r="AM109" s="96">
        <f t="shared" si="118"/>
        <v>0</v>
      </c>
      <c r="AP109">
        <f t="shared" si="119"/>
        <v>7.9973448616290268E-3</v>
      </c>
      <c r="AQ109">
        <f t="shared" si="120"/>
        <v>2.147192086652782E-2</v>
      </c>
      <c r="AR109">
        <f t="shared" si="121"/>
        <v>8.4933496988326574E-3</v>
      </c>
      <c r="AS109">
        <f t="shared" si="122"/>
        <v>4.1891625663575793E-2</v>
      </c>
      <c r="AT109">
        <f t="shared" si="123"/>
        <v>4.3601478062099776E-2</v>
      </c>
      <c r="AU109">
        <f t="shared" si="124"/>
        <v>8.4933496988326574E-3</v>
      </c>
      <c r="AV109" s="26">
        <f t="shared" si="125"/>
        <v>9.2637608395910107E-3</v>
      </c>
      <c r="AW109" s="27">
        <f t="shared" si="126"/>
        <v>2.2738336844489802E-2</v>
      </c>
      <c r="AX109" s="27">
        <f t="shared" si="127"/>
        <v>9.7597656767946413E-3</v>
      </c>
      <c r="AY109" s="27">
        <f t="shared" si="139"/>
        <v>4.3158041641537775E-2</v>
      </c>
      <c r="AZ109" s="27">
        <f t="shared" si="140"/>
        <v>4.4867894040061758E-2</v>
      </c>
      <c r="BA109" s="93">
        <f t="shared" si="141"/>
        <v>1.5859765676794639E-2</v>
      </c>
    </row>
    <row r="110" spans="1:53" x14ac:dyDescent="0.25">
      <c r="A110" s="138">
        <v>0.5</v>
      </c>
      <c r="B110">
        <f t="shared" si="128"/>
        <v>528.70000000000005</v>
      </c>
      <c r="C110" s="132">
        <f t="shared" si="142"/>
        <v>48239254.734975383</v>
      </c>
      <c r="D110">
        <v>1.1499999999999999</v>
      </c>
      <c r="E110" s="238">
        <f t="shared" si="149"/>
        <v>2.3620192191300773E-3</v>
      </c>
      <c r="F110" s="237">
        <f t="shared" si="143"/>
        <v>4.3889650937751663E-3</v>
      </c>
      <c r="G110" s="132">
        <f t="shared" si="129"/>
        <v>194811625.6157636</v>
      </c>
      <c r="H110">
        <f t="shared" si="144"/>
        <v>1.9417475386865985E-3</v>
      </c>
      <c r="I110">
        <f t="shared" si="145"/>
        <v>6.738836501532601E-2</v>
      </c>
      <c r="J110">
        <f t="shared" si="130"/>
        <v>0</v>
      </c>
      <c r="K110" s="96">
        <f t="shared" si="146"/>
        <v>6.738836501532601E-2</v>
      </c>
      <c r="L110">
        <f t="shared" si="115"/>
        <v>5.4197047970479702E-3</v>
      </c>
      <c r="M110">
        <f t="shared" si="116"/>
        <v>8.1295571955719553E-3</v>
      </c>
      <c r="S110">
        <v>0.6</v>
      </c>
      <c r="T110">
        <v>0.92</v>
      </c>
      <c r="U110" s="96">
        <v>1.4999999999999999E-2</v>
      </c>
      <c r="V110" s="96">
        <v>1.4E-2</v>
      </c>
      <c r="X110" s="132">
        <f t="shared" si="131"/>
        <v>37338894.909688018</v>
      </c>
      <c r="Y110">
        <f t="shared" si="147"/>
        <v>2.4525854240954712E-3</v>
      </c>
      <c r="Z110">
        <f t="shared" si="117"/>
        <v>0.4293827448346641</v>
      </c>
      <c r="AA110">
        <f t="shared" si="132"/>
        <v>4.4256361301170138E-2</v>
      </c>
      <c r="AB110">
        <f t="shared" si="133"/>
        <v>0.47363910613583426</v>
      </c>
      <c r="AC110" s="96">
        <f t="shared" si="134"/>
        <v>0.94727821227166853</v>
      </c>
      <c r="AD110" s="132">
        <f t="shared" si="135"/>
        <v>28247685.71428572</v>
      </c>
      <c r="AE110">
        <f t="shared" si="148"/>
        <v>2.5568214360153318E-3</v>
      </c>
      <c r="AF110">
        <f t="shared" si="136"/>
        <v>7.2847979198297982E-2</v>
      </c>
      <c r="AG110" s="96">
        <f t="shared" si="137"/>
        <v>0.87417575037957573</v>
      </c>
      <c r="AH110" s="96">
        <v>2.3999999999999998E-3</v>
      </c>
      <c r="AI110" s="96">
        <v>3.7000000000000002E-3</v>
      </c>
      <c r="AJ110" s="132">
        <f t="shared" si="138"/>
        <v>29884103.369458135</v>
      </c>
      <c r="AM110" s="96">
        <f t="shared" si="118"/>
        <v>0</v>
      </c>
      <c r="AP110">
        <f t="shared" si="119"/>
        <v>7.8789861380190798E-3</v>
      </c>
      <c r="AQ110">
        <f t="shared" si="120"/>
        <v>2.1142288430348058E-2</v>
      </c>
      <c r="AR110">
        <f t="shared" si="121"/>
        <v>8.3683549561668034E-3</v>
      </c>
      <c r="AS110">
        <f t="shared" si="122"/>
        <v>4.1561993227396024E-2</v>
      </c>
      <c r="AT110">
        <f t="shared" si="123"/>
        <v>4.3271845625920013E-2</v>
      </c>
      <c r="AU110">
        <f t="shared" si="124"/>
        <v>8.3683549561668052E-3</v>
      </c>
      <c r="AV110" s="26">
        <f t="shared" si="125"/>
        <v>9.1260352606046431E-3</v>
      </c>
      <c r="AW110" s="27">
        <f t="shared" si="126"/>
        <v>2.2389337552933625E-2</v>
      </c>
      <c r="AX110" s="27">
        <f t="shared" si="127"/>
        <v>9.6154040787523685E-3</v>
      </c>
      <c r="AY110" s="27">
        <f t="shared" si="139"/>
        <v>4.2809042349981591E-2</v>
      </c>
      <c r="AZ110" s="27">
        <f t="shared" si="140"/>
        <v>4.451889474850558E-2</v>
      </c>
      <c r="BA110" s="93">
        <f t="shared" si="141"/>
        <v>1.5715404078752368E-2</v>
      </c>
    </row>
    <row r="111" spans="1:53" x14ac:dyDescent="0.25">
      <c r="A111" s="138">
        <v>0.55000000000000004</v>
      </c>
      <c r="B111">
        <f t="shared" si="128"/>
        <v>581.57000000000005</v>
      </c>
      <c r="C111" s="132">
        <f t="shared" si="142"/>
        <v>53063180.208472922</v>
      </c>
      <c r="D111">
        <v>1.1499999999999999</v>
      </c>
      <c r="E111" s="238">
        <f t="shared" si="149"/>
        <v>2.329503044725303E-3</v>
      </c>
      <c r="F111" s="237">
        <f t="shared" si="143"/>
        <v>4.3285454522710553E-3</v>
      </c>
      <c r="G111" s="132">
        <f t="shared" si="129"/>
        <v>214292788.17733994</v>
      </c>
      <c r="H111">
        <f t="shared" si="144"/>
        <v>1.9169543621498292E-3</v>
      </c>
      <c r="I111">
        <f t="shared" si="145"/>
        <v>6.6527917610572598E-2</v>
      </c>
      <c r="J111">
        <f t="shared" si="130"/>
        <v>0</v>
      </c>
      <c r="K111" s="96">
        <f t="shared" si="146"/>
        <v>6.6527917610572598E-2</v>
      </c>
      <c r="L111">
        <f t="shared" si="115"/>
        <v>5.4197047970479702E-3</v>
      </c>
      <c r="M111">
        <f t="shared" si="116"/>
        <v>8.1295571955719553E-3</v>
      </c>
      <c r="S111">
        <v>0.6</v>
      </c>
      <c r="T111">
        <v>0.92</v>
      </c>
      <c r="U111" s="96">
        <v>1.4999999999999999E-2</v>
      </c>
      <c r="V111" s="96">
        <v>1.4E-2</v>
      </c>
      <c r="X111" s="132">
        <f t="shared" si="131"/>
        <v>41072784.400656827</v>
      </c>
      <c r="Y111">
        <f t="shared" si="147"/>
        <v>2.418331315822708E-3</v>
      </c>
      <c r="Z111">
        <f t="shared" si="117"/>
        <v>0.4233857577827464</v>
      </c>
      <c r="AA111">
        <f t="shared" si="132"/>
        <v>4.4568690656007472E-2</v>
      </c>
      <c r="AB111">
        <f t="shared" si="133"/>
        <v>0.46795444843875389</v>
      </c>
      <c r="AC111" s="96">
        <f t="shared" si="134"/>
        <v>0.93590889687750778</v>
      </c>
      <c r="AD111" s="132">
        <f t="shared" si="135"/>
        <v>31072454.285714291</v>
      </c>
      <c r="AE111">
        <f t="shared" si="148"/>
        <v>2.5205364810055673E-3</v>
      </c>
      <c r="AF111">
        <f t="shared" si="136"/>
        <v>7.1814162127410971E-2</v>
      </c>
      <c r="AG111" s="96">
        <f t="shared" si="137"/>
        <v>0.8617699455289316</v>
      </c>
      <c r="AH111" s="96">
        <v>2.3999999999999998E-3</v>
      </c>
      <c r="AI111" s="96">
        <v>3.7000000000000002E-3</v>
      </c>
      <c r="AJ111" s="132">
        <f t="shared" si="138"/>
        <v>32872513.706403945</v>
      </c>
      <c r="AM111" s="96">
        <f t="shared" si="118"/>
        <v>0</v>
      </c>
      <c r="AP111">
        <f t="shared" si="119"/>
        <v>7.7740042111802306E-3</v>
      </c>
      <c r="AQ111">
        <f t="shared" si="120"/>
        <v>2.085015266083861E-2</v>
      </c>
      <c r="AR111">
        <f t="shared" si="121"/>
        <v>8.2574995822608643E-3</v>
      </c>
      <c r="AS111">
        <f t="shared" si="122"/>
        <v>4.1269857457886583E-2</v>
      </c>
      <c r="AT111">
        <f t="shared" si="123"/>
        <v>4.2979709856410565E-2</v>
      </c>
      <c r="AU111">
        <f t="shared" si="124"/>
        <v>8.2574995822608625E-3</v>
      </c>
      <c r="AV111" s="26">
        <f t="shared" si="125"/>
        <v>9.003886129353187E-3</v>
      </c>
      <c r="AW111" s="27">
        <f t="shared" si="126"/>
        <v>2.2080034579011566E-2</v>
      </c>
      <c r="AX111" s="27">
        <f t="shared" si="127"/>
        <v>9.487381500433819E-3</v>
      </c>
      <c r="AY111" s="27">
        <f t="shared" si="139"/>
        <v>4.2499739376059539E-2</v>
      </c>
      <c r="AZ111" s="27">
        <f t="shared" si="140"/>
        <v>4.4209591774583522E-2</v>
      </c>
      <c r="BA111" s="93">
        <f t="shared" si="141"/>
        <v>1.5587381500433818E-2</v>
      </c>
    </row>
    <row r="112" spans="1:53" x14ac:dyDescent="0.25">
      <c r="A112" s="138">
        <v>0.6</v>
      </c>
      <c r="B112">
        <f t="shared" si="128"/>
        <v>634.44000000000005</v>
      </c>
      <c r="C112" s="132">
        <f t="shared" si="142"/>
        <v>57887105.681970455</v>
      </c>
      <c r="D112">
        <v>1.1499999999999999</v>
      </c>
      <c r="E112" s="238">
        <f t="shared" si="149"/>
        <v>2.3003579601609024E-3</v>
      </c>
      <c r="F112" s="237">
        <f t="shared" si="143"/>
        <v>4.274389771499164E-3</v>
      </c>
      <c r="G112" s="132">
        <f t="shared" si="129"/>
        <v>233773950.73891628</v>
      </c>
      <c r="H112">
        <f t="shared" si="144"/>
        <v>1.8947018919318107E-3</v>
      </c>
      <c r="I112">
        <f t="shared" si="145"/>
        <v>6.5755645440443405E-2</v>
      </c>
      <c r="J112">
        <f t="shared" si="130"/>
        <v>0</v>
      </c>
      <c r="K112" s="96">
        <f t="shared" si="146"/>
        <v>6.5755645440443405E-2</v>
      </c>
      <c r="L112">
        <f t="shared" si="115"/>
        <v>5.4197047970479702E-3</v>
      </c>
      <c r="M112">
        <f t="shared" si="116"/>
        <v>8.1295571955719553E-3</v>
      </c>
      <c r="S112">
        <v>0.6</v>
      </c>
      <c r="T112">
        <v>0.92</v>
      </c>
      <c r="U112" s="96">
        <v>1.4999999999999999E-2</v>
      </c>
      <c r="V112" s="96">
        <v>1.4E-2</v>
      </c>
      <c r="X112" s="132">
        <f t="shared" si="131"/>
        <v>44806673.89162562</v>
      </c>
      <c r="Y112">
        <f t="shared" si="147"/>
        <v>2.3876367111706695E-3</v>
      </c>
      <c r="Z112">
        <f t="shared" si="117"/>
        <v>0.41801194553236659</v>
      </c>
      <c r="AA112">
        <f t="shared" si="132"/>
        <v>4.4854255390473642E-2</v>
      </c>
      <c r="AB112">
        <f t="shared" si="133"/>
        <v>0.46286620092284025</v>
      </c>
      <c r="AC112" s="96">
        <f t="shared" si="134"/>
        <v>0.92573240184568051</v>
      </c>
      <c r="AD112" s="132">
        <f t="shared" si="135"/>
        <v>33897222.857142858</v>
      </c>
      <c r="AE112">
        <f t="shared" si="148"/>
        <v>2.4880318588650602E-3</v>
      </c>
      <c r="AF112">
        <f t="shared" si="136"/>
        <v>7.0888052855881054E-2</v>
      </c>
      <c r="AG112" s="96">
        <f t="shared" si="137"/>
        <v>0.85065663427057259</v>
      </c>
      <c r="AH112" s="96">
        <v>2.3999999999999998E-3</v>
      </c>
      <c r="AI112" s="96">
        <v>3.7000000000000002E-3</v>
      </c>
      <c r="AJ112" s="132">
        <f t="shared" si="138"/>
        <v>35860924.043349758</v>
      </c>
      <c r="AM112" s="96">
        <f t="shared" si="118"/>
        <v>0</v>
      </c>
      <c r="AP112">
        <f t="shared" si="119"/>
        <v>7.6798528111915003E-3</v>
      </c>
      <c r="AQ112">
        <f t="shared" si="120"/>
        <v>2.0588350257574758E-2</v>
      </c>
      <c r="AR112">
        <f t="shared" si="121"/>
        <v>8.1580909523663921E-3</v>
      </c>
      <c r="AS112">
        <f t="shared" si="122"/>
        <v>4.1008055054622725E-2</v>
      </c>
      <c r="AT112">
        <f t="shared" si="123"/>
        <v>4.2717907453146714E-2</v>
      </c>
      <c r="AU112">
        <f t="shared" si="124"/>
        <v>8.1580909523663904E-3</v>
      </c>
      <c r="AV112" s="26">
        <f t="shared" si="125"/>
        <v>8.8943473219126653E-3</v>
      </c>
      <c r="AW112" s="27">
        <f t="shared" si="126"/>
        <v>2.1802844768295922E-2</v>
      </c>
      <c r="AX112" s="27">
        <f t="shared" si="127"/>
        <v>9.3725854630875554E-3</v>
      </c>
      <c r="AY112" s="27">
        <f t="shared" si="139"/>
        <v>4.2222549565343895E-2</v>
      </c>
      <c r="AZ112" s="27">
        <f t="shared" si="140"/>
        <v>4.3932401963867877E-2</v>
      </c>
      <c r="BA112" s="93">
        <f t="shared" si="141"/>
        <v>1.5472585463087555E-2</v>
      </c>
    </row>
    <row r="113" spans="1:53" x14ac:dyDescent="0.25">
      <c r="A113" s="138">
        <v>0.65</v>
      </c>
      <c r="B113">
        <f t="shared" si="128"/>
        <v>687.31000000000006</v>
      </c>
      <c r="C113" s="132">
        <f t="shared" si="142"/>
        <v>62711031.155468002</v>
      </c>
      <c r="D113">
        <v>1.25</v>
      </c>
      <c r="E113" s="238">
        <f t="shared" si="149"/>
        <v>2.2739920014223196E-3</v>
      </c>
      <c r="F113" s="237">
        <f t="shared" si="143"/>
        <v>4.5928240204003608E-3</v>
      </c>
      <c r="G113" s="132">
        <f t="shared" si="129"/>
        <v>253255113.3004927</v>
      </c>
      <c r="H113">
        <f t="shared" si="144"/>
        <v>1.8745468807008295E-3</v>
      </c>
      <c r="I113">
        <f t="shared" si="145"/>
        <v>6.5056165602482577E-2</v>
      </c>
      <c r="J113">
        <f t="shared" si="130"/>
        <v>0</v>
      </c>
      <c r="K113" s="96">
        <f t="shared" si="146"/>
        <v>6.5056165602482577E-2</v>
      </c>
      <c r="L113">
        <f t="shared" si="115"/>
        <v>5.4197047970479702E-3</v>
      </c>
      <c r="M113">
        <f t="shared" si="116"/>
        <v>8.1295571955719553E-3</v>
      </c>
      <c r="S113">
        <v>0.6</v>
      </c>
      <c r="T113">
        <v>0.92</v>
      </c>
      <c r="U113" s="96">
        <v>1.4999999999999999E-2</v>
      </c>
      <c r="V113" s="96">
        <v>1.4E-2</v>
      </c>
      <c r="X113" s="132">
        <f t="shared" si="131"/>
        <v>48540563.382594429</v>
      </c>
      <c r="Y113">
        <f t="shared" si="147"/>
        <v>2.3598757431778474E-3</v>
      </c>
      <c r="Z113">
        <f t="shared" si="117"/>
        <v>0.41315173535623317</v>
      </c>
      <c r="AA113">
        <f t="shared" si="132"/>
        <v>4.5117310953661782E-2</v>
      </c>
      <c r="AB113">
        <f t="shared" si="133"/>
        <v>0.45826904630989496</v>
      </c>
      <c r="AC113" s="96">
        <f t="shared" si="134"/>
        <v>0.91653809261978991</v>
      </c>
      <c r="AD113" s="132">
        <f t="shared" si="135"/>
        <v>36721991.42857144</v>
      </c>
      <c r="AE113">
        <f t="shared" si="148"/>
        <v>2.458641898636127E-3</v>
      </c>
      <c r="AF113">
        <f t="shared" si="136"/>
        <v>7.0050685341185637E-2</v>
      </c>
      <c r="AG113" s="96">
        <f t="shared" si="137"/>
        <v>0.84060822409422764</v>
      </c>
      <c r="AH113" s="96">
        <v>2.3999999999999998E-3</v>
      </c>
      <c r="AI113" s="96">
        <v>3.7000000000000002E-3</v>
      </c>
      <c r="AJ113" s="132">
        <f t="shared" si="138"/>
        <v>38849334.380295575</v>
      </c>
      <c r="AM113" s="96">
        <f t="shared" si="118"/>
        <v>0</v>
      </c>
      <c r="AP113">
        <f t="shared" si="119"/>
        <v>7.9620612315842824E-3</v>
      </c>
      <c r="AQ113">
        <f t="shared" si="120"/>
        <v>2.0718975993133774E-2</v>
      </c>
      <c r="AR113">
        <f t="shared" si="121"/>
        <v>8.435549545114801E-3</v>
      </c>
      <c r="AS113">
        <f t="shared" si="122"/>
        <v>4.1138680790181743E-2</v>
      </c>
      <c r="AT113">
        <f t="shared" si="123"/>
        <v>4.2848533188705726E-2</v>
      </c>
      <c r="AU113">
        <f t="shared" si="124"/>
        <v>8.435549545114801E-3</v>
      </c>
      <c r="AV113" s="26">
        <f t="shared" si="125"/>
        <v>9.2670333702220241E-3</v>
      </c>
      <c r="AW113" s="27">
        <f t="shared" si="126"/>
        <v>2.2023948131771515E-2</v>
      </c>
      <c r="AX113" s="27">
        <f t="shared" si="127"/>
        <v>9.7405216837525427E-3</v>
      </c>
      <c r="AY113" s="27">
        <f t="shared" si="139"/>
        <v>4.2443652928819485E-2</v>
      </c>
      <c r="AZ113" s="27">
        <f t="shared" si="140"/>
        <v>4.4153505327343467E-2</v>
      </c>
      <c r="BA113" s="93">
        <f t="shared" si="141"/>
        <v>1.5840521683752544E-2</v>
      </c>
    </row>
    <row r="114" spans="1:53" x14ac:dyDescent="0.25">
      <c r="A114" s="138">
        <v>0.7</v>
      </c>
      <c r="B114">
        <f t="shared" si="128"/>
        <v>740.18000000000006</v>
      </c>
      <c r="C114" s="132">
        <f t="shared" si="142"/>
        <v>67534956.628965527</v>
      </c>
      <c r="D114">
        <v>1.25</v>
      </c>
      <c r="E114" s="238">
        <f t="shared" si="149"/>
        <v>2.2499533140443212E-3</v>
      </c>
      <c r="F114" s="237">
        <f t="shared" si="143"/>
        <v>4.5442726355496184E-3</v>
      </c>
      <c r="G114" s="132">
        <f t="shared" si="129"/>
        <v>272736275.86206895</v>
      </c>
      <c r="H114">
        <f t="shared" si="144"/>
        <v>1.8561505199712854E-3</v>
      </c>
      <c r="I114">
        <f t="shared" si="145"/>
        <v>6.4417719745285998E-2</v>
      </c>
      <c r="J114">
        <f t="shared" si="130"/>
        <v>0</v>
      </c>
      <c r="K114" s="96">
        <f t="shared" si="146"/>
        <v>6.4417719745285998E-2</v>
      </c>
      <c r="L114">
        <f t="shared" si="115"/>
        <v>5.4197047970479702E-3</v>
      </c>
      <c r="M114">
        <f t="shared" si="116"/>
        <v>8.1295571955719553E-3</v>
      </c>
      <c r="S114">
        <v>0.6</v>
      </c>
      <c r="T114">
        <v>0.92</v>
      </c>
      <c r="U114" s="96">
        <v>1.4999999999999999E-2</v>
      </c>
      <c r="V114" s="96">
        <v>1.4E-2</v>
      </c>
      <c r="X114" s="132">
        <f t="shared" si="131"/>
        <v>52274452.87356323</v>
      </c>
      <c r="Y114">
        <f t="shared" si="147"/>
        <v>2.3345708129104714E-3</v>
      </c>
      <c r="Z114">
        <f t="shared" si="117"/>
        <v>0.40872151233145809</v>
      </c>
      <c r="AA114">
        <f t="shared" si="132"/>
        <v>4.5361170188227572E-2</v>
      </c>
      <c r="AB114">
        <f t="shared" si="133"/>
        <v>0.45408268251968564</v>
      </c>
      <c r="AC114" s="96">
        <f t="shared" si="134"/>
        <v>0.90816536503937129</v>
      </c>
      <c r="AD114" s="132">
        <f t="shared" si="135"/>
        <v>39546760</v>
      </c>
      <c r="AE114">
        <f t="shared" si="148"/>
        <v>2.4318587873709396E-3</v>
      </c>
      <c r="AF114">
        <f t="shared" si="136"/>
        <v>6.9287591170889284E-2</v>
      </c>
      <c r="AG114" s="96">
        <f t="shared" si="137"/>
        <v>0.83145109405067141</v>
      </c>
      <c r="AH114" s="96">
        <v>2.3999999999999998E-3</v>
      </c>
      <c r="AI114" s="96">
        <v>3.7000000000000002E-3</v>
      </c>
      <c r="AJ114" s="132">
        <f t="shared" si="138"/>
        <v>41837744.717241377</v>
      </c>
      <c r="AM114" s="96">
        <f t="shared" si="118"/>
        <v>0</v>
      </c>
      <c r="AP114">
        <f t="shared" si="119"/>
        <v>7.8804449478193199E-3</v>
      </c>
      <c r="AQ114">
        <f t="shared" si="120"/>
        <v>2.0499225329908513E-2</v>
      </c>
      <c r="AR114">
        <f t="shared" si="121"/>
        <v>8.3496078670278525E-3</v>
      </c>
      <c r="AS114">
        <f t="shared" si="122"/>
        <v>4.0918930126956479E-2</v>
      </c>
      <c r="AT114">
        <f t="shared" si="123"/>
        <v>4.2628782525480469E-2</v>
      </c>
      <c r="AU114">
        <f t="shared" si="124"/>
        <v>8.3496078670278508E-3</v>
      </c>
      <c r="AV114" s="26">
        <f t="shared" si="125"/>
        <v>9.1716220435289902E-3</v>
      </c>
      <c r="AW114" s="27">
        <f t="shared" si="126"/>
        <v>2.179040242561818E-2</v>
      </c>
      <c r="AX114" s="27">
        <f t="shared" si="127"/>
        <v>9.6407849627375211E-3</v>
      </c>
      <c r="AY114" s="27">
        <f t="shared" si="139"/>
        <v>4.2210107222666146E-2</v>
      </c>
      <c r="AZ114" s="27">
        <f t="shared" si="140"/>
        <v>4.3919959621190136E-2</v>
      </c>
      <c r="BA114" s="93">
        <f t="shared" si="141"/>
        <v>1.5740784962737522E-2</v>
      </c>
    </row>
    <row r="115" spans="1:53" x14ac:dyDescent="0.25">
      <c r="A115" s="138">
        <v>0.75</v>
      </c>
      <c r="B115">
        <f t="shared" si="128"/>
        <v>793.05000000000007</v>
      </c>
      <c r="C115" s="132">
        <f t="shared" si="142"/>
        <v>72358882.102463067</v>
      </c>
      <c r="D115">
        <v>1.25</v>
      </c>
      <c r="E115" s="238">
        <f t="shared" si="149"/>
        <v>2.2278896174182804E-3</v>
      </c>
      <c r="F115" s="237">
        <f t="shared" si="143"/>
        <v>4.4997101763239377E-3</v>
      </c>
      <c r="G115" s="132">
        <f t="shared" si="129"/>
        <v>292217438.42364538</v>
      </c>
      <c r="H115">
        <f t="shared" si="144"/>
        <v>1.8392483274850802E-3</v>
      </c>
      <c r="I115">
        <f t="shared" si="145"/>
        <v>6.3831129009813692E-2</v>
      </c>
      <c r="J115">
        <f t="shared" si="130"/>
        <v>0</v>
      </c>
      <c r="K115" s="96">
        <f t="shared" si="146"/>
        <v>6.3831129009813692E-2</v>
      </c>
      <c r="L115">
        <f t="shared" si="115"/>
        <v>5.4197047970479702E-3</v>
      </c>
      <c r="M115">
        <f t="shared" si="116"/>
        <v>8.1295571955719553E-3</v>
      </c>
      <c r="S115">
        <v>0.6</v>
      </c>
      <c r="T115">
        <v>0.92</v>
      </c>
      <c r="U115" s="96">
        <v>1.4999999999999999E-2</v>
      </c>
      <c r="V115" s="96">
        <v>1.4E-2</v>
      </c>
      <c r="X115" s="132">
        <f t="shared" si="131"/>
        <v>56008342.364532031</v>
      </c>
      <c r="Y115">
        <f t="shared" si="147"/>
        <v>2.3113496639059353E-3</v>
      </c>
      <c r="Z115">
        <f t="shared" si="117"/>
        <v>0.4046561042115922</v>
      </c>
      <c r="AA115">
        <f t="shared" si="132"/>
        <v>4.558846294794873E-2</v>
      </c>
      <c r="AB115">
        <f t="shared" si="133"/>
        <v>0.45024456715954092</v>
      </c>
      <c r="AC115" s="96">
        <f t="shared" si="134"/>
        <v>0.90048913431908184</v>
      </c>
      <c r="AD115" s="132">
        <f t="shared" si="135"/>
        <v>42371528.571428575</v>
      </c>
      <c r="AE115">
        <f t="shared" si="148"/>
        <v>2.4072868328185023E-3</v>
      </c>
      <c r="AF115">
        <f t="shared" si="136"/>
        <v>6.8587496432600814E-2</v>
      </c>
      <c r="AG115" s="96">
        <f t="shared" si="137"/>
        <v>0.82304995719120977</v>
      </c>
      <c r="AH115" s="96">
        <v>2.3999999999999998E-3</v>
      </c>
      <c r="AI115" s="96">
        <v>3.7000000000000002E-3</v>
      </c>
      <c r="AJ115" s="132">
        <f t="shared" si="138"/>
        <v>44826155.054187194</v>
      </c>
      <c r="AM115" s="96">
        <f t="shared" si="118"/>
        <v>0</v>
      </c>
      <c r="AP115">
        <f t="shared" si="119"/>
        <v>7.805503149212259E-3</v>
      </c>
      <c r="AQ115">
        <f t="shared" si="120"/>
        <v>2.0297555950990351E-2</v>
      </c>
      <c r="AR115">
        <f t="shared" si="121"/>
        <v>8.2707004879748868E-3</v>
      </c>
      <c r="AS115">
        <f t="shared" si="122"/>
        <v>4.0717260748038317E-2</v>
      </c>
      <c r="AT115">
        <f t="shared" si="123"/>
        <v>4.2427113146562306E-2</v>
      </c>
      <c r="AU115">
        <f t="shared" si="124"/>
        <v>8.2707004879748851E-3</v>
      </c>
      <c r="AV115" s="26">
        <f t="shared" si="125"/>
        <v>9.0840185867655555E-3</v>
      </c>
      <c r="AW115" s="27">
        <f t="shared" si="126"/>
        <v>2.1576071388543644E-2</v>
      </c>
      <c r="AX115" s="27">
        <f t="shared" si="127"/>
        <v>9.5492159255281817E-3</v>
      </c>
      <c r="AY115" s="27">
        <f t="shared" si="139"/>
        <v>4.199577618559161E-2</v>
      </c>
      <c r="AZ115" s="27">
        <f t="shared" si="140"/>
        <v>4.3705628584115599E-2</v>
      </c>
      <c r="BA115" s="93">
        <f t="shared" si="141"/>
        <v>1.5649215925528183E-2</v>
      </c>
    </row>
    <row r="116" spans="1:53" x14ac:dyDescent="0.25">
      <c r="A116" s="138">
        <v>0.8</v>
      </c>
      <c r="B116">
        <f t="shared" si="128"/>
        <v>845.92000000000007</v>
      </c>
      <c r="C116" s="132">
        <f t="shared" si="142"/>
        <v>77182807.575960606</v>
      </c>
      <c r="D116">
        <v>1.25</v>
      </c>
      <c r="E116" s="238">
        <f t="shared" si="149"/>
        <v>2.2075212547482651E-3</v>
      </c>
      <c r="F116" s="237">
        <f t="shared" si="143"/>
        <v>4.4585718146812579E-3</v>
      </c>
      <c r="G116" s="132">
        <f t="shared" si="129"/>
        <v>311698600.98522174</v>
      </c>
      <c r="H116">
        <f t="shared" si="144"/>
        <v>1.8236300993691734E-3</v>
      </c>
      <c r="I116">
        <f t="shared" si="145"/>
        <v>6.3289098268845545E-2</v>
      </c>
      <c r="J116">
        <f t="shared" si="130"/>
        <v>0</v>
      </c>
      <c r="K116" s="96">
        <f t="shared" si="146"/>
        <v>6.3289098268845545E-2</v>
      </c>
      <c r="L116">
        <f t="shared" si="115"/>
        <v>5.4197047970479702E-3</v>
      </c>
      <c r="M116">
        <f t="shared" si="116"/>
        <v>8.1295571955719553E-3</v>
      </c>
      <c r="S116">
        <v>0.6</v>
      </c>
      <c r="T116">
        <v>0.92</v>
      </c>
      <c r="U116" s="96">
        <v>1.4999999999999999E-2</v>
      </c>
      <c r="V116" s="96">
        <v>1.4E-2</v>
      </c>
      <c r="X116" s="132">
        <f t="shared" si="131"/>
        <v>59742231.855500832</v>
      </c>
      <c r="Y116">
        <f t="shared" si="147"/>
        <v>2.2899168511626377E-3</v>
      </c>
      <c r="Z116">
        <f t="shared" si="117"/>
        <v>0.40090378640246283</v>
      </c>
      <c r="AA116">
        <f t="shared" si="132"/>
        <v>4.5801312013732706E-2</v>
      </c>
      <c r="AB116">
        <f t="shared" si="133"/>
        <v>0.44670509841619555</v>
      </c>
      <c r="AC116" s="96">
        <f t="shared" si="134"/>
        <v>0.89341019683239109</v>
      </c>
      <c r="AD116" s="132">
        <f t="shared" si="135"/>
        <v>45196297.142857149</v>
      </c>
      <c r="AE116">
        <f t="shared" si="148"/>
        <v>2.3846120730507472E-3</v>
      </c>
      <c r="AF116">
        <f t="shared" si="136"/>
        <v>6.7941455843054582E-2</v>
      </c>
      <c r="AG116" s="96">
        <f t="shared" si="137"/>
        <v>0.81529747011665499</v>
      </c>
      <c r="AH116" s="96">
        <v>2.5000000000000001E-3</v>
      </c>
      <c r="AI116" s="96">
        <v>3.7000000000000002E-3</v>
      </c>
      <c r="AJ116" s="132">
        <f t="shared" si="138"/>
        <v>47814565.39113301</v>
      </c>
      <c r="AM116" s="96">
        <f t="shared" si="118"/>
        <v>0</v>
      </c>
      <c r="AP116">
        <f t="shared" si="119"/>
        <v>7.7362931955050479E-3</v>
      </c>
      <c r="AQ116">
        <f t="shared" si="120"/>
        <v>2.0111405406643381E-2</v>
      </c>
      <c r="AR116">
        <f t="shared" si="121"/>
        <v>8.1978335185918915E-3</v>
      </c>
      <c r="AS116">
        <f t="shared" si="122"/>
        <v>4.0531110203691351E-2</v>
      </c>
      <c r="AT116">
        <f t="shared" si="123"/>
        <v>4.2240962602215333E-2</v>
      </c>
      <c r="AU116">
        <f t="shared" si="124"/>
        <v>8.1978335185918915E-3</v>
      </c>
      <c r="AV116" s="26">
        <f t="shared" si="125"/>
        <v>9.0031198734772128E-3</v>
      </c>
      <c r="AW116" s="27">
        <f t="shared" si="126"/>
        <v>2.1378232084615548E-2</v>
      </c>
      <c r="AX116" s="27">
        <f t="shared" si="127"/>
        <v>9.4646601965640564E-3</v>
      </c>
      <c r="AY116" s="27">
        <f t="shared" si="139"/>
        <v>4.1797936881663514E-2</v>
      </c>
      <c r="AZ116" s="27">
        <f t="shared" si="140"/>
        <v>4.3507789280187503E-2</v>
      </c>
      <c r="BA116" s="93">
        <f t="shared" si="141"/>
        <v>1.5664660196564057E-2</v>
      </c>
    </row>
    <row r="117" spans="1:53" x14ac:dyDescent="0.25">
      <c r="A117" s="138">
        <v>0.85</v>
      </c>
      <c r="B117">
        <f t="shared" si="128"/>
        <v>898.79000000000008</v>
      </c>
      <c r="C117" s="132">
        <f t="shared" si="142"/>
        <v>82006733.049458146</v>
      </c>
      <c r="D117">
        <v>1.35</v>
      </c>
      <c r="E117" s="238">
        <f t="shared" si="149"/>
        <v>2.1886227280068305E-3</v>
      </c>
      <c r="F117" s="237">
        <f t="shared" si="143"/>
        <v>4.7740342766977419E-3</v>
      </c>
      <c r="G117" s="132">
        <f t="shared" si="129"/>
        <v>331179763.54679811</v>
      </c>
      <c r="H117">
        <f t="shared" si="144"/>
        <v>1.8091261568668048E-3</v>
      </c>
      <c r="I117">
        <f t="shared" si="145"/>
        <v>6.2785738819670173E-2</v>
      </c>
      <c r="J117">
        <f t="shared" si="130"/>
        <v>0</v>
      </c>
      <c r="K117" s="96">
        <f t="shared" si="146"/>
        <v>6.2785738819670173E-2</v>
      </c>
      <c r="L117">
        <f t="shared" si="115"/>
        <v>5.4197047970479702E-3</v>
      </c>
      <c r="M117">
        <f t="shared" si="116"/>
        <v>8.1295571955719553E-3</v>
      </c>
      <c r="S117">
        <v>0.6</v>
      </c>
      <c r="T117">
        <v>0.92</v>
      </c>
      <c r="U117" s="96">
        <v>1.4999999999999999E-2</v>
      </c>
      <c r="V117" s="96">
        <v>1.4E-2</v>
      </c>
      <c r="X117" s="132">
        <f t="shared" si="131"/>
        <v>63476121.346469633</v>
      </c>
      <c r="Y117">
        <f t="shared" si="147"/>
        <v>2.2700341978591837E-3</v>
      </c>
      <c r="Z117">
        <f t="shared" si="117"/>
        <v>0.39742286045135888</v>
      </c>
      <c r="AA117">
        <f t="shared" si="132"/>
        <v>4.6001455749902241E-2</v>
      </c>
      <c r="AB117">
        <f t="shared" si="133"/>
        <v>0.4434243162012611</v>
      </c>
      <c r="AC117" s="96">
        <f t="shared" si="134"/>
        <v>0.88684863240252221</v>
      </c>
      <c r="AD117" s="132">
        <f t="shared" si="135"/>
        <v>48021065.714285724</v>
      </c>
      <c r="AE117">
        <f t="shared" si="148"/>
        <v>2.3635814655103525E-3</v>
      </c>
      <c r="AF117">
        <f t="shared" si="136"/>
        <v>6.7342259810414196E-2</v>
      </c>
      <c r="AG117" s="96">
        <f t="shared" si="137"/>
        <v>0.80810711772497035</v>
      </c>
      <c r="AH117" s="96">
        <v>2.7499999999999998E-3</v>
      </c>
      <c r="AI117" s="96">
        <v>3.7000000000000002E-3</v>
      </c>
      <c r="AJ117" s="132">
        <f t="shared" si="138"/>
        <v>50802975.728078827</v>
      </c>
      <c r="AM117" s="96">
        <f t="shared" si="118"/>
        <v>0</v>
      </c>
      <c r="AP117">
        <f t="shared" si="119"/>
        <v>8.0256868388160849E-3</v>
      </c>
      <c r="AQ117">
        <f t="shared" si="120"/>
        <v>2.0292339955890755E-2</v>
      </c>
      <c r="AR117">
        <f t="shared" si="121"/>
        <v>8.4838374238210782E-3</v>
      </c>
      <c r="AS117">
        <f t="shared" si="122"/>
        <v>4.0712044752938728E-2</v>
      </c>
      <c r="AT117">
        <f t="shared" si="123"/>
        <v>4.2421897151462711E-2</v>
      </c>
      <c r="AU117">
        <f t="shared" si="124"/>
        <v>8.4838374238210782E-3</v>
      </c>
      <c r="AV117" s="26">
        <f t="shared" si="125"/>
        <v>9.3821467624534503E-3</v>
      </c>
      <c r="AW117" s="27">
        <f t="shared" si="126"/>
        <v>2.164879987952812E-2</v>
      </c>
      <c r="AX117" s="27">
        <f t="shared" si="127"/>
        <v>9.8402973474584435E-3</v>
      </c>
      <c r="AY117" s="27">
        <f t="shared" si="139"/>
        <v>4.2068504676576093E-2</v>
      </c>
      <c r="AZ117" s="27">
        <f t="shared" si="140"/>
        <v>4.3778357075100076E-2</v>
      </c>
      <c r="BA117" s="93">
        <f t="shared" si="141"/>
        <v>1.6290297347458446E-2</v>
      </c>
    </row>
    <row r="118" spans="1:53" x14ac:dyDescent="0.25">
      <c r="A118" s="138">
        <v>0.9</v>
      </c>
      <c r="B118">
        <f t="shared" si="128"/>
        <v>951.66000000000008</v>
      </c>
      <c r="C118" s="132">
        <f t="shared" si="142"/>
        <v>86830658.522955686</v>
      </c>
      <c r="D118">
        <v>1.35</v>
      </c>
      <c r="E118" s="238">
        <f t="shared" si="149"/>
        <v>2.1710097143240793E-3</v>
      </c>
      <c r="F118" s="237">
        <f t="shared" si="143"/>
        <v>4.7356150781938606E-3</v>
      </c>
      <c r="G118" s="132">
        <f t="shared" si="129"/>
        <v>350660926.10837442</v>
      </c>
      <c r="H118">
        <f t="shared" si="144"/>
        <v>1.7955976645364206E-3</v>
      </c>
      <c r="I118">
        <f t="shared" si="145"/>
        <v>6.2316232377095458E-2</v>
      </c>
      <c r="J118">
        <f t="shared" si="130"/>
        <v>0</v>
      </c>
      <c r="K118" s="96">
        <f t="shared" si="146"/>
        <v>6.2316232377095458E-2</v>
      </c>
      <c r="L118">
        <f t="shared" si="115"/>
        <v>5.4197047970479702E-3</v>
      </c>
      <c r="M118">
        <f t="shared" si="116"/>
        <v>8.1295571955719553E-3</v>
      </c>
      <c r="S118">
        <v>0.6</v>
      </c>
      <c r="T118">
        <v>0.92</v>
      </c>
      <c r="U118" s="96">
        <v>1.4999999999999999E-2</v>
      </c>
      <c r="V118" s="96">
        <v>1.4E-2</v>
      </c>
      <c r="X118" s="132">
        <f t="shared" si="131"/>
        <v>67210010.837438434</v>
      </c>
      <c r="Y118">
        <f t="shared" si="147"/>
        <v>2.2515070568122162E-3</v>
      </c>
      <c r="Z118">
        <f t="shared" si="117"/>
        <v>0.39417924879219729</v>
      </c>
      <c r="AA118">
        <f t="shared" si="132"/>
        <v>4.6190335757615948E-2</v>
      </c>
      <c r="AB118">
        <f t="shared" si="133"/>
        <v>0.44036958454981323</v>
      </c>
      <c r="AC118" s="96">
        <f t="shared" si="134"/>
        <v>0.88073916909962646</v>
      </c>
      <c r="AD118" s="132">
        <f t="shared" si="135"/>
        <v>50845834.285714291</v>
      </c>
      <c r="AE118">
        <f t="shared" si="148"/>
        <v>2.34398826118492E-3</v>
      </c>
      <c r="AF118">
        <f t="shared" si="136"/>
        <v>6.6784017720833047E-2</v>
      </c>
      <c r="AG118" s="96">
        <f t="shared" si="137"/>
        <v>0.80140821264999662</v>
      </c>
      <c r="AH118" s="96">
        <v>3.2499999999999999E-3</v>
      </c>
      <c r="AI118" s="96">
        <v>3.7000000000000002E-3</v>
      </c>
      <c r="AJ118" s="132">
        <f t="shared" si="138"/>
        <v>53791386.065024637</v>
      </c>
      <c r="AM118" s="96">
        <f t="shared" si="118"/>
        <v>0</v>
      </c>
      <c r="AP118">
        <f t="shared" si="119"/>
        <v>7.9629520575759082E-3</v>
      </c>
      <c r="AQ118">
        <f t="shared" si="120"/>
        <v>2.0128560934948359E-2</v>
      </c>
      <c r="AR118">
        <f t="shared" si="121"/>
        <v>8.4179464622768218E-3</v>
      </c>
      <c r="AS118">
        <f t="shared" si="122"/>
        <v>4.0548265731996325E-2</v>
      </c>
      <c r="AT118">
        <f t="shared" si="123"/>
        <v>4.2258118130520314E-2</v>
      </c>
      <c r="AU118">
        <f t="shared" si="124"/>
        <v>8.4179464622768218E-3</v>
      </c>
      <c r="AV118" s="26">
        <f t="shared" si="125"/>
        <v>9.3084958251808056E-3</v>
      </c>
      <c r="AW118" s="27">
        <f t="shared" si="126"/>
        <v>2.1474104702553256E-2</v>
      </c>
      <c r="AX118" s="27">
        <f t="shared" si="127"/>
        <v>9.7634902298817192E-3</v>
      </c>
      <c r="AY118" s="27">
        <f t="shared" si="139"/>
        <v>4.1893809499601226E-2</v>
      </c>
      <c r="AZ118" s="27">
        <f t="shared" si="140"/>
        <v>4.3603661898125208E-2</v>
      </c>
      <c r="BA118" s="93">
        <f t="shared" si="141"/>
        <v>1.6713490229881719E-2</v>
      </c>
    </row>
    <row r="119" spans="1:53" x14ac:dyDescent="0.25">
      <c r="A119" s="138">
        <v>0.95</v>
      </c>
      <c r="B119">
        <f t="shared" si="128"/>
        <v>1004.5300000000001</v>
      </c>
      <c r="C119" s="132">
        <f t="shared" si="142"/>
        <v>91654583.996453226</v>
      </c>
      <c r="D119">
        <v>1.35</v>
      </c>
      <c r="E119" s="238">
        <f>0.455/(LOG10(C119))^2.58</f>
        <v>2.154529728346261E-3</v>
      </c>
      <c r="F119" s="237">
        <f t="shared" si="143"/>
        <v>4.6996673486327896E-3</v>
      </c>
      <c r="G119" s="132">
        <f t="shared" si="129"/>
        <v>370142088.66995078</v>
      </c>
      <c r="H119">
        <f t="shared" si="144"/>
        <v>1.7829296597101345E-3</v>
      </c>
      <c r="I119">
        <f t="shared" si="145"/>
        <v>6.1876589160744531E-2</v>
      </c>
      <c r="J119">
        <f t="shared" si="130"/>
        <v>0</v>
      </c>
      <c r="K119" s="96">
        <f t="shared" si="146"/>
        <v>6.1876589160744531E-2</v>
      </c>
      <c r="L119">
        <f t="shared" si="115"/>
        <v>5.4197047970479702E-3</v>
      </c>
      <c r="M119">
        <f t="shared" si="116"/>
        <v>8.1295571955719553E-3</v>
      </c>
      <c r="S119">
        <v>0.6</v>
      </c>
      <c r="T119">
        <v>0.92</v>
      </c>
      <c r="U119" s="96">
        <v>1.4999999999999999E-2</v>
      </c>
      <c r="V119" s="96">
        <v>1.4E-2</v>
      </c>
      <c r="X119" s="132">
        <f t="shared" si="131"/>
        <v>70943900.328407243</v>
      </c>
      <c r="Y119">
        <f t="shared" si="147"/>
        <v>2.2341744320499195E-3</v>
      </c>
      <c r="Z119">
        <f t="shared" si="117"/>
        <v>0.39114476529469833</v>
      </c>
      <c r="AA119">
        <f t="shared" si="132"/>
        <v>4.6369160872095153E-2</v>
      </c>
      <c r="AB119">
        <f t="shared" si="133"/>
        <v>0.43751392616679347</v>
      </c>
      <c r="AC119" s="96">
        <f t="shared" si="134"/>
        <v>0.87502785233358693</v>
      </c>
      <c r="AD119" s="132">
        <f t="shared" si="135"/>
        <v>53670602.857142873</v>
      </c>
      <c r="AE119">
        <f t="shared" si="148"/>
        <v>2.3256614907731302E-3</v>
      </c>
      <c r="AF119">
        <f t="shared" si="136"/>
        <v>6.6261858382318309E-2</v>
      </c>
      <c r="AG119" s="96">
        <f t="shared" si="137"/>
        <v>0.79514230058781976</v>
      </c>
      <c r="AH119" s="96">
        <v>3.7499999999999999E-3</v>
      </c>
      <c r="AI119" s="96">
        <v>3.7000000000000002E-3</v>
      </c>
      <c r="AJ119" s="132">
        <f t="shared" si="138"/>
        <v>56779796.401970454</v>
      </c>
      <c r="AM119" s="96">
        <f t="shared" si="118"/>
        <v>0</v>
      </c>
      <c r="AP119">
        <f t="shared" si="119"/>
        <v>7.904235351846995E-3</v>
      </c>
      <c r="AQ119">
        <f t="shared" si="120"/>
        <v>1.9975332804446508E-2</v>
      </c>
      <c r="AR119">
        <f t="shared" si="121"/>
        <v>8.3562792608016141E-3</v>
      </c>
      <c r="AS119">
        <f t="shared" si="122"/>
        <v>4.0395037601494474E-2</v>
      </c>
      <c r="AT119">
        <f t="shared" si="123"/>
        <v>4.2104890000018463E-2</v>
      </c>
      <c r="AU119">
        <f t="shared" si="124"/>
        <v>8.3562792608016159E-3</v>
      </c>
      <c r="AV119" s="161">
        <f t="shared" si="125"/>
        <v>9.2395651889123995E-3</v>
      </c>
      <c r="AW119" s="94">
        <f t="shared" si="126"/>
        <v>2.1310662641511914E-2</v>
      </c>
      <c r="AX119" s="94">
        <f t="shared" si="127"/>
        <v>9.6916090978670204E-3</v>
      </c>
      <c r="AY119" s="27">
        <f t="shared" si="139"/>
        <v>4.1730367438559887E-2</v>
      </c>
      <c r="AZ119" s="27">
        <f t="shared" si="140"/>
        <v>4.344021983708387E-2</v>
      </c>
      <c r="BA119" s="162">
        <f t="shared" si="141"/>
        <v>1.7141609097867022E-2</v>
      </c>
    </row>
    <row r="121" spans="1:53" x14ac:dyDescent="0.25">
      <c r="A121" t="s">
        <v>180</v>
      </c>
      <c r="B121" s="98">
        <v>20000</v>
      </c>
      <c r="C121" s="132" t="s">
        <v>124</v>
      </c>
      <c r="D121" t="s">
        <v>181</v>
      </c>
      <c r="E121" s="238" t="s">
        <v>153</v>
      </c>
      <c r="F121" s="238">
        <v>542</v>
      </c>
      <c r="G121" t="s">
        <v>150</v>
      </c>
      <c r="H121" t="s">
        <v>233</v>
      </c>
    </row>
    <row r="122" spans="1:53" x14ac:dyDescent="0.25">
      <c r="A122" t="s">
        <v>353</v>
      </c>
      <c r="B122" s="98">
        <v>-12.26</v>
      </c>
      <c r="C122" s="132" t="s">
        <v>352</v>
      </c>
      <c r="D122" t="s">
        <v>350</v>
      </c>
      <c r="E122" s="238" t="s">
        <v>410</v>
      </c>
      <c r="F122" s="239">
        <v>24.1</v>
      </c>
      <c r="G122" t="s">
        <v>364</v>
      </c>
      <c r="H122" t="s">
        <v>365</v>
      </c>
    </row>
    <row r="123" spans="1:53" x14ac:dyDescent="0.25">
      <c r="A123" t="s">
        <v>177</v>
      </c>
      <c r="B123" s="131">
        <v>1.2669999999999999E-3</v>
      </c>
      <c r="C123" s="132" t="s">
        <v>165</v>
      </c>
      <c r="D123" t="s">
        <v>324</v>
      </c>
      <c r="E123" s="238" t="s">
        <v>363</v>
      </c>
      <c r="F123" s="238">
        <f>$F$3</f>
        <v>0.91283417723304283</v>
      </c>
    </row>
    <row r="124" spans="1:53" x14ac:dyDescent="0.25">
      <c r="A124" t="s">
        <v>349</v>
      </c>
      <c r="B124" s="131">
        <v>3.3239999999999999E-7</v>
      </c>
      <c r="C124" s="132" t="s">
        <v>354</v>
      </c>
      <c r="D124" t="s">
        <v>351</v>
      </c>
    </row>
    <row r="125" spans="1:53" x14ac:dyDescent="0.25">
      <c r="A125" t="s">
        <v>142</v>
      </c>
      <c r="B125" s="98">
        <v>1057.4000000000001</v>
      </c>
      <c r="C125" s="132" t="s">
        <v>135</v>
      </c>
      <c r="D125" t="s">
        <v>327</v>
      </c>
    </row>
    <row r="126" spans="1:53" x14ac:dyDescent="0.25">
      <c r="C126" s="164" t="s">
        <v>207</v>
      </c>
      <c r="G126" s="96" t="s">
        <v>379</v>
      </c>
      <c r="I126" t="s">
        <v>521</v>
      </c>
      <c r="L126" s="96" t="s">
        <v>554</v>
      </c>
      <c r="N126" s="29"/>
      <c r="S126" s="96" t="s">
        <v>163</v>
      </c>
      <c r="X126" s="96" t="s">
        <v>390</v>
      </c>
      <c r="AJ126" s="96" t="s">
        <v>503</v>
      </c>
      <c r="AK126" t="s">
        <v>614</v>
      </c>
      <c r="AP126" s="96" t="s">
        <v>417</v>
      </c>
      <c r="AV126" s="96" t="s">
        <v>624</v>
      </c>
    </row>
    <row r="127" spans="1:53" x14ac:dyDescent="0.25">
      <c r="C127" s="235" t="s">
        <v>518</v>
      </c>
      <c r="D127" s="97" t="s">
        <v>360</v>
      </c>
      <c r="E127" s="240" t="s">
        <v>219</v>
      </c>
      <c r="F127" s="240" t="s">
        <v>220</v>
      </c>
      <c r="G127" s="97" t="s">
        <v>371</v>
      </c>
      <c r="H127" s="97" t="s">
        <v>372</v>
      </c>
      <c r="I127" s="97" t="s">
        <v>553</v>
      </c>
      <c r="J127" s="97" t="s">
        <v>380</v>
      </c>
      <c r="K127" s="97" t="s">
        <v>376</v>
      </c>
      <c r="L127" t="s">
        <v>629</v>
      </c>
      <c r="M127" t="s">
        <v>585</v>
      </c>
      <c r="N127" t="s">
        <v>587</v>
      </c>
      <c r="O127" s="29" t="s">
        <v>588</v>
      </c>
      <c r="P127" t="s">
        <v>589</v>
      </c>
      <c r="Q127" t="s">
        <v>590</v>
      </c>
      <c r="R127" t="s">
        <v>591</v>
      </c>
      <c r="S127" t="s">
        <v>155</v>
      </c>
      <c r="T127" t="s">
        <v>581</v>
      </c>
      <c r="U127" t="s">
        <v>142</v>
      </c>
      <c r="V127" t="s">
        <v>143</v>
      </c>
      <c r="W127" t="s">
        <v>583</v>
      </c>
      <c r="AJ127" t="s">
        <v>518</v>
      </c>
      <c r="AK127" t="s">
        <v>360</v>
      </c>
      <c r="AL127" t="s">
        <v>219</v>
      </c>
      <c r="AM127" t="s">
        <v>220</v>
      </c>
      <c r="AN127" t="s">
        <v>602</v>
      </c>
      <c r="AO127" t="s">
        <v>603</v>
      </c>
      <c r="AP127" t="s">
        <v>534</v>
      </c>
      <c r="AV127" t="s">
        <v>534</v>
      </c>
    </row>
    <row r="128" spans="1:53" x14ac:dyDescent="0.25">
      <c r="C128" s="236">
        <v>12.381</v>
      </c>
      <c r="D128" s="28">
        <v>1.2</v>
      </c>
      <c r="E128" s="236">
        <v>0.1</v>
      </c>
      <c r="F128" s="241">
        <v>775</v>
      </c>
      <c r="G128" s="133">
        <v>867.11</v>
      </c>
      <c r="H128" s="28">
        <v>6.8449999999999998</v>
      </c>
      <c r="I128" s="28">
        <v>28.07</v>
      </c>
      <c r="J128" s="28">
        <v>50</v>
      </c>
      <c r="K128" s="28"/>
      <c r="L128" s="86">
        <v>15</v>
      </c>
      <c r="M128">
        <v>20</v>
      </c>
      <c r="N128">
        <v>1.4</v>
      </c>
      <c r="O128">
        <v>0.02</v>
      </c>
      <c r="P128">
        <v>0.03</v>
      </c>
      <c r="Q128">
        <v>104.91</v>
      </c>
      <c r="R128" t="e">
        <f>Q128/N122</f>
        <v>#DIV/0!</v>
      </c>
      <c r="S128">
        <v>4.7300000000000004</v>
      </c>
      <c r="T128">
        <v>1.65</v>
      </c>
      <c r="U128">
        <v>1.1399999999999999</v>
      </c>
      <c r="V128">
        <v>4.53</v>
      </c>
      <c r="W128">
        <v>3.18</v>
      </c>
      <c r="X128" t="s">
        <v>515</v>
      </c>
      <c r="AB128" t="s">
        <v>615</v>
      </c>
      <c r="AC128" t="s">
        <v>616</v>
      </c>
      <c r="AD128" t="s">
        <v>606</v>
      </c>
      <c r="AF128" t="s">
        <v>615</v>
      </c>
      <c r="AG128" t="s">
        <v>617</v>
      </c>
      <c r="AH128" t="s">
        <v>627</v>
      </c>
      <c r="AI128" t="s">
        <v>628</v>
      </c>
      <c r="AJ128">
        <v>7.67</v>
      </c>
      <c r="AK128">
        <v>1.2</v>
      </c>
      <c r="AL128">
        <v>0.09</v>
      </c>
      <c r="AM128">
        <v>217.4</v>
      </c>
      <c r="AN128">
        <v>58.91</v>
      </c>
      <c r="AO128">
        <v>95.09</v>
      </c>
    </row>
    <row r="129" spans="1:53" x14ac:dyDescent="0.25">
      <c r="A129" t="s">
        <v>348</v>
      </c>
      <c r="B129" t="s">
        <v>355</v>
      </c>
      <c r="C129" s="132" t="s">
        <v>374</v>
      </c>
      <c r="D129" t="s">
        <v>367</v>
      </c>
      <c r="E129" s="238" t="s">
        <v>366</v>
      </c>
      <c r="F129" s="237" t="s">
        <v>356</v>
      </c>
      <c r="G129" t="s">
        <v>374</v>
      </c>
      <c r="H129" t="s">
        <v>366</v>
      </c>
      <c r="I129" t="s">
        <v>375</v>
      </c>
      <c r="J129" t="s">
        <v>377</v>
      </c>
      <c r="K129" s="96" t="s">
        <v>378</v>
      </c>
      <c r="L129" s="11" t="s">
        <v>630</v>
      </c>
      <c r="M129" s="11" t="s">
        <v>586</v>
      </c>
      <c r="N129" s="11"/>
      <c r="O129" s="11"/>
      <c r="S129" t="s">
        <v>555</v>
      </c>
      <c r="T129" t="s">
        <v>582</v>
      </c>
      <c r="U129" s="96" t="s">
        <v>622</v>
      </c>
      <c r="V129" s="96" t="s">
        <v>623</v>
      </c>
      <c r="X129" t="s">
        <v>374</v>
      </c>
      <c r="Y129" t="s">
        <v>366</v>
      </c>
      <c r="Z129" t="s">
        <v>611</v>
      </c>
      <c r="AA129" t="s">
        <v>377</v>
      </c>
      <c r="AB129" t="s">
        <v>612</v>
      </c>
      <c r="AC129" s="96" t="s">
        <v>612</v>
      </c>
      <c r="AD129" t="s">
        <v>374</v>
      </c>
      <c r="AE129" t="s">
        <v>366</v>
      </c>
      <c r="AF129" t="s">
        <v>613</v>
      </c>
      <c r="AG129" s="96" t="s">
        <v>613</v>
      </c>
      <c r="AH129" s="96" t="s">
        <v>110</v>
      </c>
      <c r="AI129" s="96" t="s">
        <v>110</v>
      </c>
      <c r="AJ129" t="s">
        <v>374</v>
      </c>
      <c r="AK129" t="s">
        <v>367</v>
      </c>
      <c r="AL129" t="s">
        <v>366</v>
      </c>
      <c r="AM129" s="96" t="s">
        <v>523</v>
      </c>
      <c r="AP129" t="s">
        <v>522</v>
      </c>
      <c r="AQ129" t="s">
        <v>516</v>
      </c>
      <c r="AR129" t="s">
        <v>192</v>
      </c>
      <c r="AS129" t="s">
        <v>290</v>
      </c>
      <c r="AT129" t="s">
        <v>294</v>
      </c>
      <c r="AU129" t="s">
        <v>289</v>
      </c>
      <c r="AV129" s="160" t="s">
        <v>522</v>
      </c>
      <c r="AW129" s="108" t="s">
        <v>516</v>
      </c>
      <c r="AX129" s="108" t="s">
        <v>192</v>
      </c>
      <c r="AY129" s="108" t="s">
        <v>290</v>
      </c>
      <c r="AZ129" s="108" t="s">
        <v>294</v>
      </c>
      <c r="BA129" s="51" t="s">
        <v>289</v>
      </c>
    </row>
    <row r="130" spans="1:53" x14ac:dyDescent="0.25">
      <c r="A130" s="138">
        <v>0</v>
      </c>
      <c r="B130">
        <f>A130*$B$95</f>
        <v>0</v>
      </c>
      <c r="C130" s="132">
        <f>($B$123*B130*($C$8))/$B$124</f>
        <v>0</v>
      </c>
      <c r="D130">
        <v>1.06</v>
      </c>
      <c r="E130" s="238" t="e">
        <f>0.455/(LOG10(C130))^2.58</f>
        <v>#NUM!</v>
      </c>
      <c r="F130" s="237" t="e">
        <f>E130*(1+$D$8*$E$8+100*$E$8^4)*D130*($F$8/$F$1)</f>
        <v>#NUM!</v>
      </c>
      <c r="G130" s="132">
        <f>($B$123*B130*$J$8)/$B$124</f>
        <v>0</v>
      </c>
      <c r="H130" t="e">
        <f>1.328/SQRT(G130)</f>
        <v>#DIV/0!</v>
      </c>
      <c r="I130" t="e">
        <f>H130*(1+(60/(($J$8/$H$8)^3))+0.0025*($J$8/$H$8))*($G$8/$I$8)</f>
        <v>#DIV/0!</v>
      </c>
      <c r="J130" t="e">
        <f>(0.029*($K$8/$H$8)^3)/SQRT(I130)</f>
        <v>#DIV/0!</v>
      </c>
      <c r="K130" s="96" t="e">
        <f>I130+J130</f>
        <v>#DIV/0!</v>
      </c>
      <c r="L130">
        <f t="shared" ref="L130:L149" si="150">$N$8*$O$8*$R$8</f>
        <v>5.4197047970479702E-3</v>
      </c>
      <c r="M130">
        <f t="shared" ref="M130:M149" si="151">$N$8*$P$8*$R$8</f>
        <v>8.1295571955719553E-3</v>
      </c>
      <c r="S130">
        <v>0.6</v>
      </c>
      <c r="T130">
        <v>0.92</v>
      </c>
      <c r="U130" s="96">
        <v>1.4999999999999999E-2</v>
      </c>
      <c r="V130" s="96">
        <v>1.4E-2</v>
      </c>
      <c r="X130" s="132">
        <f>$B$123*B130*$Z$2/$B$124</f>
        <v>0</v>
      </c>
      <c r="Z130">
        <f t="shared" ref="Z130:Z149" si="152">Y130*(1+(60/($Z$2/$Z$1)^3)+0.0025*($Z$2/$Z$1))*($AC$1/$AC$2)</f>
        <v>0</v>
      </c>
      <c r="AA130" t="e">
        <f>0.029*($Z$1/$Z$1)^3/SQRT(Z130)</f>
        <v>#DIV/0!</v>
      </c>
      <c r="AB130" t="e">
        <f>Z130+AA130</f>
        <v>#DIV/0!</v>
      </c>
      <c r="AC130" s="96" t="e">
        <f>2*AB130</f>
        <v>#DIV/0!</v>
      </c>
      <c r="AD130" s="132">
        <f>$B$123*B130*$Z$4/$B$124</f>
        <v>0</v>
      </c>
      <c r="AF130">
        <f>AE130*(1+(60/($Z$4/$Z$3)^3)+0.0025*($Z$4/$Z$3))*($AC$3/$AC$4)</f>
        <v>0</v>
      </c>
      <c r="AG130" s="96">
        <f>12*AF130</f>
        <v>0</v>
      </c>
      <c r="AH130" s="96">
        <v>2.3999999999999998E-3</v>
      </c>
      <c r="AI130" s="96">
        <v>3.7000000000000002E-3</v>
      </c>
      <c r="AJ130" s="132">
        <f>($B$123*B130*$AJ$8)/$B$124</f>
        <v>0</v>
      </c>
      <c r="AM130" s="96">
        <f t="shared" ref="AM130:AM149" si="153">AL130*(1+$AK$8*$AL$8+100*$AL$8^4)*AK130*($AM$8/$F$1)</f>
        <v>0</v>
      </c>
      <c r="AP130" t="e">
        <f t="shared" ref="AP130" si="154">K130*($I$8/$F$1)+F130</f>
        <v>#DIV/0!</v>
      </c>
      <c r="AQ130" t="e">
        <f t="shared" ref="AQ130:AQ149" si="155">AP130+AC130*($AF$2/$F$1)+AG130*($AF$4/$F$1)</f>
        <v>#DIV/0!</v>
      </c>
      <c r="AR130" t="e">
        <f t="shared" ref="AR130:AR149" si="156">AQ130-AG130*($AF$4/$F$1)</f>
        <v>#DIV/0!</v>
      </c>
      <c r="AS130" t="e">
        <f t="shared" ref="AS130:AS149" si="157">AQ130+L130+U130</f>
        <v>#DIV/0!</v>
      </c>
      <c r="AT130" t="e">
        <f t="shared" ref="AT130:AT149" si="158">AQ130+M130+V130</f>
        <v>#DIV/0!</v>
      </c>
      <c r="AU130" t="e">
        <f t="shared" ref="AU130:AU149" si="159">AP130+AC130*($AF$2/$F$1)</f>
        <v>#DIV/0!</v>
      </c>
      <c r="AV130" s="26" t="e">
        <f t="shared" ref="AV130" si="160">AP130+F130*(($AN$8+$AO$8)/$F$1)</f>
        <v>#DIV/0!</v>
      </c>
      <c r="AW130" s="27" t="e">
        <f t="shared" ref="AW130:AW149" si="161">AV130+AC130*($AF$2/$F$1)+AG130*($AF$4/$F$1)</f>
        <v>#DIV/0!</v>
      </c>
      <c r="AX130" s="27" t="e">
        <f t="shared" ref="AX130:AX149" si="162">AV130+AC130*($AF$2/$F$1)</f>
        <v>#DIV/0!</v>
      </c>
      <c r="AY130" s="27" t="e">
        <f>AW130+L130+U130</f>
        <v>#DIV/0!</v>
      </c>
      <c r="AZ130" s="27" t="e">
        <f>AW130+M130+V130</f>
        <v>#DIV/0!</v>
      </c>
      <c r="BA130" s="93" t="e">
        <f>AV130+AC130*($AF$2/$F$1)+AH130+AI130</f>
        <v>#DIV/0!</v>
      </c>
    </row>
    <row r="131" spans="1:53" x14ac:dyDescent="0.25">
      <c r="A131" s="138">
        <v>0.05</v>
      </c>
      <c r="B131">
        <f t="shared" ref="B131:B149" si="163">A131*$B$95</f>
        <v>52.870000000000005</v>
      </c>
      <c r="C131" s="132">
        <f t="shared" ref="C131:C149" si="164">($B$123*B131*($C$8))/$B$124</f>
        <v>2495057.9316787007</v>
      </c>
      <c r="D131">
        <v>1.06</v>
      </c>
      <c r="E131" s="238">
        <f>0.455/(LOG10(C131))^2.58</f>
        <v>3.7894683863966055E-3</v>
      </c>
      <c r="F131" s="237">
        <f>E131*(1+$D$8*$E$8+100*$E$8^4)*D131*($F$8/$F$1)</f>
        <v>6.4903036083949033E-3</v>
      </c>
      <c r="G131" s="132">
        <f t="shared" ref="G131:G149" si="165">($B$123*B131*$J$8)/$B$124</f>
        <v>10076156.738868834</v>
      </c>
      <c r="H131">
        <f>0.455/(LOG10(G131))^2.58</f>
        <v>3.0000684610648008E-3</v>
      </c>
      <c r="I131">
        <f>H131*(1+(60/(($J$8/$H$8)^3))+0.0025*($J$8/$H$8))*($G$8/$I$8)</f>
        <v>0.1041174017204884</v>
      </c>
      <c r="J131">
        <f t="shared" ref="J131:J149" si="166">(0.029*($K$8/$H$8)^3)/SQRT(I131)</f>
        <v>0</v>
      </c>
      <c r="K131" s="96">
        <f>I131+J131</f>
        <v>0.1041174017204884</v>
      </c>
      <c r="L131">
        <f t="shared" si="150"/>
        <v>5.4197047970479702E-3</v>
      </c>
      <c r="M131">
        <f t="shared" si="151"/>
        <v>8.1295571955719553E-3</v>
      </c>
      <c r="S131">
        <v>0.6</v>
      </c>
      <c r="T131">
        <v>0.92</v>
      </c>
      <c r="U131" s="96">
        <v>1.4999999999999999E-2</v>
      </c>
      <c r="V131" s="96">
        <v>1.4E-2</v>
      </c>
      <c r="X131" s="132">
        <f t="shared" ref="X131:X149" si="167">$B$123*B131*$Z$2/$B$124</f>
        <v>1931263.3749498597</v>
      </c>
      <c r="Y131">
        <f>0.455/(LOG10(X131))^2.58</f>
        <v>3.964913864976184E-3</v>
      </c>
      <c r="Z131">
        <f t="shared" si="152"/>
        <v>0.69415139699134865</v>
      </c>
      <c r="AA131">
        <f t="shared" ref="AA131:AA149" si="168">0.029*($Z$1/$Z$1)^3/SQRT(Z131)</f>
        <v>3.4807344921669967E-2</v>
      </c>
      <c r="AB131">
        <f t="shared" ref="AB131:AB149" si="169">Z131+AA131</f>
        <v>0.72895874191301857</v>
      </c>
      <c r="AC131" s="96">
        <f t="shared" ref="AC131:AC149" si="170">2*AB131</f>
        <v>1.4579174838260371</v>
      </c>
      <c r="AD131" s="132">
        <f t="shared" ref="AD131:AD149" si="171">$B$123*B131*$Z$4/$B$124</f>
        <v>1461042.727135981</v>
      </c>
      <c r="AE131">
        <f>0.455/(LOG10(AD131))^2.58</f>
        <v>4.1691288153749319E-3</v>
      </c>
      <c r="AF131">
        <f t="shared" ref="AF131:AF149" si="172">AE131*(1+(60/($Z$4/$Z$3)^3)+0.0025*($Z$4/$Z$3))*($AC$3/$AC$4)</f>
        <v>0.11878522486528328</v>
      </c>
      <c r="AG131" s="96">
        <f t="shared" ref="AG131:AG149" si="173">12*AF131</f>
        <v>1.4254226983833993</v>
      </c>
      <c r="AH131" s="96">
        <v>2.3999999999999998E-3</v>
      </c>
      <c r="AI131" s="96">
        <v>3.7000000000000002E-3</v>
      </c>
      <c r="AJ131" s="132">
        <f t="shared" ref="AJ131:AJ149" si="174">($B$123*B131*$AJ$8)/$B$124</f>
        <v>1545682.4437424792</v>
      </c>
      <c r="AM131" s="96">
        <f t="shared" si="153"/>
        <v>0</v>
      </c>
      <c r="AP131" s="132">
        <f>K131*($I$8/$F$1)+F131</f>
        <v>1.1882509265764108E-2</v>
      </c>
      <c r="AQ131">
        <f t="shared" si="155"/>
        <v>3.3464731897992546E-2</v>
      </c>
      <c r="AR131">
        <f t="shared" si="156"/>
        <v>1.2635676969585678E-2</v>
      </c>
      <c r="AS131">
        <f t="shared" si="157"/>
        <v>5.3884436695040519E-2</v>
      </c>
      <c r="AT131">
        <f t="shared" si="158"/>
        <v>5.5594289093564501E-2</v>
      </c>
      <c r="AU131">
        <f t="shared" si="159"/>
        <v>1.2635676969585678E-2</v>
      </c>
      <c r="AV131" s="234">
        <f>AP131+F131*(($AN$8+$AO$8)/$F$1)</f>
        <v>1.3726617671101405E-2</v>
      </c>
      <c r="AW131" s="27">
        <f t="shared" si="161"/>
        <v>3.5308840303329841E-2</v>
      </c>
      <c r="AX131" s="27">
        <f t="shared" si="162"/>
        <v>1.4479785374922975E-2</v>
      </c>
      <c r="AY131" s="27">
        <f t="shared" ref="AY131:AY149" si="175">AW131+L131+U131</f>
        <v>5.5728545100377808E-2</v>
      </c>
      <c r="AZ131" s="27">
        <f t="shared" ref="AZ131:AZ149" si="176">AW131+M131+V131</f>
        <v>5.7438397498901797E-2</v>
      </c>
      <c r="BA131" s="93">
        <f t="shared" ref="BA131:BA149" si="177">AV131+AC131*($AF$2/$F$1)+AH131+AI131</f>
        <v>2.0579785374922978E-2</v>
      </c>
    </row>
    <row r="132" spans="1:53" x14ac:dyDescent="0.25">
      <c r="A132" s="138">
        <v>0.1</v>
      </c>
      <c r="B132">
        <f t="shared" si="163"/>
        <v>105.74000000000001</v>
      </c>
      <c r="C132" s="132">
        <f t="shared" si="164"/>
        <v>4990115.8633574015</v>
      </c>
      <c r="D132">
        <v>1.06</v>
      </c>
      <c r="E132" s="238">
        <f>0.455/(LOG10(C132))^2.58</f>
        <v>3.3655373964478993E-3</v>
      </c>
      <c r="F132" s="237">
        <f t="shared" ref="F132:F149" si="178">E132*(1+$D$8*$E$8+100*$E$8^4)*D132*($F$8/$F$1)</f>
        <v>5.7642279288479771E-3</v>
      </c>
      <c r="G132" s="132">
        <f t="shared" si="165"/>
        <v>20152313.477737669</v>
      </c>
      <c r="H132">
        <f t="shared" ref="H132:H149" si="179">0.455/(LOG10(G132))^2.58</f>
        <v>2.6913785202970853E-3</v>
      </c>
      <c r="I132">
        <f t="shared" ref="I132:I149" si="180">H132*(1+(60/(($J$8/$H$8)^3))+0.0025*($J$8/$H$8))*($G$8/$I$8)</f>
        <v>9.3404314673608588E-2</v>
      </c>
      <c r="J132">
        <f t="shared" si="166"/>
        <v>0</v>
      </c>
      <c r="K132" s="96">
        <f t="shared" ref="K132:K149" si="181">I132+J132</f>
        <v>9.3404314673608588E-2</v>
      </c>
      <c r="L132">
        <f t="shared" si="150"/>
        <v>5.4197047970479702E-3</v>
      </c>
      <c r="M132">
        <f t="shared" si="151"/>
        <v>8.1295571955719553E-3</v>
      </c>
      <c r="S132">
        <v>0.6</v>
      </c>
      <c r="T132">
        <v>0.92</v>
      </c>
      <c r="U132" s="96">
        <v>1.4999999999999999E-2</v>
      </c>
      <c r="V132" s="96">
        <v>1.4E-2</v>
      </c>
      <c r="X132" s="132">
        <f t="shared" si="167"/>
        <v>3862526.7498997194</v>
      </c>
      <c r="Y132">
        <f t="shared" ref="Y132:Y149" si="182">0.455/(LOG10(X132))^2.58</f>
        <v>3.5141401961298687E-3</v>
      </c>
      <c r="Z132">
        <f t="shared" si="152"/>
        <v>0.61523286745641648</v>
      </c>
      <c r="AA132">
        <f t="shared" si="168"/>
        <v>3.6972450279947937E-2</v>
      </c>
      <c r="AB132">
        <f t="shared" si="169"/>
        <v>0.65220531773636437</v>
      </c>
      <c r="AC132" s="96">
        <f t="shared" si="170"/>
        <v>1.3044106354727287</v>
      </c>
      <c r="AD132" s="132">
        <f t="shared" si="171"/>
        <v>2922085.4542719619</v>
      </c>
      <c r="AE132">
        <f t="shared" ref="AE132:AE149" si="183">0.455/(LOG10(AD132))^2.58</f>
        <v>3.6865871568692661E-3</v>
      </c>
      <c r="AF132">
        <f t="shared" si="172"/>
        <v>0.10503683234714337</v>
      </c>
      <c r="AG132" s="96">
        <f t="shared" si="173"/>
        <v>1.2604419881657205</v>
      </c>
      <c r="AH132" s="96">
        <v>2.3999999999999998E-3</v>
      </c>
      <c r="AI132" s="96">
        <v>3.7000000000000002E-3</v>
      </c>
      <c r="AJ132" s="132">
        <f t="shared" si="174"/>
        <v>3091364.8874849584</v>
      </c>
      <c r="AM132" s="96">
        <f t="shared" si="153"/>
        <v>0</v>
      </c>
      <c r="AP132">
        <f t="shared" ref="AP132:AP149" si="184">K132*($I$8/$F$1)+F132</f>
        <v>1.0601606365911065E-2</v>
      </c>
      <c r="AQ132">
        <f t="shared" si="155"/>
        <v>2.9693738329388687E-2</v>
      </c>
      <c r="AR132">
        <f t="shared" si="156"/>
        <v>1.1275471638849007E-2</v>
      </c>
      <c r="AS132">
        <f t="shared" si="157"/>
        <v>5.011344312643666E-2</v>
      </c>
      <c r="AT132">
        <f t="shared" si="158"/>
        <v>5.1823295524960643E-2</v>
      </c>
      <c r="AU132">
        <f t="shared" si="159"/>
        <v>1.1275471638849005E-2</v>
      </c>
      <c r="AV132" s="26">
        <f t="shared" ref="AV132:AV149" si="185">AP132+F132*(($AN$8+$AO$8)/$F$1)</f>
        <v>1.2239412825399235E-2</v>
      </c>
      <c r="AW132" s="27">
        <f t="shared" si="161"/>
        <v>3.1331544788876856E-2</v>
      </c>
      <c r="AX132" s="27">
        <f t="shared" si="162"/>
        <v>1.2913278098337175E-2</v>
      </c>
      <c r="AY132" s="27">
        <f t="shared" si="175"/>
        <v>5.1751249585924822E-2</v>
      </c>
      <c r="AZ132" s="27">
        <f t="shared" si="176"/>
        <v>5.3461101984448811E-2</v>
      </c>
      <c r="BA132" s="93">
        <f t="shared" si="177"/>
        <v>1.9013278098337173E-2</v>
      </c>
    </row>
    <row r="133" spans="1:53" x14ac:dyDescent="0.25">
      <c r="A133" s="138">
        <v>0.15</v>
      </c>
      <c r="B133">
        <f t="shared" si="163"/>
        <v>158.61000000000001</v>
      </c>
      <c r="C133" s="132">
        <f t="shared" si="164"/>
        <v>7485173.7950361026</v>
      </c>
      <c r="D133">
        <v>1.06</v>
      </c>
      <c r="E133" s="238">
        <f t="shared" ref="E133:E138" si="186">0.455/(LOG10(C133))^2.58</f>
        <v>3.1475881895171526E-3</v>
      </c>
      <c r="F133" s="237">
        <f t="shared" si="178"/>
        <v>5.3909416575421143E-3</v>
      </c>
      <c r="G133" s="132">
        <f t="shared" si="165"/>
        <v>30228470.216606501</v>
      </c>
      <c r="H133">
        <f t="shared" si="179"/>
        <v>2.530946325787931E-3</v>
      </c>
      <c r="I133">
        <f t="shared" si="180"/>
        <v>8.7836513984593453E-2</v>
      </c>
      <c r="J133">
        <f t="shared" si="166"/>
        <v>0</v>
      </c>
      <c r="K133" s="96">
        <f t="shared" si="181"/>
        <v>8.7836513984593453E-2</v>
      </c>
      <c r="L133">
        <f t="shared" si="150"/>
        <v>5.4197047970479702E-3</v>
      </c>
      <c r="M133">
        <f t="shared" si="151"/>
        <v>8.1295571955719553E-3</v>
      </c>
      <c r="S133">
        <v>0.6</v>
      </c>
      <c r="T133">
        <v>0.92</v>
      </c>
      <c r="U133" s="96">
        <v>1.4999999999999999E-2</v>
      </c>
      <c r="V133" s="96">
        <v>1.4E-2</v>
      </c>
      <c r="X133" s="132">
        <f t="shared" si="167"/>
        <v>5793790.1248495802</v>
      </c>
      <c r="Y133">
        <f t="shared" si="182"/>
        <v>3.2829022159889406E-3</v>
      </c>
      <c r="Z133">
        <f t="shared" si="152"/>
        <v>0.57474922205615331</v>
      </c>
      <c r="AA133">
        <f t="shared" si="168"/>
        <v>3.825240998469321E-2</v>
      </c>
      <c r="AB133">
        <f t="shared" si="169"/>
        <v>0.61300163204084657</v>
      </c>
      <c r="AC133" s="96">
        <f t="shared" si="170"/>
        <v>1.2260032640816931</v>
      </c>
      <c r="AD133" s="132">
        <f t="shared" si="171"/>
        <v>4383128.1814079424</v>
      </c>
      <c r="AE133">
        <f t="shared" si="183"/>
        <v>3.4396695266119682E-3</v>
      </c>
      <c r="AF133">
        <f t="shared" si="172"/>
        <v>9.8001749591927922E-2</v>
      </c>
      <c r="AG133" s="96">
        <f t="shared" si="173"/>
        <v>1.1760209951031351</v>
      </c>
      <c r="AH133" s="96">
        <v>2.3999999999999998E-3</v>
      </c>
      <c r="AI133" s="96">
        <v>3.7000000000000002E-3</v>
      </c>
      <c r="AJ133" s="132">
        <f t="shared" si="174"/>
        <v>4637047.3312274367</v>
      </c>
      <c r="AM133" s="96">
        <f t="shared" si="153"/>
        <v>0</v>
      </c>
      <c r="AP133">
        <f t="shared" si="184"/>
        <v>9.9399655460062075E-3</v>
      </c>
      <c r="AQ133">
        <f t="shared" si="155"/>
        <v>2.7757986201282413E-2</v>
      </c>
      <c r="AR133">
        <f t="shared" si="156"/>
        <v>1.0573325165827006E-2</v>
      </c>
      <c r="AS133">
        <f t="shared" si="157"/>
        <v>4.8177690998330386E-2</v>
      </c>
      <c r="AT133">
        <f t="shared" si="158"/>
        <v>4.9887543396854368E-2</v>
      </c>
      <c r="AU133">
        <f t="shared" si="159"/>
        <v>1.0573325165827008E-2</v>
      </c>
      <c r="AV133" s="26">
        <f t="shared" si="185"/>
        <v>1.1471709116599355E-2</v>
      </c>
      <c r="AW133" s="27">
        <f t="shared" si="161"/>
        <v>2.9289729771875564E-2</v>
      </c>
      <c r="AX133" s="27">
        <f t="shared" si="162"/>
        <v>1.2105068736420156E-2</v>
      </c>
      <c r="AY133" s="27">
        <f t="shared" si="175"/>
        <v>4.970943456892353E-2</v>
      </c>
      <c r="AZ133" s="27">
        <f t="shared" si="176"/>
        <v>5.1419286967447519E-2</v>
      </c>
      <c r="BA133" s="93">
        <f t="shared" si="177"/>
        <v>1.8205068736420155E-2</v>
      </c>
    </row>
    <row r="134" spans="1:53" x14ac:dyDescent="0.25">
      <c r="A134" s="138">
        <v>0.2</v>
      </c>
      <c r="B134">
        <f t="shared" si="163"/>
        <v>211.48000000000002</v>
      </c>
      <c r="C134" s="132">
        <f t="shared" si="164"/>
        <v>9980231.7267148029</v>
      </c>
      <c r="D134">
        <v>1.06</v>
      </c>
      <c r="E134" s="238">
        <f t="shared" si="186"/>
        <v>3.0046647414761055E-3</v>
      </c>
      <c r="F134" s="237">
        <f t="shared" si="178"/>
        <v>5.146153609203989E-3</v>
      </c>
      <c r="G134" s="132">
        <f t="shared" si="165"/>
        <v>40304626.955475338</v>
      </c>
      <c r="H134">
        <f t="shared" si="179"/>
        <v>2.4250635529397381E-3</v>
      </c>
      <c r="I134">
        <f t="shared" si="180"/>
        <v>8.4161851443058738E-2</v>
      </c>
      <c r="J134">
        <f t="shared" si="166"/>
        <v>0</v>
      </c>
      <c r="K134" s="96">
        <f t="shared" si="181"/>
        <v>8.4161851443058738E-2</v>
      </c>
      <c r="L134">
        <f t="shared" si="150"/>
        <v>5.4197047970479702E-3</v>
      </c>
      <c r="M134">
        <f t="shared" si="151"/>
        <v>8.1295571955719553E-3</v>
      </c>
      <c r="S134">
        <v>0.6</v>
      </c>
      <c r="T134">
        <v>0.92</v>
      </c>
      <c r="U134" s="96">
        <v>1.4999999999999999E-2</v>
      </c>
      <c r="V134" s="96">
        <v>1.4E-2</v>
      </c>
      <c r="X134" s="132">
        <f t="shared" si="167"/>
        <v>7725053.4997994388</v>
      </c>
      <c r="Y134">
        <f t="shared" si="182"/>
        <v>3.1314618373197121E-3</v>
      </c>
      <c r="Z134">
        <f t="shared" si="152"/>
        <v>0.54823602303240215</v>
      </c>
      <c r="AA134">
        <f t="shared" si="168"/>
        <v>3.9166450387653651E-2</v>
      </c>
      <c r="AB134">
        <f t="shared" si="169"/>
        <v>0.5874024734200558</v>
      </c>
      <c r="AC134" s="96">
        <f t="shared" si="170"/>
        <v>1.1748049468401116</v>
      </c>
      <c r="AD134" s="132">
        <f t="shared" si="171"/>
        <v>5844170.9085439239</v>
      </c>
      <c r="AE134">
        <f t="shared" si="183"/>
        <v>3.2781977143047877E-3</v>
      </c>
      <c r="AF134">
        <f t="shared" si="172"/>
        <v>9.3401156426377502E-2</v>
      </c>
      <c r="AG134" s="96">
        <f t="shared" si="173"/>
        <v>1.1208138771165301</v>
      </c>
      <c r="AH134" s="96">
        <v>2.3999999999999998E-3</v>
      </c>
      <c r="AI134" s="96">
        <v>3.7000000000000002E-3</v>
      </c>
      <c r="AJ134" s="132">
        <f t="shared" si="174"/>
        <v>6182729.7749699168</v>
      </c>
      <c r="AM134" s="96">
        <f t="shared" si="153"/>
        <v>0</v>
      </c>
      <c r="AP134">
        <f t="shared" si="184"/>
        <v>9.5048679450096332E-3</v>
      </c>
      <c r="AQ134">
        <f t="shared" si="155"/>
        <v>2.6489722727072642E-2</v>
      </c>
      <c r="AR134">
        <f t="shared" si="156"/>
        <v>1.0111778249650281E-2</v>
      </c>
      <c r="AS134">
        <f t="shared" si="157"/>
        <v>4.6909427524120612E-2</v>
      </c>
      <c r="AT134">
        <f t="shared" si="158"/>
        <v>4.8619279922644594E-2</v>
      </c>
      <c r="AU134">
        <f t="shared" si="159"/>
        <v>1.0111778249650281E-2</v>
      </c>
      <c r="AV134" s="26">
        <f t="shared" si="185"/>
        <v>1.0967059191905231E-2</v>
      </c>
      <c r="AW134" s="27">
        <f t="shared" si="161"/>
        <v>2.7951913973968241E-2</v>
      </c>
      <c r="AX134" s="27">
        <f t="shared" si="162"/>
        <v>1.1573969496545879E-2</v>
      </c>
      <c r="AY134" s="27">
        <f t="shared" si="175"/>
        <v>4.8371618771016214E-2</v>
      </c>
      <c r="AZ134" s="27">
        <f t="shared" si="176"/>
        <v>5.0081471169540197E-2</v>
      </c>
      <c r="BA134" s="93">
        <f t="shared" si="177"/>
        <v>1.7673969496545879E-2</v>
      </c>
    </row>
    <row r="135" spans="1:53" x14ac:dyDescent="0.25">
      <c r="A135" s="138">
        <v>0.25</v>
      </c>
      <c r="B135">
        <f t="shared" si="163"/>
        <v>264.35000000000002</v>
      </c>
      <c r="C135" s="132">
        <f t="shared" si="164"/>
        <v>12475289.658393502</v>
      </c>
      <c r="D135">
        <v>1.06</v>
      </c>
      <c r="E135" s="238">
        <f t="shared" si="186"/>
        <v>2.8999352107866201E-3</v>
      </c>
      <c r="F135" s="237">
        <f t="shared" si="178"/>
        <v>4.9667811005482771E-3</v>
      </c>
      <c r="G135" s="132">
        <f t="shared" si="165"/>
        <v>50380783.694344163</v>
      </c>
      <c r="H135">
        <f t="shared" si="179"/>
        <v>2.3471226816663142E-3</v>
      </c>
      <c r="I135">
        <f t="shared" si="180"/>
        <v>8.1456912835777842E-2</v>
      </c>
      <c r="J135">
        <f t="shared" si="166"/>
        <v>0</v>
      </c>
      <c r="K135" s="96">
        <f t="shared" si="181"/>
        <v>8.1456912835777842E-2</v>
      </c>
      <c r="L135">
        <f t="shared" si="150"/>
        <v>5.4197047970479702E-3</v>
      </c>
      <c r="M135">
        <f t="shared" si="151"/>
        <v>8.1295571955719553E-3</v>
      </c>
      <c r="S135">
        <v>0.6</v>
      </c>
      <c r="T135">
        <v>0.92</v>
      </c>
      <c r="U135" s="96">
        <v>1.4999999999999999E-2</v>
      </c>
      <c r="V135" s="96">
        <v>1.4E-2</v>
      </c>
      <c r="X135" s="132">
        <f t="shared" si="167"/>
        <v>9656316.8747492991</v>
      </c>
      <c r="Y135">
        <f t="shared" si="182"/>
        <v>3.0205935758083808E-3</v>
      </c>
      <c r="Z135">
        <f t="shared" si="152"/>
        <v>0.5288259270679202</v>
      </c>
      <c r="AA135">
        <f t="shared" si="168"/>
        <v>3.9878758383940061E-2</v>
      </c>
      <c r="AB135">
        <f t="shared" si="169"/>
        <v>0.56870468545186026</v>
      </c>
      <c r="AC135" s="96">
        <f t="shared" si="170"/>
        <v>1.1374093709037205</v>
      </c>
      <c r="AD135" s="132">
        <f t="shared" si="171"/>
        <v>7305213.6356799034</v>
      </c>
      <c r="AE135">
        <f t="shared" si="183"/>
        <v>3.1601081878316045E-3</v>
      </c>
      <c r="AF135">
        <f t="shared" si="172"/>
        <v>9.0036594769126219E-2</v>
      </c>
      <c r="AG135" s="96">
        <f t="shared" si="173"/>
        <v>1.0804391372295146</v>
      </c>
      <c r="AH135" s="96">
        <v>2.3999999999999998E-3</v>
      </c>
      <c r="AI135" s="96">
        <v>3.7000000000000002E-3</v>
      </c>
      <c r="AJ135" s="132">
        <f t="shared" si="174"/>
        <v>7728412.2187123951</v>
      </c>
      <c r="AM135" s="96">
        <f t="shared" si="153"/>
        <v>0</v>
      </c>
      <c r="AP135">
        <f t="shared" si="184"/>
        <v>9.1854075642019382E-3</v>
      </c>
      <c r="AQ135">
        <f t="shared" si="155"/>
        <v>2.5560965849646216E-2</v>
      </c>
      <c r="AR135">
        <f t="shared" si="156"/>
        <v>9.7729991211263703E-3</v>
      </c>
      <c r="AS135">
        <f t="shared" si="157"/>
        <v>4.5980670646694186E-2</v>
      </c>
      <c r="AT135">
        <f t="shared" si="158"/>
        <v>4.7690523045218168E-2</v>
      </c>
      <c r="AU135">
        <f t="shared" si="159"/>
        <v>9.7729991211263703E-3</v>
      </c>
      <c r="AV135" s="26">
        <f t="shared" si="185"/>
        <v>1.0596633190556985E-2</v>
      </c>
      <c r="AW135" s="27">
        <f t="shared" si="161"/>
        <v>2.6972191476001262E-2</v>
      </c>
      <c r="AX135" s="27">
        <f t="shared" si="162"/>
        <v>1.1184224747481417E-2</v>
      </c>
      <c r="AY135" s="27">
        <f t="shared" si="175"/>
        <v>4.7391896273049232E-2</v>
      </c>
      <c r="AZ135" s="27">
        <f t="shared" si="176"/>
        <v>4.9101748671573214E-2</v>
      </c>
      <c r="BA135" s="93">
        <f t="shared" si="177"/>
        <v>1.7284224747481418E-2</v>
      </c>
    </row>
    <row r="136" spans="1:53" x14ac:dyDescent="0.25">
      <c r="A136" s="138">
        <v>0.3</v>
      </c>
      <c r="B136">
        <f t="shared" si="163"/>
        <v>317.22000000000003</v>
      </c>
      <c r="C136" s="132">
        <f t="shared" si="164"/>
        <v>14970347.590072205</v>
      </c>
      <c r="D136">
        <v>1.1499999999999999</v>
      </c>
      <c r="E136" s="238">
        <f t="shared" si="186"/>
        <v>2.8180887696222594E-3</v>
      </c>
      <c r="F136" s="237">
        <f t="shared" si="178"/>
        <v>5.2364066900298855E-3</v>
      </c>
      <c r="G136" s="132">
        <f t="shared" si="165"/>
        <v>60456940.433213003</v>
      </c>
      <c r="H136">
        <f t="shared" si="179"/>
        <v>2.2859976433193862E-3</v>
      </c>
      <c r="I136">
        <f t="shared" si="180"/>
        <v>7.9335567854707453E-2</v>
      </c>
      <c r="J136">
        <f t="shared" si="166"/>
        <v>0</v>
      </c>
      <c r="K136" s="96">
        <f t="shared" si="181"/>
        <v>7.9335567854707453E-2</v>
      </c>
      <c r="L136">
        <f t="shared" si="150"/>
        <v>5.4197047970479702E-3</v>
      </c>
      <c r="M136">
        <f t="shared" si="151"/>
        <v>8.1295571955719553E-3</v>
      </c>
      <c r="S136">
        <v>0.6</v>
      </c>
      <c r="T136">
        <v>0.92</v>
      </c>
      <c r="U136" s="96">
        <v>1.4999999999999999E-2</v>
      </c>
      <c r="V136" s="96">
        <v>1.4E-2</v>
      </c>
      <c r="X136" s="132">
        <f t="shared" si="167"/>
        <v>11587580.24969916</v>
      </c>
      <c r="Y136">
        <f t="shared" si="182"/>
        <v>2.9340111787642112E-3</v>
      </c>
      <c r="Z136">
        <f t="shared" si="152"/>
        <v>0.51366764269912946</v>
      </c>
      <c r="AA136">
        <f t="shared" si="168"/>
        <v>4.0462889527727981E-2</v>
      </c>
      <c r="AB136">
        <f t="shared" si="169"/>
        <v>0.55413053222685749</v>
      </c>
      <c r="AC136" s="96">
        <f t="shared" si="170"/>
        <v>1.108261064453715</v>
      </c>
      <c r="AD136" s="132">
        <f t="shared" si="171"/>
        <v>8766256.3628158849</v>
      </c>
      <c r="AE136">
        <f t="shared" si="183"/>
        <v>3.0679600558555812E-3</v>
      </c>
      <c r="AF136">
        <f t="shared" si="172"/>
        <v>8.7411145409700922E-2</v>
      </c>
      <c r="AG136" s="96">
        <f t="shared" si="173"/>
        <v>1.0489337449164111</v>
      </c>
      <c r="AH136" s="96">
        <v>2.3999999999999998E-3</v>
      </c>
      <c r="AI136" s="96">
        <v>3.7000000000000002E-3</v>
      </c>
      <c r="AJ136" s="132">
        <f t="shared" si="174"/>
        <v>9274094.6624548733</v>
      </c>
      <c r="AM136" s="96">
        <f t="shared" si="153"/>
        <v>0</v>
      </c>
      <c r="AP136">
        <f t="shared" si="184"/>
        <v>9.3451694016196234E-3</v>
      </c>
      <c r="AQ136">
        <f t="shared" si="155"/>
        <v>2.5245295522994191E-2</v>
      </c>
      <c r="AR136">
        <f t="shared" si="156"/>
        <v>9.9177027928503223E-3</v>
      </c>
      <c r="AS136">
        <f t="shared" si="157"/>
        <v>4.5665000320042157E-2</v>
      </c>
      <c r="AT136">
        <f t="shared" si="158"/>
        <v>4.7374852718566146E-2</v>
      </c>
      <c r="AU136">
        <f t="shared" si="159"/>
        <v>9.9177027928503241E-3</v>
      </c>
      <c r="AV136" s="26">
        <f t="shared" si="185"/>
        <v>1.0833004512808928E-2</v>
      </c>
      <c r="AW136" s="27">
        <f t="shared" si="161"/>
        <v>2.6733130634183498E-2</v>
      </c>
      <c r="AX136" s="27">
        <f t="shared" si="162"/>
        <v>1.1405537904039628E-2</v>
      </c>
      <c r="AY136" s="27">
        <f t="shared" si="175"/>
        <v>4.7152835431231471E-2</v>
      </c>
      <c r="AZ136" s="27">
        <f t="shared" si="176"/>
        <v>4.8862687829755454E-2</v>
      </c>
      <c r="BA136" s="93">
        <f t="shared" si="177"/>
        <v>1.7505537904039629E-2</v>
      </c>
    </row>
    <row r="137" spans="1:53" x14ac:dyDescent="0.25">
      <c r="A137" s="138">
        <v>0.35</v>
      </c>
      <c r="B137">
        <f t="shared" si="163"/>
        <v>370.09000000000003</v>
      </c>
      <c r="C137" s="132">
        <f t="shared" si="164"/>
        <v>17465405.521750905</v>
      </c>
      <c r="D137">
        <v>1.1499999999999999</v>
      </c>
      <c r="E137" s="238">
        <f t="shared" si="186"/>
        <v>2.7513685570792154E-3</v>
      </c>
      <c r="F137" s="237">
        <f t="shared" si="178"/>
        <v>5.1124311179731397E-3</v>
      </c>
      <c r="G137" s="132">
        <f t="shared" si="165"/>
        <v>70533097.172081843</v>
      </c>
      <c r="H137">
        <f t="shared" si="179"/>
        <v>2.2360272372281579E-3</v>
      </c>
      <c r="I137">
        <f t="shared" si="180"/>
        <v>7.7601344481921575E-2</v>
      </c>
      <c r="J137">
        <f t="shared" si="166"/>
        <v>0</v>
      </c>
      <c r="K137" s="96">
        <f t="shared" si="181"/>
        <v>7.7601344481921575E-2</v>
      </c>
      <c r="L137">
        <f t="shared" si="150"/>
        <v>5.4197047970479702E-3</v>
      </c>
      <c r="M137">
        <f t="shared" si="151"/>
        <v>8.1295571955719553E-3</v>
      </c>
      <c r="S137">
        <v>0.6</v>
      </c>
      <c r="T137">
        <v>0.92</v>
      </c>
      <c r="U137" s="96">
        <v>1.4999999999999999E-2</v>
      </c>
      <c r="V137" s="96">
        <v>1.4E-2</v>
      </c>
      <c r="X137" s="132">
        <f t="shared" si="167"/>
        <v>13518843.62464902</v>
      </c>
      <c r="Y137">
        <f t="shared" si="182"/>
        <v>2.8634708733405083E-3</v>
      </c>
      <c r="Z137">
        <f t="shared" si="152"/>
        <v>0.50131790365773576</v>
      </c>
      <c r="AA137">
        <f t="shared" si="168"/>
        <v>4.0958249804366645E-2</v>
      </c>
      <c r="AB137">
        <f t="shared" si="169"/>
        <v>0.54227615346210245</v>
      </c>
      <c r="AC137" s="96">
        <f t="shared" si="170"/>
        <v>1.0845523069242049</v>
      </c>
      <c r="AD137" s="132">
        <f t="shared" si="171"/>
        <v>10227299.089951867</v>
      </c>
      <c r="AE137">
        <f t="shared" si="183"/>
        <v>2.9929338605317402E-3</v>
      </c>
      <c r="AF137">
        <f t="shared" si="172"/>
        <v>8.5273527725770543E-2</v>
      </c>
      <c r="AG137" s="96">
        <f t="shared" si="173"/>
        <v>1.0232823327092464</v>
      </c>
      <c r="AH137" s="96">
        <v>2.3999999999999998E-3</v>
      </c>
      <c r="AI137" s="96">
        <v>3.7000000000000002E-3</v>
      </c>
      <c r="AJ137" s="132">
        <f t="shared" si="174"/>
        <v>10819777.106197353</v>
      </c>
      <c r="AM137" s="96">
        <f t="shared" si="153"/>
        <v>0</v>
      </c>
      <c r="AP137">
        <f t="shared" si="184"/>
        <v>9.1313789770276384E-3</v>
      </c>
      <c r="AQ137">
        <f t="shared" si="155"/>
        <v>2.4644424587721384E-2</v>
      </c>
      <c r="AR137">
        <f t="shared" si="156"/>
        <v>9.6916643016379308E-3</v>
      </c>
      <c r="AS137">
        <f t="shared" si="157"/>
        <v>4.506412938476935E-2</v>
      </c>
      <c r="AT137">
        <f t="shared" si="158"/>
        <v>4.6773981783293339E-2</v>
      </c>
      <c r="AU137">
        <f t="shared" si="159"/>
        <v>9.6916643016379291E-3</v>
      </c>
      <c r="AV137" s="26">
        <f t="shared" si="185"/>
        <v>1.0583988556673142E-2</v>
      </c>
      <c r="AW137" s="27">
        <f t="shared" si="161"/>
        <v>2.6097034167366886E-2</v>
      </c>
      <c r="AX137" s="27">
        <f t="shared" si="162"/>
        <v>1.1144273881283433E-2</v>
      </c>
      <c r="AY137" s="27">
        <f t="shared" si="175"/>
        <v>4.6516738964414855E-2</v>
      </c>
      <c r="AZ137" s="27">
        <f t="shared" si="176"/>
        <v>4.8226591362938838E-2</v>
      </c>
      <c r="BA137" s="93">
        <f t="shared" si="177"/>
        <v>1.7244273881283433E-2</v>
      </c>
    </row>
    <row r="138" spans="1:53" x14ac:dyDescent="0.25">
      <c r="A138" s="138">
        <v>0.4</v>
      </c>
      <c r="B138">
        <f t="shared" si="163"/>
        <v>422.96000000000004</v>
      </c>
      <c r="C138" s="132">
        <f t="shared" si="164"/>
        <v>19960463.453429606</v>
      </c>
      <c r="D138">
        <v>1.1499999999999999</v>
      </c>
      <c r="E138" s="238">
        <f t="shared" si="186"/>
        <v>2.6953317627127853E-3</v>
      </c>
      <c r="F138" s="237">
        <f t="shared" si="178"/>
        <v>5.008306844787971E-3</v>
      </c>
      <c r="G138" s="132">
        <f t="shared" si="165"/>
        <v>80609253.910950676</v>
      </c>
      <c r="H138">
        <f t="shared" si="179"/>
        <v>2.1939578408659193E-3</v>
      </c>
      <c r="I138">
        <f t="shared" si="180"/>
        <v>7.614132571967272E-2</v>
      </c>
      <c r="J138">
        <f t="shared" si="166"/>
        <v>0</v>
      </c>
      <c r="K138" s="96">
        <f t="shared" si="181"/>
        <v>7.614132571967272E-2</v>
      </c>
      <c r="L138">
        <f t="shared" si="150"/>
        <v>5.4197047970479702E-3</v>
      </c>
      <c r="M138">
        <f t="shared" si="151"/>
        <v>8.1295571955719553E-3</v>
      </c>
      <c r="S138">
        <v>0.6</v>
      </c>
      <c r="T138">
        <v>0.92</v>
      </c>
      <c r="U138" s="96">
        <v>1.4999999999999999E-2</v>
      </c>
      <c r="V138" s="96">
        <v>1.4E-2</v>
      </c>
      <c r="X138" s="132">
        <f t="shared" si="167"/>
        <v>15450106.999598878</v>
      </c>
      <c r="Y138">
        <f t="shared" si="182"/>
        <v>2.8042542500443181E-3</v>
      </c>
      <c r="Z138">
        <f t="shared" si="152"/>
        <v>0.49095064142052502</v>
      </c>
      <c r="AA138">
        <f t="shared" si="168"/>
        <v>4.1388442344203115E-2</v>
      </c>
      <c r="AB138">
        <f t="shared" si="169"/>
        <v>0.53233908376472816</v>
      </c>
      <c r="AC138" s="96">
        <f t="shared" si="170"/>
        <v>1.0646781675294563</v>
      </c>
      <c r="AD138" s="132">
        <f t="shared" si="171"/>
        <v>11688341.817087848</v>
      </c>
      <c r="AE138">
        <f t="shared" si="183"/>
        <v>2.9299856530741967E-3</v>
      </c>
      <c r="AF138">
        <f t="shared" si="172"/>
        <v>8.348003145620557E-2</v>
      </c>
      <c r="AG138" s="96">
        <f t="shared" si="173"/>
        <v>1.0017603774744668</v>
      </c>
      <c r="AH138" s="96">
        <v>2.3999999999999998E-3</v>
      </c>
      <c r="AI138" s="96">
        <v>3.7000000000000002E-3</v>
      </c>
      <c r="AJ138" s="132">
        <f t="shared" si="174"/>
        <v>12365459.549939834</v>
      </c>
      <c r="AM138" s="96">
        <f t="shared" si="153"/>
        <v>0</v>
      </c>
      <c r="AP138">
        <f t="shared" si="184"/>
        <v>8.9516408170226824E-3</v>
      </c>
      <c r="AQ138">
        <f t="shared" si="155"/>
        <v>2.413992878105594E-2</v>
      </c>
      <c r="AR138">
        <f t="shared" si="156"/>
        <v>9.5016590585508161E-3</v>
      </c>
      <c r="AS138">
        <f t="shared" si="157"/>
        <v>4.4559633578103913E-2</v>
      </c>
      <c r="AT138">
        <f t="shared" si="158"/>
        <v>4.6269485976627896E-2</v>
      </c>
      <c r="AU138">
        <f t="shared" si="159"/>
        <v>9.5016590585508143E-3</v>
      </c>
      <c r="AV138" s="26">
        <f t="shared" si="185"/>
        <v>1.0374665271076829E-2</v>
      </c>
      <c r="AW138" s="27">
        <f t="shared" si="161"/>
        <v>2.5562953235110084E-2</v>
      </c>
      <c r="AX138" s="27">
        <f t="shared" si="162"/>
        <v>1.0924683512604961E-2</v>
      </c>
      <c r="AY138" s="27">
        <f t="shared" si="175"/>
        <v>4.598265803215805E-2</v>
      </c>
      <c r="AZ138" s="27">
        <f t="shared" si="176"/>
        <v>4.7692510430682039E-2</v>
      </c>
      <c r="BA138" s="93">
        <f t="shared" si="177"/>
        <v>1.7024683512604961E-2</v>
      </c>
    </row>
    <row r="139" spans="1:53" x14ac:dyDescent="0.25">
      <c r="A139" s="138">
        <v>0.45</v>
      </c>
      <c r="B139">
        <f t="shared" si="163"/>
        <v>475.83000000000004</v>
      </c>
      <c r="C139" s="132">
        <f t="shared" si="164"/>
        <v>22455521.385108307</v>
      </c>
      <c r="D139">
        <v>1.1499999999999999</v>
      </c>
      <c r="E139" s="238">
        <f>0.455/(LOG10(C139))^2.58</f>
        <v>2.6472098601374636E-3</v>
      </c>
      <c r="F139" s="237">
        <f t="shared" si="178"/>
        <v>4.9188895576894676E-3</v>
      </c>
      <c r="G139" s="132">
        <f t="shared" si="165"/>
        <v>90685410.649819493</v>
      </c>
      <c r="H139">
        <f t="shared" si="179"/>
        <v>2.1577562193521699E-3</v>
      </c>
      <c r="I139">
        <f t="shared" si="180"/>
        <v>7.4884948133961793E-2</v>
      </c>
      <c r="J139">
        <f t="shared" si="166"/>
        <v>0</v>
      </c>
      <c r="K139" s="96">
        <f t="shared" si="181"/>
        <v>7.4884948133961793E-2</v>
      </c>
      <c r="L139">
        <f t="shared" si="150"/>
        <v>5.4197047970479702E-3</v>
      </c>
      <c r="M139">
        <f t="shared" si="151"/>
        <v>8.1295571955719553E-3</v>
      </c>
      <c r="S139">
        <v>0.6</v>
      </c>
      <c r="T139">
        <v>0.92</v>
      </c>
      <c r="U139" s="96">
        <v>1.4999999999999999E-2</v>
      </c>
      <c r="V139" s="96">
        <v>1.4E-2</v>
      </c>
      <c r="X139" s="132">
        <f t="shared" si="167"/>
        <v>17381370.374548741</v>
      </c>
      <c r="Y139">
        <f t="shared" si="182"/>
        <v>2.7534227330159775E-3</v>
      </c>
      <c r="Z139">
        <f t="shared" si="152"/>
        <v>0.48205138919007989</v>
      </c>
      <c r="AA139">
        <f t="shared" si="168"/>
        <v>4.1768735578427078E-2</v>
      </c>
      <c r="AB139">
        <f t="shared" si="169"/>
        <v>0.52382012476850692</v>
      </c>
      <c r="AC139" s="96">
        <f t="shared" si="170"/>
        <v>1.0476402495370138</v>
      </c>
      <c r="AD139" s="132">
        <f t="shared" si="171"/>
        <v>13149384.544223828</v>
      </c>
      <c r="AE139">
        <f t="shared" si="183"/>
        <v>2.8759761501902202E-3</v>
      </c>
      <c r="AF139">
        <f t="shared" si="172"/>
        <v>8.1941213341189284E-2</v>
      </c>
      <c r="AG139" s="96">
        <f t="shared" si="173"/>
        <v>0.98329456009427141</v>
      </c>
      <c r="AH139" s="96">
        <v>2.3999999999999998E-3</v>
      </c>
      <c r="AI139" s="96">
        <v>3.7000000000000002E-3</v>
      </c>
      <c r="AJ139" s="132">
        <f t="shared" si="174"/>
        <v>13911141.993682312</v>
      </c>
      <c r="AM139" s="96">
        <f t="shared" si="153"/>
        <v>0</v>
      </c>
      <c r="AP139">
        <f t="shared" si="184"/>
        <v>8.7971561520073776E-3</v>
      </c>
      <c r="AQ139">
        <f t="shared" si="155"/>
        <v>2.3706809631374524E-2</v>
      </c>
      <c r="AR139">
        <f t="shared" si="156"/>
        <v>9.3383725170818506E-3</v>
      </c>
      <c r="AS139">
        <f t="shared" si="157"/>
        <v>4.4126514428422497E-2</v>
      </c>
      <c r="AT139">
        <f t="shared" si="158"/>
        <v>4.583636682694648E-2</v>
      </c>
      <c r="AU139">
        <f t="shared" si="159"/>
        <v>9.3383725170818506E-3</v>
      </c>
      <c r="AV139" s="26">
        <f t="shared" si="185"/>
        <v>1.0194774218214348E-2</v>
      </c>
      <c r="AW139" s="27">
        <f t="shared" si="161"/>
        <v>2.5104427697581495E-2</v>
      </c>
      <c r="AX139" s="27">
        <f t="shared" si="162"/>
        <v>1.0735990583288821E-2</v>
      </c>
      <c r="AY139" s="27">
        <f t="shared" si="175"/>
        <v>4.5524132494629464E-2</v>
      </c>
      <c r="AZ139" s="27">
        <f t="shared" si="176"/>
        <v>4.7233984893153447E-2</v>
      </c>
      <c r="BA139" s="93">
        <f t="shared" si="177"/>
        <v>1.6835990583288822E-2</v>
      </c>
    </row>
    <row r="140" spans="1:53" x14ac:dyDescent="0.25">
      <c r="A140" s="138">
        <v>0.5</v>
      </c>
      <c r="B140">
        <f t="shared" si="163"/>
        <v>528.70000000000005</v>
      </c>
      <c r="C140" s="132">
        <f t="shared" si="164"/>
        <v>24950579.316787004</v>
      </c>
      <c r="D140">
        <v>1.1499999999999999</v>
      </c>
      <c r="E140" s="238">
        <f t="shared" ref="E140:E148" si="187">0.455/(LOG10(C140))^2.58</f>
        <v>2.6051677077911541E-3</v>
      </c>
      <c r="F140" s="237">
        <f t="shared" si="178"/>
        <v>4.8407693046361973E-3</v>
      </c>
      <c r="G140" s="132">
        <f t="shared" si="165"/>
        <v>100761567.38868833</v>
      </c>
      <c r="H140">
        <f t="shared" si="179"/>
        <v>2.1260713717247176E-3</v>
      </c>
      <c r="I140">
        <f t="shared" si="180"/>
        <v>7.3785325224786896E-2</v>
      </c>
      <c r="J140">
        <f t="shared" si="166"/>
        <v>0</v>
      </c>
      <c r="K140" s="96">
        <f t="shared" si="181"/>
        <v>7.3785325224786896E-2</v>
      </c>
      <c r="L140">
        <f t="shared" si="150"/>
        <v>5.4197047970479702E-3</v>
      </c>
      <c r="M140">
        <f t="shared" si="151"/>
        <v>8.1295571955719553E-3</v>
      </c>
      <c r="S140">
        <v>0.6</v>
      </c>
      <c r="T140">
        <v>0.92</v>
      </c>
      <c r="U140" s="96">
        <v>1.4999999999999999E-2</v>
      </c>
      <c r="V140" s="96">
        <v>1.4E-2</v>
      </c>
      <c r="X140" s="132">
        <f t="shared" si="167"/>
        <v>19312633.749498598</v>
      </c>
      <c r="Y140">
        <f t="shared" si="182"/>
        <v>2.7090294143852695E-3</v>
      </c>
      <c r="Z140">
        <f t="shared" si="152"/>
        <v>0.47427929496710158</v>
      </c>
      <c r="AA140">
        <f t="shared" si="168"/>
        <v>4.2109580513885553E-2</v>
      </c>
      <c r="AB140">
        <f t="shared" si="169"/>
        <v>0.51638887548098711</v>
      </c>
      <c r="AC140" s="96">
        <f t="shared" si="170"/>
        <v>1.0327777509619742</v>
      </c>
      <c r="AD140" s="132">
        <f t="shared" si="171"/>
        <v>14610427.271359807</v>
      </c>
      <c r="AE140">
        <f t="shared" si="183"/>
        <v>2.8288266147221677E-3</v>
      </c>
      <c r="AF140">
        <f t="shared" si="172"/>
        <v>8.0597846796070294E-2</v>
      </c>
      <c r="AG140" s="96">
        <f t="shared" si="173"/>
        <v>0.96717416155284353</v>
      </c>
      <c r="AH140" s="96">
        <v>2.3999999999999998E-3</v>
      </c>
      <c r="AI140" s="96">
        <v>3.7000000000000002E-3</v>
      </c>
      <c r="AJ140" s="132">
        <f t="shared" si="174"/>
        <v>15456824.43742479</v>
      </c>
      <c r="AM140" s="96">
        <f t="shared" si="153"/>
        <v>0</v>
      </c>
      <c r="AP140">
        <f t="shared" si="184"/>
        <v>8.6620867936763601E-3</v>
      </c>
      <c r="AQ140">
        <f t="shared" si="155"/>
        <v>2.3328502162251772E-2</v>
      </c>
      <c r="AR140">
        <f t="shared" si="156"/>
        <v>9.1956251152065308E-3</v>
      </c>
      <c r="AS140">
        <f t="shared" si="157"/>
        <v>4.3748206959299742E-2</v>
      </c>
      <c r="AT140">
        <f t="shared" si="158"/>
        <v>4.5458059357823724E-2</v>
      </c>
      <c r="AU140">
        <f t="shared" si="159"/>
        <v>9.1956251152065308E-3</v>
      </c>
      <c r="AV140" s="26">
        <f t="shared" si="185"/>
        <v>1.0037508330418009E-2</v>
      </c>
      <c r="AW140" s="27">
        <f t="shared" si="161"/>
        <v>2.4703923698993421E-2</v>
      </c>
      <c r="AX140" s="27">
        <f t="shared" si="162"/>
        <v>1.057104665194818E-2</v>
      </c>
      <c r="AY140" s="27">
        <f t="shared" si="175"/>
        <v>4.5123628496041387E-2</v>
      </c>
      <c r="AZ140" s="27">
        <f t="shared" si="176"/>
        <v>4.6833480894565377E-2</v>
      </c>
      <c r="BA140" s="93">
        <f t="shared" si="177"/>
        <v>1.6671046651948178E-2</v>
      </c>
    </row>
    <row r="141" spans="1:53" x14ac:dyDescent="0.25">
      <c r="A141" s="138">
        <v>0.55000000000000004</v>
      </c>
      <c r="B141">
        <f t="shared" si="163"/>
        <v>581.57000000000005</v>
      </c>
      <c r="C141" s="132">
        <f t="shared" si="164"/>
        <v>27445637.248465706</v>
      </c>
      <c r="D141">
        <v>1.1499999999999999</v>
      </c>
      <c r="E141" s="238">
        <f t="shared" si="187"/>
        <v>2.5679299228668086E-3</v>
      </c>
      <c r="F141" s="237">
        <f t="shared" si="178"/>
        <v>4.7715762443601463E-3</v>
      </c>
      <c r="G141" s="132">
        <f t="shared" si="165"/>
        <v>110837724.12755717</v>
      </c>
      <c r="H141">
        <f t="shared" si="179"/>
        <v>2.0979624103408152E-3</v>
      </c>
      <c r="I141">
        <f t="shared" si="180"/>
        <v>7.2809803478421573E-2</v>
      </c>
      <c r="J141">
        <f t="shared" si="166"/>
        <v>0</v>
      </c>
      <c r="K141" s="96">
        <f t="shared" si="181"/>
        <v>7.2809803478421573E-2</v>
      </c>
      <c r="L141">
        <f t="shared" si="150"/>
        <v>5.4197047970479702E-3</v>
      </c>
      <c r="M141">
        <f t="shared" si="151"/>
        <v>8.1295571955719553E-3</v>
      </c>
      <c r="S141">
        <v>0.6</v>
      </c>
      <c r="T141">
        <v>0.92</v>
      </c>
      <c r="U141" s="96">
        <v>1.4999999999999999E-2</v>
      </c>
      <c r="V141" s="96">
        <v>1.4E-2</v>
      </c>
      <c r="X141" s="132">
        <f t="shared" si="167"/>
        <v>21243897.12444846</v>
      </c>
      <c r="Y141">
        <f t="shared" si="182"/>
        <v>2.6697218114559726E-3</v>
      </c>
      <c r="Z141">
        <f t="shared" si="152"/>
        <v>0.46739757485540456</v>
      </c>
      <c r="AA141">
        <f t="shared" si="168"/>
        <v>4.2418447608601556E-2</v>
      </c>
      <c r="AB141">
        <f t="shared" si="169"/>
        <v>0.50981602246400615</v>
      </c>
      <c r="AC141" s="96">
        <f t="shared" si="170"/>
        <v>1.0196320449280123</v>
      </c>
      <c r="AD141" s="132">
        <f t="shared" si="171"/>
        <v>16071469.998495791</v>
      </c>
      <c r="AE141">
        <f t="shared" si="183"/>
        <v>2.7870936762685789E-3</v>
      </c>
      <c r="AF141">
        <f t="shared" si="172"/>
        <v>7.9408807862992203E-2</v>
      </c>
      <c r="AG141" s="96">
        <f t="shared" si="173"/>
        <v>0.95290569435590644</v>
      </c>
      <c r="AH141" s="96">
        <v>2.3999999999999998E-3</v>
      </c>
      <c r="AI141" s="96">
        <v>3.7000000000000002E-3</v>
      </c>
      <c r="AJ141" s="132">
        <f t="shared" si="174"/>
        <v>17002506.88116727</v>
      </c>
      <c r="AM141" s="96">
        <f t="shared" si="153"/>
        <v>0</v>
      </c>
      <c r="AP141">
        <f t="shared" si="184"/>
        <v>8.5423717861300603E-3</v>
      </c>
      <c r="AQ141">
        <f t="shared" si="155"/>
        <v>2.2993497380002059E-2</v>
      </c>
      <c r="AR141">
        <f t="shared" si="156"/>
        <v>9.0691189680116926E-3</v>
      </c>
      <c r="AS141">
        <f t="shared" si="157"/>
        <v>4.3413202177050025E-2</v>
      </c>
      <c r="AT141">
        <f t="shared" si="158"/>
        <v>4.5123054575574015E-2</v>
      </c>
      <c r="AU141">
        <f t="shared" si="159"/>
        <v>9.0691189680116909E-3</v>
      </c>
      <c r="AV141" s="26">
        <f t="shared" si="185"/>
        <v>9.8981333020552679E-3</v>
      </c>
      <c r="AW141" s="27">
        <f t="shared" si="161"/>
        <v>2.4349258895927265E-2</v>
      </c>
      <c r="AX141" s="27">
        <f t="shared" si="162"/>
        <v>1.0424880483936898E-2</v>
      </c>
      <c r="AY141" s="27">
        <f t="shared" si="175"/>
        <v>4.4768963692975235E-2</v>
      </c>
      <c r="AZ141" s="27">
        <f t="shared" si="176"/>
        <v>4.6478816091499217E-2</v>
      </c>
      <c r="BA141" s="93">
        <f t="shared" si="177"/>
        <v>1.6524880483936896E-2</v>
      </c>
    </row>
    <row r="142" spans="1:53" x14ac:dyDescent="0.25">
      <c r="A142" s="138">
        <v>0.6</v>
      </c>
      <c r="B142">
        <f t="shared" si="163"/>
        <v>634.44000000000005</v>
      </c>
      <c r="C142" s="132">
        <f t="shared" si="164"/>
        <v>29940695.180144411</v>
      </c>
      <c r="D142">
        <v>1.1499999999999999</v>
      </c>
      <c r="E142" s="238">
        <f t="shared" si="187"/>
        <v>2.5345763164432507E-3</v>
      </c>
      <c r="F142" s="237">
        <f t="shared" si="178"/>
        <v>4.7096005359667037E-3</v>
      </c>
      <c r="G142" s="132">
        <f t="shared" si="165"/>
        <v>120913880.86642601</v>
      </c>
      <c r="H142">
        <f t="shared" si="179"/>
        <v>2.0727492241674056E-3</v>
      </c>
      <c r="I142">
        <f t="shared" si="180"/>
        <v>7.193477963561945E-2</v>
      </c>
      <c r="J142">
        <f t="shared" si="166"/>
        <v>0</v>
      </c>
      <c r="K142" s="96">
        <f t="shared" si="181"/>
        <v>7.193477963561945E-2</v>
      </c>
      <c r="L142">
        <f t="shared" si="150"/>
        <v>5.4197047970479702E-3</v>
      </c>
      <c r="M142">
        <f t="shared" si="151"/>
        <v>8.1295571955719553E-3</v>
      </c>
      <c r="S142">
        <v>0.6</v>
      </c>
      <c r="T142">
        <v>0.92</v>
      </c>
      <c r="U142" s="96">
        <v>1.4999999999999999E-2</v>
      </c>
      <c r="V142" s="96">
        <v>1.4E-2</v>
      </c>
      <c r="X142" s="132">
        <f t="shared" si="167"/>
        <v>23175160.499398321</v>
      </c>
      <c r="Y142">
        <f t="shared" si="182"/>
        <v>2.6345244743041459E-3</v>
      </c>
      <c r="Z142">
        <f t="shared" si="152"/>
        <v>0.46123545341056393</v>
      </c>
      <c r="AA142">
        <f t="shared" si="168"/>
        <v>4.2700863423007031E-2</v>
      </c>
      <c r="AB142">
        <f t="shared" si="169"/>
        <v>0.50393631683357099</v>
      </c>
      <c r="AC142" s="96">
        <f t="shared" si="170"/>
        <v>1.007872633667142</v>
      </c>
      <c r="AD142" s="132">
        <f t="shared" si="171"/>
        <v>17532512.72563177</v>
      </c>
      <c r="AE142">
        <f t="shared" si="183"/>
        <v>2.7497367746183738E-3</v>
      </c>
      <c r="AF142">
        <f t="shared" si="172"/>
        <v>7.834444929809839E-2</v>
      </c>
      <c r="AG142" s="96">
        <f t="shared" si="173"/>
        <v>0.94013339157718068</v>
      </c>
      <c r="AH142" s="96">
        <v>2.3999999999999998E-3</v>
      </c>
      <c r="AI142" s="96">
        <v>3.7000000000000002E-3</v>
      </c>
      <c r="AJ142" s="132">
        <f t="shared" si="174"/>
        <v>18548189.324909747</v>
      </c>
      <c r="AM142" s="96">
        <f t="shared" si="153"/>
        <v>0</v>
      </c>
      <c r="AP142">
        <f t="shared" si="184"/>
        <v>8.4350788835162206E-3</v>
      </c>
      <c r="AQ142">
        <f t="shared" si="155"/>
        <v>2.2693493641298641E-2</v>
      </c>
      <c r="AR142">
        <f t="shared" si="156"/>
        <v>8.9557510927907608E-3</v>
      </c>
      <c r="AS142">
        <f t="shared" si="157"/>
        <v>4.3113198438346614E-2</v>
      </c>
      <c r="AT142">
        <f t="shared" si="158"/>
        <v>4.4823050836870597E-2</v>
      </c>
      <c r="AU142">
        <f t="shared" si="159"/>
        <v>8.9557510927907591E-3</v>
      </c>
      <c r="AV142" s="26">
        <f t="shared" si="185"/>
        <v>9.7732310653222583E-3</v>
      </c>
      <c r="AW142" s="27">
        <f t="shared" si="161"/>
        <v>2.4031645823104679E-2</v>
      </c>
      <c r="AX142" s="27">
        <f t="shared" si="162"/>
        <v>1.0293903274596797E-2</v>
      </c>
      <c r="AY142" s="27">
        <f t="shared" si="175"/>
        <v>4.4451350620152652E-2</v>
      </c>
      <c r="AZ142" s="27">
        <f t="shared" si="176"/>
        <v>4.6161203018676635E-2</v>
      </c>
      <c r="BA142" s="93">
        <f t="shared" si="177"/>
        <v>1.6393903274596798E-2</v>
      </c>
    </row>
    <row r="143" spans="1:53" x14ac:dyDescent="0.25">
      <c r="A143" s="138">
        <v>0.65</v>
      </c>
      <c r="B143">
        <f t="shared" si="163"/>
        <v>687.31000000000006</v>
      </c>
      <c r="C143" s="132">
        <f t="shared" si="164"/>
        <v>32435753.111823108</v>
      </c>
      <c r="D143">
        <v>1.25</v>
      </c>
      <c r="E143" s="238">
        <f t="shared" si="187"/>
        <v>2.5044224750159242E-3</v>
      </c>
      <c r="F143" s="237">
        <f t="shared" si="178"/>
        <v>5.058228741916965E-3</v>
      </c>
      <c r="G143" s="132">
        <f t="shared" si="165"/>
        <v>130990037.60529484</v>
      </c>
      <c r="H143">
        <f t="shared" si="179"/>
        <v>2.0499251226465736E-3</v>
      </c>
      <c r="I143">
        <f t="shared" si="180"/>
        <v>7.1142668996214173E-2</v>
      </c>
      <c r="J143">
        <f t="shared" si="166"/>
        <v>0</v>
      </c>
      <c r="K143" s="96">
        <f t="shared" si="181"/>
        <v>7.1142668996214173E-2</v>
      </c>
      <c r="L143">
        <f t="shared" si="150"/>
        <v>5.4197047970479702E-3</v>
      </c>
      <c r="M143">
        <f t="shared" si="151"/>
        <v>8.1295571955719553E-3</v>
      </c>
      <c r="S143">
        <v>0.6</v>
      </c>
      <c r="T143">
        <v>0.92</v>
      </c>
      <c r="U143" s="96">
        <v>1.4999999999999999E-2</v>
      </c>
      <c r="V143" s="96">
        <v>1.4E-2</v>
      </c>
      <c r="X143" s="132">
        <f t="shared" si="167"/>
        <v>25106423.874348179</v>
      </c>
      <c r="Y143">
        <f t="shared" si="182"/>
        <v>2.6027121316065014E-3</v>
      </c>
      <c r="Z143">
        <f t="shared" si="152"/>
        <v>0.455665954834516</v>
      </c>
      <c r="AA143">
        <f t="shared" si="168"/>
        <v>4.2961032183893286E-2</v>
      </c>
      <c r="AB143">
        <f t="shared" si="169"/>
        <v>0.4986269870184093</v>
      </c>
      <c r="AC143" s="96">
        <f t="shared" si="170"/>
        <v>0.99725397403681859</v>
      </c>
      <c r="AD143" s="132">
        <f t="shared" si="171"/>
        <v>18993555.452767752</v>
      </c>
      <c r="AE143">
        <f t="shared" si="183"/>
        <v>2.7159825203257439E-3</v>
      </c>
      <c r="AF143">
        <f t="shared" si="172"/>
        <v>7.7382735984870041E-2</v>
      </c>
      <c r="AG143" s="96">
        <f t="shared" si="173"/>
        <v>0.92859283181844043</v>
      </c>
      <c r="AH143" s="96">
        <v>2.3999999999999998E-3</v>
      </c>
      <c r="AI143" s="96">
        <v>3.7000000000000002E-3</v>
      </c>
      <c r="AJ143" s="132">
        <f t="shared" si="174"/>
        <v>20093871.768652227</v>
      </c>
      <c r="AM143" s="96">
        <f t="shared" si="153"/>
        <v>0</v>
      </c>
      <c r="AP143">
        <f t="shared" si="184"/>
        <v>8.7426839425142552E-3</v>
      </c>
      <c r="AQ143">
        <f t="shared" si="155"/>
        <v>2.2826976084086872E-2</v>
      </c>
      <c r="AR143">
        <f t="shared" si="156"/>
        <v>9.2578704973672252E-3</v>
      </c>
      <c r="AS143">
        <f t="shared" si="157"/>
        <v>4.3246680881134841E-2</v>
      </c>
      <c r="AT143">
        <f t="shared" si="158"/>
        <v>4.4956533279658824E-2</v>
      </c>
      <c r="AU143">
        <f t="shared" si="159"/>
        <v>9.2578704973672252E-3</v>
      </c>
      <c r="AV143" s="26">
        <f t="shared" si="185"/>
        <v>1.0179892847044167E-2</v>
      </c>
      <c r="AW143" s="27">
        <f t="shared" si="161"/>
        <v>2.4264184988616783E-2</v>
      </c>
      <c r="AX143" s="27">
        <f t="shared" si="162"/>
        <v>1.0695079401897137E-2</v>
      </c>
      <c r="AY143" s="27">
        <f t="shared" si="175"/>
        <v>4.4683889785664753E-2</v>
      </c>
      <c r="AZ143" s="27">
        <f t="shared" si="176"/>
        <v>4.6393742184188735E-2</v>
      </c>
      <c r="BA143" s="93">
        <f t="shared" si="177"/>
        <v>1.6795079401897138E-2</v>
      </c>
    </row>
    <row r="144" spans="1:53" x14ac:dyDescent="0.25">
      <c r="A144" s="138">
        <v>0.7</v>
      </c>
      <c r="B144">
        <f t="shared" si="163"/>
        <v>740.18000000000006</v>
      </c>
      <c r="C144" s="132">
        <f t="shared" si="164"/>
        <v>34930811.043501809</v>
      </c>
      <c r="D144">
        <v>1.25</v>
      </c>
      <c r="E144" s="238">
        <f t="shared" si="187"/>
        <v>2.4769463628716176E-3</v>
      </c>
      <c r="F144" s="237">
        <f t="shared" si="178"/>
        <v>5.0027347262103766E-3</v>
      </c>
      <c r="G144" s="132">
        <f t="shared" si="165"/>
        <v>141066194.34416369</v>
      </c>
      <c r="H144">
        <f t="shared" si="179"/>
        <v>2.0291030467998075E-3</v>
      </c>
      <c r="I144">
        <f t="shared" si="180"/>
        <v>7.0420038675030508E-2</v>
      </c>
      <c r="J144">
        <f t="shared" si="166"/>
        <v>0</v>
      </c>
      <c r="K144" s="96">
        <f t="shared" si="181"/>
        <v>7.0420038675030508E-2</v>
      </c>
      <c r="L144">
        <f t="shared" si="150"/>
        <v>5.4197047970479702E-3</v>
      </c>
      <c r="M144">
        <f t="shared" si="151"/>
        <v>8.1295571955719553E-3</v>
      </c>
      <c r="S144">
        <v>0.6</v>
      </c>
      <c r="T144">
        <v>0.92</v>
      </c>
      <c r="U144" s="96">
        <v>1.4999999999999999E-2</v>
      </c>
      <c r="V144" s="96">
        <v>1.4E-2</v>
      </c>
      <c r="X144" s="132">
        <f t="shared" si="167"/>
        <v>27037687.24929804</v>
      </c>
      <c r="Y144">
        <f t="shared" si="182"/>
        <v>2.5737317515830437E-3</v>
      </c>
      <c r="Z144">
        <f t="shared" si="152"/>
        <v>0.45059225791102825</v>
      </c>
      <c r="AA144">
        <f t="shared" si="168"/>
        <v>4.3202227067895678E-2</v>
      </c>
      <c r="AB144">
        <f t="shared" si="169"/>
        <v>0.49379448497892392</v>
      </c>
      <c r="AC144" s="96">
        <f t="shared" si="170"/>
        <v>0.98758896995784784</v>
      </c>
      <c r="AD144" s="132">
        <f t="shared" si="171"/>
        <v>20454598.179903734</v>
      </c>
      <c r="AE144">
        <f t="shared" si="183"/>
        <v>2.6852413926376239E-3</v>
      </c>
      <c r="AF144">
        <f t="shared" si="172"/>
        <v>7.650687152331169E-2</v>
      </c>
      <c r="AG144" s="96">
        <f t="shared" si="173"/>
        <v>0.91808245827974022</v>
      </c>
      <c r="AH144" s="96">
        <v>2.3999999999999998E-3</v>
      </c>
      <c r="AI144" s="96">
        <v>3.7000000000000002E-3</v>
      </c>
      <c r="AJ144" s="132">
        <f t="shared" si="174"/>
        <v>21639554.212394707</v>
      </c>
      <c r="AM144" s="96">
        <f t="shared" si="153"/>
        <v>0</v>
      </c>
      <c r="AP144">
        <f t="shared" si="184"/>
        <v>8.6497651424614942E-3</v>
      </c>
      <c r="AQ144">
        <f t="shared" si="155"/>
        <v>2.2575480974866918E-2</v>
      </c>
      <c r="AR144">
        <f t="shared" si="156"/>
        <v>9.1599587062773571E-3</v>
      </c>
      <c r="AS144">
        <f t="shared" si="157"/>
        <v>4.2995185771914884E-2</v>
      </c>
      <c r="AT144">
        <f t="shared" si="158"/>
        <v>4.4705038170438874E-2</v>
      </c>
      <c r="AU144">
        <f t="shared" si="159"/>
        <v>9.1599587062773571E-3</v>
      </c>
      <c r="AV144" s="26">
        <f t="shared" si="185"/>
        <v>1.007120637463197E-2</v>
      </c>
      <c r="AW144" s="27">
        <f t="shared" si="161"/>
        <v>2.3996922207037395E-2</v>
      </c>
      <c r="AX144" s="27">
        <f t="shared" si="162"/>
        <v>1.0581399938447833E-2</v>
      </c>
      <c r="AY144" s="27">
        <f t="shared" si="175"/>
        <v>4.4416627004085364E-2</v>
      </c>
      <c r="AZ144" s="27">
        <f t="shared" si="176"/>
        <v>4.6126479402609347E-2</v>
      </c>
      <c r="BA144" s="93">
        <f t="shared" si="177"/>
        <v>1.6681399938447833E-2</v>
      </c>
    </row>
    <row r="145" spans="1:54" x14ac:dyDescent="0.25">
      <c r="A145" s="138">
        <v>0.75</v>
      </c>
      <c r="B145">
        <f t="shared" si="163"/>
        <v>793.05000000000007</v>
      </c>
      <c r="C145" s="132">
        <f t="shared" si="164"/>
        <v>37425868.975180514</v>
      </c>
      <c r="D145">
        <v>1.25</v>
      </c>
      <c r="E145" s="238">
        <f t="shared" si="187"/>
        <v>2.451741258662181E-3</v>
      </c>
      <c r="F145" s="237">
        <f t="shared" si="178"/>
        <v>4.951827507549366E-3</v>
      </c>
      <c r="G145" s="132">
        <f t="shared" si="165"/>
        <v>151142351.08303252</v>
      </c>
      <c r="H145">
        <f t="shared" si="179"/>
        <v>2.0099810227071592E-3</v>
      </c>
      <c r="I145">
        <f t="shared" si="180"/>
        <v>6.9756408664581854E-2</v>
      </c>
      <c r="J145">
        <f t="shared" si="166"/>
        <v>0</v>
      </c>
      <c r="K145" s="96">
        <f t="shared" si="181"/>
        <v>6.9756408664581854E-2</v>
      </c>
      <c r="L145">
        <f t="shared" si="150"/>
        <v>5.4197047970479702E-3</v>
      </c>
      <c r="M145">
        <f t="shared" si="151"/>
        <v>8.1295571955719553E-3</v>
      </c>
      <c r="S145">
        <v>0.6</v>
      </c>
      <c r="T145">
        <v>0.92</v>
      </c>
      <c r="U145" s="96">
        <v>1.4999999999999999E-2</v>
      </c>
      <c r="V145" s="96">
        <v>1.4E-2</v>
      </c>
      <c r="X145" s="132">
        <f t="shared" si="167"/>
        <v>28968950.624247901</v>
      </c>
      <c r="Y145">
        <f t="shared" si="182"/>
        <v>2.5471525831282683E-3</v>
      </c>
      <c r="Z145">
        <f t="shared" si="152"/>
        <v>0.44593894953105884</v>
      </c>
      <c r="AA145">
        <f t="shared" si="168"/>
        <v>4.3427046592693211E-2</v>
      </c>
      <c r="AB145">
        <f t="shared" si="169"/>
        <v>0.48936599612375203</v>
      </c>
      <c r="AC145" s="96">
        <f t="shared" si="170"/>
        <v>0.97873199224750407</v>
      </c>
      <c r="AD145" s="132">
        <f t="shared" si="171"/>
        <v>21915640.907039713</v>
      </c>
      <c r="AE145">
        <f t="shared" si="183"/>
        <v>2.6570543629030534E-3</v>
      </c>
      <c r="AF145">
        <f t="shared" si="172"/>
        <v>7.5703777444530093E-2</v>
      </c>
      <c r="AG145" s="96">
        <f t="shared" si="173"/>
        <v>0.90844532933436106</v>
      </c>
      <c r="AH145" s="96">
        <v>2.3999999999999998E-3</v>
      </c>
      <c r="AI145" s="96">
        <v>3.7000000000000002E-3</v>
      </c>
      <c r="AJ145" s="132">
        <f t="shared" si="174"/>
        <v>23185236.656137187</v>
      </c>
      <c r="AM145" s="96">
        <f t="shared" si="153"/>
        <v>0</v>
      </c>
      <c r="AP145">
        <f t="shared" si="184"/>
        <v>8.5644887459530791E-3</v>
      </c>
      <c r="AQ145">
        <f t="shared" si="155"/>
        <v>2.2344806026686363E-2</v>
      </c>
      <c r="AR145">
        <f t="shared" si="156"/>
        <v>9.0701067493281721E-3</v>
      </c>
      <c r="AS145">
        <f t="shared" si="157"/>
        <v>4.2764510823734336E-2</v>
      </c>
      <c r="AT145">
        <f t="shared" si="158"/>
        <v>4.4474363222258319E-2</v>
      </c>
      <c r="AU145">
        <f t="shared" si="159"/>
        <v>9.0701067493281738E-3</v>
      </c>
      <c r="AV145" s="26">
        <f t="shared" si="185"/>
        <v>9.9714655654412759E-3</v>
      </c>
      <c r="AW145" s="27">
        <f t="shared" si="161"/>
        <v>2.375178284617456E-2</v>
      </c>
      <c r="AX145" s="27">
        <f t="shared" si="162"/>
        <v>1.0477083568816371E-2</v>
      </c>
      <c r="AY145" s="27">
        <f t="shared" si="175"/>
        <v>4.4171487643222526E-2</v>
      </c>
      <c r="AZ145" s="27">
        <f t="shared" si="176"/>
        <v>4.5881340041746516E-2</v>
      </c>
      <c r="BA145" s="93">
        <f t="shared" si="177"/>
        <v>1.6577083568816368E-2</v>
      </c>
    </row>
    <row r="146" spans="1:54" x14ac:dyDescent="0.25">
      <c r="A146" s="138">
        <v>0.8</v>
      </c>
      <c r="B146">
        <f t="shared" si="163"/>
        <v>845.92000000000007</v>
      </c>
      <c r="C146" s="132">
        <f t="shared" si="164"/>
        <v>39920926.906859212</v>
      </c>
      <c r="D146">
        <v>1.25</v>
      </c>
      <c r="E146" s="238">
        <f t="shared" si="187"/>
        <v>2.4284844883479058E-3</v>
      </c>
      <c r="F146" s="237">
        <f t="shared" si="178"/>
        <v>4.9048553751630045E-3</v>
      </c>
      <c r="G146" s="132">
        <f t="shared" si="165"/>
        <v>161218507.82190135</v>
      </c>
      <c r="H146">
        <f t="shared" si="179"/>
        <v>1.9923191760398604E-3</v>
      </c>
      <c r="I146">
        <f t="shared" si="180"/>
        <v>6.914345412422708E-2</v>
      </c>
      <c r="J146">
        <f t="shared" si="166"/>
        <v>0</v>
      </c>
      <c r="K146" s="96">
        <f t="shared" si="181"/>
        <v>6.914345412422708E-2</v>
      </c>
      <c r="L146">
        <f t="shared" si="150"/>
        <v>5.4197047970479702E-3</v>
      </c>
      <c r="M146">
        <f t="shared" si="151"/>
        <v>8.1295571955719553E-3</v>
      </c>
      <c r="S146">
        <v>0.6</v>
      </c>
      <c r="T146">
        <v>0.92</v>
      </c>
      <c r="U146" s="96">
        <v>1.4999999999999999E-2</v>
      </c>
      <c r="V146" s="96">
        <v>1.4E-2</v>
      </c>
      <c r="X146" s="132">
        <f t="shared" si="167"/>
        <v>30900213.999197755</v>
      </c>
      <c r="Y146">
        <f t="shared" si="182"/>
        <v>2.5226329751419732E-3</v>
      </c>
      <c r="Z146">
        <f t="shared" si="152"/>
        <v>0.44164621563645523</v>
      </c>
      <c r="AA146">
        <f t="shared" si="168"/>
        <v>4.3637588357997296E-2</v>
      </c>
      <c r="AB146">
        <f t="shared" si="169"/>
        <v>0.48528380399445253</v>
      </c>
      <c r="AC146" s="96">
        <f t="shared" si="170"/>
        <v>0.97056760798890507</v>
      </c>
      <c r="AD146" s="132">
        <f t="shared" si="171"/>
        <v>23376683.634175695</v>
      </c>
      <c r="AE146">
        <f t="shared" si="183"/>
        <v>2.631057456033072E-3</v>
      </c>
      <c r="AF146">
        <f t="shared" si="172"/>
        <v>7.4963083509393222E-2</v>
      </c>
      <c r="AG146" s="96">
        <f t="shared" si="173"/>
        <v>0.89955700211271861</v>
      </c>
      <c r="AH146" s="96">
        <v>2.5000000000000001E-3</v>
      </c>
      <c r="AI146" s="96">
        <v>3.7000000000000002E-3</v>
      </c>
      <c r="AJ146" s="132">
        <f t="shared" si="174"/>
        <v>24730919.099879667</v>
      </c>
      <c r="AM146" s="96">
        <f t="shared" si="153"/>
        <v>0</v>
      </c>
      <c r="AP146">
        <f t="shared" si="184"/>
        <v>8.4857719014859827E-3</v>
      </c>
      <c r="AQ146">
        <f t="shared" si="155"/>
        <v>2.2131990327629202E-2</v>
      </c>
      <c r="AR146">
        <f t="shared" si="156"/>
        <v>8.9871721417754541E-3</v>
      </c>
      <c r="AS146">
        <f t="shared" si="157"/>
        <v>4.2551695124677172E-2</v>
      </c>
      <c r="AT146">
        <f t="shared" si="158"/>
        <v>4.4261547523201154E-2</v>
      </c>
      <c r="AU146">
        <f t="shared" si="159"/>
        <v>8.9871721417754541E-3</v>
      </c>
      <c r="AV146" s="26">
        <f t="shared" si="185"/>
        <v>9.8794023955359883E-3</v>
      </c>
      <c r="AW146" s="27">
        <f t="shared" si="161"/>
        <v>2.3525620821679208E-2</v>
      </c>
      <c r="AX146" s="27">
        <f t="shared" si="162"/>
        <v>1.038080263582546E-2</v>
      </c>
      <c r="AY146" s="27">
        <f t="shared" si="175"/>
        <v>4.3945325618727174E-2</v>
      </c>
      <c r="AZ146" s="27">
        <f t="shared" si="176"/>
        <v>4.5655178017251163E-2</v>
      </c>
      <c r="BA146" s="93">
        <f t="shared" si="177"/>
        <v>1.658080263582546E-2</v>
      </c>
    </row>
    <row r="147" spans="1:54" x14ac:dyDescent="0.25">
      <c r="A147" s="138">
        <v>0.85</v>
      </c>
      <c r="B147">
        <f t="shared" si="163"/>
        <v>898.79000000000008</v>
      </c>
      <c r="C147" s="132">
        <f t="shared" si="164"/>
        <v>42415984.838537909</v>
      </c>
      <c r="D147">
        <v>1.35</v>
      </c>
      <c r="E147" s="238">
        <f t="shared" si="187"/>
        <v>2.4069160167006953E-3</v>
      </c>
      <c r="F147" s="237">
        <f t="shared" si="178"/>
        <v>5.2501965815398653E-3</v>
      </c>
      <c r="G147" s="132">
        <f t="shared" si="165"/>
        <v>171294664.56077015</v>
      </c>
      <c r="H147">
        <f t="shared" si="179"/>
        <v>1.9759239725028513E-3</v>
      </c>
      <c r="I147">
        <f t="shared" si="180"/>
        <v>6.8574458444593145E-2</v>
      </c>
      <c r="J147">
        <f t="shared" si="166"/>
        <v>0</v>
      </c>
      <c r="K147" s="96">
        <f t="shared" si="181"/>
        <v>6.8574458444593145E-2</v>
      </c>
      <c r="L147">
        <f t="shared" si="150"/>
        <v>5.4197047970479702E-3</v>
      </c>
      <c r="M147">
        <f t="shared" si="151"/>
        <v>8.1295571955719553E-3</v>
      </c>
      <c r="S147">
        <v>0.6</v>
      </c>
      <c r="T147">
        <v>0.92</v>
      </c>
      <c r="U147" s="96">
        <v>1.4999999999999999E-2</v>
      </c>
      <c r="V147" s="96">
        <v>1.4E-2</v>
      </c>
      <c r="X147" s="132">
        <f t="shared" si="167"/>
        <v>32831477.37414762</v>
      </c>
      <c r="Y147">
        <f t="shared" si="182"/>
        <v>2.4998976640565407E-3</v>
      </c>
      <c r="Z147">
        <f t="shared" si="152"/>
        <v>0.43766586486757908</v>
      </c>
      <c r="AA147">
        <f t="shared" si="168"/>
        <v>4.3835570192439798E-2</v>
      </c>
      <c r="AB147">
        <f t="shared" si="169"/>
        <v>0.48150143506001886</v>
      </c>
      <c r="AC147" s="96">
        <f t="shared" si="170"/>
        <v>0.96300287012003771</v>
      </c>
      <c r="AD147" s="132">
        <f t="shared" si="171"/>
        <v>24837726.361311674</v>
      </c>
      <c r="AE147">
        <f t="shared" si="183"/>
        <v>2.6069575000401764E-3</v>
      </c>
      <c r="AF147">
        <f t="shared" si="172"/>
        <v>7.4276436773676541E-2</v>
      </c>
      <c r="AG147" s="96">
        <f t="shared" si="173"/>
        <v>0.89131724128411849</v>
      </c>
      <c r="AH147" s="96">
        <v>2.7499999999999998E-3</v>
      </c>
      <c r="AI147" s="96">
        <v>3.7000000000000002E-3</v>
      </c>
      <c r="AJ147" s="132">
        <f t="shared" si="174"/>
        <v>26276601.543622144</v>
      </c>
      <c r="AM147" s="96">
        <f t="shared" si="153"/>
        <v>0</v>
      </c>
      <c r="AP147">
        <f t="shared" si="184"/>
        <v>8.8016450105799574E-3</v>
      </c>
      <c r="AQ147">
        <f t="shared" si="155"/>
        <v>2.2323551568889606E-2</v>
      </c>
      <c r="AR147">
        <f t="shared" si="156"/>
        <v>9.2991372682065462E-3</v>
      </c>
      <c r="AS147">
        <f t="shared" si="157"/>
        <v>4.2743256365937579E-2</v>
      </c>
      <c r="AT147">
        <f t="shared" si="158"/>
        <v>4.4453108764461562E-2</v>
      </c>
      <c r="AU147">
        <f t="shared" si="159"/>
        <v>9.2991372682065445E-3</v>
      </c>
      <c r="AV147" s="26">
        <f t="shared" si="185"/>
        <v>1.0293398282825602E-2</v>
      </c>
      <c r="AW147" s="27">
        <f t="shared" si="161"/>
        <v>2.3815304841135247E-2</v>
      </c>
      <c r="AX147" s="27">
        <f t="shared" si="162"/>
        <v>1.0790890540452189E-2</v>
      </c>
      <c r="AY147" s="27">
        <f t="shared" si="175"/>
        <v>4.423500963818322E-2</v>
      </c>
      <c r="AZ147" s="27">
        <f t="shared" si="176"/>
        <v>4.5944862036707203E-2</v>
      </c>
      <c r="BA147" s="93">
        <f t="shared" si="177"/>
        <v>1.7240890540452192E-2</v>
      </c>
    </row>
    <row r="148" spans="1:54" x14ac:dyDescent="0.25">
      <c r="A148" s="138">
        <v>0.9</v>
      </c>
      <c r="B148">
        <f t="shared" si="163"/>
        <v>951.66000000000008</v>
      </c>
      <c r="C148" s="132">
        <f t="shared" si="164"/>
        <v>44911042.770216614</v>
      </c>
      <c r="D148">
        <v>1.35</v>
      </c>
      <c r="E148" s="238">
        <f t="shared" si="187"/>
        <v>2.3868234033392064E-3</v>
      </c>
      <c r="F148" s="237">
        <f t="shared" si="178"/>
        <v>5.2063686418640578E-3</v>
      </c>
      <c r="G148" s="132">
        <f t="shared" si="165"/>
        <v>181370821.29963899</v>
      </c>
      <c r="H148">
        <f t="shared" si="179"/>
        <v>1.9606371295150561E-3</v>
      </c>
      <c r="I148">
        <f t="shared" si="180"/>
        <v>6.8043928427343664E-2</v>
      </c>
      <c r="J148">
        <f t="shared" si="166"/>
        <v>0</v>
      </c>
      <c r="K148" s="96">
        <f t="shared" si="181"/>
        <v>6.8043928427343664E-2</v>
      </c>
      <c r="L148">
        <f t="shared" si="150"/>
        <v>5.4197047970479702E-3</v>
      </c>
      <c r="M148">
        <f t="shared" si="151"/>
        <v>8.1295571955719553E-3</v>
      </c>
      <c r="S148">
        <v>0.6</v>
      </c>
      <c r="T148">
        <v>0.92</v>
      </c>
      <c r="U148" s="96">
        <v>1.4999999999999999E-2</v>
      </c>
      <c r="V148" s="96">
        <v>1.4E-2</v>
      </c>
      <c r="X148" s="132">
        <f t="shared" si="167"/>
        <v>34762740.749097481</v>
      </c>
      <c r="Y148">
        <f t="shared" si="182"/>
        <v>2.4787218176171451E-3</v>
      </c>
      <c r="Z148">
        <f t="shared" si="152"/>
        <v>0.43395853505186088</v>
      </c>
      <c r="AA148">
        <f t="shared" si="168"/>
        <v>4.4022416733030263E-2</v>
      </c>
      <c r="AB148">
        <f t="shared" si="169"/>
        <v>0.47798095178489114</v>
      </c>
      <c r="AC148" s="96">
        <f t="shared" si="170"/>
        <v>0.95596190356978228</v>
      </c>
      <c r="AD148" s="132">
        <f t="shared" si="171"/>
        <v>26298769.088447656</v>
      </c>
      <c r="AE148">
        <f t="shared" si="183"/>
        <v>2.5845150942194104E-3</v>
      </c>
      <c r="AF148">
        <f t="shared" si="172"/>
        <v>7.3637016323987725E-2</v>
      </c>
      <c r="AG148" s="96">
        <f t="shared" si="173"/>
        <v>0.8836441958878527</v>
      </c>
      <c r="AH148" s="96">
        <v>3.2499999999999999E-3</v>
      </c>
      <c r="AI148" s="96">
        <v>3.7000000000000002E-3</v>
      </c>
      <c r="AJ148" s="132">
        <f t="shared" si="174"/>
        <v>27822283.987364624</v>
      </c>
      <c r="AM148" s="96">
        <f t="shared" si="153"/>
        <v>0</v>
      </c>
      <c r="AP148">
        <f t="shared" si="184"/>
        <v>8.7303410975015788E-3</v>
      </c>
      <c r="AQ148">
        <f t="shared" si="155"/>
        <v>2.2136487526341675E-2</v>
      </c>
      <c r="AR148">
        <f t="shared" si="156"/>
        <v>9.2241959554343073E-3</v>
      </c>
      <c r="AS148">
        <f t="shared" si="157"/>
        <v>4.2556192323389641E-2</v>
      </c>
      <c r="AT148">
        <f t="shared" si="158"/>
        <v>4.426604472191363E-2</v>
      </c>
      <c r="AU148">
        <f t="shared" si="159"/>
        <v>9.2241959554343073E-3</v>
      </c>
      <c r="AV148" s="26">
        <f t="shared" si="185"/>
        <v>1.0209641412717565E-2</v>
      </c>
      <c r="AW148" s="27">
        <f t="shared" si="161"/>
        <v>2.3615787841557663E-2</v>
      </c>
      <c r="AX148" s="27">
        <f t="shared" si="162"/>
        <v>1.0703496270650294E-2</v>
      </c>
      <c r="AY148" s="27">
        <f t="shared" si="175"/>
        <v>4.4035492638605636E-2</v>
      </c>
      <c r="AZ148" s="27">
        <f t="shared" si="176"/>
        <v>4.5745345037129619E-2</v>
      </c>
      <c r="BA148" s="93">
        <f t="shared" si="177"/>
        <v>1.7653496270650292E-2</v>
      </c>
    </row>
    <row r="149" spans="1:54" x14ac:dyDescent="0.25">
      <c r="A149" s="138">
        <v>0.95</v>
      </c>
      <c r="B149">
        <f t="shared" si="163"/>
        <v>1004.5300000000001</v>
      </c>
      <c r="C149" s="132">
        <f t="shared" si="164"/>
        <v>47406100.701895311</v>
      </c>
      <c r="D149">
        <v>1.35</v>
      </c>
      <c r="E149" s="238">
        <f>0.455/(LOG10(C149))^2.58</f>
        <v>2.3680309895220469E-3</v>
      </c>
      <c r="F149" s="237">
        <f t="shared" si="178"/>
        <v>5.165376822416622E-3</v>
      </c>
      <c r="G149" s="132">
        <f t="shared" si="165"/>
        <v>191446978.03850785</v>
      </c>
      <c r="H149">
        <f t="shared" si="179"/>
        <v>1.9463276369231807E-3</v>
      </c>
      <c r="I149">
        <f t="shared" si="180"/>
        <v>6.7547317363982853E-2</v>
      </c>
      <c r="J149">
        <f t="shared" si="166"/>
        <v>0</v>
      </c>
      <c r="K149" s="96">
        <f t="shared" si="181"/>
        <v>6.7547317363982853E-2</v>
      </c>
      <c r="L149">
        <f t="shared" si="150"/>
        <v>5.4197047970479702E-3</v>
      </c>
      <c r="M149">
        <f t="shared" si="151"/>
        <v>8.1295571955719553E-3</v>
      </c>
      <c r="S149">
        <v>0.6</v>
      </c>
      <c r="T149">
        <v>0.92</v>
      </c>
      <c r="U149" s="96">
        <v>1.4999999999999999E-2</v>
      </c>
      <c r="V149" s="96">
        <v>1.4E-2</v>
      </c>
      <c r="X149" s="132">
        <f t="shared" si="167"/>
        <v>36694004.124047339</v>
      </c>
      <c r="Y149">
        <f t="shared" si="182"/>
        <v>2.4589195686766214E-3</v>
      </c>
      <c r="Z149">
        <f t="shared" si="152"/>
        <v>0.43049168577499319</v>
      </c>
      <c r="AA149">
        <f t="shared" si="168"/>
        <v>4.4199322641440372E-2</v>
      </c>
      <c r="AB149">
        <f t="shared" si="169"/>
        <v>0.47469100841643358</v>
      </c>
      <c r="AC149" s="96">
        <f t="shared" si="170"/>
        <v>0.94938201683286716</v>
      </c>
      <c r="AD149" s="132">
        <f t="shared" si="171"/>
        <v>27759811.815583635</v>
      </c>
      <c r="AE149">
        <f t="shared" si="183"/>
        <v>2.5635323732672616E-3</v>
      </c>
      <c r="AF149">
        <f t="shared" si="172"/>
        <v>7.3039184657718539E-2</v>
      </c>
      <c r="AG149" s="96">
        <f t="shared" si="173"/>
        <v>0.87647021589262253</v>
      </c>
      <c r="AH149" s="96">
        <v>3.7499999999999999E-3</v>
      </c>
      <c r="AI149" s="96">
        <v>3.7000000000000002E-3</v>
      </c>
      <c r="AJ149" s="132">
        <f t="shared" si="174"/>
        <v>29367966.431107104</v>
      </c>
      <c r="AM149" s="96">
        <f t="shared" si="153"/>
        <v>0</v>
      </c>
      <c r="AP149">
        <f t="shared" si="184"/>
        <v>8.6636299560088701E-3</v>
      </c>
      <c r="AQ149">
        <f t="shared" si="155"/>
        <v>2.1961547067785206E-2</v>
      </c>
      <c r="AR149">
        <f t="shared" si="156"/>
        <v>9.1540856104612746E-3</v>
      </c>
      <c r="AS149">
        <f t="shared" si="157"/>
        <v>4.2381251864833172E-2</v>
      </c>
      <c r="AT149">
        <f t="shared" si="158"/>
        <v>4.4091104263357161E-2</v>
      </c>
      <c r="AU149">
        <f t="shared" si="159"/>
        <v>9.1540856104612746E-3</v>
      </c>
      <c r="AV149" s="161">
        <f t="shared" si="185"/>
        <v>1.0131283149094035E-2</v>
      </c>
      <c r="AW149" s="94">
        <f t="shared" si="161"/>
        <v>2.3429200260870371E-2</v>
      </c>
      <c r="AX149" s="94">
        <f t="shared" si="162"/>
        <v>1.062173880354644E-2</v>
      </c>
      <c r="AY149" s="27">
        <f t="shared" si="175"/>
        <v>4.3848905057918344E-2</v>
      </c>
      <c r="AZ149" s="27">
        <f t="shared" si="176"/>
        <v>4.5558757456442327E-2</v>
      </c>
      <c r="BA149" s="162">
        <f t="shared" si="177"/>
        <v>1.8071738803546442E-2</v>
      </c>
    </row>
    <row r="151" spans="1:54" x14ac:dyDescent="0.25">
      <c r="A151" t="s">
        <v>180</v>
      </c>
      <c r="B151" s="98">
        <v>30000</v>
      </c>
      <c r="C151" s="132" t="s">
        <v>124</v>
      </c>
      <c r="D151" t="s">
        <v>181</v>
      </c>
      <c r="E151" s="238" t="s">
        <v>153</v>
      </c>
      <c r="F151" s="238">
        <v>542</v>
      </c>
      <c r="G151" t="s">
        <v>150</v>
      </c>
      <c r="H151" t="s">
        <v>233</v>
      </c>
    </row>
    <row r="152" spans="1:54" x14ac:dyDescent="0.25">
      <c r="A152" t="s">
        <v>353</v>
      </c>
      <c r="B152" s="98">
        <v>-47.87</v>
      </c>
      <c r="C152" s="132" t="s">
        <v>352</v>
      </c>
      <c r="D152" t="s">
        <v>350</v>
      </c>
      <c r="E152" s="238" t="s">
        <v>410</v>
      </c>
      <c r="F152" s="238">
        <f>$F$2</f>
        <v>24.1</v>
      </c>
      <c r="G152" t="s">
        <v>364</v>
      </c>
      <c r="H152" t="s">
        <v>365</v>
      </c>
    </row>
    <row r="153" spans="1:54" x14ac:dyDescent="0.25">
      <c r="A153" t="s">
        <v>177</v>
      </c>
      <c r="B153" s="131">
        <v>8.9070000000000002E-4</v>
      </c>
      <c r="C153" s="132" t="s">
        <v>165</v>
      </c>
      <c r="D153" t="s">
        <v>324</v>
      </c>
      <c r="E153" s="238" t="s">
        <v>363</v>
      </c>
      <c r="F153" s="238">
        <f>$F$3</f>
        <v>0.91283417723304283</v>
      </c>
    </row>
    <row r="154" spans="1:54" x14ac:dyDescent="0.25">
      <c r="A154" t="s">
        <v>349</v>
      </c>
      <c r="B154" s="131">
        <f>0.000000311-0.00000021</f>
        <v>1.0100000000000002E-7</v>
      </c>
      <c r="C154" s="132" t="s">
        <v>354</v>
      </c>
      <c r="D154" t="s">
        <v>351</v>
      </c>
    </row>
    <row r="155" spans="1:54" x14ac:dyDescent="0.25">
      <c r="A155" t="s">
        <v>142</v>
      </c>
      <c r="B155" s="98">
        <v>994.8</v>
      </c>
      <c r="C155" s="132" t="s">
        <v>135</v>
      </c>
      <c r="D155" t="s">
        <v>327</v>
      </c>
    </row>
    <row r="156" spans="1:54" x14ac:dyDescent="0.25">
      <c r="C156" s="164" t="s">
        <v>207</v>
      </c>
      <c r="G156" s="96" t="s">
        <v>379</v>
      </c>
      <c r="I156" t="s">
        <v>521</v>
      </c>
      <c r="L156" s="96" t="s">
        <v>554</v>
      </c>
      <c r="N156" s="29"/>
      <c r="S156" s="96" t="s">
        <v>163</v>
      </c>
      <c r="X156" s="96" t="s">
        <v>390</v>
      </c>
      <c r="AJ156" s="96" t="s">
        <v>503</v>
      </c>
      <c r="AK156" t="s">
        <v>614</v>
      </c>
      <c r="AP156" s="96" t="s">
        <v>417</v>
      </c>
      <c r="AV156" s="96" t="s">
        <v>624</v>
      </c>
    </row>
    <row r="157" spans="1:54" x14ac:dyDescent="0.25">
      <c r="C157" s="235" t="s">
        <v>518</v>
      </c>
      <c r="D157" s="97" t="s">
        <v>360</v>
      </c>
      <c r="E157" s="240" t="s">
        <v>219</v>
      </c>
      <c r="F157" s="240" t="s">
        <v>220</v>
      </c>
      <c r="G157" s="97" t="s">
        <v>371</v>
      </c>
      <c r="H157" s="97" t="s">
        <v>372</v>
      </c>
      <c r="I157" s="97" t="s">
        <v>553</v>
      </c>
      <c r="J157" s="97" t="s">
        <v>380</v>
      </c>
      <c r="K157" s="97" t="s">
        <v>376</v>
      </c>
      <c r="L157" t="s">
        <v>629</v>
      </c>
      <c r="M157" t="s">
        <v>585</v>
      </c>
      <c r="N157" t="s">
        <v>587</v>
      </c>
      <c r="O157" s="29" t="s">
        <v>588</v>
      </c>
      <c r="P157" t="s">
        <v>589</v>
      </c>
      <c r="Q157" t="s">
        <v>590</v>
      </c>
      <c r="R157" t="s">
        <v>591</v>
      </c>
      <c r="S157" t="s">
        <v>155</v>
      </c>
      <c r="T157" t="s">
        <v>581</v>
      </c>
      <c r="U157" t="s">
        <v>142</v>
      </c>
      <c r="V157" t="s">
        <v>143</v>
      </c>
      <c r="W157" t="s">
        <v>583</v>
      </c>
      <c r="AJ157" t="s">
        <v>518</v>
      </c>
      <c r="AK157" t="s">
        <v>360</v>
      </c>
      <c r="AL157" t="s">
        <v>219</v>
      </c>
      <c r="AM157" t="s">
        <v>220</v>
      </c>
      <c r="AN157" t="s">
        <v>602</v>
      </c>
      <c r="AO157" t="s">
        <v>603</v>
      </c>
      <c r="AP157" t="s">
        <v>534</v>
      </c>
      <c r="AV157" t="s">
        <v>534</v>
      </c>
    </row>
    <row r="158" spans="1:54" x14ac:dyDescent="0.25">
      <c r="C158" s="236">
        <v>12.381</v>
      </c>
      <c r="D158" s="28">
        <v>1.2</v>
      </c>
      <c r="E158" s="236">
        <v>0.1</v>
      </c>
      <c r="F158" s="241">
        <v>775</v>
      </c>
      <c r="G158" s="133">
        <v>867.11</v>
      </c>
      <c r="H158" s="28">
        <v>6.8449999999999998</v>
      </c>
      <c r="I158" s="28">
        <v>28.07</v>
      </c>
      <c r="J158" s="28">
        <v>50</v>
      </c>
      <c r="K158" s="28"/>
      <c r="L158" s="86">
        <v>15</v>
      </c>
      <c r="M158">
        <v>20</v>
      </c>
      <c r="N158">
        <v>1.4</v>
      </c>
      <c r="O158">
        <v>0.02</v>
      </c>
      <c r="P158">
        <v>0.03</v>
      </c>
      <c r="Q158">
        <v>104.91</v>
      </c>
      <c r="R158" t="e">
        <f>Q158/N152</f>
        <v>#DIV/0!</v>
      </c>
      <c r="S158">
        <v>4.7300000000000004</v>
      </c>
      <c r="T158">
        <v>1.65</v>
      </c>
      <c r="U158">
        <v>1.1399999999999999</v>
      </c>
      <c r="V158">
        <v>4.53</v>
      </c>
      <c r="W158">
        <v>3.18</v>
      </c>
      <c r="X158" t="s">
        <v>515</v>
      </c>
      <c r="AB158" t="s">
        <v>615</v>
      </c>
      <c r="AC158" t="s">
        <v>616</v>
      </c>
      <c r="AD158" t="s">
        <v>606</v>
      </c>
      <c r="AF158" t="s">
        <v>615</v>
      </c>
      <c r="AG158" t="s">
        <v>617</v>
      </c>
      <c r="AH158" t="s">
        <v>627</v>
      </c>
      <c r="AI158" t="s">
        <v>628</v>
      </c>
      <c r="AJ158">
        <v>7.67</v>
      </c>
      <c r="AK158">
        <v>1.2</v>
      </c>
      <c r="AL158">
        <v>0.09</v>
      </c>
      <c r="AM158">
        <v>217.4</v>
      </c>
      <c r="AN158">
        <v>58.91</v>
      </c>
      <c r="AO158">
        <v>95.09</v>
      </c>
    </row>
    <row r="159" spans="1:54" x14ac:dyDescent="0.25">
      <c r="A159" t="s">
        <v>348</v>
      </c>
      <c r="B159" t="s">
        <v>355</v>
      </c>
      <c r="C159" s="132" t="s">
        <v>374</v>
      </c>
      <c r="D159" t="s">
        <v>367</v>
      </c>
      <c r="E159" s="238" t="s">
        <v>366</v>
      </c>
      <c r="F159" s="237" t="s">
        <v>356</v>
      </c>
      <c r="G159" t="s">
        <v>374</v>
      </c>
      <c r="H159" t="s">
        <v>366</v>
      </c>
      <c r="I159" t="s">
        <v>375</v>
      </c>
      <c r="J159" t="s">
        <v>377</v>
      </c>
      <c r="K159" s="96" t="s">
        <v>378</v>
      </c>
      <c r="L159" s="11" t="s">
        <v>630</v>
      </c>
      <c r="M159" s="11" t="s">
        <v>586</v>
      </c>
      <c r="N159" s="11"/>
      <c r="O159" s="11"/>
      <c r="S159" t="s">
        <v>555</v>
      </c>
      <c r="T159" t="s">
        <v>582</v>
      </c>
      <c r="U159" s="96" t="s">
        <v>622</v>
      </c>
      <c r="V159" s="96" t="s">
        <v>623</v>
      </c>
      <c r="X159" t="s">
        <v>374</v>
      </c>
      <c r="Y159" t="s">
        <v>366</v>
      </c>
      <c r="Z159" t="s">
        <v>611</v>
      </c>
      <c r="AA159" t="s">
        <v>377</v>
      </c>
      <c r="AB159" t="s">
        <v>612</v>
      </c>
      <c r="AC159" s="96" t="s">
        <v>612</v>
      </c>
      <c r="AD159" t="s">
        <v>374</v>
      </c>
      <c r="AE159" t="s">
        <v>366</v>
      </c>
      <c r="AF159" t="s">
        <v>613</v>
      </c>
      <c r="AG159" s="96" t="s">
        <v>613</v>
      </c>
      <c r="AH159" s="96" t="s">
        <v>110</v>
      </c>
      <c r="AI159" s="96" t="s">
        <v>110</v>
      </c>
      <c r="AJ159" t="s">
        <v>374</v>
      </c>
      <c r="AK159" t="s">
        <v>367</v>
      </c>
      <c r="AL159" t="s">
        <v>366</v>
      </c>
      <c r="AM159" s="96" t="s">
        <v>523</v>
      </c>
      <c r="AP159" t="s">
        <v>522</v>
      </c>
      <c r="AQ159" t="s">
        <v>516</v>
      </c>
      <c r="AR159" t="s">
        <v>192</v>
      </c>
      <c r="AS159" t="s">
        <v>290</v>
      </c>
      <c r="AT159" t="s">
        <v>294</v>
      </c>
      <c r="AU159" t="s">
        <v>289</v>
      </c>
      <c r="AV159" s="160" t="s">
        <v>522</v>
      </c>
      <c r="AW159" s="108" t="s">
        <v>516</v>
      </c>
      <c r="AX159" s="108" t="s">
        <v>192</v>
      </c>
      <c r="AY159" s="108" t="s">
        <v>290</v>
      </c>
      <c r="AZ159" s="108" t="s">
        <v>294</v>
      </c>
      <c r="BA159" s="51" t="s">
        <v>289</v>
      </c>
      <c r="BB159" t="s">
        <v>348</v>
      </c>
    </row>
    <row r="160" spans="1:54" x14ac:dyDescent="0.25">
      <c r="A160" s="138">
        <v>0</v>
      </c>
      <c r="B160">
        <f>A160*$B$155</f>
        <v>0</v>
      </c>
      <c r="C160" s="132">
        <f>($B$153*B160*($C$8))/$B$154</f>
        <v>0</v>
      </c>
      <c r="D160">
        <v>1.06</v>
      </c>
      <c r="E160" s="238" t="e">
        <f>0.455/(LOG10(C160))^2.58</f>
        <v>#NUM!</v>
      </c>
      <c r="F160" s="237" t="e">
        <f>E160*(1+$D$8*$E$8+100*$E$8^4)*D160*($F$8/$F$1)</f>
        <v>#NUM!</v>
      </c>
      <c r="G160">
        <f>($B$153*B160*$J$8)/$B$154</f>
        <v>0</v>
      </c>
      <c r="H160" t="e">
        <f>1.328/SQRT(G160)</f>
        <v>#DIV/0!</v>
      </c>
      <c r="I160" t="e">
        <f>H160*(1+(60/(($J$8/$H$8)^3))+0.0025*($J$8/$H$8))*($G$8/$I$8)</f>
        <v>#DIV/0!</v>
      </c>
      <c r="J160" t="e">
        <f>(0.029*($K$8/$H$8)^3)/SQRT(I160)</f>
        <v>#DIV/0!</v>
      </c>
      <c r="K160" s="96" t="e">
        <f>I160+J160</f>
        <v>#DIV/0!</v>
      </c>
      <c r="L160">
        <f t="shared" ref="L160:L179" si="188">$N$8*$O$8*$R$8</f>
        <v>5.4197047970479702E-3</v>
      </c>
      <c r="M160">
        <f t="shared" ref="M160:M179" si="189">$N$8*$P$8*$R$8</f>
        <v>8.1295571955719553E-3</v>
      </c>
      <c r="S160">
        <v>0.6</v>
      </c>
      <c r="T160">
        <v>0.92</v>
      </c>
      <c r="U160" s="96">
        <v>1.4999999999999999E-2</v>
      </c>
      <c r="V160" s="96">
        <v>1.4E-2</v>
      </c>
      <c r="X160">
        <f>$B$153*B160*$Z$2/$B$154</f>
        <v>0</v>
      </c>
      <c r="Z160">
        <f t="shared" ref="Z160:Z179" si="190">Y160*(1+(60/($Z$2/$Z$1)^3)+0.0025*($Z$2/$Z$1))*($AC$1/$AC$2)</f>
        <v>0</v>
      </c>
      <c r="AA160" t="e">
        <f>0.029*($Z$1/$Z$1)^3/SQRT(Z160)</f>
        <v>#DIV/0!</v>
      </c>
      <c r="AB160" t="e">
        <f>Z160+AA160</f>
        <v>#DIV/0!</v>
      </c>
      <c r="AC160" s="96" t="e">
        <f>2*AB160</f>
        <v>#DIV/0!</v>
      </c>
      <c r="AD160">
        <f>$B$153*B160*$Z$4/$B$154</f>
        <v>0</v>
      </c>
      <c r="AF160">
        <f t="shared" ref="AF160:AF179" si="191">AE160*(1+(60/($Z$4/$Z$3)^3)+0.0025*($Z$4/$Z$3))*($AC$3/$AC$4)</f>
        <v>0</v>
      </c>
      <c r="AG160" s="96">
        <f>12*AF160</f>
        <v>0</v>
      </c>
      <c r="AH160" s="96">
        <v>2.3999999999999998E-3</v>
      </c>
      <c r="AI160" s="96">
        <v>3.7000000000000002E-3</v>
      </c>
      <c r="AJ160">
        <f>($B$153*B160*$AJ$8)/$B$154</f>
        <v>0</v>
      </c>
      <c r="AM160" s="96">
        <f t="shared" ref="AM160:AM179" si="192">AL160*(1+$AK$8*$AL$8+100*$AL$8^4)*AK160*($AM$8/$F$1)</f>
        <v>0</v>
      </c>
      <c r="AP160" t="e">
        <f t="shared" ref="AP160:AP179" si="193">K160*($I$8/$F$1)+F160</f>
        <v>#DIV/0!</v>
      </c>
      <c r="AQ160" t="e">
        <f t="shared" ref="AQ160:AQ179" si="194">AP160+AC160*($AF$2/$F$1)+AG160*($AF$4/$F$1)</f>
        <v>#DIV/0!</v>
      </c>
      <c r="AR160" t="e">
        <f t="shared" ref="AR160:AR179" si="195">AQ160-AG160*($AF$4/$F$1)</f>
        <v>#DIV/0!</v>
      </c>
      <c r="AS160" t="e">
        <f t="shared" ref="AS160:AS179" si="196">AQ160+L160+U160</f>
        <v>#DIV/0!</v>
      </c>
      <c r="AT160" t="e">
        <f t="shared" ref="AT160:AT179" si="197">AQ160+M160+V160</f>
        <v>#DIV/0!</v>
      </c>
      <c r="AU160" t="e">
        <f t="shared" ref="AU160:AU179" si="198">AP160+AC160*($AF$2/$F$1)</f>
        <v>#DIV/0!</v>
      </c>
      <c r="AV160" s="26" t="e">
        <f t="shared" ref="AV160:AV179" si="199">AP160+F160*(($AN$8+$AO$8)/$F$1)</f>
        <v>#DIV/0!</v>
      </c>
      <c r="AW160" s="27" t="e">
        <f t="shared" ref="AW160:AW179" si="200">AV160+AC160*($AF$2/$F$1)+AG160*($AF$4/$F$1)</f>
        <v>#DIV/0!</v>
      </c>
      <c r="AX160" s="27" t="e">
        <f t="shared" ref="AX160:AX179" si="201">AV160+AC160*($AF$2/$F$1)</f>
        <v>#DIV/0!</v>
      </c>
      <c r="AY160" s="27" t="e">
        <f>AW160+L160+U160</f>
        <v>#DIV/0!</v>
      </c>
      <c r="AZ160" s="27" t="e">
        <f>AW160+M160+V160</f>
        <v>#DIV/0!</v>
      </c>
      <c r="BA160" s="93" t="e">
        <f>AV160+AC160*($AF$2/$F$1)+AH160+AI160</f>
        <v>#DIV/0!</v>
      </c>
      <c r="BB160" s="138">
        <v>0</v>
      </c>
    </row>
    <row r="161" spans="1:54" x14ac:dyDescent="0.25">
      <c r="A161" s="138">
        <v>0.05</v>
      </c>
      <c r="B161">
        <f t="shared" ref="B161:B179" si="202">A161*$B$155</f>
        <v>49.74</v>
      </c>
      <c r="C161" s="132">
        <f t="shared" ref="C161:C179" si="203">($B$153*B161*($C$8))/$B$154</f>
        <v>5430897.2104752464</v>
      </c>
      <c r="D161">
        <v>1.06</v>
      </c>
      <c r="E161" s="238">
        <f>0.455/(LOG10(C161))^2.58</f>
        <v>3.31834665398552E-3</v>
      </c>
      <c r="F161" s="237">
        <f>E161*(1+$D$8*$E$8+100*$E$8^4)*D161*($F$8/$F$1)</f>
        <v>5.6834033342462896E-3</v>
      </c>
      <c r="G161">
        <f>($B$153*B161*$J$8)/$B$154</f>
        <v>21932385.148514852</v>
      </c>
      <c r="H161">
        <f>0.455/(LOG10(G161))^2.58</f>
        <v>2.6567446394447514E-3</v>
      </c>
      <c r="I161">
        <f>H161*(1+(60/(($J$8/$H$8)^3))+0.0025*($J$8/$H$8))*($G$8/$I$8)</f>
        <v>9.2202345541023481E-2</v>
      </c>
      <c r="J161">
        <f t="shared" ref="J161:J179" si="204">(0.029*($K$8/$H$8)^3)/SQRT(I161)</f>
        <v>0</v>
      </c>
      <c r="K161" s="96">
        <f>I161+J161</f>
        <v>9.2202345541023481E-2</v>
      </c>
      <c r="L161">
        <f t="shared" si="188"/>
        <v>5.4197047970479702E-3</v>
      </c>
      <c r="M161">
        <f t="shared" si="189"/>
        <v>8.1295571955719553E-3</v>
      </c>
      <c r="S161">
        <v>0.6</v>
      </c>
      <c r="T161">
        <v>0.92</v>
      </c>
      <c r="U161" s="96">
        <v>1.4999999999999999E-2</v>
      </c>
      <c r="V161" s="96">
        <v>1.4E-2</v>
      </c>
      <c r="X161">
        <f t="shared" ref="X161:X179" si="205">$B$153*B161*$Z$2/$B$154</f>
        <v>4203707.1534653464</v>
      </c>
      <c r="Y161">
        <f>0.455/(LOG10(X161))^2.58</f>
        <v>3.4640418895066981E-3</v>
      </c>
      <c r="Z161">
        <f t="shared" si="190"/>
        <v>0.60646198094698567</v>
      </c>
      <c r="AA161">
        <f t="shared" ref="AA161:AA179" si="206">0.029*($Z$1/$Z$1)^3/SQRT(Z161)</f>
        <v>3.7238845460744463E-2</v>
      </c>
      <c r="AB161">
        <f t="shared" ref="AB161:AB179" si="207">Z161+AA161</f>
        <v>0.64370082640773019</v>
      </c>
      <c r="AC161" s="96">
        <f t="shared" ref="AC161:AC179" si="208">2*AB161</f>
        <v>1.2874016528154604</v>
      </c>
      <c r="AD161">
        <f t="shared" ref="AD161:AD179" si="209">$B$153*B161*$Z$4/$B$154</f>
        <v>3180195.8465346531</v>
      </c>
      <c r="AE161">
        <f>0.455/(LOG10(AD161))^2.58</f>
        <v>3.6330553566310026E-3</v>
      </c>
      <c r="AF161">
        <f t="shared" si="191"/>
        <v>0.10351162475334211</v>
      </c>
      <c r="AG161" s="96">
        <f t="shared" ref="AG161:AG179" si="210">12*AF161</f>
        <v>1.2421394970401054</v>
      </c>
      <c r="AH161" s="96">
        <v>2.3999999999999998E-3</v>
      </c>
      <c r="AI161" s="96">
        <v>3.7000000000000002E-3</v>
      </c>
      <c r="AJ161">
        <f t="shared" ref="AJ161:AJ179" si="211">($B$153*B161*$AJ$8)/$B$154</f>
        <v>3364427.8817821778</v>
      </c>
      <c r="AM161" s="96">
        <f t="shared" si="192"/>
        <v>0</v>
      </c>
      <c r="AP161">
        <f t="shared" si="193"/>
        <v>1.0458532189110734E-2</v>
      </c>
      <c r="AQ161">
        <f t="shared" si="194"/>
        <v>2.9274431228494428E-2</v>
      </c>
      <c r="AR161">
        <f t="shared" si="195"/>
        <v>1.1123610533738646E-2</v>
      </c>
      <c r="AS161">
        <f t="shared" si="196"/>
        <v>4.9694136025542401E-2</v>
      </c>
      <c r="AT161">
        <f t="shared" si="197"/>
        <v>5.1403988424066384E-2</v>
      </c>
      <c r="AU161">
        <f t="shared" si="198"/>
        <v>1.1123610533738646E-2</v>
      </c>
      <c r="AV161" s="26">
        <f t="shared" si="199"/>
        <v>1.207337372688551E-2</v>
      </c>
      <c r="AW161" s="27">
        <f t="shared" si="200"/>
        <v>3.0889272766269203E-2</v>
      </c>
      <c r="AX161" s="27">
        <f t="shared" si="201"/>
        <v>1.2738452071513423E-2</v>
      </c>
      <c r="AY161" s="27">
        <f t="shared" ref="AY161:AY179" si="212">AW161+L161+U161</f>
        <v>5.1308977563317176E-2</v>
      </c>
      <c r="AZ161" s="27">
        <f t="shared" ref="AZ161:AZ179" si="213">AW161+M161+V161</f>
        <v>5.3018829961841159E-2</v>
      </c>
      <c r="BA161" s="93">
        <f t="shared" ref="BA161:BA179" si="214">AV161+AC161*($AF$2/$F$1)+AH161+AI161</f>
        <v>1.8838452071513422E-2</v>
      </c>
      <c r="BB161" s="138">
        <v>0.05</v>
      </c>
    </row>
    <row r="162" spans="1:54" x14ac:dyDescent="0.25">
      <c r="A162" s="138">
        <v>0.1</v>
      </c>
      <c r="B162">
        <f t="shared" si="202"/>
        <v>99.48</v>
      </c>
      <c r="C162" s="132">
        <f t="shared" si="203"/>
        <v>10861794.420950493</v>
      </c>
      <c r="D162">
        <v>1.06</v>
      </c>
      <c r="E162" s="238">
        <f>0.455/(LOG10(C162))^2.58</f>
        <v>2.9643291648328903E-3</v>
      </c>
      <c r="F162" s="237">
        <f t="shared" ref="F162:F179" si="215">E162*(1+$D$8*$E$8+100*$E$8^4)*D162*($F$8/$F$1)</f>
        <v>5.07707000381651E-3</v>
      </c>
      <c r="G162">
        <f t="shared" ref="G162:G179" si="216">($B$153*B162*$J$8)/$B$154</f>
        <v>43864770.297029704</v>
      </c>
      <c r="H162">
        <f t="shared" ref="H162:H179" si="217">0.455/(LOG10(G162))^2.58</f>
        <v>2.3950813183915621E-3</v>
      </c>
      <c r="I162">
        <f t="shared" ref="I162:I179" si="218">H162*(1+(60/(($J$8/$H$8)^3))+0.0025*($J$8/$H$8))*($G$8/$I$8)</f>
        <v>8.3121317735430494E-2</v>
      </c>
      <c r="J162">
        <f t="shared" si="204"/>
        <v>0</v>
      </c>
      <c r="K162" s="96">
        <f t="shared" ref="K162:K179" si="219">I162+J162</f>
        <v>8.3121317735430494E-2</v>
      </c>
      <c r="L162">
        <f t="shared" si="188"/>
        <v>5.4197047970479702E-3</v>
      </c>
      <c r="M162">
        <f t="shared" si="189"/>
        <v>8.1295571955719553E-3</v>
      </c>
      <c r="S162">
        <v>0.6</v>
      </c>
      <c r="T162">
        <v>0.92</v>
      </c>
      <c r="U162" s="96">
        <v>1.4999999999999999E-2</v>
      </c>
      <c r="V162" s="96">
        <v>1.4E-2</v>
      </c>
      <c r="X162">
        <f t="shared" si="205"/>
        <v>8407414.3069306929</v>
      </c>
      <c r="Y162">
        <f t="shared" ref="Y162:Y179" si="220">0.455/(LOG10(X162))^2.58</f>
        <v>3.0887516316514697E-3</v>
      </c>
      <c r="Z162">
        <f t="shared" si="190"/>
        <v>0.5407585973076503</v>
      </c>
      <c r="AA162">
        <f t="shared" si="206"/>
        <v>3.9436310874510702E-2</v>
      </c>
      <c r="AB162">
        <f t="shared" si="207"/>
        <v>0.58019490818216102</v>
      </c>
      <c r="AC162" s="96">
        <f t="shared" si="208"/>
        <v>1.160389816364322</v>
      </c>
      <c r="AD162">
        <f t="shared" si="209"/>
        <v>6360391.6930693062</v>
      </c>
      <c r="AE162">
        <f t="shared" ref="AE162:AE179" si="221">0.455/(LOG10(AD162))^2.58</f>
        <v>3.2326932065794142E-3</v>
      </c>
      <c r="AF162">
        <f t="shared" si="191"/>
        <v>9.2104659383012238E-2</v>
      </c>
      <c r="AG162" s="96">
        <f t="shared" si="210"/>
        <v>1.1052559125961468</v>
      </c>
      <c r="AH162" s="96">
        <v>2.3999999999999998E-3</v>
      </c>
      <c r="AI162" s="96">
        <v>3.7000000000000002E-3</v>
      </c>
      <c r="AJ162">
        <f t="shared" si="211"/>
        <v>6728855.7635643557</v>
      </c>
      <c r="AM162" s="96">
        <f t="shared" si="192"/>
        <v>0</v>
      </c>
      <c r="AP162">
        <f t="shared" si="193"/>
        <v>9.3818954444687859E-3</v>
      </c>
      <c r="AQ162">
        <f t="shared" si="194"/>
        <v>2.6131961821486298E-2</v>
      </c>
      <c r="AR162">
        <f t="shared" si="195"/>
        <v>9.9813588182363321E-3</v>
      </c>
      <c r="AS162">
        <f t="shared" si="196"/>
        <v>4.6551666618534271E-2</v>
      </c>
      <c r="AT162">
        <f t="shared" si="197"/>
        <v>4.8261519017058253E-2</v>
      </c>
      <c r="AU162">
        <f t="shared" si="198"/>
        <v>9.9813588182363321E-3</v>
      </c>
      <c r="AV162" s="26">
        <f t="shared" si="199"/>
        <v>1.0824457770276429E-2</v>
      </c>
      <c r="AW162" s="27">
        <f t="shared" si="200"/>
        <v>2.757452414729394E-2</v>
      </c>
      <c r="AX162" s="27">
        <f t="shared" si="201"/>
        <v>1.1423921144043975E-2</v>
      </c>
      <c r="AY162" s="27">
        <f t="shared" si="212"/>
        <v>4.799422894434191E-2</v>
      </c>
      <c r="AZ162" s="27">
        <f t="shared" si="213"/>
        <v>4.9704081342865893E-2</v>
      </c>
      <c r="BA162" s="93">
        <f t="shared" si="214"/>
        <v>1.7523921144043976E-2</v>
      </c>
      <c r="BB162" s="138">
        <v>0.1</v>
      </c>
    </row>
    <row r="163" spans="1:54" x14ac:dyDescent="0.25">
      <c r="A163" s="138">
        <v>0.15</v>
      </c>
      <c r="B163">
        <f t="shared" si="202"/>
        <v>149.22</v>
      </c>
      <c r="C163" s="132">
        <f t="shared" si="203"/>
        <v>16292691.63142574</v>
      </c>
      <c r="D163">
        <v>1.06</v>
      </c>
      <c r="E163" s="238">
        <f t="shared" ref="E163:E179" si="222">0.455/(LOG10(C163))^2.58</f>
        <v>2.7811778175711424E-3</v>
      </c>
      <c r="F163" s="237">
        <f t="shared" si="215"/>
        <v>4.7633827715169814E-3</v>
      </c>
      <c r="G163">
        <f t="shared" si="216"/>
        <v>65797155.445544548</v>
      </c>
      <c r="H163">
        <f t="shared" si="217"/>
        <v>2.2583689503313568E-3</v>
      </c>
      <c r="I163">
        <f t="shared" si="218"/>
        <v>7.8376713827147809E-2</v>
      </c>
      <c r="J163">
        <f t="shared" si="204"/>
        <v>0</v>
      </c>
      <c r="K163" s="96">
        <f t="shared" si="219"/>
        <v>7.8376713827147809E-2</v>
      </c>
      <c r="L163">
        <f t="shared" si="188"/>
        <v>5.4197047970479702E-3</v>
      </c>
      <c r="M163">
        <f t="shared" si="189"/>
        <v>8.1295571955719553E-3</v>
      </c>
      <c r="S163">
        <v>0.6</v>
      </c>
      <c r="T163">
        <v>0.92</v>
      </c>
      <c r="U163" s="96">
        <v>1.4999999999999999E-2</v>
      </c>
      <c r="V163" s="96">
        <v>1.4E-2</v>
      </c>
      <c r="X163">
        <f t="shared" si="205"/>
        <v>12611121.460396038</v>
      </c>
      <c r="Y163">
        <f t="shared" si="220"/>
        <v>2.8949823313356928E-3</v>
      </c>
      <c r="Z163">
        <f t="shared" si="190"/>
        <v>0.50683472529207474</v>
      </c>
      <c r="AA163">
        <f t="shared" si="206"/>
        <v>4.0734727618201703E-2</v>
      </c>
      <c r="AB163">
        <f t="shared" si="207"/>
        <v>0.54756945291027648</v>
      </c>
      <c r="AC163" s="96">
        <f t="shared" si="208"/>
        <v>1.095138905820553</v>
      </c>
      <c r="AD163">
        <f t="shared" si="209"/>
        <v>9540587.5396039598</v>
      </c>
      <c r="AE163">
        <f t="shared" si="221"/>
        <v>3.0264437958712771E-3</v>
      </c>
      <c r="AF163">
        <f t="shared" si="191"/>
        <v>8.622827999676029E-2</v>
      </c>
      <c r="AG163" s="96">
        <f t="shared" si="210"/>
        <v>1.0347393599611234</v>
      </c>
      <c r="AH163" s="96">
        <v>2.3999999999999998E-3</v>
      </c>
      <c r="AI163" s="96">
        <v>3.7000000000000002E-3</v>
      </c>
      <c r="AJ163">
        <f t="shared" si="211"/>
        <v>10093283.645346534</v>
      </c>
      <c r="AM163" s="96">
        <f t="shared" si="192"/>
        <v>0</v>
      </c>
      <c r="AP163">
        <f t="shared" si="193"/>
        <v>8.822486751458013E-3</v>
      </c>
      <c r="AQ163">
        <f t="shared" si="194"/>
        <v>2.4508417793011245E-2</v>
      </c>
      <c r="AR163">
        <f t="shared" si="195"/>
        <v>9.3882411677490719E-3</v>
      </c>
      <c r="AS163">
        <f t="shared" si="196"/>
        <v>4.4928122590059211E-2</v>
      </c>
      <c r="AT163">
        <f t="shared" si="197"/>
        <v>4.66379749885832E-2</v>
      </c>
      <c r="AU163">
        <f t="shared" si="198"/>
        <v>9.3882411677490736E-3</v>
      </c>
      <c r="AV163" s="26">
        <f t="shared" si="199"/>
        <v>1.0175920232663945E-2</v>
      </c>
      <c r="AW163" s="27">
        <f t="shared" si="200"/>
        <v>2.5861851274217178E-2</v>
      </c>
      <c r="AX163" s="27">
        <f t="shared" si="201"/>
        <v>1.0741674648955006E-2</v>
      </c>
      <c r="AY163" s="27">
        <f t="shared" si="212"/>
        <v>4.6281556071265148E-2</v>
      </c>
      <c r="AZ163" s="27">
        <f t="shared" si="213"/>
        <v>4.799140846978913E-2</v>
      </c>
      <c r="BA163" s="93">
        <f t="shared" si="214"/>
        <v>1.6841674648955005E-2</v>
      </c>
      <c r="BB163" s="138">
        <v>0.15</v>
      </c>
    </row>
    <row r="164" spans="1:54" x14ac:dyDescent="0.25">
      <c r="A164" s="138">
        <v>0.2</v>
      </c>
      <c r="B164">
        <f t="shared" si="202"/>
        <v>198.96</v>
      </c>
      <c r="C164" s="132">
        <f t="shared" si="203"/>
        <v>21723588.841900986</v>
      </c>
      <c r="D164">
        <v>1.06</v>
      </c>
      <c r="E164" s="238">
        <f t="shared" si="222"/>
        <v>2.660627448566323E-3</v>
      </c>
      <c r="F164" s="237">
        <f t="shared" si="215"/>
        <v>4.5569135744776296E-3</v>
      </c>
      <c r="G164">
        <f t="shared" si="216"/>
        <v>87729540.594059408</v>
      </c>
      <c r="H164">
        <f t="shared" si="217"/>
        <v>2.1678570962992924E-3</v>
      </c>
      <c r="I164">
        <f t="shared" si="218"/>
        <v>7.5235499155207317E-2</v>
      </c>
      <c r="J164">
        <f t="shared" si="204"/>
        <v>0</v>
      </c>
      <c r="K164" s="96">
        <f t="shared" si="219"/>
        <v>7.5235499155207317E-2</v>
      </c>
      <c r="L164">
        <f t="shared" si="188"/>
        <v>5.4197047970479702E-3</v>
      </c>
      <c r="M164">
        <f t="shared" si="189"/>
        <v>8.1295571955719553E-3</v>
      </c>
      <c r="S164">
        <v>0.6</v>
      </c>
      <c r="T164">
        <v>0.92</v>
      </c>
      <c r="U164" s="96">
        <v>1.4999999999999999E-2</v>
      </c>
      <c r="V164" s="96">
        <v>1.4E-2</v>
      </c>
      <c r="X164">
        <f t="shared" si="205"/>
        <v>16814828.613861386</v>
      </c>
      <c r="Y164">
        <f t="shared" si="220"/>
        <v>2.7675938582803605E-3</v>
      </c>
      <c r="Z164">
        <f t="shared" si="190"/>
        <v>0.48453237786579978</v>
      </c>
      <c r="AA164">
        <f t="shared" si="206"/>
        <v>4.1661662492365595E-2</v>
      </c>
      <c r="AB164">
        <f t="shared" si="207"/>
        <v>0.52619404035816542</v>
      </c>
      <c r="AC164" s="96">
        <f t="shared" si="208"/>
        <v>1.0523880807163308</v>
      </c>
      <c r="AD164">
        <f t="shared" si="209"/>
        <v>12720783.386138612</v>
      </c>
      <c r="AE164">
        <f t="shared" si="221"/>
        <v>2.891030897698519E-3</v>
      </c>
      <c r="AF164">
        <f t="shared" si="191"/>
        <v>8.2370147453627474E-2</v>
      </c>
      <c r="AG164" s="96">
        <f t="shared" si="210"/>
        <v>0.98844176944352968</v>
      </c>
      <c r="AH164" s="96">
        <v>2.3999999999999998E-3</v>
      </c>
      <c r="AI164" s="96">
        <v>3.7000000000000002E-3</v>
      </c>
      <c r="AJ164">
        <f t="shared" si="211"/>
        <v>13457711.527128711</v>
      </c>
      <c r="AM164" s="96">
        <f t="shared" si="192"/>
        <v>0</v>
      </c>
      <c r="AP164">
        <f t="shared" si="193"/>
        <v>8.4533350897666865E-3</v>
      </c>
      <c r="AQ164">
        <f t="shared" si="194"/>
        <v>2.3440655157282053E-2</v>
      </c>
      <c r="AR164">
        <f t="shared" si="195"/>
        <v>8.997004208955937E-3</v>
      </c>
      <c r="AS164">
        <f t="shared" si="196"/>
        <v>4.3860359954330019E-2</v>
      </c>
      <c r="AT164">
        <f t="shared" si="197"/>
        <v>4.5570212352854009E-2</v>
      </c>
      <c r="AU164">
        <f t="shared" si="198"/>
        <v>8.9970042089559353E-3</v>
      </c>
      <c r="AV164" s="26">
        <f t="shared" si="199"/>
        <v>9.7481038913710318E-3</v>
      </c>
      <c r="AW164" s="27">
        <f t="shared" si="200"/>
        <v>2.4735423958886397E-2</v>
      </c>
      <c r="AX164" s="27">
        <f t="shared" si="201"/>
        <v>1.0291773010560281E-2</v>
      </c>
      <c r="AY164" s="27">
        <f t="shared" si="212"/>
        <v>4.5155128755934366E-2</v>
      </c>
      <c r="AZ164" s="27">
        <f t="shared" si="213"/>
        <v>4.6864981154458349E-2</v>
      </c>
      <c r="BA164" s="93">
        <f t="shared" si="214"/>
        <v>1.639177301056028E-2</v>
      </c>
      <c r="BB164" s="138">
        <v>0.2</v>
      </c>
    </row>
    <row r="165" spans="1:54" x14ac:dyDescent="0.25">
      <c r="A165" s="138">
        <v>0.25</v>
      </c>
      <c r="B165">
        <f t="shared" si="202"/>
        <v>248.7</v>
      </c>
      <c r="C165" s="132">
        <f t="shared" si="203"/>
        <v>27154486.052376233</v>
      </c>
      <c r="D165">
        <v>1.06</v>
      </c>
      <c r="E165" s="238">
        <f t="shared" si="222"/>
        <v>2.5720598909059838E-3</v>
      </c>
      <c r="F165" s="237">
        <f t="shared" si="215"/>
        <v>4.4052220229309422E-3</v>
      </c>
      <c r="G165">
        <f t="shared" si="216"/>
        <v>109661925.74257424</v>
      </c>
      <c r="H165">
        <f t="shared" si="217"/>
        <v>2.1010820134681075E-3</v>
      </c>
      <c r="I165">
        <f t="shared" si="218"/>
        <v>7.2918069331760635E-2</v>
      </c>
      <c r="J165">
        <f t="shared" si="204"/>
        <v>0</v>
      </c>
      <c r="K165" s="96">
        <f t="shared" si="219"/>
        <v>7.2918069331760635E-2</v>
      </c>
      <c r="L165">
        <f t="shared" si="188"/>
        <v>5.4197047970479702E-3</v>
      </c>
      <c r="M165">
        <f t="shared" si="189"/>
        <v>8.1295571955719553E-3</v>
      </c>
      <c r="S165">
        <v>0.6</v>
      </c>
      <c r="T165">
        <v>0.92</v>
      </c>
      <c r="U165" s="96">
        <v>1.4999999999999999E-2</v>
      </c>
      <c r="V165" s="96">
        <v>1.4E-2</v>
      </c>
      <c r="X165">
        <f t="shared" si="205"/>
        <v>21018535.767326731</v>
      </c>
      <c r="Y165">
        <f t="shared" si="220"/>
        <v>2.6740807487772014E-3</v>
      </c>
      <c r="Z165">
        <f t="shared" si="190"/>
        <v>0.46816070932287851</v>
      </c>
      <c r="AA165">
        <f t="shared" si="206"/>
        <v>4.2383861000540722E-2</v>
      </c>
      <c r="AB165">
        <f t="shared" si="207"/>
        <v>0.51054457032341927</v>
      </c>
      <c r="AC165" s="96">
        <f t="shared" si="208"/>
        <v>1.0210891406468385</v>
      </c>
      <c r="AD165">
        <f t="shared" si="209"/>
        <v>15900979.232673265</v>
      </c>
      <c r="AE165">
        <f t="shared" si="221"/>
        <v>2.7917208618111881E-3</v>
      </c>
      <c r="AF165">
        <f t="shared" si="191"/>
        <v>7.9540643865071398E-2</v>
      </c>
      <c r="AG165" s="96">
        <f t="shared" si="210"/>
        <v>0.95448772638085677</v>
      </c>
      <c r="AH165" s="96">
        <v>2.3999999999999998E-3</v>
      </c>
      <c r="AI165" s="96">
        <v>3.7000000000000002E-3</v>
      </c>
      <c r="AJ165">
        <f t="shared" si="211"/>
        <v>16822139.408910889</v>
      </c>
      <c r="AM165" s="96">
        <f t="shared" si="192"/>
        <v>0</v>
      </c>
      <c r="AP165">
        <f t="shared" si="193"/>
        <v>8.1816246172898375E-3</v>
      </c>
      <c r="AQ165">
        <f t="shared" si="194"/>
        <v>2.2656620470274155E-2</v>
      </c>
      <c r="AR165">
        <f t="shared" si="195"/>
        <v>8.7091245423472439E-3</v>
      </c>
      <c r="AS165">
        <f t="shared" si="196"/>
        <v>4.3076325267322121E-2</v>
      </c>
      <c r="AT165">
        <f t="shared" si="197"/>
        <v>4.4786177665846111E-2</v>
      </c>
      <c r="AU165">
        <f t="shared" si="198"/>
        <v>8.7091245423472456E-3</v>
      </c>
      <c r="AV165" s="26">
        <f t="shared" si="199"/>
        <v>9.4332928673477069E-3</v>
      </c>
      <c r="AW165" s="27">
        <f t="shared" si="200"/>
        <v>2.3908288720332026E-2</v>
      </c>
      <c r="AX165" s="27">
        <f t="shared" si="201"/>
        <v>9.960792792405115E-3</v>
      </c>
      <c r="AY165" s="27">
        <f t="shared" si="212"/>
        <v>4.4327993517379996E-2</v>
      </c>
      <c r="AZ165" s="27">
        <f t="shared" si="213"/>
        <v>4.6037845915903979E-2</v>
      </c>
      <c r="BA165" s="93">
        <f t="shared" si="214"/>
        <v>1.6060792792405115E-2</v>
      </c>
      <c r="BB165" s="138">
        <v>0.25</v>
      </c>
    </row>
    <row r="166" spans="1:54" x14ac:dyDescent="0.25">
      <c r="A166" s="138">
        <v>0.3</v>
      </c>
      <c r="B166">
        <f t="shared" si="202"/>
        <v>298.44</v>
      </c>
      <c r="C166" s="132">
        <f t="shared" si="203"/>
        <v>32585383.26285148</v>
      </c>
      <c r="D166">
        <v>1.1499999999999999</v>
      </c>
      <c r="E166" s="238">
        <f t="shared" si="222"/>
        <v>2.5027037716114863E-3</v>
      </c>
      <c r="F166" s="237">
        <f t="shared" si="215"/>
        <v>4.6503768490536402E-3</v>
      </c>
      <c r="G166">
        <f t="shared" si="216"/>
        <v>131594310.8910891</v>
      </c>
      <c r="H166">
        <f t="shared" si="217"/>
        <v>2.0486233425035206E-3</v>
      </c>
      <c r="I166">
        <f t="shared" si="218"/>
        <v>7.1097490705163469E-2</v>
      </c>
      <c r="J166">
        <f t="shared" si="204"/>
        <v>0</v>
      </c>
      <c r="K166" s="96">
        <f t="shared" si="219"/>
        <v>7.1097490705163469E-2</v>
      </c>
      <c r="L166">
        <f t="shared" si="188"/>
        <v>5.4197047970479702E-3</v>
      </c>
      <c r="M166">
        <f t="shared" si="189"/>
        <v>8.1295571955719553E-3</v>
      </c>
      <c r="S166">
        <v>0.6</v>
      </c>
      <c r="T166">
        <v>0.92</v>
      </c>
      <c r="U166" s="96">
        <v>1.4999999999999999E-2</v>
      </c>
      <c r="V166" s="96">
        <v>1.4E-2</v>
      </c>
      <c r="X166">
        <f t="shared" si="205"/>
        <v>25222242.920792077</v>
      </c>
      <c r="Y166">
        <f t="shared" si="220"/>
        <v>2.6008991373515132E-3</v>
      </c>
      <c r="Z166">
        <f t="shared" si="190"/>
        <v>0.45534854756220317</v>
      </c>
      <c r="AA166">
        <f t="shared" si="206"/>
        <v>4.2976002879006256E-2</v>
      </c>
      <c r="AB166">
        <f t="shared" si="207"/>
        <v>0.49832455044120944</v>
      </c>
      <c r="AC166" s="96">
        <f t="shared" si="208"/>
        <v>0.99664910088241887</v>
      </c>
      <c r="AD166">
        <f t="shared" si="209"/>
        <v>19081175.07920792</v>
      </c>
      <c r="AE166">
        <f t="shared" si="221"/>
        <v>2.7140591423743849E-3</v>
      </c>
      <c r="AF166">
        <f t="shared" si="191"/>
        <v>7.7327935835349457E-2</v>
      </c>
      <c r="AG166" s="96">
        <f t="shared" si="210"/>
        <v>0.92793523002419342</v>
      </c>
      <c r="AH166" s="96">
        <v>2.3999999999999998E-3</v>
      </c>
      <c r="AI166" s="96">
        <v>3.7000000000000002E-3</v>
      </c>
      <c r="AJ166">
        <f t="shared" si="211"/>
        <v>20186567.290693067</v>
      </c>
      <c r="AM166" s="96">
        <f t="shared" si="192"/>
        <v>0</v>
      </c>
      <c r="AP166">
        <f t="shared" si="193"/>
        <v>8.3324922809612754E-3</v>
      </c>
      <c r="AQ166">
        <f t="shared" si="194"/>
        <v>2.2406862705386901E-2</v>
      </c>
      <c r="AR166">
        <f t="shared" si="195"/>
        <v>8.8473663552178748E-3</v>
      </c>
      <c r="AS166">
        <f t="shared" si="196"/>
        <v>4.2826567502434867E-2</v>
      </c>
      <c r="AT166">
        <f t="shared" si="197"/>
        <v>4.4536419900958857E-2</v>
      </c>
      <c r="AU166">
        <f t="shared" si="198"/>
        <v>8.8473663552178748E-3</v>
      </c>
      <c r="AV166" s="26">
        <f t="shared" si="199"/>
        <v>9.6538170683307598E-3</v>
      </c>
      <c r="AW166" s="27">
        <f t="shared" si="200"/>
        <v>2.3728187492756386E-2</v>
      </c>
      <c r="AX166" s="27">
        <f t="shared" si="201"/>
        <v>1.0168691142587359E-2</v>
      </c>
      <c r="AY166" s="27">
        <f t="shared" si="212"/>
        <v>4.4147892289804355E-2</v>
      </c>
      <c r="AZ166" s="27">
        <f t="shared" si="213"/>
        <v>4.5857744688328338E-2</v>
      </c>
      <c r="BA166" s="93">
        <f t="shared" si="214"/>
        <v>1.626869114258736E-2</v>
      </c>
      <c r="BB166" s="138">
        <v>0.3</v>
      </c>
    </row>
    <row r="167" spans="1:54" x14ac:dyDescent="0.25">
      <c r="A167" s="138">
        <v>0.35</v>
      </c>
      <c r="B167">
        <f t="shared" si="202"/>
        <v>348.17999999999995</v>
      </c>
      <c r="C167" s="132">
        <f t="shared" si="203"/>
        <v>38016280.47332672</v>
      </c>
      <c r="D167">
        <v>1.1499999999999999</v>
      </c>
      <c r="E167" s="238">
        <f t="shared" si="222"/>
        <v>2.4460725640464E-3</v>
      </c>
      <c r="F167" s="237">
        <f t="shared" si="215"/>
        <v>4.5451480722475653E-3</v>
      </c>
      <c r="G167">
        <f t="shared" si="216"/>
        <v>153526696.03960392</v>
      </c>
      <c r="H167">
        <f t="shared" si="217"/>
        <v>2.0056776481865556E-3</v>
      </c>
      <c r="I167">
        <f t="shared" si="218"/>
        <v>6.9607060014865912E-2</v>
      </c>
      <c r="J167">
        <f t="shared" si="204"/>
        <v>0</v>
      </c>
      <c r="K167" s="96">
        <f t="shared" si="219"/>
        <v>6.9607060014865912E-2</v>
      </c>
      <c r="L167">
        <f t="shared" si="188"/>
        <v>5.4197047970479702E-3</v>
      </c>
      <c r="M167">
        <f t="shared" si="189"/>
        <v>8.1295571955719553E-3</v>
      </c>
      <c r="S167">
        <v>0.6</v>
      </c>
      <c r="T167">
        <v>0.92</v>
      </c>
      <c r="U167" s="96">
        <v>1.4999999999999999E-2</v>
      </c>
      <c r="V167" s="96">
        <v>1.4E-2</v>
      </c>
      <c r="X167">
        <f t="shared" si="205"/>
        <v>29425950.074257415</v>
      </c>
      <c r="Y167">
        <f t="shared" si="220"/>
        <v>2.5411756350977809E-3</v>
      </c>
      <c r="Z167">
        <f t="shared" si="190"/>
        <v>0.44489254424549729</v>
      </c>
      <c r="AA167">
        <f t="shared" si="206"/>
        <v>4.3478087683995789E-2</v>
      </c>
      <c r="AB167">
        <f t="shared" si="207"/>
        <v>0.48837063192949309</v>
      </c>
      <c r="AC167" s="96">
        <f t="shared" si="208"/>
        <v>0.97674126385898619</v>
      </c>
      <c r="AD167">
        <f t="shared" si="209"/>
        <v>22261370.925742567</v>
      </c>
      <c r="AE167">
        <f t="shared" si="221"/>
        <v>2.6507167759364444E-3</v>
      </c>
      <c r="AF167">
        <f t="shared" si="191"/>
        <v>7.5523209338753242E-2</v>
      </c>
      <c r="AG167" s="96">
        <f t="shared" si="210"/>
        <v>0.90627851206503895</v>
      </c>
      <c r="AH167" s="96">
        <v>2.3999999999999998E-3</v>
      </c>
      <c r="AI167" s="96">
        <v>3.7000000000000002E-3</v>
      </c>
      <c r="AJ167">
        <f t="shared" si="211"/>
        <v>23550995.172475241</v>
      </c>
      <c r="AM167" s="96">
        <f t="shared" si="192"/>
        <v>0</v>
      </c>
      <c r="AP167">
        <f t="shared" si="193"/>
        <v>8.1500745936816735E-3</v>
      </c>
      <c r="AQ167">
        <f t="shared" si="194"/>
        <v>2.1897700736551829E-2</v>
      </c>
      <c r="AR167">
        <f t="shared" si="195"/>
        <v>8.6546641764870536E-3</v>
      </c>
      <c r="AS167">
        <f t="shared" si="196"/>
        <v>4.2317405533599799E-2</v>
      </c>
      <c r="AT167">
        <f t="shared" si="197"/>
        <v>4.4027257932123781E-2</v>
      </c>
      <c r="AU167">
        <f t="shared" si="198"/>
        <v>8.6546641764870536E-3</v>
      </c>
      <c r="AV167" s="26">
        <f t="shared" si="199"/>
        <v>9.4415004297077349E-3</v>
      </c>
      <c r="AW167" s="27">
        <f t="shared" si="200"/>
        <v>2.3189126572577892E-2</v>
      </c>
      <c r="AX167" s="27">
        <f t="shared" si="201"/>
        <v>9.946090012513115E-3</v>
      </c>
      <c r="AY167" s="27">
        <f t="shared" si="212"/>
        <v>4.3608831369625858E-2</v>
      </c>
      <c r="AZ167" s="27">
        <f t="shared" si="213"/>
        <v>4.5318683768149848E-2</v>
      </c>
      <c r="BA167" s="93">
        <f t="shared" si="214"/>
        <v>1.6046090012513115E-2</v>
      </c>
      <c r="BB167" s="138">
        <v>0.35</v>
      </c>
    </row>
    <row r="168" spans="1:54" x14ac:dyDescent="0.25">
      <c r="A168" s="138">
        <v>0.4</v>
      </c>
      <c r="B168">
        <f t="shared" si="202"/>
        <v>397.92</v>
      </c>
      <c r="C168" s="132">
        <f t="shared" si="203"/>
        <v>43447177.683801971</v>
      </c>
      <c r="D168">
        <v>1.1499999999999999</v>
      </c>
      <c r="E168" s="238">
        <f t="shared" si="222"/>
        <v>2.3984436909816839E-3</v>
      </c>
      <c r="F168" s="237">
        <f t="shared" si="215"/>
        <v>4.4566469035678801E-3</v>
      </c>
      <c r="G168">
        <f t="shared" si="216"/>
        <v>175459081.18811882</v>
      </c>
      <c r="H168">
        <f t="shared" si="217"/>
        <v>1.9694796593700118E-3</v>
      </c>
      <c r="I168">
        <f t="shared" si="218"/>
        <v>6.8350808501942723E-2</v>
      </c>
      <c r="J168">
        <f t="shared" si="204"/>
        <v>0</v>
      </c>
      <c r="K168" s="96">
        <f t="shared" si="219"/>
        <v>6.8350808501942723E-2</v>
      </c>
      <c r="L168">
        <f t="shared" si="188"/>
        <v>5.4197047970479702E-3</v>
      </c>
      <c r="M168">
        <f t="shared" si="189"/>
        <v>8.1295571955719553E-3</v>
      </c>
      <c r="S168">
        <v>0.6</v>
      </c>
      <c r="T168">
        <v>0.92</v>
      </c>
      <c r="U168" s="96">
        <v>1.4999999999999999E-2</v>
      </c>
      <c r="V168" s="96">
        <v>1.4E-2</v>
      </c>
      <c r="X168">
        <f t="shared" si="205"/>
        <v>33629657.227722771</v>
      </c>
      <c r="Y168">
        <f t="shared" si="220"/>
        <v>2.4909681345605607E-3</v>
      </c>
      <c r="Z168">
        <f t="shared" si="190"/>
        <v>0.43610254077399319</v>
      </c>
      <c r="AA168">
        <f t="shared" si="206"/>
        <v>4.3914069961689332E-2</v>
      </c>
      <c r="AB168">
        <f t="shared" si="207"/>
        <v>0.48001661073568253</v>
      </c>
      <c r="AC168" s="96">
        <f t="shared" si="208"/>
        <v>0.96003322147136505</v>
      </c>
      <c r="AD168">
        <f t="shared" si="209"/>
        <v>25441566.772277225</v>
      </c>
      <c r="AE168">
        <f t="shared" si="221"/>
        <v>2.5974933535450697E-3</v>
      </c>
      <c r="AF168">
        <f t="shared" si="191"/>
        <v>7.4006787928710807E-2</v>
      </c>
      <c r="AG168" s="96">
        <f t="shared" si="210"/>
        <v>0.88808145514452974</v>
      </c>
      <c r="AH168" s="96">
        <v>2.3999999999999998E-3</v>
      </c>
      <c r="AI168" s="96">
        <v>3.7000000000000002E-3</v>
      </c>
      <c r="AJ168">
        <f t="shared" si="211"/>
        <v>26915423.054257423</v>
      </c>
      <c r="AM168" s="96">
        <f t="shared" si="192"/>
        <v>0</v>
      </c>
      <c r="AP168">
        <f t="shared" si="193"/>
        <v>7.9965125763529939E-3</v>
      </c>
      <c r="AQ168">
        <f t="shared" si="194"/>
        <v>2.1469601924612509E-2</v>
      </c>
      <c r="AR168">
        <f t="shared" si="195"/>
        <v>8.4924706981463188E-3</v>
      </c>
      <c r="AS168">
        <f t="shared" si="196"/>
        <v>4.1889306721660483E-2</v>
      </c>
      <c r="AT168">
        <f t="shared" si="197"/>
        <v>4.3599159120184465E-2</v>
      </c>
      <c r="AU168">
        <f t="shared" si="198"/>
        <v>8.4924706981463188E-3</v>
      </c>
      <c r="AV168" s="26">
        <f t="shared" si="199"/>
        <v>9.262792323861211E-3</v>
      </c>
      <c r="AW168" s="27">
        <f t="shared" si="200"/>
        <v>2.2735881672120727E-2</v>
      </c>
      <c r="AX168" s="27">
        <f t="shared" si="201"/>
        <v>9.7587504456545359E-3</v>
      </c>
      <c r="AY168" s="27">
        <f t="shared" si="212"/>
        <v>4.31555864691687E-2</v>
      </c>
      <c r="AZ168" s="27">
        <f t="shared" si="213"/>
        <v>4.4865438867692682E-2</v>
      </c>
      <c r="BA168" s="93">
        <f t="shared" si="214"/>
        <v>1.5858750445654535E-2</v>
      </c>
      <c r="BB168" s="138">
        <v>0.4</v>
      </c>
    </row>
    <row r="169" spans="1:54" x14ac:dyDescent="0.25">
      <c r="A169" s="138">
        <v>0.45</v>
      </c>
      <c r="B169">
        <f t="shared" si="202"/>
        <v>447.65999999999997</v>
      </c>
      <c r="C169" s="132">
        <f t="shared" si="203"/>
        <v>48878074.894277215</v>
      </c>
      <c r="D169">
        <v>1.1499999999999999</v>
      </c>
      <c r="E169" s="238">
        <f t="shared" si="222"/>
        <v>2.3574936385612924E-3</v>
      </c>
      <c r="F169" s="237">
        <f t="shared" si="215"/>
        <v>4.3805559263202206E-3</v>
      </c>
      <c r="G169">
        <f t="shared" si="216"/>
        <v>197391466.33663359</v>
      </c>
      <c r="H169">
        <f t="shared" si="217"/>
        <v>1.9382989214370638E-3</v>
      </c>
      <c r="I169">
        <f t="shared" si="218"/>
        <v>6.7268680724047361E-2</v>
      </c>
      <c r="J169">
        <f t="shared" si="204"/>
        <v>0</v>
      </c>
      <c r="K169" s="96">
        <f t="shared" si="219"/>
        <v>6.7268680724047361E-2</v>
      </c>
      <c r="L169">
        <f t="shared" si="188"/>
        <v>5.4197047970479702E-3</v>
      </c>
      <c r="M169">
        <f t="shared" si="189"/>
        <v>8.1295571955719553E-3</v>
      </c>
      <c r="S169">
        <v>0.6</v>
      </c>
      <c r="T169">
        <v>0.92</v>
      </c>
      <c r="U169" s="96">
        <v>1.4999999999999999E-2</v>
      </c>
      <c r="V169" s="96">
        <v>1.4E-2</v>
      </c>
      <c r="X169">
        <f t="shared" si="205"/>
        <v>37833364.38118811</v>
      </c>
      <c r="Y169">
        <f t="shared" si="220"/>
        <v>2.4478173813143795E-3</v>
      </c>
      <c r="Z169">
        <f t="shared" si="190"/>
        <v>0.4285479868373604</v>
      </c>
      <c r="AA169">
        <f t="shared" si="206"/>
        <v>4.4299443266203629E-2</v>
      </c>
      <c r="AB169">
        <f t="shared" si="207"/>
        <v>0.472847430103564</v>
      </c>
      <c r="AC169" s="96">
        <f t="shared" si="208"/>
        <v>0.94569486020712801</v>
      </c>
      <c r="AD169">
        <f t="shared" si="209"/>
        <v>28621762.618811872</v>
      </c>
      <c r="AE169">
        <f t="shared" si="221"/>
        <v>2.5517700196200951E-3</v>
      </c>
      <c r="AF169">
        <f t="shared" si="191"/>
        <v>7.2704056172896714E-2</v>
      </c>
      <c r="AG169" s="96">
        <f t="shared" si="210"/>
        <v>0.87244867407476057</v>
      </c>
      <c r="AH169" s="96">
        <v>2.3999999999999998E-3</v>
      </c>
      <c r="AI169" s="96">
        <v>3.7000000000000002E-3</v>
      </c>
      <c r="AJ169">
        <f t="shared" si="211"/>
        <v>30279850.936039597</v>
      </c>
      <c r="AM169" s="96">
        <f t="shared" si="192"/>
        <v>0</v>
      </c>
      <c r="AP169">
        <f t="shared" si="193"/>
        <v>7.8643785608663638E-3</v>
      </c>
      <c r="AQ169">
        <f t="shared" si="194"/>
        <v>2.110162590317282E-2</v>
      </c>
      <c r="AR169">
        <f t="shared" si="195"/>
        <v>8.3529294111578684E-3</v>
      </c>
      <c r="AS169">
        <f t="shared" si="196"/>
        <v>4.1521330700220793E-2</v>
      </c>
      <c r="AT169">
        <f t="shared" si="197"/>
        <v>4.3231183098744776E-2</v>
      </c>
      <c r="AU169">
        <f t="shared" si="198"/>
        <v>8.3529294111578684E-3</v>
      </c>
      <c r="AV169" s="26">
        <f t="shared" si="199"/>
        <v>9.1090383628097474E-3</v>
      </c>
      <c r="AW169" s="27">
        <f t="shared" si="200"/>
        <v>2.2346285705116202E-2</v>
      </c>
      <c r="AX169" s="27">
        <f t="shared" si="201"/>
        <v>9.597589213101252E-3</v>
      </c>
      <c r="AY169" s="27">
        <f t="shared" si="212"/>
        <v>4.2765990502164175E-2</v>
      </c>
      <c r="AZ169" s="27">
        <f t="shared" si="213"/>
        <v>4.4475842900688158E-2</v>
      </c>
      <c r="BA169" s="93">
        <f t="shared" si="214"/>
        <v>1.569758921310125E-2</v>
      </c>
      <c r="BB169" s="138">
        <v>0.45</v>
      </c>
    </row>
    <row r="170" spans="1:54" x14ac:dyDescent="0.25">
      <c r="A170" s="138">
        <v>0.5</v>
      </c>
      <c r="B170">
        <f t="shared" si="202"/>
        <v>497.4</v>
      </c>
      <c r="C170" s="132">
        <f t="shared" si="203"/>
        <v>54308972.104752466</v>
      </c>
      <c r="D170">
        <v>1.1499999999999999</v>
      </c>
      <c r="E170" s="238">
        <f t="shared" si="222"/>
        <v>2.3216800981826105E-3</v>
      </c>
      <c r="F170" s="237">
        <f t="shared" si="215"/>
        <v>4.3140093134334586E-3</v>
      </c>
      <c r="G170">
        <f t="shared" si="216"/>
        <v>219323851.48514849</v>
      </c>
      <c r="H170">
        <f t="shared" si="217"/>
        <v>1.9109842584334527E-3</v>
      </c>
      <c r="I170">
        <f t="shared" si="218"/>
        <v>6.632072510979535E-2</v>
      </c>
      <c r="J170">
        <f t="shared" si="204"/>
        <v>0</v>
      </c>
      <c r="K170" s="96">
        <f t="shared" si="219"/>
        <v>6.632072510979535E-2</v>
      </c>
      <c r="L170">
        <f t="shared" si="188"/>
        <v>5.4197047970479702E-3</v>
      </c>
      <c r="M170">
        <f t="shared" si="189"/>
        <v>8.1295571955719553E-3</v>
      </c>
      <c r="S170">
        <v>0.6</v>
      </c>
      <c r="T170">
        <v>0.92</v>
      </c>
      <c r="U170" s="96">
        <v>1.4999999999999999E-2</v>
      </c>
      <c r="V170" s="96">
        <v>1.4E-2</v>
      </c>
      <c r="X170">
        <f t="shared" si="205"/>
        <v>42037071.534653462</v>
      </c>
      <c r="Y170">
        <f t="shared" si="220"/>
        <v>2.410091689599228E-3</v>
      </c>
      <c r="Z170">
        <f t="shared" si="190"/>
        <v>0.42194321747834318</v>
      </c>
      <c r="AA170">
        <f t="shared" si="206"/>
        <v>4.4644811414843784E-2</v>
      </c>
      <c r="AB170">
        <f t="shared" si="207"/>
        <v>0.46658802889318696</v>
      </c>
      <c r="AC170" s="96">
        <f t="shared" si="208"/>
        <v>0.93317605778637391</v>
      </c>
      <c r="AD170">
        <f t="shared" si="209"/>
        <v>31801958.46534653</v>
      </c>
      <c r="AE170">
        <f t="shared" si="221"/>
        <v>2.5118100635341924E-3</v>
      </c>
      <c r="AF170">
        <f t="shared" si="191"/>
        <v>7.1565532375846813E-2</v>
      </c>
      <c r="AG170" s="96">
        <f t="shared" si="210"/>
        <v>0.85878638851016176</v>
      </c>
      <c r="AH170" s="96">
        <v>2.3999999999999998E-3</v>
      </c>
      <c r="AI170" s="96">
        <v>3.7000000000000002E-3</v>
      </c>
      <c r="AJ170">
        <f t="shared" si="211"/>
        <v>33644278.817821778</v>
      </c>
      <c r="AM170" s="96">
        <f t="shared" si="192"/>
        <v>0</v>
      </c>
      <c r="AP170">
        <f t="shared" si="193"/>
        <v>7.7487376415366974E-3</v>
      </c>
      <c r="AQ170">
        <f t="shared" si="194"/>
        <v>2.0779876927847891E-2</v>
      </c>
      <c r="AR170">
        <f t="shared" si="195"/>
        <v>8.2308212138248633E-3</v>
      </c>
      <c r="AS170">
        <f t="shared" si="196"/>
        <v>4.1199581724895865E-2</v>
      </c>
      <c r="AT170">
        <f t="shared" si="197"/>
        <v>4.2909434123419847E-2</v>
      </c>
      <c r="AU170">
        <f t="shared" si="198"/>
        <v>8.2308212138248616E-3</v>
      </c>
      <c r="AV170" s="26">
        <f t="shared" si="199"/>
        <v>8.9744893652797843E-3</v>
      </c>
      <c r="AW170" s="27">
        <f t="shared" si="200"/>
        <v>2.2005628651590975E-2</v>
      </c>
      <c r="AX170" s="27">
        <f t="shared" si="201"/>
        <v>9.4565729375679485E-3</v>
      </c>
      <c r="AY170" s="27">
        <f t="shared" si="212"/>
        <v>4.2425333448638941E-2</v>
      </c>
      <c r="AZ170" s="27">
        <f t="shared" si="213"/>
        <v>4.413518584716293E-2</v>
      </c>
      <c r="BA170" s="93">
        <f t="shared" si="214"/>
        <v>1.5556572937567948E-2</v>
      </c>
      <c r="BB170" s="138">
        <v>0.5</v>
      </c>
    </row>
    <row r="171" spans="1:54" x14ac:dyDescent="0.25">
      <c r="A171" s="138">
        <v>0.55000000000000004</v>
      </c>
      <c r="B171">
        <f t="shared" si="202"/>
        <v>547.14</v>
      </c>
      <c r="C171" s="132">
        <f t="shared" si="203"/>
        <v>59739869.31522771</v>
      </c>
      <c r="D171">
        <v>1.1499999999999999</v>
      </c>
      <c r="E171" s="238">
        <f t="shared" si="222"/>
        <v>2.2899298996401567E-3</v>
      </c>
      <c r="F171" s="237">
        <f t="shared" si="215"/>
        <v>4.2550129631943679E-3</v>
      </c>
      <c r="G171">
        <f t="shared" si="216"/>
        <v>241256236.63366333</v>
      </c>
      <c r="H171">
        <f t="shared" si="217"/>
        <v>1.8867331225691749E-3</v>
      </c>
      <c r="I171">
        <f t="shared" si="218"/>
        <v>6.5479089231238435E-2</v>
      </c>
      <c r="J171">
        <f t="shared" si="204"/>
        <v>0</v>
      </c>
      <c r="K171" s="96">
        <f t="shared" si="219"/>
        <v>6.5479089231238435E-2</v>
      </c>
      <c r="L171">
        <f t="shared" si="188"/>
        <v>5.4197047970479702E-3</v>
      </c>
      <c r="M171">
        <f t="shared" si="189"/>
        <v>8.1295571955719553E-3</v>
      </c>
      <c r="S171">
        <v>0.6</v>
      </c>
      <c r="T171">
        <v>0.92</v>
      </c>
      <c r="U171" s="96">
        <v>1.4999999999999999E-2</v>
      </c>
      <c r="V171" s="96">
        <v>1.4E-2</v>
      </c>
      <c r="X171">
        <f t="shared" si="205"/>
        <v>46240778.688118808</v>
      </c>
      <c r="Y171">
        <f t="shared" si="220"/>
        <v>2.3766561375220354E-3</v>
      </c>
      <c r="Z171">
        <f t="shared" si="190"/>
        <v>0.41608953793473985</v>
      </c>
      <c r="AA171">
        <f t="shared" si="206"/>
        <v>4.4957753298442975E-2</v>
      </c>
      <c r="AB171">
        <f t="shared" si="207"/>
        <v>0.46104729123318283</v>
      </c>
      <c r="AC171" s="96">
        <f t="shared" si="208"/>
        <v>0.92209458246636566</v>
      </c>
      <c r="AD171">
        <f t="shared" si="209"/>
        <v>34982154.311881185</v>
      </c>
      <c r="AE171">
        <f t="shared" si="221"/>
        <v>2.47640603841632E-3</v>
      </c>
      <c r="AF171">
        <f t="shared" si="191"/>
        <v>7.0556814422769024E-2</v>
      </c>
      <c r="AG171" s="96">
        <f t="shared" si="210"/>
        <v>0.84668177307322834</v>
      </c>
      <c r="AH171" s="96">
        <v>2.3999999999999998E-3</v>
      </c>
      <c r="AI171" s="96">
        <v>3.7000000000000002E-3</v>
      </c>
      <c r="AJ171">
        <f t="shared" si="211"/>
        <v>37008706.699603952</v>
      </c>
      <c r="AM171" s="96">
        <f t="shared" si="192"/>
        <v>0</v>
      </c>
      <c r="AP171">
        <f t="shared" si="193"/>
        <v>7.6461532486572139E-3</v>
      </c>
      <c r="AQ171">
        <f t="shared" si="194"/>
        <v>2.0494688536167455E-2</v>
      </c>
      <c r="AR171">
        <f t="shared" si="195"/>
        <v>8.1225120735475866E-3</v>
      </c>
      <c r="AS171">
        <f t="shared" si="196"/>
        <v>4.0914393333215421E-2</v>
      </c>
      <c r="AT171">
        <f t="shared" si="197"/>
        <v>4.262424573173941E-2</v>
      </c>
      <c r="AU171">
        <f t="shared" si="198"/>
        <v>8.1225120735475866E-3</v>
      </c>
      <c r="AV171" s="26">
        <f t="shared" si="199"/>
        <v>8.8551421717788601E-3</v>
      </c>
      <c r="AW171" s="27">
        <f t="shared" si="200"/>
        <v>2.1703677459289101E-2</v>
      </c>
      <c r="AX171" s="27">
        <f t="shared" si="201"/>
        <v>9.3315009966692328E-3</v>
      </c>
      <c r="AY171" s="27">
        <f t="shared" si="212"/>
        <v>4.2123382256337071E-2</v>
      </c>
      <c r="AZ171" s="27">
        <f t="shared" si="213"/>
        <v>4.3833234654861053E-2</v>
      </c>
      <c r="BA171" s="93">
        <f t="shared" si="214"/>
        <v>1.5431500996669232E-2</v>
      </c>
      <c r="BB171" s="138">
        <v>0.55000000000000004</v>
      </c>
    </row>
    <row r="172" spans="1:54" x14ac:dyDescent="0.25">
      <c r="A172" s="138">
        <v>0.6</v>
      </c>
      <c r="B172">
        <f t="shared" si="202"/>
        <v>596.88</v>
      </c>
      <c r="C172" s="132">
        <f t="shared" si="203"/>
        <v>65170766.525702961</v>
      </c>
      <c r="D172">
        <v>1.1499999999999999</v>
      </c>
      <c r="E172" s="238">
        <f t="shared" si="222"/>
        <v>2.2614679204531972E-3</v>
      </c>
      <c r="F172" s="237">
        <f t="shared" si="215"/>
        <v>4.2021265886299274E-3</v>
      </c>
      <c r="G172">
        <f t="shared" si="216"/>
        <v>263188621.78217819</v>
      </c>
      <c r="H172">
        <f t="shared" si="217"/>
        <v>1.8649648716499818E-3</v>
      </c>
      <c r="I172">
        <f t="shared" si="218"/>
        <v>6.4723621896035824E-2</v>
      </c>
      <c r="J172">
        <f t="shared" si="204"/>
        <v>0</v>
      </c>
      <c r="K172" s="96">
        <f t="shared" si="219"/>
        <v>6.4723621896035824E-2</v>
      </c>
      <c r="L172">
        <f t="shared" si="188"/>
        <v>5.4197047970479702E-3</v>
      </c>
      <c r="M172">
        <f t="shared" si="189"/>
        <v>8.1295571955719553E-3</v>
      </c>
      <c r="S172">
        <v>0.6</v>
      </c>
      <c r="T172">
        <v>0.92</v>
      </c>
      <c r="U172" s="96">
        <v>1.4999999999999999E-2</v>
      </c>
      <c r="V172" s="96">
        <v>1.4E-2</v>
      </c>
      <c r="X172">
        <f t="shared" si="205"/>
        <v>50444485.841584153</v>
      </c>
      <c r="Y172">
        <f t="shared" si="220"/>
        <v>2.3466912811077804E-3</v>
      </c>
      <c r="Z172">
        <f t="shared" si="190"/>
        <v>0.41084348527156922</v>
      </c>
      <c r="AA172">
        <f t="shared" si="206"/>
        <v>4.5243875173632438E-2</v>
      </c>
      <c r="AB172">
        <f t="shared" si="207"/>
        <v>0.45608736044520165</v>
      </c>
      <c r="AC172" s="96">
        <f t="shared" si="208"/>
        <v>0.9121747208904033</v>
      </c>
      <c r="AD172">
        <f t="shared" si="209"/>
        <v>38162350.158415839</v>
      </c>
      <c r="AE172">
        <f t="shared" si="221"/>
        <v>2.444686470433971E-3</v>
      </c>
      <c r="AF172">
        <f t="shared" si="191"/>
        <v>6.9653072614284245E-2</v>
      </c>
      <c r="AG172" s="96">
        <f t="shared" si="210"/>
        <v>0.83583687137141094</v>
      </c>
      <c r="AH172" s="96">
        <v>2.3999999999999998E-3</v>
      </c>
      <c r="AI172" s="96">
        <v>3.7000000000000002E-3</v>
      </c>
      <c r="AJ172">
        <f t="shared" si="211"/>
        <v>40373134.581386134</v>
      </c>
      <c r="AM172" s="96">
        <f t="shared" si="192"/>
        <v>0</v>
      </c>
      <c r="AP172">
        <f t="shared" si="193"/>
        <v>7.5541414716958416E-3</v>
      </c>
      <c r="AQ172">
        <f t="shared" si="194"/>
        <v>2.0239080481125521E-2</v>
      </c>
      <c r="AR172">
        <f t="shared" si="195"/>
        <v>8.0253756448495535E-3</v>
      </c>
      <c r="AS172">
        <f t="shared" si="196"/>
        <v>4.0658785278173487E-2</v>
      </c>
      <c r="AT172">
        <f t="shared" si="197"/>
        <v>4.2368637676697476E-2</v>
      </c>
      <c r="AU172">
        <f t="shared" si="198"/>
        <v>8.0253756448495552E-3</v>
      </c>
      <c r="AV172" s="26">
        <f t="shared" si="199"/>
        <v>8.7481036389449353E-3</v>
      </c>
      <c r="AW172" s="27">
        <f t="shared" si="200"/>
        <v>2.1433042648374617E-2</v>
      </c>
      <c r="AX172" s="27">
        <f t="shared" si="201"/>
        <v>9.2193378120986498E-3</v>
      </c>
      <c r="AY172" s="27">
        <f t="shared" si="212"/>
        <v>4.1852747445422583E-2</v>
      </c>
      <c r="AZ172" s="27">
        <f t="shared" si="213"/>
        <v>4.3562599843946573E-2</v>
      </c>
      <c r="BA172" s="93">
        <f t="shared" si="214"/>
        <v>1.5319337812098649E-2</v>
      </c>
      <c r="BB172" s="138">
        <v>0.6</v>
      </c>
    </row>
    <row r="173" spans="1:54" x14ac:dyDescent="0.25">
      <c r="A173" s="138">
        <v>0.65</v>
      </c>
      <c r="B173">
        <f t="shared" si="202"/>
        <v>646.62</v>
      </c>
      <c r="C173" s="132">
        <f t="shared" si="203"/>
        <v>70601663.736178204</v>
      </c>
      <c r="D173">
        <v>1.25</v>
      </c>
      <c r="E173" s="238">
        <f t="shared" si="222"/>
        <v>2.235717090648022E-3</v>
      </c>
      <c r="F173" s="237">
        <f t="shared" si="215"/>
        <v>4.5155194698685555E-3</v>
      </c>
      <c r="G173">
        <f t="shared" si="216"/>
        <v>285121006.93069303</v>
      </c>
      <c r="H173">
        <f t="shared" si="217"/>
        <v>1.8452465672614755E-3</v>
      </c>
      <c r="I173">
        <f t="shared" si="218"/>
        <v>6.4039297972795645E-2</v>
      </c>
      <c r="J173">
        <f t="shared" si="204"/>
        <v>0</v>
      </c>
      <c r="K173" s="96">
        <f t="shared" si="219"/>
        <v>6.4039297972795645E-2</v>
      </c>
      <c r="L173">
        <f t="shared" si="188"/>
        <v>5.4197047970479702E-3</v>
      </c>
      <c r="M173">
        <f t="shared" si="189"/>
        <v>8.1295571955719553E-3</v>
      </c>
      <c r="S173">
        <v>0.6</v>
      </c>
      <c r="T173">
        <v>0.92</v>
      </c>
      <c r="U173" s="96">
        <v>1.4999999999999999E-2</v>
      </c>
      <c r="V173" s="96">
        <v>1.4E-2</v>
      </c>
      <c r="X173">
        <f t="shared" si="205"/>
        <v>54648192.995049506</v>
      </c>
      <c r="Y173">
        <f t="shared" si="220"/>
        <v>2.3195872402155377E-3</v>
      </c>
      <c r="Z173">
        <f t="shared" si="190"/>
        <v>0.40609828563037254</v>
      </c>
      <c r="AA173">
        <f t="shared" si="206"/>
        <v>4.5507441539769905E-2</v>
      </c>
      <c r="AB173">
        <f t="shared" si="207"/>
        <v>0.45160572717014247</v>
      </c>
      <c r="AC173" s="96">
        <f t="shared" si="208"/>
        <v>0.90321145434028494</v>
      </c>
      <c r="AD173">
        <f t="shared" si="209"/>
        <v>41342546.004950494</v>
      </c>
      <c r="AE173">
        <f t="shared" si="221"/>
        <v>2.4160029788786105E-3</v>
      </c>
      <c r="AF173">
        <f t="shared" si="191"/>
        <v>6.883583353504065E-2</v>
      </c>
      <c r="AG173" s="96">
        <f t="shared" si="210"/>
        <v>0.82603000242048785</v>
      </c>
      <c r="AH173" s="96">
        <v>2.3999999999999998E-3</v>
      </c>
      <c r="AI173" s="96">
        <v>3.7000000000000002E-3</v>
      </c>
      <c r="AJ173">
        <f t="shared" si="211"/>
        <v>43737562.463168316</v>
      </c>
      <c r="AM173" s="96">
        <f t="shared" si="192"/>
        <v>0</v>
      </c>
      <c r="AP173">
        <f t="shared" si="193"/>
        <v>7.8320934442161084E-3</v>
      </c>
      <c r="AQ173">
        <f t="shared" si="194"/>
        <v>2.0369098658949585E-2</v>
      </c>
      <c r="AR173">
        <f t="shared" si="195"/>
        <v>8.2986971475653339E-3</v>
      </c>
      <c r="AS173">
        <f t="shared" si="196"/>
        <v>4.0788803455997558E-2</v>
      </c>
      <c r="AT173">
        <f t="shared" si="197"/>
        <v>4.249865585452154E-2</v>
      </c>
      <c r="AU173">
        <f t="shared" si="198"/>
        <v>8.2986971475653339E-3</v>
      </c>
      <c r="AV173" s="26">
        <f t="shared" si="199"/>
        <v>9.115100821263631E-3</v>
      </c>
      <c r="AW173" s="27">
        <f t="shared" si="200"/>
        <v>2.1652106035997105E-2</v>
      </c>
      <c r="AX173" s="27">
        <f t="shared" si="201"/>
        <v>9.5817045246128565E-3</v>
      </c>
      <c r="AY173" s="27">
        <f t="shared" si="212"/>
        <v>4.2071810833045079E-2</v>
      </c>
      <c r="AZ173" s="27">
        <f t="shared" si="213"/>
        <v>4.3781663231569061E-2</v>
      </c>
      <c r="BA173" s="93">
        <f t="shared" si="214"/>
        <v>1.5681704524612858E-2</v>
      </c>
      <c r="BB173" s="138">
        <v>0.65</v>
      </c>
    </row>
    <row r="174" spans="1:54" x14ac:dyDescent="0.25">
      <c r="A174" s="138">
        <v>0.7</v>
      </c>
      <c r="B174">
        <f t="shared" si="202"/>
        <v>696.3599999999999</v>
      </c>
      <c r="C174" s="132">
        <f t="shared" si="203"/>
        <v>76032560.946653441</v>
      </c>
      <c r="D174">
        <v>1.25</v>
      </c>
      <c r="E174" s="238">
        <f t="shared" si="222"/>
        <v>2.21223686860816E-3</v>
      </c>
      <c r="F174" s="237">
        <f t="shared" si="215"/>
        <v>4.4680960278680728E-3</v>
      </c>
      <c r="G174">
        <f t="shared" si="216"/>
        <v>307053392.07920784</v>
      </c>
      <c r="H174">
        <f t="shared" si="217"/>
        <v>1.8272472448956959E-3</v>
      </c>
      <c r="I174">
        <f t="shared" si="218"/>
        <v>6.3414631335425228E-2</v>
      </c>
      <c r="J174">
        <f t="shared" si="204"/>
        <v>0</v>
      </c>
      <c r="K174" s="96">
        <f t="shared" si="219"/>
        <v>6.3414631335425228E-2</v>
      </c>
      <c r="L174">
        <f t="shared" si="188"/>
        <v>5.4197047970479702E-3</v>
      </c>
      <c r="M174">
        <f t="shared" si="189"/>
        <v>8.1295571955719553E-3</v>
      </c>
      <c r="S174">
        <v>0.6</v>
      </c>
      <c r="T174">
        <v>0.92</v>
      </c>
      <c r="U174" s="96">
        <v>1.4999999999999999E-2</v>
      </c>
      <c r="V174" s="96">
        <v>1.4E-2</v>
      </c>
      <c r="X174">
        <f t="shared" si="205"/>
        <v>58851900.14851483</v>
      </c>
      <c r="Y174">
        <f t="shared" si="220"/>
        <v>2.2948785544851581E-3</v>
      </c>
      <c r="Z174">
        <f t="shared" si="190"/>
        <v>0.40177244923098171</v>
      </c>
      <c r="AA174">
        <f t="shared" si="206"/>
        <v>4.5751772248575913E-2</v>
      </c>
      <c r="AB174">
        <f t="shared" si="207"/>
        <v>0.44752422147955762</v>
      </c>
      <c r="AC174" s="96">
        <f t="shared" si="208"/>
        <v>0.89504844295911523</v>
      </c>
      <c r="AD174">
        <f t="shared" si="209"/>
        <v>44522741.851485133</v>
      </c>
      <c r="AE174">
        <f t="shared" si="221"/>
        <v>2.3898608738219095E-3</v>
      </c>
      <c r="AF174">
        <f t="shared" si="191"/>
        <v>6.809100266865907E-2</v>
      </c>
      <c r="AG174" s="96">
        <f t="shared" si="210"/>
        <v>0.81709203202390879</v>
      </c>
      <c r="AH174" s="96">
        <v>2.3999999999999998E-3</v>
      </c>
      <c r="AI174" s="96">
        <v>3.7000000000000002E-3</v>
      </c>
      <c r="AJ174">
        <f t="shared" si="211"/>
        <v>47101990.344950482</v>
      </c>
      <c r="AM174" s="96">
        <f t="shared" si="192"/>
        <v>0</v>
      </c>
      <c r="AP174">
        <f t="shared" si="193"/>
        <v>7.752318724520077E-3</v>
      </c>
      <c r="AQ174">
        <f t="shared" si="194"/>
        <v>2.0154500380715482E-2</v>
      </c>
      <c r="AR174">
        <f t="shared" si="195"/>
        <v>8.2147053740192506E-3</v>
      </c>
      <c r="AS174">
        <f t="shared" si="196"/>
        <v>4.0574205177763452E-2</v>
      </c>
      <c r="AT174">
        <f t="shared" si="197"/>
        <v>4.2284057576287434E-2</v>
      </c>
      <c r="AU174">
        <f t="shared" si="198"/>
        <v>8.2147053740192506E-3</v>
      </c>
      <c r="AV174" s="26">
        <f t="shared" si="199"/>
        <v>9.02185154424643E-3</v>
      </c>
      <c r="AW174" s="27">
        <f t="shared" si="200"/>
        <v>2.1424033200441835E-2</v>
      </c>
      <c r="AX174" s="27">
        <f t="shared" si="201"/>
        <v>9.4842381937456036E-3</v>
      </c>
      <c r="AY174" s="27">
        <f t="shared" si="212"/>
        <v>4.1843737997489805E-2</v>
      </c>
      <c r="AZ174" s="27">
        <f t="shared" si="213"/>
        <v>4.3553590396013787E-2</v>
      </c>
      <c r="BA174" s="93">
        <f t="shared" si="214"/>
        <v>1.5584238193745603E-2</v>
      </c>
      <c r="BB174" s="138">
        <v>0.7</v>
      </c>
    </row>
    <row r="175" spans="1:54" x14ac:dyDescent="0.25">
      <c r="A175" s="138">
        <v>0.75</v>
      </c>
      <c r="B175">
        <f t="shared" si="202"/>
        <v>746.09999999999991</v>
      </c>
      <c r="C175" s="132">
        <f t="shared" si="203"/>
        <v>81463458.157128692</v>
      </c>
      <c r="D175">
        <v>1.25</v>
      </c>
      <c r="E175" s="238">
        <f t="shared" si="222"/>
        <v>2.190683753764449E-3</v>
      </c>
      <c r="F175" s="237">
        <f t="shared" si="215"/>
        <v>4.4245648001826942E-3</v>
      </c>
      <c r="G175">
        <f t="shared" si="216"/>
        <v>328985777.22772264</v>
      </c>
      <c r="H175">
        <f t="shared" si="217"/>
        <v>1.8107085198824718E-3</v>
      </c>
      <c r="I175">
        <f t="shared" si="218"/>
        <v>6.2840654741725954E-2</v>
      </c>
      <c r="J175">
        <f t="shared" si="204"/>
        <v>0</v>
      </c>
      <c r="K175" s="96">
        <f t="shared" si="219"/>
        <v>6.2840654741725954E-2</v>
      </c>
      <c r="L175">
        <f t="shared" si="188"/>
        <v>5.4197047970479702E-3</v>
      </c>
      <c r="M175">
        <f t="shared" si="189"/>
        <v>8.1295571955719553E-3</v>
      </c>
      <c r="S175">
        <v>0.6</v>
      </c>
      <c r="T175">
        <v>0.92</v>
      </c>
      <c r="U175" s="96">
        <v>1.4999999999999999E-2</v>
      </c>
      <c r="V175" s="96">
        <v>1.4E-2</v>
      </c>
      <c r="X175">
        <f t="shared" si="205"/>
        <v>63055607.301980183</v>
      </c>
      <c r="Y175">
        <f t="shared" si="220"/>
        <v>2.2722023853033848E-3</v>
      </c>
      <c r="Z175">
        <f t="shared" si="190"/>
        <v>0.39780245264291347</v>
      </c>
      <c r="AA175">
        <f t="shared" si="206"/>
        <v>4.5979502691435664E-2</v>
      </c>
      <c r="AB175">
        <f t="shared" si="207"/>
        <v>0.44378195533434917</v>
      </c>
      <c r="AC175" s="96">
        <f t="shared" si="208"/>
        <v>0.88756391066869833</v>
      </c>
      <c r="AD175">
        <f t="shared" si="209"/>
        <v>47702937.69801978</v>
      </c>
      <c r="AE175">
        <f t="shared" si="221"/>
        <v>2.3658746409556167E-3</v>
      </c>
      <c r="AF175">
        <f t="shared" si="191"/>
        <v>6.740759608880327E-2</v>
      </c>
      <c r="AG175" s="96">
        <f t="shared" si="210"/>
        <v>0.8088911530656393</v>
      </c>
      <c r="AH175" s="96">
        <v>2.3999999999999998E-3</v>
      </c>
      <c r="AI175" s="96">
        <v>3.7000000000000002E-3</v>
      </c>
      <c r="AJ175">
        <f t="shared" si="211"/>
        <v>50466418.226732656</v>
      </c>
      <c r="AM175" s="96">
        <f t="shared" si="192"/>
        <v>0</v>
      </c>
      <c r="AP175">
        <f t="shared" si="193"/>
        <v>7.6790614396665454E-3</v>
      </c>
      <c r="AQ175">
        <f t="shared" si="194"/>
        <v>1.9957540825768207E-2</v>
      </c>
      <c r="AR175">
        <f t="shared" si="195"/>
        <v>8.1375815411190121E-3</v>
      </c>
      <c r="AS175">
        <f t="shared" si="196"/>
        <v>4.037724562281618E-2</v>
      </c>
      <c r="AT175">
        <f t="shared" si="197"/>
        <v>4.2087098021340162E-2</v>
      </c>
      <c r="AU175">
        <f t="shared" si="198"/>
        <v>8.1375815411190103E-3</v>
      </c>
      <c r="AV175" s="26">
        <f t="shared" si="199"/>
        <v>8.9362256079841378E-3</v>
      </c>
      <c r="AW175" s="27">
        <f t="shared" si="200"/>
        <v>2.1214704994085797E-2</v>
      </c>
      <c r="AX175" s="27">
        <f t="shared" si="201"/>
        <v>9.3947457094366027E-3</v>
      </c>
      <c r="AY175" s="27">
        <f t="shared" si="212"/>
        <v>4.1634409791133767E-2</v>
      </c>
      <c r="AZ175" s="27">
        <f t="shared" si="213"/>
        <v>4.3344262189657749E-2</v>
      </c>
      <c r="BA175" s="93">
        <f t="shared" si="214"/>
        <v>1.5494745709436602E-2</v>
      </c>
      <c r="BB175" s="138">
        <v>0.75</v>
      </c>
    </row>
    <row r="176" spans="1:54" x14ac:dyDescent="0.25">
      <c r="A176" s="138">
        <v>0.8</v>
      </c>
      <c r="B176">
        <f t="shared" si="202"/>
        <v>795.84</v>
      </c>
      <c r="C176" s="132">
        <f t="shared" si="203"/>
        <v>86894355.367603943</v>
      </c>
      <c r="D176">
        <v>1.25</v>
      </c>
      <c r="E176" s="238">
        <f t="shared" si="222"/>
        <v>2.1707850302658343E-3</v>
      </c>
      <c r="F176" s="237">
        <f t="shared" si="215"/>
        <v>4.3843749775260722E-3</v>
      </c>
      <c r="G176">
        <f t="shared" si="216"/>
        <v>350918162.37623763</v>
      </c>
      <c r="H176">
        <f t="shared" si="217"/>
        <v>1.795425015836398E-3</v>
      </c>
      <c r="I176">
        <f t="shared" si="218"/>
        <v>6.2310240602477619E-2</v>
      </c>
      <c r="J176">
        <f t="shared" si="204"/>
        <v>0</v>
      </c>
      <c r="K176" s="96">
        <f t="shared" si="219"/>
        <v>6.2310240602477619E-2</v>
      </c>
      <c r="L176">
        <f t="shared" si="188"/>
        <v>5.4197047970479702E-3</v>
      </c>
      <c r="M176">
        <f t="shared" si="189"/>
        <v>8.1295571955719553E-3</v>
      </c>
      <c r="S176">
        <v>0.6</v>
      </c>
      <c r="T176">
        <v>0.92</v>
      </c>
      <c r="U176" s="96">
        <v>1.4999999999999999E-2</v>
      </c>
      <c r="V176" s="96">
        <v>1.4E-2</v>
      </c>
      <c r="X176">
        <f t="shared" si="205"/>
        <v>67259314.455445543</v>
      </c>
      <c r="Y176">
        <f t="shared" si="220"/>
        <v>2.2512707306141782E-3</v>
      </c>
      <c r="Z176">
        <f t="shared" si="190"/>
        <v>0.39413787433461761</v>
      </c>
      <c r="AA176">
        <f t="shared" si="206"/>
        <v>4.6192760099528052E-2</v>
      </c>
      <c r="AB176">
        <f t="shared" si="207"/>
        <v>0.44033063443414566</v>
      </c>
      <c r="AC176" s="96">
        <f t="shared" si="208"/>
        <v>0.88066126886829132</v>
      </c>
      <c r="AD176">
        <f t="shared" si="209"/>
        <v>50883133.54455445</v>
      </c>
      <c r="AE176">
        <f t="shared" si="221"/>
        <v>2.3437383593147621E-3</v>
      </c>
      <c r="AF176">
        <f t="shared" si="191"/>
        <v>6.6776897612255082E-2</v>
      </c>
      <c r="AG176" s="96">
        <f t="shared" si="210"/>
        <v>0.80132277134706098</v>
      </c>
      <c r="AH176" s="96">
        <v>2.5000000000000001E-3</v>
      </c>
      <c r="AI176" s="96">
        <v>3.7000000000000002E-3</v>
      </c>
      <c r="AJ176">
        <f t="shared" si="211"/>
        <v>53830846.108514845</v>
      </c>
      <c r="AM176" s="96">
        <f t="shared" si="192"/>
        <v>0</v>
      </c>
      <c r="AP176">
        <f t="shared" si="193"/>
        <v>7.6114016448905492E-3</v>
      </c>
      <c r="AQ176">
        <f t="shared" si="194"/>
        <v>1.9775721763620892E-2</v>
      </c>
      <c r="AR176">
        <f t="shared" si="195"/>
        <v>8.06635580592952E-3</v>
      </c>
      <c r="AS176">
        <f t="shared" si="196"/>
        <v>4.0195426560668865E-2</v>
      </c>
      <c r="AT176">
        <f t="shared" si="197"/>
        <v>4.1905278959192847E-2</v>
      </c>
      <c r="AU176">
        <f t="shared" si="198"/>
        <v>8.0663558059295183E-3</v>
      </c>
      <c r="AV176" s="26">
        <f t="shared" si="199"/>
        <v>8.8571465647042311E-3</v>
      </c>
      <c r="AW176" s="27">
        <f t="shared" si="200"/>
        <v>2.1021466683434572E-2</v>
      </c>
      <c r="AX176" s="27">
        <f t="shared" si="201"/>
        <v>9.3121007257432001E-3</v>
      </c>
      <c r="AY176" s="27">
        <f t="shared" si="212"/>
        <v>4.1441171480482542E-2</v>
      </c>
      <c r="AZ176" s="27">
        <f t="shared" si="213"/>
        <v>4.3151023879006524E-2</v>
      </c>
      <c r="BA176" s="93">
        <f t="shared" si="214"/>
        <v>1.5512100725743201E-2</v>
      </c>
      <c r="BB176" s="138">
        <v>0.8</v>
      </c>
    </row>
    <row r="177" spans="1:54" x14ac:dyDescent="0.25">
      <c r="A177" s="138">
        <v>0.85</v>
      </c>
      <c r="B177">
        <f t="shared" si="202"/>
        <v>845.57999999999993</v>
      </c>
      <c r="C177" s="132">
        <f t="shared" si="203"/>
        <v>92325252.578079194</v>
      </c>
      <c r="D177">
        <v>1.35</v>
      </c>
      <c r="E177" s="238">
        <f t="shared" si="222"/>
        <v>2.1523207751677222E-3</v>
      </c>
      <c r="F177" s="237">
        <f t="shared" si="215"/>
        <v>4.6948489676231168E-3</v>
      </c>
      <c r="G177">
        <f t="shared" si="216"/>
        <v>372850547.52475244</v>
      </c>
      <c r="H177">
        <f t="shared" si="217"/>
        <v>1.7812309368159763E-3</v>
      </c>
      <c r="I177">
        <f t="shared" si="218"/>
        <v>6.1817634968105842E-2</v>
      </c>
      <c r="J177">
        <f t="shared" si="204"/>
        <v>0</v>
      </c>
      <c r="K177" s="96">
        <f t="shared" si="219"/>
        <v>6.1817634968105842E-2</v>
      </c>
      <c r="L177">
        <f t="shared" si="188"/>
        <v>5.4197047970479702E-3</v>
      </c>
      <c r="M177">
        <f t="shared" si="189"/>
        <v>8.1295571955719553E-3</v>
      </c>
      <c r="S177">
        <v>0.6</v>
      </c>
      <c r="T177">
        <v>0.92</v>
      </c>
      <c r="U177" s="96">
        <v>1.4999999999999999E-2</v>
      </c>
      <c r="V177" s="96">
        <v>1.4E-2</v>
      </c>
      <c r="X177">
        <f t="shared" si="205"/>
        <v>71463021.608910874</v>
      </c>
      <c r="Y177">
        <f t="shared" si="220"/>
        <v>2.2318513902524657E-3</v>
      </c>
      <c r="Z177">
        <f t="shared" si="190"/>
        <v>0.39073806220759821</v>
      </c>
      <c r="AA177">
        <f t="shared" si="206"/>
        <v>4.6393286466701225E-2</v>
      </c>
      <c r="AB177">
        <f t="shared" si="207"/>
        <v>0.43713134867429942</v>
      </c>
      <c r="AC177" s="96">
        <f t="shared" si="208"/>
        <v>0.87426269734859885</v>
      </c>
      <c r="AD177">
        <f t="shared" si="209"/>
        <v>54063329.391089104</v>
      </c>
      <c r="AE177">
        <f t="shared" si="221"/>
        <v>2.3232054412109797E-3</v>
      </c>
      <c r="AF177">
        <f t="shared" si="191"/>
        <v>6.6191881556837542E-2</v>
      </c>
      <c r="AG177" s="96">
        <f t="shared" si="210"/>
        <v>0.79430257868205056</v>
      </c>
      <c r="AH177" s="96">
        <v>2.7499999999999998E-3</v>
      </c>
      <c r="AI177" s="96">
        <v>3.7000000000000002E-3</v>
      </c>
      <c r="AJ177">
        <f t="shared" si="211"/>
        <v>57195273.990297019</v>
      </c>
      <c r="AM177" s="96">
        <f t="shared" si="192"/>
        <v>0</v>
      </c>
      <c r="AP177">
        <f t="shared" si="193"/>
        <v>7.8963637527794464E-3</v>
      </c>
      <c r="AQ177">
        <f t="shared" si="194"/>
        <v>1.9954795447280273E-2</v>
      </c>
      <c r="AR177">
        <f t="shared" si="195"/>
        <v>8.348012378715991E-3</v>
      </c>
      <c r="AS177">
        <f t="shared" si="196"/>
        <v>4.0374500244328246E-2</v>
      </c>
      <c r="AT177">
        <f t="shared" si="197"/>
        <v>4.2084352642852228E-2</v>
      </c>
      <c r="AU177">
        <f t="shared" si="198"/>
        <v>8.3480123787159927E-3</v>
      </c>
      <c r="AV177" s="26">
        <f t="shared" si="199"/>
        <v>9.2303245295579702E-3</v>
      </c>
      <c r="AW177" s="27">
        <f t="shared" si="200"/>
        <v>2.1288756224058798E-2</v>
      </c>
      <c r="AX177" s="27">
        <f t="shared" si="201"/>
        <v>9.6819731554945165E-3</v>
      </c>
      <c r="AY177" s="27">
        <f t="shared" si="212"/>
        <v>4.1708461021106771E-2</v>
      </c>
      <c r="AZ177" s="27">
        <f t="shared" si="213"/>
        <v>4.3418313419630754E-2</v>
      </c>
      <c r="BA177" s="93">
        <f t="shared" si="214"/>
        <v>1.6131973155494514E-2</v>
      </c>
      <c r="BB177" s="138">
        <v>0.85</v>
      </c>
    </row>
    <row r="178" spans="1:54" x14ac:dyDescent="0.25">
      <c r="A178" s="138">
        <v>0.9</v>
      </c>
      <c r="B178">
        <f t="shared" si="202"/>
        <v>895.31999999999994</v>
      </c>
      <c r="C178" s="132">
        <f t="shared" si="203"/>
        <v>97756149.78855443</v>
      </c>
      <c r="D178">
        <v>1.35</v>
      </c>
      <c r="E178" s="238">
        <f t="shared" si="222"/>
        <v>2.1351112062284517E-3</v>
      </c>
      <c r="F178" s="237">
        <f t="shared" si="215"/>
        <v>4.6573098015750287E-3</v>
      </c>
      <c r="G178">
        <f t="shared" si="216"/>
        <v>394782932.67326719</v>
      </c>
      <c r="H178">
        <f t="shared" si="217"/>
        <v>1.7679906137559557E-3</v>
      </c>
      <c r="I178">
        <f t="shared" si="218"/>
        <v>6.135812944253529E-2</v>
      </c>
      <c r="J178">
        <f t="shared" si="204"/>
        <v>0</v>
      </c>
      <c r="K178" s="96">
        <f t="shared" si="219"/>
        <v>6.135812944253529E-2</v>
      </c>
      <c r="L178">
        <f t="shared" si="188"/>
        <v>5.4197047970479702E-3</v>
      </c>
      <c r="M178">
        <f t="shared" si="189"/>
        <v>8.1295571955719553E-3</v>
      </c>
      <c r="S178">
        <v>0.6</v>
      </c>
      <c r="T178">
        <v>0.92</v>
      </c>
      <c r="U178" s="96">
        <v>1.4999999999999999E-2</v>
      </c>
      <c r="V178" s="96">
        <v>1.4E-2</v>
      </c>
      <c r="X178">
        <f t="shared" si="205"/>
        <v>75666728.762376219</v>
      </c>
      <c r="Y178">
        <f t="shared" si="220"/>
        <v>2.2137545834822327E-3</v>
      </c>
      <c r="Z178">
        <f t="shared" si="190"/>
        <v>0.38756979068180175</v>
      </c>
      <c r="AA178">
        <f t="shared" si="206"/>
        <v>4.6582526392591826E-2</v>
      </c>
      <c r="AB178">
        <f t="shared" si="207"/>
        <v>0.43415231707439356</v>
      </c>
      <c r="AC178" s="96">
        <f t="shared" si="208"/>
        <v>0.86830463414878711</v>
      </c>
      <c r="AD178">
        <f t="shared" si="209"/>
        <v>57243525.237623744</v>
      </c>
      <c r="AE178">
        <f t="shared" si="221"/>
        <v>2.3040743919525149E-3</v>
      </c>
      <c r="AF178">
        <f t="shared" si="191"/>
        <v>6.5646807012799693E-2</v>
      </c>
      <c r="AG178" s="96">
        <f t="shared" si="210"/>
        <v>0.78776168415359638</v>
      </c>
      <c r="AH178" s="96">
        <v>3.2499999999999999E-3</v>
      </c>
      <c r="AI178" s="96">
        <v>3.7000000000000002E-3</v>
      </c>
      <c r="AJ178">
        <f t="shared" si="211"/>
        <v>60559701.872079194</v>
      </c>
      <c r="AM178" s="96">
        <f t="shared" si="192"/>
        <v>0</v>
      </c>
      <c r="AP178">
        <f t="shared" si="193"/>
        <v>7.835026948165371E-3</v>
      </c>
      <c r="AQ178">
        <f t="shared" si="194"/>
        <v>1.9794801553438698E-2</v>
      </c>
      <c r="AR178">
        <f t="shared" si="195"/>
        <v>8.2835976078732311E-3</v>
      </c>
      <c r="AS178">
        <f t="shared" si="196"/>
        <v>4.0214506350486665E-2</v>
      </c>
      <c r="AT178">
        <f t="shared" si="197"/>
        <v>4.1924358749010654E-2</v>
      </c>
      <c r="AU178">
        <f t="shared" si="198"/>
        <v>8.2835976078732311E-3</v>
      </c>
      <c r="AV178" s="26">
        <f t="shared" si="199"/>
        <v>9.1583216150335524E-3</v>
      </c>
      <c r="AW178" s="27">
        <f t="shared" si="200"/>
        <v>2.111809622030688E-2</v>
      </c>
      <c r="AX178" s="27">
        <f t="shared" si="201"/>
        <v>9.6068922747414125E-3</v>
      </c>
      <c r="AY178" s="27">
        <f t="shared" si="212"/>
        <v>4.1537801017354853E-2</v>
      </c>
      <c r="AZ178" s="27">
        <f t="shared" si="213"/>
        <v>4.3247653415878835E-2</v>
      </c>
      <c r="BA178" s="93">
        <f t="shared" si="214"/>
        <v>1.6556892274741414E-2</v>
      </c>
      <c r="BB178" s="138">
        <v>0.9</v>
      </c>
    </row>
    <row r="179" spans="1:54" x14ac:dyDescent="0.25">
      <c r="A179" s="138">
        <v>0.95</v>
      </c>
      <c r="B179">
        <f t="shared" si="202"/>
        <v>945.06</v>
      </c>
      <c r="C179" s="132">
        <f t="shared" si="203"/>
        <v>103187046.99902968</v>
      </c>
      <c r="D179">
        <v>1.35</v>
      </c>
      <c r="E179" s="238">
        <f t="shared" si="222"/>
        <v>2.1190075817150611E-3</v>
      </c>
      <c r="F179" s="237">
        <f t="shared" si="215"/>
        <v>4.6221830278180866E-3</v>
      </c>
      <c r="G179">
        <f t="shared" si="216"/>
        <v>416715317.82178205</v>
      </c>
      <c r="H179">
        <f t="shared" si="217"/>
        <v>1.7555916976734053E-3</v>
      </c>
      <c r="I179">
        <f t="shared" si="218"/>
        <v>6.0927824953347955E-2</v>
      </c>
      <c r="J179">
        <f t="shared" si="204"/>
        <v>0</v>
      </c>
      <c r="K179" s="96">
        <f t="shared" si="219"/>
        <v>6.0927824953347955E-2</v>
      </c>
      <c r="L179">
        <f t="shared" si="188"/>
        <v>5.4197047970479702E-3</v>
      </c>
      <c r="M179">
        <f t="shared" si="189"/>
        <v>8.1295571955719553E-3</v>
      </c>
      <c r="S179">
        <v>0.6</v>
      </c>
      <c r="T179">
        <v>0.92</v>
      </c>
      <c r="U179" s="96">
        <v>1.4999999999999999E-2</v>
      </c>
      <c r="V179" s="96">
        <v>1.4E-2</v>
      </c>
      <c r="X179">
        <f t="shared" si="205"/>
        <v>79870435.915841565</v>
      </c>
      <c r="Y179">
        <f t="shared" si="220"/>
        <v>2.1968233256249E-3</v>
      </c>
      <c r="Z179">
        <f t="shared" si="190"/>
        <v>0.38460557589814492</v>
      </c>
      <c r="AA179">
        <f t="shared" si="206"/>
        <v>4.6761691217802125E-2</v>
      </c>
      <c r="AB179">
        <f t="shared" si="207"/>
        <v>0.43136726711594703</v>
      </c>
      <c r="AC179" s="96">
        <f t="shared" si="208"/>
        <v>0.86273453423189406</v>
      </c>
      <c r="AD179">
        <f t="shared" si="209"/>
        <v>60423721.084158406</v>
      </c>
      <c r="AE179">
        <f t="shared" si="221"/>
        <v>2.2861785720857666E-3</v>
      </c>
      <c r="AF179">
        <f t="shared" si="191"/>
        <v>6.5136926152515193E-2</v>
      </c>
      <c r="AG179" s="96">
        <f t="shared" si="210"/>
        <v>0.78164311383018226</v>
      </c>
      <c r="AH179" s="96">
        <v>3.7499999999999999E-3</v>
      </c>
      <c r="AI179" s="96">
        <v>3.7000000000000002E-3</v>
      </c>
      <c r="AJ179">
        <f t="shared" si="211"/>
        <v>63924129.753861368</v>
      </c>
      <c r="AM179" s="96">
        <f t="shared" si="192"/>
        <v>0</v>
      </c>
      <c r="AP179">
        <f t="shared" si="193"/>
        <v>7.7776148478189665E-3</v>
      </c>
      <c r="AQ179">
        <f t="shared" si="194"/>
        <v>1.9645104019627036E-2</v>
      </c>
      <c r="AR179">
        <f t="shared" si="195"/>
        <v>8.2233079651343362E-3</v>
      </c>
      <c r="AS179">
        <f t="shared" si="196"/>
        <v>4.0064808816675006E-2</v>
      </c>
      <c r="AT179">
        <f t="shared" si="197"/>
        <v>4.1774661215198988E-2</v>
      </c>
      <c r="AU179">
        <f t="shared" si="198"/>
        <v>8.2233079651343362E-3</v>
      </c>
      <c r="AV179" s="161">
        <f t="shared" si="199"/>
        <v>9.0909288446528874E-3</v>
      </c>
      <c r="AW179" s="94">
        <f t="shared" si="200"/>
        <v>2.0958418016460957E-2</v>
      </c>
      <c r="AX179" s="94">
        <f t="shared" si="201"/>
        <v>9.5366219619682571E-3</v>
      </c>
      <c r="AY179" s="27">
        <f t="shared" si="212"/>
        <v>4.137812281350893E-2</v>
      </c>
      <c r="AZ179" s="27">
        <f t="shared" si="213"/>
        <v>4.3087975212032913E-2</v>
      </c>
      <c r="BA179" s="162">
        <f t="shared" si="214"/>
        <v>1.6986621961968255E-2</v>
      </c>
      <c r="BB179" s="138">
        <v>0.95</v>
      </c>
    </row>
    <row r="181" spans="1:54" x14ac:dyDescent="0.25">
      <c r="A181" t="s">
        <v>180</v>
      </c>
      <c r="B181" s="98">
        <v>36000</v>
      </c>
      <c r="C181" s="132" t="s">
        <v>124</v>
      </c>
      <c r="D181" t="s">
        <v>181</v>
      </c>
      <c r="E181" s="238" t="s">
        <v>153</v>
      </c>
      <c r="F181" s="238">
        <v>542</v>
      </c>
      <c r="G181" t="s">
        <v>150</v>
      </c>
      <c r="H181" t="s">
        <v>233</v>
      </c>
    </row>
    <row r="182" spans="1:54" x14ac:dyDescent="0.25">
      <c r="A182" t="s">
        <v>353</v>
      </c>
      <c r="B182" s="98">
        <v>-69.17</v>
      </c>
      <c r="C182" s="132" t="s">
        <v>352</v>
      </c>
      <c r="D182" t="s">
        <v>350</v>
      </c>
      <c r="E182" s="238" t="s">
        <v>410</v>
      </c>
      <c r="F182" s="238">
        <f>$F$2</f>
        <v>24.1</v>
      </c>
      <c r="G182" t="s">
        <v>364</v>
      </c>
      <c r="H182" t="s">
        <v>365</v>
      </c>
    </row>
    <row r="183" spans="1:54" x14ac:dyDescent="0.25">
      <c r="A183" t="s">
        <v>177</v>
      </c>
      <c r="B183" s="131">
        <v>7.1029999999999997E-4</v>
      </c>
      <c r="C183" s="132" t="s">
        <v>165</v>
      </c>
      <c r="D183" t="s">
        <v>324</v>
      </c>
      <c r="E183" s="238" t="s">
        <v>363</v>
      </c>
      <c r="F183" s="238">
        <f>$F$3</f>
        <v>0.91283417723304283</v>
      </c>
    </row>
    <row r="184" spans="1:54" x14ac:dyDescent="0.25">
      <c r="A184" t="s">
        <v>349</v>
      </c>
      <c r="B184" s="131">
        <f>0.000000297-0.00000022</f>
        <v>7.7000000000000015E-8</v>
      </c>
      <c r="C184" s="132" t="s">
        <v>354</v>
      </c>
      <c r="D184" t="s">
        <v>351</v>
      </c>
    </row>
    <row r="185" spans="1:54" x14ac:dyDescent="0.25">
      <c r="A185" t="s">
        <v>142</v>
      </c>
      <c r="B185" s="98">
        <v>968.7</v>
      </c>
      <c r="C185" s="132" t="s">
        <v>135</v>
      </c>
      <c r="D185" t="s">
        <v>327</v>
      </c>
    </row>
    <row r="186" spans="1:54" x14ac:dyDescent="0.25">
      <c r="C186" s="164" t="s">
        <v>207</v>
      </c>
      <c r="G186" s="96" t="s">
        <v>379</v>
      </c>
      <c r="I186" t="s">
        <v>521</v>
      </c>
      <c r="L186" s="96" t="s">
        <v>554</v>
      </c>
      <c r="N186" s="29"/>
      <c r="S186" s="96" t="s">
        <v>163</v>
      </c>
      <c r="X186" s="96" t="s">
        <v>390</v>
      </c>
      <c r="AJ186" s="96" t="s">
        <v>503</v>
      </c>
      <c r="AK186" t="s">
        <v>614</v>
      </c>
      <c r="AP186" s="96" t="s">
        <v>417</v>
      </c>
      <c r="AV186" s="96" t="s">
        <v>624</v>
      </c>
    </row>
    <row r="187" spans="1:54" x14ac:dyDescent="0.25">
      <c r="C187" s="235" t="s">
        <v>518</v>
      </c>
      <c r="D187" s="97" t="s">
        <v>360</v>
      </c>
      <c r="E187" s="240" t="s">
        <v>219</v>
      </c>
      <c r="F187" s="240" t="s">
        <v>220</v>
      </c>
      <c r="G187" s="97" t="s">
        <v>371</v>
      </c>
      <c r="H187" s="97" t="s">
        <v>372</v>
      </c>
      <c r="I187" s="97" t="s">
        <v>553</v>
      </c>
      <c r="J187" s="97" t="s">
        <v>380</v>
      </c>
      <c r="K187" s="97" t="s">
        <v>376</v>
      </c>
      <c r="L187" t="s">
        <v>629</v>
      </c>
      <c r="M187" t="s">
        <v>585</v>
      </c>
      <c r="N187" t="s">
        <v>587</v>
      </c>
      <c r="O187" s="29" t="s">
        <v>588</v>
      </c>
      <c r="P187" t="s">
        <v>589</v>
      </c>
      <c r="Q187" t="s">
        <v>590</v>
      </c>
      <c r="R187" t="s">
        <v>591</v>
      </c>
      <c r="S187" t="s">
        <v>155</v>
      </c>
      <c r="T187" t="s">
        <v>581</v>
      </c>
      <c r="U187" t="s">
        <v>142</v>
      </c>
      <c r="V187" t="s">
        <v>143</v>
      </c>
      <c r="W187" t="s">
        <v>583</v>
      </c>
      <c r="AJ187" t="s">
        <v>518</v>
      </c>
      <c r="AK187" t="s">
        <v>360</v>
      </c>
      <c r="AL187" t="s">
        <v>219</v>
      </c>
      <c r="AM187" t="s">
        <v>220</v>
      </c>
      <c r="AN187" t="s">
        <v>602</v>
      </c>
      <c r="AO187" t="s">
        <v>603</v>
      </c>
      <c r="AP187" t="s">
        <v>534</v>
      </c>
      <c r="AV187" t="s">
        <v>534</v>
      </c>
    </row>
    <row r="188" spans="1:54" x14ac:dyDescent="0.25">
      <c r="C188" s="236">
        <v>12.381</v>
      </c>
      <c r="D188" s="28">
        <v>1.2</v>
      </c>
      <c r="E188" s="236">
        <v>0.1</v>
      </c>
      <c r="F188" s="241">
        <v>775</v>
      </c>
      <c r="G188" s="133">
        <v>867.11</v>
      </c>
      <c r="H188" s="28">
        <v>6.8449999999999998</v>
      </c>
      <c r="I188" s="28">
        <v>28.07</v>
      </c>
      <c r="J188" s="28">
        <v>50</v>
      </c>
      <c r="K188" s="28"/>
      <c r="L188" s="86">
        <v>15</v>
      </c>
      <c r="M188">
        <v>20</v>
      </c>
      <c r="N188">
        <v>1.4</v>
      </c>
      <c r="O188">
        <v>0.02</v>
      </c>
      <c r="P188">
        <v>0.03</v>
      </c>
      <c r="Q188">
        <v>104.91</v>
      </c>
      <c r="R188" t="e">
        <f>Q188/N182</f>
        <v>#DIV/0!</v>
      </c>
      <c r="S188">
        <v>4.7300000000000004</v>
      </c>
      <c r="T188">
        <v>1.65</v>
      </c>
      <c r="U188">
        <v>1.1399999999999999</v>
      </c>
      <c r="V188">
        <v>4.53</v>
      </c>
      <c r="W188">
        <v>3.18</v>
      </c>
      <c r="X188" t="s">
        <v>515</v>
      </c>
      <c r="AB188" t="s">
        <v>615</v>
      </c>
      <c r="AC188" t="s">
        <v>616</v>
      </c>
      <c r="AD188" t="s">
        <v>606</v>
      </c>
      <c r="AF188" t="s">
        <v>615</v>
      </c>
      <c r="AG188" t="s">
        <v>617</v>
      </c>
      <c r="AH188" t="s">
        <v>627</v>
      </c>
      <c r="AI188" t="s">
        <v>628</v>
      </c>
      <c r="AJ188">
        <v>7.67</v>
      </c>
      <c r="AK188">
        <v>1.2</v>
      </c>
      <c r="AL188">
        <v>0.09</v>
      </c>
      <c r="AM188">
        <v>217.4</v>
      </c>
      <c r="AN188">
        <v>58.91</v>
      </c>
      <c r="AO188">
        <v>95.09</v>
      </c>
    </row>
    <row r="189" spans="1:54" x14ac:dyDescent="0.25">
      <c r="A189" t="s">
        <v>348</v>
      </c>
      <c r="B189" t="s">
        <v>355</v>
      </c>
      <c r="C189" s="132" t="s">
        <v>374</v>
      </c>
      <c r="D189" t="s">
        <v>367</v>
      </c>
      <c r="E189" s="238" t="s">
        <v>366</v>
      </c>
      <c r="F189" s="237" t="s">
        <v>356</v>
      </c>
      <c r="G189" t="s">
        <v>374</v>
      </c>
      <c r="H189" t="s">
        <v>366</v>
      </c>
      <c r="I189" t="s">
        <v>375</v>
      </c>
      <c r="J189" t="s">
        <v>377</v>
      </c>
      <c r="K189" s="96" t="s">
        <v>378</v>
      </c>
      <c r="L189" s="11" t="s">
        <v>630</v>
      </c>
      <c r="M189" s="11" t="s">
        <v>586</v>
      </c>
      <c r="N189" s="11"/>
      <c r="O189" s="11"/>
      <c r="S189" t="s">
        <v>555</v>
      </c>
      <c r="T189" t="s">
        <v>582</v>
      </c>
      <c r="U189" s="96" t="s">
        <v>622</v>
      </c>
      <c r="V189" s="96" t="s">
        <v>623</v>
      </c>
      <c r="X189" t="s">
        <v>374</v>
      </c>
      <c r="Y189" t="s">
        <v>366</v>
      </c>
      <c r="Z189" t="s">
        <v>611</v>
      </c>
      <c r="AA189" t="s">
        <v>377</v>
      </c>
      <c r="AB189" t="s">
        <v>612</v>
      </c>
      <c r="AC189" s="96" t="s">
        <v>612</v>
      </c>
      <c r="AD189" t="s">
        <v>374</v>
      </c>
      <c r="AE189" t="s">
        <v>366</v>
      </c>
      <c r="AF189" t="s">
        <v>613</v>
      </c>
      <c r="AG189" s="96" t="s">
        <v>613</v>
      </c>
      <c r="AH189" s="96" t="s">
        <v>110</v>
      </c>
      <c r="AI189" s="96" t="s">
        <v>110</v>
      </c>
      <c r="AJ189" t="s">
        <v>374</v>
      </c>
      <c r="AK189" t="s">
        <v>367</v>
      </c>
      <c r="AL189" t="s">
        <v>366</v>
      </c>
      <c r="AM189" s="96" t="s">
        <v>523</v>
      </c>
      <c r="AP189" t="s">
        <v>522</v>
      </c>
      <c r="AQ189" t="s">
        <v>516</v>
      </c>
      <c r="AR189" t="s">
        <v>192</v>
      </c>
      <c r="AS189" t="s">
        <v>290</v>
      </c>
      <c r="AT189" t="s">
        <v>294</v>
      </c>
      <c r="AU189" t="s">
        <v>289</v>
      </c>
      <c r="AV189" s="160" t="s">
        <v>522</v>
      </c>
      <c r="AW189" s="108" t="s">
        <v>516</v>
      </c>
      <c r="AX189" s="108" t="s">
        <v>192</v>
      </c>
      <c r="AY189" s="108" t="s">
        <v>290</v>
      </c>
      <c r="AZ189" s="108" t="s">
        <v>294</v>
      </c>
      <c r="BA189" s="51" t="s">
        <v>289</v>
      </c>
    </row>
    <row r="190" spans="1:54" x14ac:dyDescent="0.25">
      <c r="A190" s="138">
        <v>0</v>
      </c>
      <c r="B190">
        <f>A190*$B$185</f>
        <v>0</v>
      </c>
      <c r="C190" s="132">
        <f>($B$183*B190*($C$8))/$B$184</f>
        <v>0</v>
      </c>
      <c r="D190">
        <v>1.06</v>
      </c>
      <c r="E190" s="238" t="e">
        <f>0.455/(LOG10(C190))^2.58</f>
        <v>#NUM!</v>
      </c>
      <c r="F190" s="237" t="e">
        <f>E190*(1+$D$8*$E$8+100*$E$8^4)*D190*($F$8/$F$1)</f>
        <v>#NUM!</v>
      </c>
      <c r="G190" s="132">
        <f>($B$183*B190*$J$8)/$B$184</f>
        <v>0</v>
      </c>
      <c r="H190" t="e">
        <f>1.328/SQRT(G190)</f>
        <v>#DIV/0!</v>
      </c>
      <c r="I190" t="e">
        <f>H190*(1+(60/(($J$8/$H$8)^3))+0.0025*($J$8/$H$8))*($G$8/$I$8)</f>
        <v>#DIV/0!</v>
      </c>
      <c r="J190" t="e">
        <f>(0.029*($K$8/$H$8)^3)/SQRT(I190)</f>
        <v>#DIV/0!</v>
      </c>
      <c r="K190" s="96" t="e">
        <f>I190+J190</f>
        <v>#DIV/0!</v>
      </c>
      <c r="L190">
        <f t="shared" ref="L190:L209" si="223">$N$8*$O$8*$R$8</f>
        <v>5.4197047970479702E-3</v>
      </c>
      <c r="M190">
        <f t="shared" ref="M190:M209" si="224">$N$8*$P$8*$R$8</f>
        <v>8.1295571955719553E-3</v>
      </c>
      <c r="S190">
        <v>0.6</v>
      </c>
      <c r="T190">
        <v>0.92</v>
      </c>
      <c r="U190" s="96">
        <v>1.4999999999999999E-2</v>
      </c>
      <c r="V190" s="96">
        <v>1.4E-2</v>
      </c>
      <c r="X190" s="132">
        <f>$B$183*B190*$Z$2/$B$184</f>
        <v>0</v>
      </c>
      <c r="Z190">
        <f t="shared" ref="Z190:Z209" si="225">Y190*(1+(60/($Z$2/$Z$1)^3)+0.0025*($Z$2/$Z$1))*($AC$1/$AC$2)</f>
        <v>0</v>
      </c>
      <c r="AA190" t="e">
        <f>0.029*($Z$1/$Z$1)^3/SQRT(Z190)</f>
        <v>#DIV/0!</v>
      </c>
      <c r="AB190" t="e">
        <f>Z190+AA190</f>
        <v>#DIV/0!</v>
      </c>
      <c r="AC190" s="96" t="e">
        <f>2*AB190</f>
        <v>#DIV/0!</v>
      </c>
      <c r="AD190" s="132">
        <f>$B$183*B190*$Z$4/$B$184</f>
        <v>0</v>
      </c>
      <c r="AF190">
        <f t="shared" ref="AF190:AF209" si="226">AE190*(1+(60/($Z$4/$Z$3)^3)+0.0025*($Z$4/$Z$3))*($AC$3/$AC$4)</f>
        <v>0</v>
      </c>
      <c r="AG190" s="96">
        <f>12*AF190</f>
        <v>0</v>
      </c>
      <c r="AH190" s="96">
        <v>2.3999999999999998E-3</v>
      </c>
      <c r="AI190" s="96">
        <v>3.7000000000000002E-3</v>
      </c>
      <c r="AJ190" s="132">
        <f>($B$183*B190*$AJ$8)/$B$184</f>
        <v>0</v>
      </c>
      <c r="AM190" s="96">
        <f t="shared" ref="AM190:AM209" si="227">AL190*(1+$AK$8*$AL$8+100*$AL$8^4)*AK190*($AM$8/$F$1)</f>
        <v>0</v>
      </c>
      <c r="AP190" t="e">
        <f t="shared" ref="AP190:AP209" si="228">K190*($I$8/$F$1)+F190</f>
        <v>#DIV/0!</v>
      </c>
      <c r="AQ190" t="e">
        <f t="shared" ref="AQ190:AQ209" si="229">AP190+AC190*($AF$2/$F$1)+AG190*($AF$4/$F$1)</f>
        <v>#DIV/0!</v>
      </c>
      <c r="AR190" t="e">
        <f t="shared" ref="AR190:AR209" si="230">AQ190-AG190*($AF$4/$F$1)</f>
        <v>#DIV/0!</v>
      </c>
      <c r="AS190" t="e">
        <f t="shared" ref="AS190:AS209" si="231">AQ190+L190+U190</f>
        <v>#DIV/0!</v>
      </c>
      <c r="AT190" t="e">
        <f t="shared" ref="AT190:AT209" si="232">AQ190+M190+V190</f>
        <v>#DIV/0!</v>
      </c>
      <c r="AU190" t="e">
        <f t="shared" ref="AU190:AU209" si="233">AP190+AC190*($AF$2/$F$1)</f>
        <v>#DIV/0!</v>
      </c>
      <c r="AV190" s="26" t="e">
        <f t="shared" ref="AV190:AV209" si="234">AP190+F190*(($AN$8+$AO$8)/$F$1)</f>
        <v>#DIV/0!</v>
      </c>
      <c r="AW190" s="27" t="e">
        <f t="shared" ref="AW190:AW209" si="235">AV190+AC190*($AF$2/$F$1)+AG190*($AF$4/$F$1)</f>
        <v>#DIV/0!</v>
      </c>
      <c r="AX190" s="27" t="e">
        <f t="shared" ref="AX190:AX209" si="236">AV190+AC190*($AF$2/$F$1)</f>
        <v>#DIV/0!</v>
      </c>
      <c r="AY190" s="27" t="e">
        <f>AW190+L190+U190</f>
        <v>#DIV/0!</v>
      </c>
      <c r="AZ190" s="27" t="e">
        <f>AW190+M190+V190</f>
        <v>#DIV/0!</v>
      </c>
      <c r="BA190" s="93" t="e">
        <f>AV190+AC190*($AF$2/$F$1)+AH190+AI190</f>
        <v>#DIV/0!</v>
      </c>
    </row>
    <row r="191" spans="1:54" x14ac:dyDescent="0.25">
      <c r="A191" s="138">
        <v>0.05</v>
      </c>
      <c r="B191">
        <f t="shared" ref="B191:B209" si="237">A191*$B$185</f>
        <v>48.435000000000002</v>
      </c>
      <c r="C191" s="132">
        <f t="shared" ref="C191:C209" si="238">($B$183*B191*($C$8))/$B$184</f>
        <v>5531795.5061103879</v>
      </c>
      <c r="D191">
        <v>1.06</v>
      </c>
      <c r="E191" s="238">
        <f>0.455/(LOG10(C191))^2.58</f>
        <v>3.3082055974413813E-3</v>
      </c>
      <c r="F191" s="237">
        <f>E191*(1+$D$8*$E$8+100*$E$8^4)*D191*($F$8/$F$1)</f>
        <v>5.6660345296620802E-3</v>
      </c>
      <c r="G191" s="132">
        <f t="shared" ref="G191:G209" si="239">($B$183*B191*$J$8)/$B$184</f>
        <v>22339857.467532463</v>
      </c>
      <c r="H191">
        <f>0.455/(LOG10(G191))^2.58</f>
        <v>2.6492946377354547E-3</v>
      </c>
      <c r="I191">
        <f>H191*(1+(60/(($J$8/$H$8)^3))+0.0025*($J$8/$H$8))*($G$8/$I$8)</f>
        <v>9.1943793167685348E-2</v>
      </c>
      <c r="J191">
        <f t="shared" ref="J191:J209" si="240">(0.029*($K$8/$H$8)^3)/SQRT(I191)</f>
        <v>0</v>
      </c>
      <c r="K191" s="96">
        <f>I191+J191</f>
        <v>9.1943793167685348E-2</v>
      </c>
      <c r="L191">
        <f t="shared" si="223"/>
        <v>5.4197047970479702E-3</v>
      </c>
      <c r="M191">
        <f t="shared" si="224"/>
        <v>8.1295571955719553E-3</v>
      </c>
      <c r="S191">
        <v>0.6</v>
      </c>
      <c r="T191">
        <v>0.92</v>
      </c>
      <c r="U191" s="96">
        <v>1.4999999999999999E-2</v>
      </c>
      <c r="V191" s="96">
        <v>1.4E-2</v>
      </c>
      <c r="X191" s="132">
        <f t="shared" ref="X191:X209" si="241">$B$183*B191*$Z$2/$B$184</f>
        <v>4281806.0146103883</v>
      </c>
      <c r="Y191">
        <f>0.455/(LOG10(X191))^2.58</f>
        <v>3.4532781741087293E-3</v>
      </c>
      <c r="Z191">
        <f t="shared" si="225"/>
        <v>0.60457753948501147</v>
      </c>
      <c r="AA191">
        <f t="shared" ref="AA191:AA209" si="242">0.029*($Z$1/$Z$1)^3/SQRT(Z191)</f>
        <v>3.7296836224719458E-2</v>
      </c>
      <c r="AB191">
        <f t="shared" ref="AB191:AB209" si="243">Z191+AA191</f>
        <v>0.64187437570973094</v>
      </c>
      <c r="AC191" s="96">
        <f t="shared" ref="AC191:AC209" si="244">2*AB191</f>
        <v>1.2837487514194619</v>
      </c>
      <c r="AD191" s="132">
        <f t="shared" ref="AD191:AD209" si="245">$B$183*B191*$Z$4/$B$184</f>
        <v>3239279.3327922071</v>
      </c>
      <c r="AE191">
        <f>0.455/(LOG10(AD191))^2.58</f>
        <v>3.6215565552321113E-3</v>
      </c>
      <c r="AF191">
        <f t="shared" si="226"/>
        <v>0.10318400529845469</v>
      </c>
      <c r="AG191" s="96">
        <f t="shared" ref="AG191:AG209" si="246">12*AF191</f>
        <v>1.2382080635814563</v>
      </c>
      <c r="AH191" s="96">
        <v>2.3999999999999998E-3</v>
      </c>
      <c r="AI191" s="96">
        <v>3.7000000000000002E-3</v>
      </c>
      <c r="AJ191" s="132">
        <f t="shared" ref="AJ191:AJ209" si="247">($B$183*B191*$AJ$8)/$B$184</f>
        <v>3426934.1355194794</v>
      </c>
      <c r="AM191" s="96">
        <f t="shared" si="227"/>
        <v>0</v>
      </c>
      <c r="AP191">
        <f t="shared" si="228"/>
        <v>1.0427773042977446E-2</v>
      </c>
      <c r="AQ191">
        <f t="shared" si="229"/>
        <v>2.91843367218752E-2</v>
      </c>
      <c r="AR191">
        <f t="shared" si="230"/>
        <v>1.1090964279873109E-2</v>
      </c>
      <c r="AS191">
        <f t="shared" si="231"/>
        <v>4.960404151892317E-2</v>
      </c>
      <c r="AT191">
        <f t="shared" si="232"/>
        <v>5.1313893917447152E-2</v>
      </c>
      <c r="AU191">
        <f t="shared" si="233"/>
        <v>1.1090964279873109E-2</v>
      </c>
      <c r="AV191" s="26">
        <f t="shared" si="234"/>
        <v>1.2037679532955233E-2</v>
      </c>
      <c r="AW191" s="27">
        <f t="shared" si="235"/>
        <v>3.0794243211852985E-2</v>
      </c>
      <c r="AX191" s="27">
        <f t="shared" si="236"/>
        <v>1.2700870769850896E-2</v>
      </c>
      <c r="AY191" s="27">
        <f t="shared" ref="AY191:AY209" si="248">AW191+L191+U191</f>
        <v>5.1213948008900959E-2</v>
      </c>
      <c r="AZ191" s="27">
        <f t="shared" ref="AZ191:AZ209" si="249">AW191+M191+V191</f>
        <v>5.2923800407424941E-2</v>
      </c>
      <c r="BA191" s="93">
        <f t="shared" ref="BA191:BA209" si="250">AV191+AC191*($AF$2/$F$1)+AH191+AI191</f>
        <v>1.8800870769850896E-2</v>
      </c>
    </row>
    <row r="192" spans="1:54" x14ac:dyDescent="0.25">
      <c r="A192" s="138">
        <v>0.1</v>
      </c>
      <c r="B192">
        <f t="shared" si="237"/>
        <v>96.87</v>
      </c>
      <c r="C192" s="132">
        <f t="shared" si="238"/>
        <v>11063591.012220776</v>
      </c>
      <c r="D192">
        <v>1.06</v>
      </c>
      <c r="E192" s="238">
        <f>0.455/(LOG10(C192))^2.58</f>
        <v>2.9556568134715016E-3</v>
      </c>
      <c r="F192" s="237">
        <f t="shared" ref="F192:F209" si="251">E192*(1+$D$8*$E$8+100*$E$8^4)*D192*($F$8/$F$1)</f>
        <v>5.0622166820323399E-3</v>
      </c>
      <c r="G192" s="132">
        <f t="shared" si="239"/>
        <v>44679714.935064927</v>
      </c>
      <c r="H192">
        <f t="shared" ref="H192:H209" si="252">0.455/(LOG10(G192))^2.58</f>
        <v>2.3886291333842995E-3</v>
      </c>
      <c r="I192">
        <f t="shared" ref="I192:I209" si="253">H192*(1+(60/(($J$8/$H$8)^3))+0.0025*($J$8/$H$8))*($G$8/$I$8)</f>
        <v>8.2897394599310573E-2</v>
      </c>
      <c r="J192">
        <f t="shared" si="240"/>
        <v>0</v>
      </c>
      <c r="K192" s="96">
        <f t="shared" ref="K192:K209" si="254">I192+J192</f>
        <v>8.2897394599310573E-2</v>
      </c>
      <c r="L192">
        <f t="shared" si="223"/>
        <v>5.4197047970479702E-3</v>
      </c>
      <c r="M192">
        <f t="shared" si="224"/>
        <v>8.1295571955719553E-3</v>
      </c>
      <c r="S192">
        <v>0.6</v>
      </c>
      <c r="T192">
        <v>0.92</v>
      </c>
      <c r="U192" s="96">
        <v>1.4999999999999999E-2</v>
      </c>
      <c r="V192" s="96">
        <v>1.4E-2</v>
      </c>
      <c r="X192" s="132">
        <f t="shared" si="241"/>
        <v>8563612.0292207766</v>
      </c>
      <c r="Y192">
        <f t="shared" ref="Y192:Y209" si="255">0.455/(LOG10(X192))^2.58</f>
        <v>3.0795704114294237E-3</v>
      </c>
      <c r="Z192">
        <f t="shared" si="225"/>
        <v>0.53915120883459533</v>
      </c>
      <c r="AA192">
        <f t="shared" si="242"/>
        <v>3.9495053481892639E-2</v>
      </c>
      <c r="AB192">
        <f t="shared" si="243"/>
        <v>0.57864626231648797</v>
      </c>
      <c r="AC192" s="96">
        <f t="shared" si="244"/>
        <v>1.1572925246329759</v>
      </c>
      <c r="AD192" s="132">
        <f t="shared" si="245"/>
        <v>6478558.6655844143</v>
      </c>
      <c r="AE192">
        <f t="shared" ref="AE192:AE209" si="256">0.455/(LOG10(AD192))^2.58</f>
        <v>3.2229133340462234E-3</v>
      </c>
      <c r="AF192">
        <f t="shared" si="226"/>
        <v>9.1826014992432425E-2</v>
      </c>
      <c r="AG192" s="96">
        <f t="shared" si="246"/>
        <v>1.1019121799091891</v>
      </c>
      <c r="AH192" s="96">
        <v>2.3999999999999998E-3</v>
      </c>
      <c r="AI192" s="96">
        <v>3.7000000000000002E-3</v>
      </c>
      <c r="AJ192" s="132">
        <f t="shared" si="247"/>
        <v>6853868.2710389588</v>
      </c>
      <c r="AM192" s="96">
        <f t="shared" si="227"/>
        <v>0</v>
      </c>
      <c r="AP192">
        <f t="shared" si="228"/>
        <v>9.3554452178305839E-3</v>
      </c>
      <c r="AQ192">
        <f t="shared" si="229"/>
        <v>2.6055051069819535E-2</v>
      </c>
      <c r="AR192">
        <f t="shared" si="230"/>
        <v>9.9533085146889487E-3</v>
      </c>
      <c r="AS192">
        <f t="shared" si="231"/>
        <v>4.6474755866867501E-2</v>
      </c>
      <c r="AT192">
        <f t="shared" si="232"/>
        <v>4.818460826539149E-2</v>
      </c>
      <c r="AU192">
        <f t="shared" si="233"/>
        <v>9.9533085146889487E-3</v>
      </c>
      <c r="AV192" s="26">
        <f t="shared" si="234"/>
        <v>1.0793787227116526E-2</v>
      </c>
      <c r="AW192" s="27">
        <f t="shared" si="235"/>
        <v>2.7493393079105477E-2</v>
      </c>
      <c r="AX192" s="27">
        <f t="shared" si="236"/>
        <v>1.1391650523974891E-2</v>
      </c>
      <c r="AY192" s="27">
        <f t="shared" si="248"/>
        <v>4.7913097876153443E-2</v>
      </c>
      <c r="AZ192" s="27">
        <f t="shared" si="249"/>
        <v>4.9622950274677433E-2</v>
      </c>
      <c r="BA192" s="93">
        <f t="shared" si="250"/>
        <v>1.7491650523974889E-2</v>
      </c>
    </row>
    <row r="193" spans="1:53" x14ac:dyDescent="0.25">
      <c r="A193" s="138">
        <v>0.15</v>
      </c>
      <c r="B193">
        <f t="shared" si="237"/>
        <v>145.30500000000001</v>
      </c>
      <c r="C193" s="132">
        <f t="shared" si="238"/>
        <v>16595386.518331166</v>
      </c>
      <c r="D193">
        <v>1.06</v>
      </c>
      <c r="E193" s="238">
        <f t="shared" ref="E193:E209" si="257">0.455/(LOG10(C193))^2.58</f>
        <v>2.7732395597380739E-3</v>
      </c>
      <c r="F193" s="237">
        <f t="shared" si="251"/>
        <v>4.7497867474299918E-3</v>
      </c>
      <c r="G193" s="132">
        <f t="shared" si="239"/>
        <v>67019572.40259739</v>
      </c>
      <c r="H193">
        <f t="shared" si="252"/>
        <v>2.2524218374551782E-3</v>
      </c>
      <c r="I193">
        <f t="shared" si="253"/>
        <v>7.817031922367719E-2</v>
      </c>
      <c r="J193">
        <f t="shared" si="240"/>
        <v>0</v>
      </c>
      <c r="K193" s="96">
        <f t="shared" si="254"/>
        <v>7.817031922367719E-2</v>
      </c>
      <c r="L193">
        <f t="shared" si="223"/>
        <v>5.4197047970479702E-3</v>
      </c>
      <c r="M193">
        <f t="shared" si="224"/>
        <v>8.1295571955719553E-3</v>
      </c>
      <c r="S193">
        <v>0.6</v>
      </c>
      <c r="T193">
        <v>0.92</v>
      </c>
      <c r="U193" s="96">
        <v>1.4999999999999999E-2</v>
      </c>
      <c r="V193" s="96">
        <v>1.4E-2</v>
      </c>
      <c r="X193" s="132">
        <f t="shared" si="241"/>
        <v>12845418.043831168</v>
      </c>
      <c r="Y193">
        <f t="shared" si="255"/>
        <v>2.8865900561147843E-3</v>
      </c>
      <c r="Z193">
        <f t="shared" si="225"/>
        <v>0.5053654601915164</v>
      </c>
      <c r="AA193">
        <f t="shared" si="242"/>
        <v>4.0793899327060991E-2</v>
      </c>
      <c r="AB193">
        <f t="shared" si="243"/>
        <v>0.54615935951857741</v>
      </c>
      <c r="AC193" s="96">
        <f t="shared" si="244"/>
        <v>1.0923187190371548</v>
      </c>
      <c r="AD193" s="132">
        <f t="shared" si="245"/>
        <v>9717837.9983766228</v>
      </c>
      <c r="AE193">
        <f t="shared" si="256"/>
        <v>3.0175184161283864E-3</v>
      </c>
      <c r="AF193">
        <f t="shared" si="226"/>
        <v>8.5973981488194795E-2</v>
      </c>
      <c r="AG193" s="96">
        <f t="shared" si="246"/>
        <v>1.0316877778583375</v>
      </c>
      <c r="AH193" s="96">
        <v>2.3999999999999998E-3</v>
      </c>
      <c r="AI193" s="96">
        <v>3.7000000000000002E-3</v>
      </c>
      <c r="AJ193" s="132">
        <f t="shared" si="247"/>
        <v>10280802.406558441</v>
      </c>
      <c r="AM193" s="96">
        <f t="shared" si="227"/>
        <v>0</v>
      </c>
      <c r="AP193">
        <f t="shared" si="228"/>
        <v>8.7982016194016119E-3</v>
      </c>
      <c r="AQ193">
        <f t="shared" si="229"/>
        <v>2.4438084353660721E-2</v>
      </c>
      <c r="AR193">
        <f t="shared" si="230"/>
        <v>9.3624991126311386E-3</v>
      </c>
      <c r="AS193">
        <f t="shared" si="231"/>
        <v>4.4857789150708691E-2</v>
      </c>
      <c r="AT193">
        <f t="shared" si="232"/>
        <v>4.6567641549232673E-2</v>
      </c>
      <c r="AU193">
        <f t="shared" si="233"/>
        <v>9.3624991126311386E-3</v>
      </c>
      <c r="AV193" s="26">
        <f t="shared" si="234"/>
        <v>1.0147772023652938E-2</v>
      </c>
      <c r="AW193" s="27">
        <f t="shared" si="235"/>
        <v>2.5787654757912046E-2</v>
      </c>
      <c r="AX193" s="27">
        <f t="shared" si="236"/>
        <v>1.0712069516882465E-2</v>
      </c>
      <c r="AY193" s="27">
        <f t="shared" si="248"/>
        <v>4.6207359554960012E-2</v>
      </c>
      <c r="AZ193" s="27">
        <f t="shared" si="249"/>
        <v>4.7917211953484001E-2</v>
      </c>
      <c r="BA193" s="93">
        <f t="shared" si="250"/>
        <v>1.6812069516882466E-2</v>
      </c>
    </row>
    <row r="194" spans="1:53" x14ac:dyDescent="0.25">
      <c r="A194" s="138">
        <v>0.2</v>
      </c>
      <c r="B194">
        <f t="shared" si="237"/>
        <v>193.74</v>
      </c>
      <c r="C194" s="132">
        <f t="shared" si="238"/>
        <v>22127182.024441551</v>
      </c>
      <c r="D194">
        <v>1.06</v>
      </c>
      <c r="E194" s="238">
        <f t="shared" si="257"/>
        <v>2.6531623424961618E-3</v>
      </c>
      <c r="F194" s="237">
        <f t="shared" si="251"/>
        <v>4.5441279275414666E-3</v>
      </c>
      <c r="G194" s="132">
        <f t="shared" si="239"/>
        <v>89359429.870129853</v>
      </c>
      <c r="H194">
        <f t="shared" si="252"/>
        <v>2.1622379665638069E-3</v>
      </c>
      <c r="I194">
        <f t="shared" si="253"/>
        <v>7.5040487209452778E-2</v>
      </c>
      <c r="J194">
        <f t="shared" si="240"/>
        <v>0</v>
      </c>
      <c r="K194" s="96">
        <f t="shared" si="254"/>
        <v>7.5040487209452778E-2</v>
      </c>
      <c r="L194">
        <f t="shared" si="223"/>
        <v>5.4197047970479702E-3</v>
      </c>
      <c r="M194">
        <f t="shared" si="224"/>
        <v>8.1295571955719553E-3</v>
      </c>
      <c r="S194">
        <v>0.6</v>
      </c>
      <c r="T194">
        <v>0.92</v>
      </c>
      <c r="U194" s="96">
        <v>1.4999999999999999E-2</v>
      </c>
      <c r="V194" s="96">
        <v>1.4E-2</v>
      </c>
      <c r="X194" s="132">
        <f t="shared" si="241"/>
        <v>17127224.058441553</v>
      </c>
      <c r="Y194">
        <f t="shared" si="255"/>
        <v>2.7597093203290787E-3</v>
      </c>
      <c r="Z194">
        <f t="shared" si="225"/>
        <v>0.48315200411244807</v>
      </c>
      <c r="AA194">
        <f t="shared" si="242"/>
        <v>4.1721134095186609E-2</v>
      </c>
      <c r="AB194">
        <f t="shared" si="243"/>
        <v>0.5248731382076347</v>
      </c>
      <c r="AC194" s="96">
        <f t="shared" si="244"/>
        <v>1.0497462764152694</v>
      </c>
      <c r="AD194" s="132">
        <f t="shared" si="245"/>
        <v>12957117.331168829</v>
      </c>
      <c r="AE194">
        <f t="shared" si="256"/>
        <v>2.8826545040310917E-3</v>
      </c>
      <c r="AF194">
        <f t="shared" si="226"/>
        <v>8.2131490446514591E-2</v>
      </c>
      <c r="AG194" s="96">
        <f t="shared" si="246"/>
        <v>0.98557788535817514</v>
      </c>
      <c r="AH194" s="96">
        <v>2.3999999999999998E-3</v>
      </c>
      <c r="AI194" s="96">
        <v>3.7000000000000002E-3</v>
      </c>
      <c r="AJ194" s="132">
        <f t="shared" si="247"/>
        <v>13707736.542077918</v>
      </c>
      <c r="AM194" s="96">
        <f t="shared" si="227"/>
        <v>0</v>
      </c>
      <c r="AP194">
        <f t="shared" si="228"/>
        <v>8.4304498389240114E-3</v>
      </c>
      <c r="AQ194">
        <f t="shared" si="229"/>
        <v>2.3374556498394532E-2</v>
      </c>
      <c r="AR194">
        <f t="shared" si="230"/>
        <v>8.9727541883636332E-3</v>
      </c>
      <c r="AS194">
        <f t="shared" si="231"/>
        <v>4.3794261295442505E-2</v>
      </c>
      <c r="AT194">
        <f t="shared" si="232"/>
        <v>4.5504113693966487E-2</v>
      </c>
      <c r="AU194">
        <f t="shared" si="233"/>
        <v>8.9727541883636332E-3</v>
      </c>
      <c r="AV194" s="26">
        <f t="shared" si="234"/>
        <v>9.7215858183361623E-3</v>
      </c>
      <c r="AW194" s="27">
        <f t="shared" si="235"/>
        <v>2.4665692477806683E-2</v>
      </c>
      <c r="AX194" s="27">
        <f t="shared" si="236"/>
        <v>1.0263890167775784E-2</v>
      </c>
      <c r="AY194" s="27">
        <f t="shared" si="248"/>
        <v>4.5085397274854652E-2</v>
      </c>
      <c r="AZ194" s="27">
        <f t="shared" si="249"/>
        <v>4.6795249673378635E-2</v>
      </c>
      <c r="BA194" s="93">
        <f t="shared" si="250"/>
        <v>1.6363890167775785E-2</v>
      </c>
    </row>
    <row r="195" spans="1:53" x14ac:dyDescent="0.25">
      <c r="A195" s="138">
        <v>0.25</v>
      </c>
      <c r="B195">
        <f t="shared" si="237"/>
        <v>242.17500000000001</v>
      </c>
      <c r="C195" s="132">
        <f t="shared" si="238"/>
        <v>27658977.530551944</v>
      </c>
      <c r="D195">
        <v>1.06</v>
      </c>
      <c r="E195" s="238">
        <f t="shared" si="257"/>
        <v>2.5649371821469097E-3</v>
      </c>
      <c r="F195" s="237">
        <f t="shared" si="251"/>
        <v>4.3930228071975387E-3</v>
      </c>
      <c r="G195" s="132">
        <f t="shared" si="239"/>
        <v>111699287.33766232</v>
      </c>
      <c r="H195">
        <f t="shared" si="252"/>
        <v>2.0957014928065453E-3</v>
      </c>
      <c r="I195">
        <f t="shared" si="253"/>
        <v>7.273133831596694E-2</v>
      </c>
      <c r="J195">
        <f t="shared" si="240"/>
        <v>0</v>
      </c>
      <c r="K195" s="96">
        <f t="shared" si="254"/>
        <v>7.273133831596694E-2</v>
      </c>
      <c r="L195">
        <f t="shared" si="223"/>
        <v>5.4197047970479702E-3</v>
      </c>
      <c r="M195">
        <f t="shared" si="224"/>
        <v>8.1295571955719553E-3</v>
      </c>
      <c r="S195">
        <v>0.6</v>
      </c>
      <c r="T195">
        <v>0.92</v>
      </c>
      <c r="U195" s="96">
        <v>1.4999999999999999E-2</v>
      </c>
      <c r="V195" s="96">
        <v>1.4E-2</v>
      </c>
      <c r="X195" s="132">
        <f t="shared" si="241"/>
        <v>21409030.073051948</v>
      </c>
      <c r="Y195">
        <f t="shared" si="255"/>
        <v>2.6665632426700714E-3</v>
      </c>
      <c r="Z195">
        <f t="shared" si="225"/>
        <v>0.46684459312367166</v>
      </c>
      <c r="AA195">
        <f t="shared" si="242"/>
        <v>4.2443562694997071E-2</v>
      </c>
      <c r="AB195">
        <f t="shared" si="243"/>
        <v>0.50928815581866871</v>
      </c>
      <c r="AC195" s="96">
        <f t="shared" si="244"/>
        <v>1.0185763116373374</v>
      </c>
      <c r="AD195" s="132">
        <f t="shared" si="245"/>
        <v>16196396.663961038</v>
      </c>
      <c r="AE195">
        <f t="shared" si="256"/>
        <v>2.7837408398670104E-3</v>
      </c>
      <c r="AF195">
        <f t="shared" si="226"/>
        <v>7.9313280129613445E-2</v>
      </c>
      <c r="AG195" s="96">
        <f t="shared" si="246"/>
        <v>0.95175936155536134</v>
      </c>
      <c r="AH195" s="96">
        <v>2.3999999999999998E-3</v>
      </c>
      <c r="AI195" s="96">
        <v>3.7000000000000002E-3</v>
      </c>
      <c r="AJ195" s="132">
        <f t="shared" si="247"/>
        <v>17134670.6775974</v>
      </c>
      <c r="AM195" s="96">
        <f t="shared" si="227"/>
        <v>0</v>
      </c>
      <c r="AP195">
        <f t="shared" si="228"/>
        <v>8.1597546642624679E-3</v>
      </c>
      <c r="AQ195">
        <f t="shared" si="229"/>
        <v>2.2593584019939435E-2</v>
      </c>
      <c r="AR195">
        <f t="shared" si="230"/>
        <v>8.6859564488721633E-3</v>
      </c>
      <c r="AS195">
        <f t="shared" si="231"/>
        <v>4.3013288816987405E-2</v>
      </c>
      <c r="AT195">
        <f t="shared" si="232"/>
        <v>4.4723141215511387E-2</v>
      </c>
      <c r="AU195">
        <f t="shared" si="233"/>
        <v>8.6859564488721633E-3</v>
      </c>
      <c r="AV195" s="26">
        <f t="shared" si="234"/>
        <v>9.4079567164920275E-3</v>
      </c>
      <c r="AW195" s="27">
        <f t="shared" si="235"/>
        <v>2.3841786072168997E-2</v>
      </c>
      <c r="AX195" s="27">
        <f t="shared" si="236"/>
        <v>9.9341585011017228E-3</v>
      </c>
      <c r="AY195" s="27">
        <f t="shared" si="248"/>
        <v>4.4261490869216963E-2</v>
      </c>
      <c r="AZ195" s="27">
        <f t="shared" si="249"/>
        <v>4.5971343267740952E-2</v>
      </c>
      <c r="BA195" s="93">
        <f t="shared" si="250"/>
        <v>1.6034158501101722E-2</v>
      </c>
    </row>
    <row r="196" spans="1:53" x14ac:dyDescent="0.25">
      <c r="A196" s="138">
        <v>0.3</v>
      </c>
      <c r="B196">
        <f t="shared" si="237"/>
        <v>290.61</v>
      </c>
      <c r="C196" s="132">
        <f t="shared" si="238"/>
        <v>33190773.036662333</v>
      </c>
      <c r="D196">
        <v>1.1499999999999999</v>
      </c>
      <c r="E196" s="238">
        <f t="shared" si="257"/>
        <v>2.4958460326388598E-3</v>
      </c>
      <c r="F196" s="237">
        <f t="shared" si="251"/>
        <v>4.6376342021143989E-3</v>
      </c>
      <c r="G196" s="132">
        <f t="shared" si="239"/>
        <v>134039144.80519478</v>
      </c>
      <c r="H196">
        <f t="shared" si="252"/>
        <v>2.0434282320426003E-3</v>
      </c>
      <c r="I196">
        <f t="shared" si="253"/>
        <v>7.091719435197627E-2</v>
      </c>
      <c r="J196">
        <f t="shared" si="240"/>
        <v>0</v>
      </c>
      <c r="K196" s="96">
        <f t="shared" si="254"/>
        <v>7.091719435197627E-2</v>
      </c>
      <c r="L196">
        <f t="shared" si="223"/>
        <v>5.4197047970479702E-3</v>
      </c>
      <c r="M196">
        <f t="shared" si="224"/>
        <v>8.1295571955719553E-3</v>
      </c>
      <c r="S196">
        <v>0.6</v>
      </c>
      <c r="T196">
        <v>0.92</v>
      </c>
      <c r="U196" s="96">
        <v>1.4999999999999999E-2</v>
      </c>
      <c r="V196" s="96">
        <v>1.4E-2</v>
      </c>
      <c r="X196" s="132">
        <f t="shared" si="241"/>
        <v>25690836.087662335</v>
      </c>
      <c r="Y196">
        <f t="shared" si="255"/>
        <v>2.5936654303022936E-3</v>
      </c>
      <c r="Z196">
        <f t="shared" si="225"/>
        <v>0.45408211706090096</v>
      </c>
      <c r="AA196">
        <f t="shared" si="242"/>
        <v>4.3035890973225556E-2</v>
      </c>
      <c r="AB196">
        <f t="shared" si="243"/>
        <v>0.49711800803412654</v>
      </c>
      <c r="AC196" s="96">
        <f t="shared" si="244"/>
        <v>0.99423601606825307</v>
      </c>
      <c r="AD196" s="132">
        <f t="shared" si="245"/>
        <v>19435675.996753246</v>
      </c>
      <c r="AE196">
        <f t="shared" si="256"/>
        <v>2.7063853212636944E-3</v>
      </c>
      <c r="AF196">
        <f t="shared" si="226"/>
        <v>7.7109296257016513E-2</v>
      </c>
      <c r="AG196" s="96">
        <f t="shared" si="246"/>
        <v>0.92531155508419816</v>
      </c>
      <c r="AH196" s="96">
        <v>2.3999999999999998E-3</v>
      </c>
      <c r="AI196" s="96">
        <v>3.7000000000000002E-3</v>
      </c>
      <c r="AJ196" s="132">
        <f t="shared" si="247"/>
        <v>20561604.813116882</v>
      </c>
      <c r="AM196" s="96">
        <f t="shared" si="227"/>
        <v>0</v>
      </c>
      <c r="AP196">
        <f t="shared" si="228"/>
        <v>8.310412145767488E-3</v>
      </c>
      <c r="AQ196">
        <f t="shared" si="229"/>
        <v>2.2345197387033097E-2</v>
      </c>
      <c r="AR196">
        <f t="shared" si="230"/>
        <v>8.8240396079429691E-3</v>
      </c>
      <c r="AS196">
        <f t="shared" si="231"/>
        <v>4.2764902184081063E-2</v>
      </c>
      <c r="AT196">
        <f t="shared" si="232"/>
        <v>4.4474754582605053E-2</v>
      </c>
      <c r="AU196">
        <f t="shared" si="233"/>
        <v>8.8240396079429691E-3</v>
      </c>
      <c r="AV196" s="26">
        <f t="shared" si="234"/>
        <v>9.6281163286560806E-3</v>
      </c>
      <c r="AW196" s="27">
        <f t="shared" si="235"/>
        <v>2.366290156992169E-2</v>
      </c>
      <c r="AX196" s="27">
        <f t="shared" si="236"/>
        <v>1.0141743790831562E-2</v>
      </c>
      <c r="AY196" s="27">
        <f t="shared" si="248"/>
        <v>4.4082606366969659E-2</v>
      </c>
      <c r="AZ196" s="27">
        <f t="shared" si="249"/>
        <v>4.5792458765493642E-2</v>
      </c>
      <c r="BA196" s="93">
        <f t="shared" si="250"/>
        <v>1.6241743790831563E-2</v>
      </c>
    </row>
    <row r="197" spans="1:53" x14ac:dyDescent="0.25">
      <c r="A197" s="138">
        <v>0.35</v>
      </c>
      <c r="B197">
        <f t="shared" si="237"/>
        <v>339.04500000000002</v>
      </c>
      <c r="C197" s="132">
        <f t="shared" si="238"/>
        <v>38722568.542772718</v>
      </c>
      <c r="D197">
        <v>1.1499999999999999</v>
      </c>
      <c r="E197" s="238">
        <f t="shared" si="257"/>
        <v>2.4394290879215302E-3</v>
      </c>
      <c r="F197" s="237">
        <f t="shared" si="251"/>
        <v>4.5328035559213508E-3</v>
      </c>
      <c r="G197" s="132">
        <f t="shared" si="239"/>
        <v>156379002.27272725</v>
      </c>
      <c r="H197">
        <f t="shared" si="252"/>
        <v>2.0006329663154847E-3</v>
      </c>
      <c r="I197">
        <f t="shared" si="253"/>
        <v>6.9431984287182044E-2</v>
      </c>
      <c r="J197">
        <f t="shared" si="240"/>
        <v>0</v>
      </c>
      <c r="K197" s="96">
        <f t="shared" si="254"/>
        <v>6.9431984287182044E-2</v>
      </c>
      <c r="L197">
        <f t="shared" si="223"/>
        <v>5.4197047970479702E-3</v>
      </c>
      <c r="M197">
        <f t="shared" si="224"/>
        <v>8.1295571955719553E-3</v>
      </c>
      <c r="S197">
        <v>0.6</v>
      </c>
      <c r="T197">
        <v>0.92</v>
      </c>
      <c r="U197" s="96">
        <v>1.4999999999999999E-2</v>
      </c>
      <c r="V197" s="96">
        <v>1.4E-2</v>
      </c>
      <c r="X197" s="132">
        <f t="shared" si="241"/>
        <v>29972642.102272723</v>
      </c>
      <c r="Y197">
        <f t="shared" si="255"/>
        <v>2.534171263048546E-3</v>
      </c>
      <c r="Z197">
        <f t="shared" si="225"/>
        <v>0.44366626422817518</v>
      </c>
      <c r="AA197">
        <f t="shared" si="242"/>
        <v>4.353813227615505E-2</v>
      </c>
      <c r="AB197">
        <f t="shared" si="243"/>
        <v>0.48720439650433023</v>
      </c>
      <c r="AC197" s="96">
        <f t="shared" si="244"/>
        <v>0.97440879300866046</v>
      </c>
      <c r="AD197" s="132">
        <f t="shared" si="245"/>
        <v>22674955.329545453</v>
      </c>
      <c r="AE197">
        <f t="shared" si="256"/>
        <v>2.643290206070598E-3</v>
      </c>
      <c r="AF197">
        <f t="shared" si="226"/>
        <v>7.5311614348394812E-2</v>
      </c>
      <c r="AG197" s="96">
        <f t="shared" si="246"/>
        <v>0.90373937218073774</v>
      </c>
      <c r="AH197" s="96">
        <v>2.3999999999999998E-3</v>
      </c>
      <c r="AI197" s="96">
        <v>3.7000000000000002E-3</v>
      </c>
      <c r="AJ197" s="132">
        <f t="shared" si="247"/>
        <v>23988538.94863636</v>
      </c>
      <c r="AM197" s="96">
        <f t="shared" si="227"/>
        <v>0</v>
      </c>
      <c r="AP197">
        <f t="shared" si="228"/>
        <v>8.1286629635619403E-3</v>
      </c>
      <c r="AQ197">
        <f t="shared" si="229"/>
        <v>2.1837980841262802E-2</v>
      </c>
      <c r="AR197">
        <f t="shared" si="230"/>
        <v>8.6320475798763764E-3</v>
      </c>
      <c r="AS197">
        <f t="shared" si="231"/>
        <v>4.2257685638310769E-2</v>
      </c>
      <c r="AT197">
        <f t="shared" si="232"/>
        <v>4.3967538036834758E-2</v>
      </c>
      <c r="AU197">
        <f t="shared" si="233"/>
        <v>8.6320475798763781E-3</v>
      </c>
      <c r="AV197" s="26">
        <f t="shared" si="234"/>
        <v>9.4165813170894088E-3</v>
      </c>
      <c r="AW197" s="27">
        <f t="shared" si="235"/>
        <v>2.3125899194790273E-2</v>
      </c>
      <c r="AX197" s="27">
        <f t="shared" si="236"/>
        <v>9.9199659334038466E-3</v>
      </c>
      <c r="AY197" s="27">
        <f t="shared" si="248"/>
        <v>4.3545603991838239E-2</v>
      </c>
      <c r="AZ197" s="27">
        <f t="shared" si="249"/>
        <v>4.5255456390362228E-2</v>
      </c>
      <c r="BA197" s="93">
        <f t="shared" si="250"/>
        <v>1.6019965933403844E-2</v>
      </c>
    </row>
    <row r="198" spans="1:53" x14ac:dyDescent="0.25">
      <c r="A198" s="138">
        <v>0.4</v>
      </c>
      <c r="B198">
        <f t="shared" si="237"/>
        <v>387.48</v>
      </c>
      <c r="C198" s="132">
        <f t="shared" si="238"/>
        <v>44254364.048883103</v>
      </c>
      <c r="D198">
        <v>1.1499999999999999</v>
      </c>
      <c r="E198" s="238">
        <f t="shared" si="257"/>
        <v>2.3919789402766459E-3</v>
      </c>
      <c r="F198" s="237">
        <f t="shared" si="251"/>
        <v>4.4446344842977194E-3</v>
      </c>
      <c r="G198" s="132">
        <f t="shared" si="239"/>
        <v>178718859.74025971</v>
      </c>
      <c r="H198">
        <f t="shared" si="252"/>
        <v>1.9645608076268783E-3</v>
      </c>
      <c r="I198">
        <f t="shared" si="253"/>
        <v>6.818009970993015E-2</v>
      </c>
      <c r="J198">
        <f t="shared" si="240"/>
        <v>0</v>
      </c>
      <c r="K198" s="96">
        <f t="shared" si="254"/>
        <v>6.818009970993015E-2</v>
      </c>
      <c r="L198">
        <f t="shared" si="223"/>
        <v>5.4197047970479702E-3</v>
      </c>
      <c r="M198">
        <f t="shared" si="224"/>
        <v>8.1295571955719553E-3</v>
      </c>
      <c r="S198">
        <v>0.6</v>
      </c>
      <c r="T198">
        <v>0.92</v>
      </c>
      <c r="U198" s="96">
        <v>1.4999999999999999E-2</v>
      </c>
      <c r="V198" s="96">
        <v>1.4E-2</v>
      </c>
      <c r="X198" s="132">
        <f t="shared" si="241"/>
        <v>34254448.116883107</v>
      </c>
      <c r="Y198">
        <f t="shared" si="255"/>
        <v>2.4841549526361181E-3</v>
      </c>
      <c r="Z198">
        <f t="shared" si="225"/>
        <v>0.4349097330833685</v>
      </c>
      <c r="AA198">
        <f t="shared" si="242"/>
        <v>4.3974249315900577E-2</v>
      </c>
      <c r="AB198">
        <f t="shared" si="243"/>
        <v>0.4788839823992691</v>
      </c>
      <c r="AC198" s="96">
        <f t="shared" si="244"/>
        <v>0.95776796479853821</v>
      </c>
      <c r="AD198" s="132">
        <f t="shared" si="245"/>
        <v>25914234.662337657</v>
      </c>
      <c r="AE198">
        <f t="shared" si="256"/>
        <v>2.5902727797860116E-3</v>
      </c>
      <c r="AF198">
        <f t="shared" si="226"/>
        <v>7.3801062100700157E-2</v>
      </c>
      <c r="AG198" s="96">
        <f t="shared" si="246"/>
        <v>0.88561274520840194</v>
      </c>
      <c r="AH198" s="96">
        <v>2.3999999999999998E-3</v>
      </c>
      <c r="AI198" s="96">
        <v>3.7000000000000002E-3</v>
      </c>
      <c r="AJ198" s="132">
        <f t="shared" si="247"/>
        <v>27415473.084155835</v>
      </c>
      <c r="AM198" s="96">
        <f t="shared" si="227"/>
        <v>0</v>
      </c>
      <c r="AP198">
        <f t="shared" si="228"/>
        <v>7.97565920543746E-3</v>
      </c>
      <c r="AQ198">
        <f t="shared" si="229"/>
        <v>2.1411504172585308E-2</v>
      </c>
      <c r="AR198">
        <f t="shared" si="230"/>
        <v>8.47044708393117E-3</v>
      </c>
      <c r="AS198">
        <f t="shared" si="231"/>
        <v>4.1831208969633278E-2</v>
      </c>
      <c r="AT198">
        <f t="shared" si="232"/>
        <v>4.3541061368157261E-2</v>
      </c>
      <c r="AU198">
        <f t="shared" si="233"/>
        <v>8.47044708393117E-3</v>
      </c>
      <c r="AV198" s="26">
        <f t="shared" si="234"/>
        <v>9.2385258301272179E-3</v>
      </c>
      <c r="AW198" s="27">
        <f t="shared" si="235"/>
        <v>2.2674370797275065E-2</v>
      </c>
      <c r="AX198" s="27">
        <f t="shared" si="236"/>
        <v>9.7333137086209279E-3</v>
      </c>
      <c r="AY198" s="27">
        <f t="shared" si="248"/>
        <v>4.3094075594323031E-2</v>
      </c>
      <c r="AZ198" s="27">
        <f t="shared" si="249"/>
        <v>4.480392799284702E-2</v>
      </c>
      <c r="BA198" s="93">
        <f t="shared" si="250"/>
        <v>1.5833313708620927E-2</v>
      </c>
    </row>
    <row r="199" spans="1:53" x14ac:dyDescent="0.25">
      <c r="A199" s="138">
        <v>0.45</v>
      </c>
      <c r="B199">
        <f t="shared" si="237"/>
        <v>435.91500000000002</v>
      </c>
      <c r="C199" s="132">
        <f t="shared" si="238"/>
        <v>49786159.554993503</v>
      </c>
      <c r="D199">
        <v>1.1499999999999999</v>
      </c>
      <c r="E199" s="238">
        <f t="shared" si="257"/>
        <v>2.3511814588552753E-3</v>
      </c>
      <c r="F199" s="237">
        <f t="shared" si="251"/>
        <v>4.368827005500708E-3</v>
      </c>
      <c r="G199" s="132">
        <f t="shared" si="239"/>
        <v>201058717.20779216</v>
      </c>
      <c r="H199">
        <f t="shared" si="252"/>
        <v>1.9334877448813554E-3</v>
      </c>
      <c r="I199">
        <f t="shared" si="253"/>
        <v>6.710170880033961E-2</v>
      </c>
      <c r="J199">
        <f t="shared" si="240"/>
        <v>0</v>
      </c>
      <c r="K199" s="96">
        <f t="shared" si="254"/>
        <v>6.710170880033961E-2</v>
      </c>
      <c r="L199">
        <f t="shared" si="223"/>
        <v>5.4197047970479702E-3</v>
      </c>
      <c r="M199">
        <f t="shared" si="224"/>
        <v>8.1295571955719553E-3</v>
      </c>
      <c r="S199">
        <v>0.6</v>
      </c>
      <c r="T199">
        <v>0.92</v>
      </c>
      <c r="U199" s="96">
        <v>1.4999999999999999E-2</v>
      </c>
      <c r="V199" s="96">
        <v>1.4E-2</v>
      </c>
      <c r="X199" s="132">
        <f t="shared" si="241"/>
        <v>38536254.131493501</v>
      </c>
      <c r="Y199">
        <f t="shared" si="255"/>
        <v>2.4411673320868803E-3</v>
      </c>
      <c r="Z199">
        <f t="shared" si="225"/>
        <v>0.42738373936098867</v>
      </c>
      <c r="AA199">
        <f t="shared" si="242"/>
        <v>4.4359740878725074E-2</v>
      </c>
      <c r="AB199">
        <f t="shared" si="243"/>
        <v>0.47174348023971374</v>
      </c>
      <c r="AC199" s="96">
        <f t="shared" si="244"/>
        <v>0.94348696047942748</v>
      </c>
      <c r="AD199" s="132">
        <f t="shared" si="245"/>
        <v>29153513.995129865</v>
      </c>
      <c r="AE199">
        <f t="shared" si="256"/>
        <v>2.5447251162283337E-3</v>
      </c>
      <c r="AF199">
        <f t="shared" si="226"/>
        <v>7.2503335477854008E-2</v>
      </c>
      <c r="AG199" s="96">
        <f t="shared" si="246"/>
        <v>0.8700400257342481</v>
      </c>
      <c r="AH199" s="96">
        <v>2.3999999999999998E-3</v>
      </c>
      <c r="AI199" s="96">
        <v>3.7000000000000002E-3</v>
      </c>
      <c r="AJ199" s="132">
        <f t="shared" si="247"/>
        <v>30842407.219675317</v>
      </c>
      <c r="AM199" s="96">
        <f t="shared" si="227"/>
        <v>0</v>
      </c>
      <c r="AP199">
        <f t="shared" si="228"/>
        <v>7.8440022195699569E-3</v>
      </c>
      <c r="AQ199">
        <f t="shared" si="229"/>
        <v>2.1044912464495205E-2</v>
      </c>
      <c r="AR199">
        <f t="shared" si="230"/>
        <v>8.3314124574560069E-3</v>
      </c>
      <c r="AS199">
        <f t="shared" si="231"/>
        <v>4.1464617261543171E-2</v>
      </c>
      <c r="AT199">
        <f t="shared" si="232"/>
        <v>4.3174469660067161E-2</v>
      </c>
      <c r="AU199">
        <f t="shared" si="233"/>
        <v>8.3314124574560087E-3</v>
      </c>
      <c r="AV199" s="26">
        <f t="shared" si="234"/>
        <v>9.0853294499151759E-3</v>
      </c>
      <c r="AW199" s="27">
        <f t="shared" si="235"/>
        <v>2.2286239694840428E-2</v>
      </c>
      <c r="AX199" s="27">
        <f t="shared" si="236"/>
        <v>9.5727396878012277E-3</v>
      </c>
      <c r="AY199" s="27">
        <f t="shared" si="248"/>
        <v>4.2705944491888401E-2</v>
      </c>
      <c r="AZ199" s="27">
        <f t="shared" si="249"/>
        <v>4.4415796890412383E-2</v>
      </c>
      <c r="BA199" s="93">
        <f t="shared" si="250"/>
        <v>1.5672739687801227E-2</v>
      </c>
    </row>
    <row r="200" spans="1:53" x14ac:dyDescent="0.25">
      <c r="A200" s="138">
        <v>0.5</v>
      </c>
      <c r="B200">
        <f t="shared" si="237"/>
        <v>484.35</v>
      </c>
      <c r="C200" s="132">
        <f t="shared" si="238"/>
        <v>55317955.061103888</v>
      </c>
      <c r="D200">
        <v>1.1499999999999999</v>
      </c>
      <c r="E200" s="238">
        <f t="shared" si="257"/>
        <v>2.3155005150910755E-3</v>
      </c>
      <c r="F200" s="237">
        <f t="shared" si="251"/>
        <v>4.3025267758388585E-3</v>
      </c>
      <c r="G200" s="132">
        <f t="shared" si="239"/>
        <v>223398574.67532465</v>
      </c>
      <c r="H200">
        <f t="shared" si="252"/>
        <v>1.9062668579688897E-3</v>
      </c>
      <c r="I200">
        <f t="shared" si="253"/>
        <v>6.6157007686136624E-2</v>
      </c>
      <c r="J200">
        <f t="shared" si="240"/>
        <v>0</v>
      </c>
      <c r="K200" s="96">
        <f t="shared" si="254"/>
        <v>6.6157007686136624E-2</v>
      </c>
      <c r="L200">
        <f t="shared" si="223"/>
        <v>5.4197047970479702E-3</v>
      </c>
      <c r="M200">
        <f t="shared" si="224"/>
        <v>8.1295571955719553E-3</v>
      </c>
      <c r="S200">
        <v>0.6</v>
      </c>
      <c r="T200">
        <v>0.92</v>
      </c>
      <c r="U200" s="96">
        <v>1.4999999999999999E-2</v>
      </c>
      <c r="V200" s="96">
        <v>1.4E-2</v>
      </c>
      <c r="X200" s="132">
        <f t="shared" si="241"/>
        <v>42818060.146103896</v>
      </c>
      <c r="Y200">
        <f t="shared" si="255"/>
        <v>2.403583355904603E-3</v>
      </c>
      <c r="Z200">
        <f t="shared" si="225"/>
        <v>0.4208037806380836</v>
      </c>
      <c r="AA200">
        <f t="shared" si="242"/>
        <v>4.4705214333971101E-2</v>
      </c>
      <c r="AB200">
        <f t="shared" si="243"/>
        <v>0.46550899497205472</v>
      </c>
      <c r="AC200" s="96">
        <f t="shared" si="244"/>
        <v>0.93101798994410945</v>
      </c>
      <c r="AD200" s="132">
        <f t="shared" si="245"/>
        <v>32392793.327922076</v>
      </c>
      <c r="AE200">
        <f t="shared" si="256"/>
        <v>2.5049176947012351E-3</v>
      </c>
      <c r="AF200">
        <f t="shared" si="226"/>
        <v>7.1369157637158467E-2</v>
      </c>
      <c r="AG200" s="96">
        <f t="shared" si="246"/>
        <v>0.85642989164590166</v>
      </c>
      <c r="AH200" s="96">
        <v>2.3999999999999998E-3</v>
      </c>
      <c r="AI200" s="96">
        <v>3.7000000000000002E-3</v>
      </c>
      <c r="AJ200" s="132">
        <f t="shared" si="247"/>
        <v>34269341.3551948</v>
      </c>
      <c r="AM200" s="96">
        <f t="shared" si="227"/>
        <v>0</v>
      </c>
      <c r="AP200">
        <f t="shared" si="228"/>
        <v>7.728776232941912E-3</v>
      </c>
      <c r="AQ200">
        <f t="shared" si="229"/>
        <v>2.0724366231133596E-2</v>
      </c>
      <c r="AR200">
        <f t="shared" si="230"/>
        <v>8.2097449362340726E-3</v>
      </c>
      <c r="AS200">
        <f t="shared" si="231"/>
        <v>4.1144071028181566E-2</v>
      </c>
      <c r="AT200">
        <f t="shared" si="232"/>
        <v>4.2853923426705548E-2</v>
      </c>
      <c r="AU200">
        <f t="shared" si="233"/>
        <v>8.2097449362340726E-3</v>
      </c>
      <c r="AV200" s="26">
        <f t="shared" si="234"/>
        <v>8.9512653906525831E-3</v>
      </c>
      <c r="AW200" s="27">
        <f t="shared" si="235"/>
        <v>2.1946855388844267E-2</v>
      </c>
      <c r="AX200" s="27">
        <f t="shared" si="236"/>
        <v>9.4322340939447438E-3</v>
      </c>
      <c r="AY200" s="27">
        <f t="shared" si="248"/>
        <v>4.2366560185892237E-2</v>
      </c>
      <c r="AZ200" s="27">
        <f t="shared" si="249"/>
        <v>4.4076412584416219E-2</v>
      </c>
      <c r="BA200" s="93">
        <f t="shared" si="250"/>
        <v>1.5532234093944743E-2</v>
      </c>
    </row>
    <row r="201" spans="1:53" x14ac:dyDescent="0.25">
      <c r="A201" s="138">
        <v>0.55000000000000004</v>
      </c>
      <c r="B201">
        <f t="shared" si="237"/>
        <v>532.78500000000008</v>
      </c>
      <c r="C201" s="132">
        <f t="shared" si="238"/>
        <v>60849750.56721428</v>
      </c>
      <c r="D201">
        <v>1.1499999999999999</v>
      </c>
      <c r="E201" s="238">
        <f t="shared" si="257"/>
        <v>2.283867209765535E-3</v>
      </c>
      <c r="F201" s="237">
        <f t="shared" si="251"/>
        <v>4.2437476296955578E-3</v>
      </c>
      <c r="G201" s="132">
        <f t="shared" si="239"/>
        <v>245738432.14285713</v>
      </c>
      <c r="H201">
        <f t="shared" si="252"/>
        <v>1.882098547451848E-3</v>
      </c>
      <c r="I201">
        <f t="shared" si="253"/>
        <v>6.531824626196725E-2</v>
      </c>
      <c r="J201">
        <f t="shared" si="240"/>
        <v>0</v>
      </c>
      <c r="K201" s="96">
        <f t="shared" si="254"/>
        <v>6.531824626196725E-2</v>
      </c>
      <c r="L201">
        <f t="shared" si="223"/>
        <v>5.4197047970479702E-3</v>
      </c>
      <c r="M201">
        <f t="shared" si="224"/>
        <v>8.1295571955719553E-3</v>
      </c>
      <c r="S201">
        <v>0.6</v>
      </c>
      <c r="T201">
        <v>0.92</v>
      </c>
      <c r="U201" s="96">
        <v>1.4999999999999999E-2</v>
      </c>
      <c r="V201" s="96">
        <v>1.4E-2</v>
      </c>
      <c r="X201" s="132">
        <f t="shared" si="241"/>
        <v>47099866.160714291</v>
      </c>
      <c r="Y201">
        <f t="shared" si="255"/>
        <v>2.3702726889926347E-3</v>
      </c>
      <c r="Z201">
        <f t="shared" si="225"/>
        <v>0.4149719651790118</v>
      </c>
      <c r="AA201">
        <f t="shared" si="242"/>
        <v>4.5018251093287637E-2</v>
      </c>
      <c r="AB201">
        <f t="shared" si="243"/>
        <v>0.45999021627229941</v>
      </c>
      <c r="AC201" s="96">
        <f t="shared" si="244"/>
        <v>0.91998043254459883</v>
      </c>
      <c r="AD201" s="132">
        <f t="shared" si="245"/>
        <v>35632072.660714284</v>
      </c>
      <c r="AE201">
        <f t="shared" si="256"/>
        <v>2.4696480320750337E-3</v>
      </c>
      <c r="AF201">
        <f t="shared" si="226"/>
        <v>7.0364267888843202E-2</v>
      </c>
      <c r="AG201" s="96">
        <f t="shared" si="246"/>
        <v>0.84437121466611842</v>
      </c>
      <c r="AH201" s="96">
        <v>2.3999999999999998E-3</v>
      </c>
      <c r="AI201" s="96">
        <v>3.7000000000000002E-3</v>
      </c>
      <c r="AJ201" s="132">
        <f t="shared" si="247"/>
        <v>37696275.490714282</v>
      </c>
      <c r="AM201" s="96">
        <f t="shared" si="227"/>
        <v>0</v>
      </c>
      <c r="AP201">
        <f t="shared" si="228"/>
        <v>7.6265579111963345E-3</v>
      </c>
      <c r="AQ201">
        <f t="shared" si="229"/>
        <v>2.0440237876635715E-2</v>
      </c>
      <c r="AR201">
        <f t="shared" si="230"/>
        <v>8.1018245553153134E-3</v>
      </c>
      <c r="AS201">
        <f t="shared" si="231"/>
        <v>4.0859942673683688E-2</v>
      </c>
      <c r="AT201">
        <f t="shared" si="232"/>
        <v>4.2569795072207671E-2</v>
      </c>
      <c r="AU201">
        <f t="shared" si="233"/>
        <v>8.1018245553153151E-3</v>
      </c>
      <c r="AV201" s="26">
        <f t="shared" si="234"/>
        <v>8.832345983102452E-3</v>
      </c>
      <c r="AW201" s="27">
        <f t="shared" si="235"/>
        <v>2.1646025948541835E-2</v>
      </c>
      <c r="AX201" s="27">
        <f t="shared" si="236"/>
        <v>9.3076126272214326E-3</v>
      </c>
      <c r="AY201" s="27">
        <f t="shared" si="248"/>
        <v>4.2065730745589808E-2</v>
      </c>
      <c r="AZ201" s="27">
        <f t="shared" si="249"/>
        <v>4.377558314411379E-2</v>
      </c>
      <c r="BA201" s="93">
        <f t="shared" si="250"/>
        <v>1.5407612627221432E-2</v>
      </c>
    </row>
    <row r="202" spans="1:53" x14ac:dyDescent="0.25">
      <c r="A202" s="138">
        <v>0.6</v>
      </c>
      <c r="B202">
        <f t="shared" si="237"/>
        <v>581.22</v>
      </c>
      <c r="C202" s="132">
        <f t="shared" si="238"/>
        <v>66381546.073324665</v>
      </c>
      <c r="D202">
        <v>1.1499999999999999</v>
      </c>
      <c r="E202" s="238">
        <f t="shared" si="257"/>
        <v>2.255509486562223E-3</v>
      </c>
      <c r="F202" s="237">
        <f t="shared" si="251"/>
        <v>4.1910549774638317E-3</v>
      </c>
      <c r="G202" s="132">
        <f t="shared" si="239"/>
        <v>268078289.61038956</v>
      </c>
      <c r="H202">
        <f t="shared" si="252"/>
        <v>1.8604042923339322E-3</v>
      </c>
      <c r="I202">
        <f t="shared" si="253"/>
        <v>6.4565346951683811E-2</v>
      </c>
      <c r="J202">
        <f t="shared" si="240"/>
        <v>0</v>
      </c>
      <c r="K202" s="96">
        <f t="shared" si="254"/>
        <v>6.4565346951683811E-2</v>
      </c>
      <c r="L202">
        <f t="shared" si="223"/>
        <v>5.4197047970479702E-3</v>
      </c>
      <c r="M202">
        <f t="shared" si="224"/>
        <v>8.1295571955719553E-3</v>
      </c>
      <c r="S202">
        <v>0.6</v>
      </c>
      <c r="T202">
        <v>0.92</v>
      </c>
      <c r="U202" s="96">
        <v>1.4999999999999999E-2</v>
      </c>
      <c r="V202" s="96">
        <v>1.4E-2</v>
      </c>
      <c r="X202" s="132">
        <f t="shared" si="241"/>
        <v>51381672.175324671</v>
      </c>
      <c r="Y202">
        <f t="shared" si="255"/>
        <v>2.3404191788333252E-3</v>
      </c>
      <c r="Z202">
        <f t="shared" si="225"/>
        <v>0.40974540629579514</v>
      </c>
      <c r="AA202">
        <f t="shared" si="242"/>
        <v>4.5304459266271822E-2</v>
      </c>
      <c r="AB202">
        <f t="shared" si="243"/>
        <v>0.45504986556206695</v>
      </c>
      <c r="AC202" s="96">
        <f t="shared" si="244"/>
        <v>0.91009973112413389</v>
      </c>
      <c r="AD202" s="132">
        <f t="shared" si="245"/>
        <v>38871351.993506491</v>
      </c>
      <c r="AE202">
        <f t="shared" si="256"/>
        <v>2.4380482147304786E-3</v>
      </c>
      <c r="AF202">
        <f t="shared" si="226"/>
        <v>6.9463937969764591E-2</v>
      </c>
      <c r="AG202" s="96">
        <f t="shared" si="246"/>
        <v>0.83356725563717515</v>
      </c>
      <c r="AH202" s="96">
        <v>2.3999999999999998E-3</v>
      </c>
      <c r="AI202" s="96">
        <v>3.7000000000000002E-3</v>
      </c>
      <c r="AJ202" s="132">
        <f t="shared" si="247"/>
        <v>41123209.626233764</v>
      </c>
      <c r="AM202" s="96">
        <f t="shared" si="227"/>
        <v>0</v>
      </c>
      <c r="AP202">
        <f t="shared" si="228"/>
        <v>7.5348728537253896E-3</v>
      </c>
      <c r="AQ202">
        <f t="shared" si="229"/>
        <v>2.0185575048118722E-2</v>
      </c>
      <c r="AR202">
        <f t="shared" si="230"/>
        <v>8.0050350764463464E-3</v>
      </c>
      <c r="AS202">
        <f t="shared" si="231"/>
        <v>4.0605279845166695E-2</v>
      </c>
      <c r="AT202">
        <f t="shared" si="232"/>
        <v>4.2315132243690677E-2</v>
      </c>
      <c r="AU202">
        <f t="shared" si="233"/>
        <v>8.0050350764463447E-3</v>
      </c>
      <c r="AV202" s="26">
        <f t="shared" si="234"/>
        <v>8.7256892126357771E-3</v>
      </c>
      <c r="AW202" s="27">
        <f t="shared" si="235"/>
        <v>2.1376391407029106E-2</v>
      </c>
      <c r="AX202" s="27">
        <f t="shared" si="236"/>
        <v>9.1958514353567312E-3</v>
      </c>
      <c r="AY202" s="27">
        <f t="shared" si="248"/>
        <v>4.1796096204077079E-2</v>
      </c>
      <c r="AZ202" s="27">
        <f t="shared" si="249"/>
        <v>4.3505948602601062E-2</v>
      </c>
      <c r="BA202" s="93">
        <f t="shared" si="250"/>
        <v>1.5295851435356731E-2</v>
      </c>
    </row>
    <row r="203" spans="1:53" x14ac:dyDescent="0.25">
      <c r="A203" s="138">
        <v>0.65</v>
      </c>
      <c r="B203">
        <f t="shared" si="237"/>
        <v>629.65500000000009</v>
      </c>
      <c r="C203" s="132">
        <f t="shared" si="238"/>
        <v>71913341.579435065</v>
      </c>
      <c r="D203">
        <v>1.25</v>
      </c>
      <c r="E203" s="238">
        <f t="shared" si="257"/>
        <v>2.2298525457928706E-3</v>
      </c>
      <c r="F203" s="237">
        <f t="shared" si="251"/>
        <v>4.5036747393406521E-3</v>
      </c>
      <c r="G203" s="132">
        <f t="shared" si="239"/>
        <v>290418147.07792205</v>
      </c>
      <c r="H203">
        <f t="shared" si="252"/>
        <v>1.8407527278343503E-3</v>
      </c>
      <c r="I203">
        <f t="shared" si="253"/>
        <v>6.3883339236862249E-2</v>
      </c>
      <c r="J203">
        <f t="shared" si="240"/>
        <v>0</v>
      </c>
      <c r="K203" s="96">
        <f t="shared" si="254"/>
        <v>6.3883339236862249E-2</v>
      </c>
      <c r="L203">
        <f t="shared" si="223"/>
        <v>5.4197047970479702E-3</v>
      </c>
      <c r="M203">
        <f t="shared" si="224"/>
        <v>8.1295571955719553E-3</v>
      </c>
      <c r="S203">
        <v>0.6</v>
      </c>
      <c r="T203">
        <v>0.92</v>
      </c>
      <c r="U203" s="96">
        <v>1.4999999999999999E-2</v>
      </c>
      <c r="V203" s="96">
        <v>1.4E-2</v>
      </c>
      <c r="X203" s="132">
        <f t="shared" si="241"/>
        <v>55663478.189935066</v>
      </c>
      <c r="Y203">
        <f t="shared" si="255"/>
        <v>2.3134153814387236E-3</v>
      </c>
      <c r="Z203">
        <f t="shared" si="225"/>
        <v>0.40501775663583295</v>
      </c>
      <c r="AA203">
        <f t="shared" si="242"/>
        <v>4.556810475378361E-2</v>
      </c>
      <c r="AB203">
        <f t="shared" si="243"/>
        <v>0.45058586138961654</v>
      </c>
      <c r="AC203" s="96">
        <f t="shared" si="244"/>
        <v>0.90117172277923308</v>
      </c>
      <c r="AD203" s="132">
        <f t="shared" si="245"/>
        <v>42110631.326298699</v>
      </c>
      <c r="AE203">
        <f t="shared" si="256"/>
        <v>2.4094724958792558E-3</v>
      </c>
      <c r="AF203">
        <f t="shared" si="226"/>
        <v>6.8649769509219111E-2</v>
      </c>
      <c r="AG203" s="96">
        <f t="shared" si="246"/>
        <v>0.82379723411062933</v>
      </c>
      <c r="AH203" s="96">
        <v>2.3999999999999998E-3</v>
      </c>
      <c r="AI203" s="96">
        <v>3.7000000000000002E-3</v>
      </c>
      <c r="AJ203" s="132">
        <f t="shared" si="247"/>
        <v>44550143.761753246</v>
      </c>
      <c r="AM203" s="96">
        <f t="shared" si="227"/>
        <v>0</v>
      </c>
      <c r="AP203">
        <f t="shared" si="228"/>
        <v>7.8121716625486285E-3</v>
      </c>
      <c r="AQ203">
        <f t="shared" si="229"/>
        <v>2.0315496711505031E-2</v>
      </c>
      <c r="AR203">
        <f t="shared" si="230"/>
        <v>8.2777216300360563E-3</v>
      </c>
      <c r="AS203">
        <f t="shared" si="231"/>
        <v>4.0735201508553004E-2</v>
      </c>
      <c r="AT203">
        <f t="shared" si="232"/>
        <v>4.2445053907076986E-2</v>
      </c>
      <c r="AU203">
        <f t="shared" si="233"/>
        <v>8.2777216300360546E-3</v>
      </c>
      <c r="AV203" s="26">
        <f t="shared" si="234"/>
        <v>9.091813562656488E-3</v>
      </c>
      <c r="AW203" s="27">
        <f t="shared" si="235"/>
        <v>2.1595138611612889E-2</v>
      </c>
      <c r="AX203" s="27">
        <f t="shared" si="236"/>
        <v>9.5573635301439142E-3</v>
      </c>
      <c r="AY203" s="27">
        <f t="shared" si="248"/>
        <v>4.2014843408660858E-2</v>
      </c>
      <c r="AZ203" s="27">
        <f t="shared" si="249"/>
        <v>4.3724695807184841E-2</v>
      </c>
      <c r="BA203" s="93">
        <f t="shared" si="250"/>
        <v>1.5657363530143915E-2</v>
      </c>
    </row>
    <row r="204" spans="1:53" x14ac:dyDescent="0.25">
      <c r="A204" s="138">
        <v>0.7</v>
      </c>
      <c r="B204">
        <f t="shared" si="237"/>
        <v>678.09</v>
      </c>
      <c r="C204" s="132">
        <f t="shared" si="238"/>
        <v>77445137.085545436</v>
      </c>
      <c r="D204">
        <v>1.25</v>
      </c>
      <c r="E204" s="238">
        <f t="shared" si="257"/>
        <v>2.2064575704096243E-3</v>
      </c>
      <c r="F204" s="237">
        <f t="shared" si="251"/>
        <v>4.4564234716010813E-3</v>
      </c>
      <c r="G204" s="132">
        <f t="shared" si="239"/>
        <v>312758004.5454545</v>
      </c>
      <c r="H204">
        <f t="shared" si="252"/>
        <v>1.8228140869067638E-3</v>
      </c>
      <c r="I204">
        <f t="shared" si="253"/>
        <v>6.3260778549325727E-2</v>
      </c>
      <c r="J204">
        <f t="shared" si="240"/>
        <v>0</v>
      </c>
      <c r="K204" s="96">
        <f t="shared" si="254"/>
        <v>6.3260778549325727E-2</v>
      </c>
      <c r="L204">
        <f t="shared" si="223"/>
        <v>5.4197047970479702E-3</v>
      </c>
      <c r="M204">
        <f t="shared" si="224"/>
        <v>8.1295571955719553E-3</v>
      </c>
      <c r="S204">
        <v>0.6</v>
      </c>
      <c r="T204">
        <v>0.92</v>
      </c>
      <c r="U204" s="96">
        <v>1.4999999999999999E-2</v>
      </c>
      <c r="V204" s="96">
        <v>1.4E-2</v>
      </c>
      <c r="X204" s="132">
        <f t="shared" si="241"/>
        <v>59945284.204545446</v>
      </c>
      <c r="Y204">
        <f t="shared" si="255"/>
        <v>2.2887976863643455E-3</v>
      </c>
      <c r="Z204">
        <f t="shared" si="225"/>
        <v>0.40070785029019046</v>
      </c>
      <c r="AA204">
        <f t="shared" si="242"/>
        <v>4.5812508492967141E-2</v>
      </c>
      <c r="AB204">
        <f t="shared" si="243"/>
        <v>0.4465203587831576</v>
      </c>
      <c r="AC204" s="96">
        <f t="shared" si="244"/>
        <v>0.8930407175663152</v>
      </c>
      <c r="AD204" s="132">
        <f t="shared" si="245"/>
        <v>45349910.659090906</v>
      </c>
      <c r="AE204">
        <f t="shared" si="256"/>
        <v>2.3834281848949127E-3</v>
      </c>
      <c r="AF204">
        <f t="shared" si="226"/>
        <v>6.7907724954172577E-2</v>
      </c>
      <c r="AG204" s="96">
        <f t="shared" si="246"/>
        <v>0.81489269945007092</v>
      </c>
      <c r="AH204" s="96">
        <v>2.3999999999999998E-3</v>
      </c>
      <c r="AI204" s="96">
        <v>3.7000000000000002E-3</v>
      </c>
      <c r="AJ204" s="132">
        <f t="shared" si="247"/>
        <v>47977077.897272721</v>
      </c>
      <c r="AM204" s="96">
        <f t="shared" si="227"/>
        <v>0</v>
      </c>
      <c r="AP204">
        <f t="shared" si="228"/>
        <v>7.732678183556013E-3</v>
      </c>
      <c r="AQ204">
        <f t="shared" si="229"/>
        <v>2.010168478976105E-2</v>
      </c>
      <c r="AR204">
        <f t="shared" si="230"/>
        <v>8.1940276317452529E-3</v>
      </c>
      <c r="AS204">
        <f t="shared" si="231"/>
        <v>4.0521389586809023E-2</v>
      </c>
      <c r="AT204">
        <f t="shared" si="232"/>
        <v>4.2231241985333005E-2</v>
      </c>
      <c r="AU204">
        <f t="shared" si="233"/>
        <v>8.1940276317452529E-3</v>
      </c>
      <c r="AV204" s="26">
        <f t="shared" si="234"/>
        <v>8.9988944467046597E-3</v>
      </c>
      <c r="AW204" s="27">
        <f t="shared" si="235"/>
        <v>2.1367901052909699E-2</v>
      </c>
      <c r="AX204" s="27">
        <f t="shared" si="236"/>
        <v>9.4602438948939004E-3</v>
      </c>
      <c r="AY204" s="27">
        <f t="shared" si="248"/>
        <v>4.1787605849957665E-2</v>
      </c>
      <c r="AZ204" s="27">
        <f t="shared" si="249"/>
        <v>4.3497458248481655E-2</v>
      </c>
      <c r="BA204" s="93">
        <f t="shared" si="250"/>
        <v>1.55602438948939E-2</v>
      </c>
    </row>
    <row r="205" spans="1:53" x14ac:dyDescent="0.25">
      <c r="A205" s="138">
        <v>0.75</v>
      </c>
      <c r="B205">
        <f t="shared" si="237"/>
        <v>726.52500000000009</v>
      </c>
      <c r="C205" s="132">
        <f t="shared" si="238"/>
        <v>82976932.591655836</v>
      </c>
      <c r="D205">
        <v>1.25</v>
      </c>
      <c r="E205" s="238">
        <f t="shared" si="257"/>
        <v>2.184982398416118E-3</v>
      </c>
      <c r="F205" s="237">
        <f t="shared" si="251"/>
        <v>4.4130496665427017E-3</v>
      </c>
      <c r="G205" s="132">
        <f t="shared" si="239"/>
        <v>335097862.01298696</v>
      </c>
      <c r="H205">
        <f t="shared" si="252"/>
        <v>1.8063309158066591E-3</v>
      </c>
      <c r="I205">
        <f t="shared" si="253"/>
        <v>6.2688729954658642E-2</v>
      </c>
      <c r="J205">
        <f t="shared" si="240"/>
        <v>0</v>
      </c>
      <c r="K205" s="96">
        <f t="shared" si="254"/>
        <v>6.2688729954658642E-2</v>
      </c>
      <c r="L205">
        <f t="shared" si="223"/>
        <v>5.4197047970479702E-3</v>
      </c>
      <c r="M205">
        <f t="shared" si="224"/>
        <v>8.1295571955719553E-3</v>
      </c>
      <c r="S205">
        <v>0.6</v>
      </c>
      <c r="T205">
        <v>0.92</v>
      </c>
      <c r="U205" s="96">
        <v>1.4999999999999999E-2</v>
      </c>
      <c r="V205" s="96">
        <v>1.4E-2</v>
      </c>
      <c r="X205" s="132">
        <f t="shared" si="241"/>
        <v>64227090.219155833</v>
      </c>
      <c r="Y205">
        <f t="shared" si="255"/>
        <v>2.2662046904009846E-3</v>
      </c>
      <c r="Z205">
        <f t="shared" si="225"/>
        <v>0.39675241512961329</v>
      </c>
      <c r="AA205">
        <f t="shared" si="242"/>
        <v>4.604030673277329E-2</v>
      </c>
      <c r="AB205">
        <f t="shared" si="243"/>
        <v>0.44279272186238661</v>
      </c>
      <c r="AC205" s="96">
        <f t="shared" si="244"/>
        <v>0.88558544372477321</v>
      </c>
      <c r="AD205" s="132">
        <f t="shared" si="245"/>
        <v>48589189.991883114</v>
      </c>
      <c r="AE205">
        <f t="shared" si="256"/>
        <v>2.3595313182272351E-3</v>
      </c>
      <c r="AF205">
        <f t="shared" si="226"/>
        <v>6.7226864561894084E-2</v>
      </c>
      <c r="AG205" s="96">
        <f t="shared" si="246"/>
        <v>0.80672237474272901</v>
      </c>
      <c r="AH205" s="96">
        <v>2.3999999999999998E-3</v>
      </c>
      <c r="AI205" s="96">
        <v>3.7000000000000002E-3</v>
      </c>
      <c r="AJ205" s="132">
        <f t="shared" si="247"/>
        <v>51404012.032792203</v>
      </c>
      <c r="AM205" s="96">
        <f t="shared" si="227"/>
        <v>0</v>
      </c>
      <c r="AP205">
        <f t="shared" si="228"/>
        <v>7.6596781717590632E-3</v>
      </c>
      <c r="AQ205">
        <f t="shared" si="229"/>
        <v>1.9905444098337201E-2</v>
      </c>
      <c r="AR205">
        <f t="shared" si="230"/>
        <v>8.1171761869674331E-3</v>
      </c>
      <c r="AS205">
        <f t="shared" si="231"/>
        <v>4.0325148895385174E-2</v>
      </c>
      <c r="AT205">
        <f t="shared" si="232"/>
        <v>4.2035001293909156E-2</v>
      </c>
      <c r="AU205">
        <f t="shared" si="233"/>
        <v>8.1171761869674331E-3</v>
      </c>
      <c r="AV205" s="26">
        <f t="shared" si="234"/>
        <v>8.913570512437248E-3</v>
      </c>
      <c r="AW205" s="27">
        <f t="shared" si="235"/>
        <v>2.1159336439015387E-2</v>
      </c>
      <c r="AX205" s="27">
        <f t="shared" si="236"/>
        <v>9.3710685276456179E-3</v>
      </c>
      <c r="AY205" s="27">
        <f t="shared" si="248"/>
        <v>4.157904123606336E-2</v>
      </c>
      <c r="AZ205" s="27">
        <f t="shared" si="249"/>
        <v>4.3288893634587343E-2</v>
      </c>
      <c r="BA205" s="93">
        <f t="shared" si="250"/>
        <v>1.5471068527645617E-2</v>
      </c>
    </row>
    <row r="206" spans="1:53" x14ac:dyDescent="0.25">
      <c r="A206" s="138">
        <v>0.8</v>
      </c>
      <c r="B206">
        <f t="shared" si="237"/>
        <v>774.96</v>
      </c>
      <c r="C206" s="132">
        <f t="shared" si="238"/>
        <v>88508728.097766206</v>
      </c>
      <c r="D206">
        <v>1.25</v>
      </c>
      <c r="E206" s="238">
        <f t="shared" si="257"/>
        <v>2.1651553722353439E-3</v>
      </c>
      <c r="F206" s="237">
        <f t="shared" si="251"/>
        <v>4.3730046522949791E-3</v>
      </c>
      <c r="G206" s="132">
        <f t="shared" si="239"/>
        <v>357437719.48051941</v>
      </c>
      <c r="H206">
        <f t="shared" si="252"/>
        <v>1.7910985752160717E-3</v>
      </c>
      <c r="I206">
        <f t="shared" si="253"/>
        <v>6.216009144357261E-2</v>
      </c>
      <c r="J206">
        <f t="shared" si="240"/>
        <v>0</v>
      </c>
      <c r="K206" s="96">
        <f t="shared" si="254"/>
        <v>6.216009144357261E-2</v>
      </c>
      <c r="L206">
        <f t="shared" si="223"/>
        <v>5.4197047970479702E-3</v>
      </c>
      <c r="M206">
        <f t="shared" si="224"/>
        <v>8.1295571955719553E-3</v>
      </c>
      <c r="S206">
        <v>0.6</v>
      </c>
      <c r="T206">
        <v>0.92</v>
      </c>
      <c r="U206" s="96">
        <v>1.4999999999999999E-2</v>
      </c>
      <c r="V206" s="96">
        <v>1.4E-2</v>
      </c>
      <c r="X206" s="132">
        <f t="shared" si="241"/>
        <v>68508896.233766213</v>
      </c>
      <c r="Y206">
        <f t="shared" si="255"/>
        <v>2.2453495259869218E-3</v>
      </c>
      <c r="Z206">
        <f t="shared" si="225"/>
        <v>0.3931012282424568</v>
      </c>
      <c r="AA206">
        <f t="shared" si="242"/>
        <v>4.6253627393568329E-2</v>
      </c>
      <c r="AB206">
        <f t="shared" si="243"/>
        <v>0.43935485563602511</v>
      </c>
      <c r="AC206" s="96">
        <f t="shared" si="244"/>
        <v>0.87870971127205022</v>
      </c>
      <c r="AD206" s="132">
        <f t="shared" si="245"/>
        <v>51828469.324675314</v>
      </c>
      <c r="AE206">
        <f t="shared" si="256"/>
        <v>2.3374772001715019E-3</v>
      </c>
      <c r="AF206">
        <f t="shared" si="226"/>
        <v>6.6598507058812179E-2</v>
      </c>
      <c r="AG206" s="96">
        <f t="shared" si="246"/>
        <v>0.79918208470574614</v>
      </c>
      <c r="AH206" s="96">
        <v>2.5000000000000001E-3</v>
      </c>
      <c r="AI206" s="96">
        <v>3.7000000000000002E-3</v>
      </c>
      <c r="AJ206" s="132">
        <f t="shared" si="247"/>
        <v>54830946.16831167</v>
      </c>
      <c r="AM206" s="96">
        <f t="shared" si="227"/>
        <v>0</v>
      </c>
      <c r="AP206">
        <f t="shared" si="228"/>
        <v>7.5922551445847999E-3</v>
      </c>
      <c r="AQ206">
        <f t="shared" si="229"/>
        <v>1.9724286196292705E-2</v>
      </c>
      <c r="AR206">
        <f t="shared" si="230"/>
        <v>8.0462011208877054E-3</v>
      </c>
      <c r="AS206">
        <f t="shared" si="231"/>
        <v>4.0143990993340678E-2</v>
      </c>
      <c r="AT206">
        <f t="shared" si="232"/>
        <v>4.185384339186466E-2</v>
      </c>
      <c r="AU206">
        <f t="shared" si="233"/>
        <v>8.0462011208877037E-3</v>
      </c>
      <c r="AV206" s="26">
        <f t="shared" si="234"/>
        <v>8.834769381583743E-3</v>
      </c>
      <c r="AW206" s="27">
        <f t="shared" si="235"/>
        <v>2.0966800433291646E-2</v>
      </c>
      <c r="AX206" s="27">
        <f t="shared" si="236"/>
        <v>9.2887153578866469E-3</v>
      </c>
      <c r="AY206" s="27">
        <f t="shared" si="248"/>
        <v>4.1386505230339612E-2</v>
      </c>
      <c r="AZ206" s="27">
        <f t="shared" si="249"/>
        <v>4.3096357628863602E-2</v>
      </c>
      <c r="BA206" s="93">
        <f t="shared" si="250"/>
        <v>1.5488715357886648E-2</v>
      </c>
    </row>
    <row r="207" spans="1:53" x14ac:dyDescent="0.25">
      <c r="A207" s="138">
        <v>0.85</v>
      </c>
      <c r="B207">
        <f t="shared" si="237"/>
        <v>823.39499999999998</v>
      </c>
      <c r="C207" s="132">
        <f t="shared" si="238"/>
        <v>94040523.603876606</v>
      </c>
      <c r="D207">
        <v>1.35</v>
      </c>
      <c r="E207" s="238">
        <f t="shared" si="257"/>
        <v>2.1467574190076866E-3</v>
      </c>
      <c r="F207" s="237">
        <f t="shared" si="251"/>
        <v>4.6827136403866706E-3</v>
      </c>
      <c r="G207" s="132">
        <f t="shared" si="239"/>
        <v>379777576.94805187</v>
      </c>
      <c r="H207">
        <f t="shared" si="252"/>
        <v>1.7769518620638525E-3</v>
      </c>
      <c r="I207">
        <f t="shared" si="253"/>
        <v>6.1669129642063794E-2</v>
      </c>
      <c r="J207">
        <f t="shared" si="240"/>
        <v>0</v>
      </c>
      <c r="K207" s="96">
        <f t="shared" si="254"/>
        <v>6.1669129642063794E-2</v>
      </c>
      <c r="L207">
        <f t="shared" si="223"/>
        <v>5.4197047970479702E-3</v>
      </c>
      <c r="M207">
        <f t="shared" si="224"/>
        <v>8.1295571955719553E-3</v>
      </c>
      <c r="S207">
        <v>0.6</v>
      </c>
      <c r="T207">
        <v>0.92</v>
      </c>
      <c r="U207" s="96">
        <v>1.4999999999999999E-2</v>
      </c>
      <c r="V207" s="96">
        <v>1.4E-2</v>
      </c>
      <c r="X207" s="132">
        <f t="shared" si="241"/>
        <v>72790702.248376623</v>
      </c>
      <c r="Y207">
        <f t="shared" si="255"/>
        <v>2.2260009040195954E-3</v>
      </c>
      <c r="Z207">
        <f t="shared" si="225"/>
        <v>0.38971379703313902</v>
      </c>
      <c r="AA207">
        <f t="shared" si="242"/>
        <v>4.6454213031290409E-2</v>
      </c>
      <c r="AB207">
        <f t="shared" si="243"/>
        <v>0.4361680100644294</v>
      </c>
      <c r="AC207" s="96">
        <f t="shared" si="244"/>
        <v>0.8723360201288588</v>
      </c>
      <c r="AD207" s="132">
        <f t="shared" si="245"/>
        <v>55067748.657467522</v>
      </c>
      <c r="AE207">
        <f t="shared" si="256"/>
        <v>2.3170202266907065E-3</v>
      </c>
      <c r="AF207">
        <f t="shared" si="226"/>
        <v>6.6015654788568551E-2</v>
      </c>
      <c r="AG207" s="96">
        <f t="shared" si="246"/>
        <v>0.79218785746282261</v>
      </c>
      <c r="AH207" s="96">
        <v>2.7499999999999998E-3</v>
      </c>
      <c r="AI207" s="96">
        <v>3.7000000000000002E-3</v>
      </c>
      <c r="AJ207" s="132">
        <f t="shared" si="247"/>
        <v>58257880.303831153</v>
      </c>
      <c r="AM207" s="96">
        <f t="shared" si="227"/>
        <v>0</v>
      </c>
      <c r="AP207">
        <f t="shared" si="228"/>
        <v>7.8765373840263952E-3</v>
      </c>
      <c r="AQ207">
        <f t="shared" si="229"/>
        <v>1.9903072285763733E-2</v>
      </c>
      <c r="AR207">
        <f t="shared" si="230"/>
        <v>8.3271906785579112E-3</v>
      </c>
      <c r="AS207">
        <f t="shared" si="231"/>
        <v>4.0322777082811706E-2</v>
      </c>
      <c r="AT207">
        <f t="shared" si="232"/>
        <v>4.2032629481335688E-2</v>
      </c>
      <c r="AU207">
        <f t="shared" si="233"/>
        <v>8.3271906785579095E-3</v>
      </c>
      <c r="AV207" s="26">
        <f t="shared" si="234"/>
        <v>9.207050115796778E-3</v>
      </c>
      <c r="AW207" s="27">
        <f t="shared" si="235"/>
        <v>2.1233585017534112E-2</v>
      </c>
      <c r="AX207" s="27">
        <f t="shared" si="236"/>
        <v>9.6577034103282923E-3</v>
      </c>
      <c r="AY207" s="27">
        <f t="shared" si="248"/>
        <v>4.1653289814582078E-2</v>
      </c>
      <c r="AZ207" s="27">
        <f t="shared" si="249"/>
        <v>4.3363142213106068E-2</v>
      </c>
      <c r="BA207" s="93">
        <f t="shared" si="250"/>
        <v>1.6107703410328293E-2</v>
      </c>
    </row>
    <row r="208" spans="1:53" x14ac:dyDescent="0.25">
      <c r="A208" s="138">
        <v>0.9</v>
      </c>
      <c r="B208">
        <f t="shared" si="237"/>
        <v>871.83</v>
      </c>
      <c r="C208" s="132">
        <f t="shared" si="238"/>
        <v>99572319.109987006</v>
      </c>
      <c r="D208">
        <v>1.35</v>
      </c>
      <c r="E208" s="238">
        <f t="shared" si="257"/>
        <v>2.1296094488901054E-3</v>
      </c>
      <c r="F208" s="237">
        <f t="shared" si="251"/>
        <v>4.6453088396096664E-3</v>
      </c>
      <c r="G208" s="132">
        <f t="shared" si="239"/>
        <v>402117434.41558433</v>
      </c>
      <c r="H208">
        <f t="shared" si="252"/>
        <v>1.7637555907893301E-3</v>
      </c>
      <c r="I208">
        <f t="shared" si="253"/>
        <v>6.12111529340875E-2</v>
      </c>
      <c r="J208">
        <f t="shared" si="240"/>
        <v>0</v>
      </c>
      <c r="K208" s="96">
        <f t="shared" si="254"/>
        <v>6.12111529340875E-2</v>
      </c>
      <c r="L208">
        <f t="shared" si="223"/>
        <v>5.4197047970479702E-3</v>
      </c>
      <c r="M208">
        <f t="shared" si="224"/>
        <v>8.1295571955719553E-3</v>
      </c>
      <c r="S208">
        <v>0.6</v>
      </c>
      <c r="T208">
        <v>0.92</v>
      </c>
      <c r="U208" s="96">
        <v>1.4999999999999999E-2</v>
      </c>
      <c r="V208" s="96">
        <v>1.4E-2</v>
      </c>
      <c r="X208" s="132">
        <f t="shared" si="241"/>
        <v>77072508.262987003</v>
      </c>
      <c r="Y208">
        <f t="shared" si="255"/>
        <v>2.207969785640228E-3</v>
      </c>
      <c r="Z208">
        <f t="shared" si="225"/>
        <v>0.38655702580466006</v>
      </c>
      <c r="AA208">
        <f t="shared" si="242"/>
        <v>4.66435087099435E-2</v>
      </c>
      <c r="AB208">
        <f t="shared" si="243"/>
        <v>0.43320053451460355</v>
      </c>
      <c r="AC208" s="96">
        <f t="shared" si="244"/>
        <v>0.8664010690292071</v>
      </c>
      <c r="AD208" s="132">
        <f t="shared" si="245"/>
        <v>58307027.990259729</v>
      </c>
      <c r="AE208">
        <f t="shared" si="256"/>
        <v>2.2979597038514194E-3</v>
      </c>
      <c r="AF208">
        <f t="shared" si="226"/>
        <v>6.5472589656312377E-2</v>
      </c>
      <c r="AG208" s="96">
        <f t="shared" si="246"/>
        <v>0.78567107587574858</v>
      </c>
      <c r="AH208" s="96">
        <v>3.2499999999999999E-3</v>
      </c>
      <c r="AI208" s="96">
        <v>3.7000000000000002E-3</v>
      </c>
      <c r="AJ208" s="132">
        <f t="shared" si="247"/>
        <v>61684814.439350635</v>
      </c>
      <c r="AM208" s="96">
        <f t="shared" si="227"/>
        <v>0</v>
      </c>
      <c r="AP208">
        <f t="shared" si="228"/>
        <v>7.8154141216388844E-3</v>
      </c>
      <c r="AQ208">
        <f t="shared" si="229"/>
        <v>1.9743656225447201E-2</v>
      </c>
      <c r="AR208">
        <f t="shared" si="230"/>
        <v>8.2630013897720556E-3</v>
      </c>
      <c r="AS208">
        <f t="shared" si="231"/>
        <v>4.0163361022495167E-2</v>
      </c>
      <c r="AT208">
        <f t="shared" si="232"/>
        <v>4.1873213421019156E-2</v>
      </c>
      <c r="AU208">
        <f t="shared" si="233"/>
        <v>8.2630013897720539E-3</v>
      </c>
      <c r="AV208" s="26">
        <f t="shared" si="234"/>
        <v>9.1352989210851734E-3</v>
      </c>
      <c r="AW208" s="27">
        <f t="shared" si="235"/>
        <v>2.1063541024893488E-2</v>
      </c>
      <c r="AX208" s="27">
        <f t="shared" si="236"/>
        <v>9.5828861892183429E-3</v>
      </c>
      <c r="AY208" s="27">
        <f t="shared" si="248"/>
        <v>4.1483245821941461E-2</v>
      </c>
      <c r="AZ208" s="27">
        <f t="shared" si="249"/>
        <v>4.3193098220465444E-2</v>
      </c>
      <c r="BA208" s="93">
        <f t="shared" si="250"/>
        <v>1.6532886189218342E-2</v>
      </c>
    </row>
    <row r="209" spans="1:53" x14ac:dyDescent="0.25">
      <c r="A209" s="138">
        <v>0.95</v>
      </c>
      <c r="B209">
        <f t="shared" si="237"/>
        <v>920.26499999999999</v>
      </c>
      <c r="C209" s="132">
        <f t="shared" si="238"/>
        <v>105104114.61609736</v>
      </c>
      <c r="D209">
        <v>1.35</v>
      </c>
      <c r="E209" s="238">
        <f t="shared" si="257"/>
        <v>2.1135632910488132E-3</v>
      </c>
      <c r="F209" s="237">
        <f t="shared" si="251"/>
        <v>4.6103074176819152E-3</v>
      </c>
      <c r="G209" s="132">
        <f t="shared" si="239"/>
        <v>424457291.88311672</v>
      </c>
      <c r="H209">
        <f t="shared" si="252"/>
        <v>1.7513978115398867E-3</v>
      </c>
      <c r="I209">
        <f t="shared" si="253"/>
        <v>6.0782276099046621E-2</v>
      </c>
      <c r="J209">
        <f t="shared" si="240"/>
        <v>0</v>
      </c>
      <c r="K209" s="96">
        <f t="shared" si="254"/>
        <v>6.0782276099046621E-2</v>
      </c>
      <c r="L209">
        <f t="shared" si="223"/>
        <v>5.4197047970479702E-3</v>
      </c>
      <c r="M209">
        <f t="shared" si="224"/>
        <v>8.1295571955719553E-3</v>
      </c>
      <c r="S209">
        <v>0.6</v>
      </c>
      <c r="T209">
        <v>0.92</v>
      </c>
      <c r="U209" s="96">
        <v>1.4999999999999999E-2</v>
      </c>
      <c r="V209" s="96">
        <v>1.4E-2</v>
      </c>
      <c r="X209" s="132">
        <f t="shared" si="241"/>
        <v>81354314.277597383</v>
      </c>
      <c r="Y209">
        <f t="shared" si="255"/>
        <v>2.1910997977210508E-3</v>
      </c>
      <c r="Z209">
        <f t="shared" si="225"/>
        <v>0.38360353776428502</v>
      </c>
      <c r="AA209">
        <f t="shared" si="242"/>
        <v>4.682272615813645E-2</v>
      </c>
      <c r="AB209">
        <f t="shared" si="243"/>
        <v>0.43042626392242145</v>
      </c>
      <c r="AC209" s="96">
        <f t="shared" si="244"/>
        <v>0.8608525278448429</v>
      </c>
      <c r="AD209" s="132">
        <f t="shared" si="245"/>
        <v>61546307.323051929</v>
      </c>
      <c r="AE209">
        <f t="shared" si="256"/>
        <v>2.280129652112872E-3</v>
      </c>
      <c r="AF209">
        <f t="shared" si="226"/>
        <v>6.4964582636401549E-2</v>
      </c>
      <c r="AG209" s="96">
        <f t="shared" si="246"/>
        <v>0.77957499163681865</v>
      </c>
      <c r="AH209" s="96">
        <v>3.7499999999999999E-3</v>
      </c>
      <c r="AI209" s="96">
        <v>3.7000000000000002E-3</v>
      </c>
      <c r="AJ209" s="132">
        <f t="shared" si="247"/>
        <v>65111748.57487011</v>
      </c>
      <c r="AM209" s="96">
        <f t="shared" si="227"/>
        <v>0</v>
      </c>
      <c r="AP209">
        <f t="shared" si="228"/>
        <v>7.7582013108557866E-3</v>
      </c>
      <c r="AQ209">
        <f t="shared" si="229"/>
        <v>1.9594497697498148E-2</v>
      </c>
      <c r="AR209">
        <f t="shared" si="230"/>
        <v>8.2029221739490631E-3</v>
      </c>
      <c r="AS209">
        <f t="shared" si="231"/>
        <v>4.0014202494546118E-2</v>
      </c>
      <c r="AT209">
        <f t="shared" si="232"/>
        <v>4.1724054893070101E-2</v>
      </c>
      <c r="AU209">
        <f t="shared" si="233"/>
        <v>8.2029221739490631E-3</v>
      </c>
      <c r="AV209" s="161">
        <f t="shared" si="234"/>
        <v>9.0681410568392087E-3</v>
      </c>
      <c r="AW209" s="94">
        <f t="shared" si="235"/>
        <v>2.0904437443481569E-2</v>
      </c>
      <c r="AX209" s="94">
        <f t="shared" si="236"/>
        <v>9.5128619199324853E-3</v>
      </c>
      <c r="AY209" s="27">
        <f t="shared" si="248"/>
        <v>4.1324142240529535E-2</v>
      </c>
      <c r="AZ209" s="27">
        <f t="shared" si="249"/>
        <v>4.3033994639053524E-2</v>
      </c>
      <c r="BA209" s="162">
        <f t="shared" si="250"/>
        <v>1.6962861919932487E-2</v>
      </c>
    </row>
    <row r="211" spans="1:53" x14ac:dyDescent="0.25">
      <c r="A211" t="s">
        <v>180</v>
      </c>
      <c r="B211" s="98">
        <v>40000</v>
      </c>
      <c r="C211" s="132" t="s">
        <v>124</v>
      </c>
      <c r="D211" t="s">
        <v>181</v>
      </c>
      <c r="E211" s="238" t="s">
        <v>153</v>
      </c>
      <c r="F211" s="238">
        <v>542</v>
      </c>
      <c r="G211" t="s">
        <v>150</v>
      </c>
      <c r="H211" t="s">
        <v>233</v>
      </c>
    </row>
    <row r="212" spans="1:53" x14ac:dyDescent="0.25">
      <c r="A212" t="s">
        <v>353</v>
      </c>
      <c r="B212" s="98">
        <v>-69.67</v>
      </c>
      <c r="C212" s="132" t="s">
        <v>352</v>
      </c>
      <c r="D212" t="s">
        <v>350</v>
      </c>
      <c r="E212" s="238" t="s">
        <v>410</v>
      </c>
      <c r="F212" s="238">
        <f>$F$2</f>
        <v>24.1</v>
      </c>
      <c r="G212" t="s">
        <v>364</v>
      </c>
      <c r="H212" t="s">
        <v>365</v>
      </c>
    </row>
    <row r="213" spans="1:53" x14ac:dyDescent="0.25">
      <c r="A213" t="s">
        <v>177</v>
      </c>
      <c r="B213" s="131">
        <v>5.8730000000000002E-4</v>
      </c>
      <c r="C213" s="132" t="s">
        <v>165</v>
      </c>
      <c r="D213" t="s">
        <v>324</v>
      </c>
      <c r="E213" s="238" t="s">
        <v>363</v>
      </c>
      <c r="F213" s="238">
        <f>$F$3</f>
        <v>0.91283417723304283</v>
      </c>
    </row>
    <row r="214" spans="1:53" x14ac:dyDescent="0.25">
      <c r="A214" t="s">
        <v>349</v>
      </c>
      <c r="B214" s="131">
        <f>0.000000297-0.00000024</f>
        <v>5.7000000000000047E-8</v>
      </c>
      <c r="C214" s="132" t="s">
        <v>354</v>
      </c>
      <c r="D214" t="s">
        <v>351</v>
      </c>
    </row>
    <row r="215" spans="1:53" x14ac:dyDescent="0.25">
      <c r="A215" t="s">
        <v>142</v>
      </c>
      <c r="B215" s="98">
        <v>968.1</v>
      </c>
      <c r="C215" s="132" t="s">
        <v>135</v>
      </c>
      <c r="D215" t="s">
        <v>327</v>
      </c>
    </row>
    <row r="216" spans="1:53" x14ac:dyDescent="0.25">
      <c r="C216" s="164" t="s">
        <v>207</v>
      </c>
      <c r="G216" s="96" t="s">
        <v>379</v>
      </c>
      <c r="I216" t="s">
        <v>521</v>
      </c>
      <c r="L216" s="96" t="s">
        <v>554</v>
      </c>
      <c r="N216" s="29"/>
      <c r="S216" s="96" t="s">
        <v>163</v>
      </c>
      <c r="X216" s="96" t="s">
        <v>390</v>
      </c>
      <c r="AJ216" s="96" t="s">
        <v>503</v>
      </c>
      <c r="AK216" t="s">
        <v>614</v>
      </c>
      <c r="AP216" s="96" t="s">
        <v>417</v>
      </c>
      <c r="AV216" s="96" t="s">
        <v>624</v>
      </c>
    </row>
    <row r="217" spans="1:53" x14ac:dyDescent="0.25">
      <c r="C217" s="235" t="s">
        <v>518</v>
      </c>
      <c r="D217" s="97" t="s">
        <v>360</v>
      </c>
      <c r="E217" s="240" t="s">
        <v>219</v>
      </c>
      <c r="F217" s="240" t="s">
        <v>220</v>
      </c>
      <c r="G217" s="97" t="s">
        <v>371</v>
      </c>
      <c r="H217" s="97" t="s">
        <v>372</v>
      </c>
      <c r="I217" s="97" t="s">
        <v>553</v>
      </c>
      <c r="J217" s="97" t="s">
        <v>380</v>
      </c>
      <c r="K217" s="97" t="s">
        <v>376</v>
      </c>
      <c r="L217" t="s">
        <v>629</v>
      </c>
      <c r="M217" t="s">
        <v>585</v>
      </c>
      <c r="N217" t="s">
        <v>587</v>
      </c>
      <c r="O217" s="29" t="s">
        <v>588</v>
      </c>
      <c r="P217" t="s">
        <v>589</v>
      </c>
      <c r="Q217" t="s">
        <v>590</v>
      </c>
      <c r="R217" t="s">
        <v>591</v>
      </c>
      <c r="S217" t="s">
        <v>155</v>
      </c>
      <c r="T217" t="s">
        <v>581</v>
      </c>
      <c r="U217" t="s">
        <v>142</v>
      </c>
      <c r="V217" t="s">
        <v>143</v>
      </c>
      <c r="W217" t="s">
        <v>583</v>
      </c>
      <c r="AJ217" t="s">
        <v>518</v>
      </c>
      <c r="AK217" t="s">
        <v>360</v>
      </c>
      <c r="AL217" t="s">
        <v>219</v>
      </c>
      <c r="AM217" t="s">
        <v>220</v>
      </c>
      <c r="AN217" t="s">
        <v>602</v>
      </c>
      <c r="AO217" t="s">
        <v>603</v>
      </c>
      <c r="AP217" t="s">
        <v>534</v>
      </c>
      <c r="AV217" t="s">
        <v>534</v>
      </c>
    </row>
    <row r="218" spans="1:53" x14ac:dyDescent="0.25">
      <c r="C218" s="236">
        <v>12.381</v>
      </c>
      <c r="D218" s="28">
        <v>1.2</v>
      </c>
      <c r="E218" s="236">
        <v>0.1</v>
      </c>
      <c r="F218" s="241">
        <v>775</v>
      </c>
      <c r="G218" s="133">
        <v>867.11</v>
      </c>
      <c r="H218" s="28">
        <v>6.8449999999999998</v>
      </c>
      <c r="I218" s="28">
        <v>28.07</v>
      </c>
      <c r="J218" s="28">
        <v>50</v>
      </c>
      <c r="K218" s="28"/>
      <c r="L218" s="86">
        <v>15</v>
      </c>
      <c r="M218">
        <v>20</v>
      </c>
      <c r="N218">
        <v>1.4</v>
      </c>
      <c r="O218">
        <v>0.02</v>
      </c>
      <c r="P218">
        <v>0.03</v>
      </c>
      <c r="Q218">
        <v>104.91</v>
      </c>
      <c r="R218" t="e">
        <f>Q218/N212</f>
        <v>#DIV/0!</v>
      </c>
      <c r="S218">
        <v>4.7300000000000004</v>
      </c>
      <c r="T218">
        <v>1.65</v>
      </c>
      <c r="U218">
        <v>1.1399999999999999</v>
      </c>
      <c r="V218">
        <v>4.53</v>
      </c>
      <c r="W218">
        <v>3.18</v>
      </c>
      <c r="X218" t="s">
        <v>515</v>
      </c>
      <c r="AB218" t="s">
        <v>615</v>
      </c>
      <c r="AC218" t="s">
        <v>616</v>
      </c>
      <c r="AD218" t="s">
        <v>606</v>
      </c>
      <c r="AF218" t="s">
        <v>615</v>
      </c>
      <c r="AG218" t="s">
        <v>617</v>
      </c>
      <c r="AH218" t="s">
        <v>627</v>
      </c>
      <c r="AI218" t="s">
        <v>628</v>
      </c>
      <c r="AJ218">
        <v>7.67</v>
      </c>
      <c r="AK218">
        <v>1.2</v>
      </c>
      <c r="AL218">
        <v>0.09</v>
      </c>
      <c r="AM218">
        <v>217.4</v>
      </c>
      <c r="AN218">
        <v>58.91</v>
      </c>
      <c r="AO218">
        <v>95.09</v>
      </c>
    </row>
    <row r="219" spans="1:53" x14ac:dyDescent="0.25">
      <c r="A219" t="s">
        <v>348</v>
      </c>
      <c r="B219" t="s">
        <v>355</v>
      </c>
      <c r="C219" s="132" t="s">
        <v>374</v>
      </c>
      <c r="D219" t="s">
        <v>367</v>
      </c>
      <c r="E219" s="238" t="s">
        <v>366</v>
      </c>
      <c r="F219" s="237" t="s">
        <v>356</v>
      </c>
      <c r="G219" t="s">
        <v>374</v>
      </c>
      <c r="H219" t="s">
        <v>366</v>
      </c>
      <c r="I219" t="s">
        <v>375</v>
      </c>
      <c r="J219" t="s">
        <v>377</v>
      </c>
      <c r="K219" s="96" t="s">
        <v>378</v>
      </c>
      <c r="L219" s="11" t="s">
        <v>630</v>
      </c>
      <c r="M219" s="11" t="s">
        <v>586</v>
      </c>
      <c r="N219" s="11"/>
      <c r="O219" s="11"/>
      <c r="S219" t="s">
        <v>555</v>
      </c>
      <c r="T219" t="s">
        <v>582</v>
      </c>
      <c r="U219" s="96" t="s">
        <v>622</v>
      </c>
      <c r="V219" s="96" t="s">
        <v>623</v>
      </c>
      <c r="X219" t="s">
        <v>374</v>
      </c>
      <c r="Y219" t="s">
        <v>366</v>
      </c>
      <c r="Z219" t="s">
        <v>611</v>
      </c>
      <c r="AA219" t="s">
        <v>377</v>
      </c>
      <c r="AB219" t="s">
        <v>612</v>
      </c>
      <c r="AC219" s="96" t="s">
        <v>612</v>
      </c>
      <c r="AD219" t="s">
        <v>374</v>
      </c>
      <c r="AE219" t="s">
        <v>366</v>
      </c>
      <c r="AF219" t="s">
        <v>613</v>
      </c>
      <c r="AG219" s="96" t="s">
        <v>613</v>
      </c>
      <c r="AH219" s="96" t="s">
        <v>110</v>
      </c>
      <c r="AI219" s="96" t="s">
        <v>110</v>
      </c>
      <c r="AJ219" t="s">
        <v>374</v>
      </c>
      <c r="AK219" t="s">
        <v>367</v>
      </c>
      <c r="AL219" t="s">
        <v>366</v>
      </c>
      <c r="AM219" s="96" t="s">
        <v>523</v>
      </c>
      <c r="AP219" t="s">
        <v>522</v>
      </c>
      <c r="AQ219" t="s">
        <v>516</v>
      </c>
      <c r="AR219" t="s">
        <v>192</v>
      </c>
      <c r="AS219" t="s">
        <v>290</v>
      </c>
      <c r="AT219" t="s">
        <v>294</v>
      </c>
      <c r="AU219" t="s">
        <v>289</v>
      </c>
      <c r="AV219" s="160" t="s">
        <v>522</v>
      </c>
      <c r="AW219" s="108" t="s">
        <v>516</v>
      </c>
      <c r="AX219" s="108" t="s">
        <v>192</v>
      </c>
      <c r="AY219" s="108" t="s">
        <v>290</v>
      </c>
      <c r="AZ219" s="108" t="s">
        <v>294</v>
      </c>
      <c r="BA219" s="51" t="s">
        <v>289</v>
      </c>
    </row>
    <row r="220" spans="1:53" x14ac:dyDescent="0.25">
      <c r="A220" s="138">
        <v>0</v>
      </c>
      <c r="B220">
        <f>A220*$B$215</f>
        <v>0</v>
      </c>
      <c r="C220" s="132">
        <f>($B$213*B220*($C$8))/$B$214</f>
        <v>0</v>
      </c>
      <c r="D220">
        <v>1.06</v>
      </c>
      <c r="E220" s="238" t="e">
        <f>0.455/(LOG10(C220))^2.58</f>
        <v>#NUM!</v>
      </c>
      <c r="F220" s="237" t="e">
        <f>E220*(1+$D$8*$E$8+100*$E$8^4)*D220*($F$8/$F$1)</f>
        <v>#NUM!</v>
      </c>
      <c r="G220">
        <f>($B$213*B220*$J$8)/$B$214</f>
        <v>0</v>
      </c>
      <c r="H220" t="e">
        <f>1.328/SQRT(G220)</f>
        <v>#DIV/0!</v>
      </c>
      <c r="I220" t="e">
        <f>H220*(1+(60/(($J$8/$H$8)^3))+0.0025*($J$8/$H$8))*($G$8/$I$8)</f>
        <v>#DIV/0!</v>
      </c>
      <c r="J220" t="e">
        <f>(0.029*($K$8/$H$8)^3)/SQRT(I220)</f>
        <v>#DIV/0!</v>
      </c>
      <c r="K220" s="96" t="e">
        <f>I220+J220</f>
        <v>#DIV/0!</v>
      </c>
      <c r="L220">
        <f t="shared" ref="L220:L239" si="258">$N$8*$O$8*$R$8</f>
        <v>5.4197047970479702E-3</v>
      </c>
      <c r="M220">
        <f t="shared" ref="M220:M239" si="259">$N$8*$P$8*$R$8</f>
        <v>8.1295571955719553E-3</v>
      </c>
      <c r="S220">
        <v>0.6</v>
      </c>
      <c r="T220">
        <v>0.92</v>
      </c>
      <c r="U220" s="96">
        <v>1.4999999999999999E-2</v>
      </c>
      <c r="V220" s="96">
        <v>1.4E-2</v>
      </c>
      <c r="X220">
        <f>$B$213*B220*$Z$2/$B$214</f>
        <v>0</v>
      </c>
      <c r="Z220">
        <f t="shared" ref="Z220:Z239" si="260">Y220*(1+(60/($Z$2/$Z$1)^3)+0.0025*($Z$2/$Z$1))*($AC$1/$AC$2)</f>
        <v>0</v>
      </c>
      <c r="AA220" t="e">
        <f>0.029*($Z$1/$Z$1)^3/SQRT(Z220)</f>
        <v>#DIV/0!</v>
      </c>
      <c r="AB220" t="e">
        <f>Z220+AA220</f>
        <v>#DIV/0!</v>
      </c>
      <c r="AC220" s="96" t="e">
        <f>2*AB220</f>
        <v>#DIV/0!</v>
      </c>
      <c r="AD220">
        <f>$B$213*B220*$Z$4/$B$214</f>
        <v>0</v>
      </c>
      <c r="AF220">
        <f t="shared" ref="AF220:AF239" si="261">AE220*(1+(60/($Z$4/$Z$3)^3)+0.0025*($Z$4/$Z$3))*($AC$3/$AC$4)</f>
        <v>0</v>
      </c>
      <c r="AG220" s="96">
        <f>12*AF220</f>
        <v>0</v>
      </c>
      <c r="AH220" s="96">
        <v>2.3999999999999998E-3</v>
      </c>
      <c r="AI220" s="96">
        <v>3.7000000000000002E-3</v>
      </c>
      <c r="AJ220">
        <f>($B$213*B220*$AJ$8)/$B$214</f>
        <v>0</v>
      </c>
      <c r="AM220" s="96">
        <f t="shared" ref="AM220:AM239" si="262">AL220*(1+$AK$8*$AL$8+100*$AL$8^4)*AK220*($AM$8/$F$1)</f>
        <v>0</v>
      </c>
      <c r="AP220" t="e">
        <f t="shared" ref="AP220:AP239" si="263">K220*($I$8/$F$1)+F220</f>
        <v>#DIV/0!</v>
      </c>
      <c r="AQ220" t="e">
        <f t="shared" ref="AQ220:AQ239" si="264">AP220+AC220*($AF$2/$F$1)+AG220*($AF$4/$F$1)</f>
        <v>#DIV/0!</v>
      </c>
      <c r="AR220" t="e">
        <f t="shared" ref="AR220:AR239" si="265">AQ220-AG220*($AF$4/$F$1)</f>
        <v>#DIV/0!</v>
      </c>
      <c r="AS220" t="e">
        <f t="shared" ref="AS220:AS239" si="266">AQ220+L220+U220</f>
        <v>#DIV/0!</v>
      </c>
      <c r="AT220" t="e">
        <f t="shared" ref="AT220:AT239" si="267">AQ220+M220+V220</f>
        <v>#DIV/0!</v>
      </c>
      <c r="AU220" t="e">
        <f t="shared" ref="AU220:AU239" si="268">AP220+AC220*($AF$2/$F$1)</f>
        <v>#DIV/0!</v>
      </c>
      <c r="AV220" s="26" t="e">
        <f>AP220+F220*(($AN$8+$AO$8)/$F$1)</f>
        <v>#DIV/0!</v>
      </c>
      <c r="AW220" s="27" t="e">
        <f t="shared" ref="AW220:AW239" si="269">AV220+AC220*($AF$2/$F$1)+AG220*($AF$4/$F$1)</f>
        <v>#DIV/0!</v>
      </c>
      <c r="AX220" s="27" t="e">
        <f t="shared" ref="AX220:AX239" si="270">AV220+AC220*($AF$2/$F$1)</f>
        <v>#DIV/0!</v>
      </c>
      <c r="AY220" s="27" t="e">
        <f>AW220+L220+U220</f>
        <v>#DIV/0!</v>
      </c>
      <c r="AZ220" s="27" t="e">
        <f>AW220+M220+V220</f>
        <v>#DIV/0!</v>
      </c>
      <c r="BA220" s="93" t="e">
        <f>AV220+AC220*($AF$2/$F$1)+AH220+AI220</f>
        <v>#DIV/0!</v>
      </c>
    </row>
    <row r="221" spans="1:53" x14ac:dyDescent="0.25">
      <c r="A221" s="138">
        <v>0.05</v>
      </c>
      <c r="B221">
        <f t="shared" ref="B221:B239" si="271">A221*$B$215</f>
        <v>48.405000000000001</v>
      </c>
      <c r="C221" s="132">
        <f t="shared" ref="C221:C239" si="272">($B$213*B221*($C$8))/$B$214</f>
        <v>6174916.556605259</v>
      </c>
      <c r="D221">
        <v>1.06</v>
      </c>
      <c r="E221" s="238">
        <f>0.455/(LOG10(C221))^2.58</f>
        <v>3.2485027698871466E-3</v>
      </c>
      <c r="F221" s="237">
        <f>E221*(1+$D$8*$E$8+100*$E$8^4)*D221*($F$8/$F$1)</f>
        <v>5.56378021913725E-3</v>
      </c>
      <c r="G221">
        <f t="shared" ref="G221:G239" si="273">($B$213*B221*$J$8)/$B$214</f>
        <v>24937067.10526314</v>
      </c>
      <c r="H221">
        <f>0.455/(LOG10(G221))^2.58</f>
        <v>2.6053814880022128E-3</v>
      </c>
      <c r="I221">
        <f>H221*(1+(60/(($J$8/$H$8)^3))+0.0025*($J$8/$H$8))*($G$8/$I$8)</f>
        <v>9.0419786928852663E-2</v>
      </c>
      <c r="J221">
        <f t="shared" ref="J221:J239" si="274">(0.029*($K$8/$H$8)^3)/SQRT(I221)</f>
        <v>0</v>
      </c>
      <c r="K221" s="96">
        <f>I221+J221</f>
        <v>9.0419786928852663E-2</v>
      </c>
      <c r="L221">
        <f t="shared" si="258"/>
        <v>5.4197047970479702E-3</v>
      </c>
      <c r="M221">
        <f t="shared" si="259"/>
        <v>8.1295571955719553E-3</v>
      </c>
      <c r="S221">
        <v>0.6</v>
      </c>
      <c r="T221">
        <v>0.92</v>
      </c>
      <c r="U221" s="96">
        <v>1.4999999999999999E-2</v>
      </c>
      <c r="V221" s="96">
        <v>1.4E-2</v>
      </c>
      <c r="X221">
        <f t="shared" ref="X221:X239" si="275">$B$213*B221*$Z$2/$B$214</f>
        <v>4779604.5285087684</v>
      </c>
      <c r="Y221">
        <f>0.455/(LOG10(X221))^2.58</f>
        <v>3.3899252196220205E-3</v>
      </c>
      <c r="Z221">
        <f t="shared" si="260"/>
        <v>0.59348611521752803</v>
      </c>
      <c r="AA221">
        <f t="shared" ref="AA221:AA239" si="276">0.029*($Z$1/$Z$1)^3/SQRT(Z221)</f>
        <v>3.7643735776433158E-2</v>
      </c>
      <c r="AB221">
        <f t="shared" ref="AB221:AB239" si="277">Z221+AA221</f>
        <v>0.63112985099396124</v>
      </c>
      <c r="AC221" s="96">
        <f t="shared" ref="AC221:AC239" si="278">2*AB221</f>
        <v>1.2622597019879225</v>
      </c>
      <c r="AD221">
        <f t="shared" ref="AD221:AD239" si="279">$B$213*B221*$Z$4/$B$214</f>
        <v>3615874.7302631554</v>
      </c>
      <c r="AE221">
        <f>0.455/(LOG10(AD221))^2.58</f>
        <v>3.5538958528448083E-3</v>
      </c>
      <c r="AF221">
        <f t="shared" si="261"/>
        <v>0.10125624242435505</v>
      </c>
      <c r="AG221" s="96">
        <f t="shared" ref="AG221:AG239" si="280">12*AF221</f>
        <v>1.2150749090922606</v>
      </c>
      <c r="AH221" s="96">
        <v>2.3999999999999998E-3</v>
      </c>
      <c r="AI221" s="96">
        <v>3.7000000000000002E-3</v>
      </c>
      <c r="AJ221">
        <f t="shared" ref="AJ221:AJ239" si="281">($B$213*B221*$AJ$8)/$B$214</f>
        <v>3825346.0939473659</v>
      </c>
      <c r="AM221" s="96">
        <f t="shared" si="262"/>
        <v>0</v>
      </c>
      <c r="AP221">
        <f t="shared" si="263"/>
        <v>1.0246590955471004E-2</v>
      </c>
      <c r="AQ221">
        <f t="shared" si="264"/>
        <v>2.8654018993418094E-2</v>
      </c>
      <c r="AR221">
        <f t="shared" si="265"/>
        <v>1.0898680838416795E-2</v>
      </c>
      <c r="AS221">
        <f t="shared" si="266"/>
        <v>4.9073723790466067E-2</v>
      </c>
      <c r="AT221">
        <f t="shared" si="267"/>
        <v>5.078357618899005E-2</v>
      </c>
      <c r="AU221">
        <f t="shared" si="268"/>
        <v>1.0898680838416795E-2</v>
      </c>
      <c r="AV221" s="26">
        <f t="shared" ref="AV221:AV239" si="282">AP221+F221*(($AN$8+$AO$8)/$F$1)</f>
        <v>1.1827443637661294E-2</v>
      </c>
      <c r="AW221" s="27">
        <f t="shared" si="269"/>
        <v>3.0234871675608385E-2</v>
      </c>
      <c r="AX221" s="27">
        <f t="shared" si="270"/>
        <v>1.2479533520607084E-2</v>
      </c>
      <c r="AY221" s="27">
        <f t="shared" ref="AY221:AY239" si="283">AW221+L221+U221</f>
        <v>5.0654576472656351E-2</v>
      </c>
      <c r="AZ221" s="27">
        <f t="shared" ref="AZ221:AZ239" si="284">AW221+M221+V221</f>
        <v>5.2364428871180341E-2</v>
      </c>
      <c r="BA221" s="93">
        <f t="shared" ref="BA221:BA239" si="285">AV221+AC221*($AF$2/$F$1)+AH221+AI221</f>
        <v>1.8579533520607084E-2</v>
      </c>
    </row>
    <row r="222" spans="1:53" x14ac:dyDescent="0.25">
      <c r="A222" s="138">
        <v>0.1</v>
      </c>
      <c r="B222">
        <f t="shared" si="271"/>
        <v>96.81</v>
      </c>
      <c r="C222" s="132">
        <f t="shared" si="272"/>
        <v>12349833.113210518</v>
      </c>
      <c r="D222">
        <v>1.06</v>
      </c>
      <c r="E222" s="238">
        <f>0.455/(LOG10(C222))^2.58</f>
        <v>2.9045685307289046E-3</v>
      </c>
      <c r="F222" s="237">
        <f t="shared" ref="F222:F239" si="286">E222*(1+$D$8*$E$8+100*$E$8^4)*D222*($F$8/$F$1)</f>
        <v>4.9747166867767324E-3</v>
      </c>
      <c r="G222">
        <f t="shared" si="273"/>
        <v>49874134.21052628</v>
      </c>
      <c r="H222">
        <f t="shared" ref="H222:H239" si="287">0.455/(LOG10(G222))^2.58</f>
        <v>2.3505773007082374E-3</v>
      </c>
      <c r="I222">
        <f t="shared" ref="I222:I239" si="288">H222*(1+(60/(($J$8/$H$8)^3))+0.0025*($J$8/$H$8))*($G$8/$I$8)</f>
        <v>8.1576805419312934E-2</v>
      </c>
      <c r="J222">
        <f t="shared" si="274"/>
        <v>0</v>
      </c>
      <c r="K222" s="96">
        <f t="shared" ref="K222:K239" si="289">I222+J222</f>
        <v>8.1576805419312934E-2</v>
      </c>
      <c r="L222">
        <f t="shared" si="258"/>
        <v>5.4197047970479702E-3</v>
      </c>
      <c r="M222">
        <f t="shared" si="259"/>
        <v>8.1295571955719553E-3</v>
      </c>
      <c r="S222">
        <v>0.6</v>
      </c>
      <c r="T222">
        <v>0.92</v>
      </c>
      <c r="U222" s="96">
        <v>1.4999999999999999E-2</v>
      </c>
      <c r="V222" s="96">
        <v>1.4E-2</v>
      </c>
      <c r="X222">
        <f t="shared" si="275"/>
        <v>9559209.0570175368</v>
      </c>
      <c r="Y222">
        <f t="shared" ref="Y222:Y239" si="290">0.455/(LOG10(X222))^2.58</f>
        <v>3.0254966218258069E-3</v>
      </c>
      <c r="Z222">
        <f t="shared" si="260"/>
        <v>0.52968432055600412</v>
      </c>
      <c r="AA222">
        <f t="shared" si="276"/>
        <v>3.9846432010305202E-2</v>
      </c>
      <c r="AB222">
        <f t="shared" si="277"/>
        <v>0.56953075256630936</v>
      </c>
      <c r="AC222" s="96">
        <f t="shared" si="278"/>
        <v>1.1390615051326187</v>
      </c>
      <c r="AD222">
        <f t="shared" si="279"/>
        <v>7231749.4605263108</v>
      </c>
      <c r="AE222">
        <f t="shared" ref="AE222:AE239" si="291">0.455/(LOG10(AD222))^2.58</f>
        <v>3.1653283608844649E-3</v>
      </c>
      <c r="AF222">
        <f t="shared" si="261"/>
        <v>9.0185325944721714E-2</v>
      </c>
      <c r="AG222" s="96">
        <f t="shared" si="280"/>
        <v>1.0822239113366605</v>
      </c>
      <c r="AH222" s="96">
        <v>2.3999999999999998E-3</v>
      </c>
      <c r="AI222" s="96">
        <v>3.7000000000000002E-3</v>
      </c>
      <c r="AJ222">
        <f t="shared" si="281"/>
        <v>7650692.1878947318</v>
      </c>
      <c r="AM222" s="96">
        <f t="shared" si="262"/>
        <v>0</v>
      </c>
      <c r="AP222">
        <f t="shared" si="263"/>
        <v>9.1995523475149506E-3</v>
      </c>
      <c r="AQ222">
        <f t="shared" si="264"/>
        <v>2.5602044228001088E-2</v>
      </c>
      <c r="AR222">
        <f t="shared" si="265"/>
        <v>9.7879974055170432E-3</v>
      </c>
      <c r="AS222">
        <f t="shared" si="266"/>
        <v>4.6021749025049061E-2</v>
      </c>
      <c r="AT222">
        <f t="shared" si="267"/>
        <v>4.7731601423573043E-2</v>
      </c>
      <c r="AU222">
        <f t="shared" si="268"/>
        <v>9.7879974055170415E-3</v>
      </c>
      <c r="AV222" s="26">
        <f t="shared" si="282"/>
        <v>1.0613032734532693E-2</v>
      </c>
      <c r="AW222" s="27">
        <f t="shared" si="269"/>
        <v>2.7015524615018827E-2</v>
      </c>
      <c r="AX222" s="27">
        <f t="shared" si="270"/>
        <v>1.1201477792534784E-2</v>
      </c>
      <c r="AY222" s="27">
        <f t="shared" si="283"/>
        <v>4.7435229412066793E-2</v>
      </c>
      <c r="AZ222" s="27">
        <f t="shared" si="284"/>
        <v>4.9145081810590782E-2</v>
      </c>
      <c r="BA222" s="93">
        <f t="shared" si="285"/>
        <v>1.7301477792534783E-2</v>
      </c>
    </row>
    <row r="223" spans="1:53" x14ac:dyDescent="0.25">
      <c r="A223" s="138">
        <v>0.15</v>
      </c>
      <c r="B223">
        <f t="shared" si="271"/>
        <v>145.215</v>
      </c>
      <c r="C223" s="132">
        <f t="shared" si="272"/>
        <v>18524749.669815779</v>
      </c>
      <c r="D223">
        <v>1.06</v>
      </c>
      <c r="E223" s="238">
        <f t="shared" ref="E223:E239" si="292">0.455/(LOG10(C223))^2.58</f>
        <v>2.726459725518418E-3</v>
      </c>
      <c r="F223" s="237">
        <f t="shared" si="286"/>
        <v>4.6696659241699636E-3</v>
      </c>
      <c r="G223">
        <f t="shared" si="273"/>
        <v>74811201.315789431</v>
      </c>
      <c r="H223">
        <f t="shared" si="287"/>
        <v>2.2173384422363392E-3</v>
      </c>
      <c r="I223">
        <f t="shared" si="288"/>
        <v>7.6952749691139896E-2</v>
      </c>
      <c r="J223">
        <f t="shared" si="274"/>
        <v>0</v>
      </c>
      <c r="K223" s="96">
        <f t="shared" si="289"/>
        <v>7.6952749691139896E-2</v>
      </c>
      <c r="L223">
        <f t="shared" si="258"/>
        <v>5.4197047970479702E-3</v>
      </c>
      <c r="M223">
        <f t="shared" si="259"/>
        <v>8.1295571955719553E-3</v>
      </c>
      <c r="S223">
        <v>0.6</v>
      </c>
      <c r="T223">
        <v>0.92</v>
      </c>
      <c r="U223" s="96">
        <v>1.4999999999999999E-2</v>
      </c>
      <c r="V223" s="96">
        <v>1.4E-2</v>
      </c>
      <c r="X223">
        <f t="shared" si="275"/>
        <v>14338813.585526306</v>
      </c>
      <c r="Y223">
        <f t="shared" si="290"/>
        <v>2.8371453383404222E-3</v>
      </c>
      <c r="Z223">
        <f t="shared" si="260"/>
        <v>0.49670899977755917</v>
      </c>
      <c r="AA223">
        <f t="shared" si="276"/>
        <v>4.1147834406933065E-2</v>
      </c>
      <c r="AB223">
        <f t="shared" si="277"/>
        <v>0.53785683418449226</v>
      </c>
      <c r="AC223" s="96">
        <f t="shared" si="278"/>
        <v>1.0757136683689845</v>
      </c>
      <c r="AD223">
        <f t="shared" si="279"/>
        <v>10847624.190789467</v>
      </c>
      <c r="AE223">
        <f t="shared" si="291"/>
        <v>2.964945521504976E-3</v>
      </c>
      <c r="AF223">
        <f t="shared" si="261"/>
        <v>8.4476094666700863E-2</v>
      </c>
      <c r="AG223" s="96">
        <f t="shared" si="280"/>
        <v>1.0137131360004104</v>
      </c>
      <c r="AH223" s="96">
        <v>2.3999999999999998E-3</v>
      </c>
      <c r="AI223" s="96">
        <v>3.7000000000000002E-3</v>
      </c>
      <c r="AJ223">
        <f t="shared" si="281"/>
        <v>11476038.281842098</v>
      </c>
      <c r="AM223" s="96">
        <f t="shared" si="262"/>
        <v>0</v>
      </c>
      <c r="AP223">
        <f t="shared" si="263"/>
        <v>8.6550232744103638E-3</v>
      </c>
      <c r="AQ223">
        <f t="shared" si="264"/>
        <v>2.4023672470474138E-2</v>
      </c>
      <c r="AR223">
        <f t="shared" si="265"/>
        <v>9.2107425126821633E-3</v>
      </c>
      <c r="AS223">
        <f t="shared" si="266"/>
        <v>4.4443377267522108E-2</v>
      </c>
      <c r="AT223">
        <f t="shared" si="267"/>
        <v>4.615322966604609E-2</v>
      </c>
      <c r="AU223">
        <f t="shared" si="268"/>
        <v>9.2107425126821633E-3</v>
      </c>
      <c r="AV223" s="26">
        <f t="shared" si="282"/>
        <v>9.9818287214992456E-3</v>
      </c>
      <c r="AW223" s="27">
        <f t="shared" si="269"/>
        <v>2.5350477917563022E-2</v>
      </c>
      <c r="AX223" s="27">
        <f t="shared" si="270"/>
        <v>1.0537547959771045E-2</v>
      </c>
      <c r="AY223" s="27">
        <f t="shared" si="283"/>
        <v>4.5770182714610988E-2</v>
      </c>
      <c r="AZ223" s="27">
        <f t="shared" si="284"/>
        <v>4.7480035113134977E-2</v>
      </c>
      <c r="BA223" s="93">
        <f t="shared" si="285"/>
        <v>1.6637547959771043E-2</v>
      </c>
    </row>
    <row r="224" spans="1:53" x14ac:dyDescent="0.25">
      <c r="A224" s="138">
        <v>0.2</v>
      </c>
      <c r="B224">
        <f t="shared" si="271"/>
        <v>193.62</v>
      </c>
      <c r="C224" s="132">
        <f t="shared" si="272"/>
        <v>24699666.226421036</v>
      </c>
      <c r="D224">
        <v>1.06</v>
      </c>
      <c r="E224" s="238">
        <f t="shared" si="292"/>
        <v>2.6091604976115662E-3</v>
      </c>
      <c r="F224" s="237">
        <f t="shared" si="286"/>
        <v>4.4687650260707189E-3</v>
      </c>
      <c r="G224">
        <f t="shared" si="273"/>
        <v>99748268.42105256</v>
      </c>
      <c r="H224">
        <f t="shared" si="287"/>
        <v>2.1290828183316872E-3</v>
      </c>
      <c r="I224">
        <f t="shared" si="288"/>
        <v>7.3889837505158776E-2</v>
      </c>
      <c r="J224">
        <f t="shared" si="274"/>
        <v>0</v>
      </c>
      <c r="K224" s="96">
        <f t="shared" si="289"/>
        <v>7.3889837505158776E-2</v>
      </c>
      <c r="L224">
        <f t="shared" si="258"/>
        <v>5.4197047970479702E-3</v>
      </c>
      <c r="M224">
        <f t="shared" si="259"/>
        <v>8.1295571955719553E-3</v>
      </c>
      <c r="S224">
        <v>0.6</v>
      </c>
      <c r="T224">
        <v>0.92</v>
      </c>
      <c r="U224" s="96">
        <v>1.4999999999999999E-2</v>
      </c>
      <c r="V224" s="96">
        <v>1.4E-2</v>
      </c>
      <c r="X224">
        <f t="shared" si="275"/>
        <v>19118418.114035074</v>
      </c>
      <c r="Y224">
        <f t="shared" si="290"/>
        <v>2.7132448471424955E-3</v>
      </c>
      <c r="Z224">
        <f t="shared" si="260"/>
        <v>0.47501730558649974</v>
      </c>
      <c r="AA224">
        <f t="shared" si="276"/>
        <v>4.207685602423393E-2</v>
      </c>
      <c r="AB224">
        <f t="shared" si="277"/>
        <v>0.51709416161073363</v>
      </c>
      <c r="AC224" s="96">
        <f t="shared" si="278"/>
        <v>1.0341883232214673</v>
      </c>
      <c r="AD224">
        <f t="shared" si="279"/>
        <v>14463498.921052622</v>
      </c>
      <c r="AE224">
        <f t="shared" si="291"/>
        <v>2.833302991759698E-3</v>
      </c>
      <c r="AF224">
        <f t="shared" si="261"/>
        <v>8.0725386019858222E-2</v>
      </c>
      <c r="AG224" s="96">
        <f t="shared" si="280"/>
        <v>0.96870463223829861</v>
      </c>
      <c r="AH224" s="96">
        <v>2.3999999999999998E-3</v>
      </c>
      <c r="AI224" s="96">
        <v>3.7000000000000002E-3</v>
      </c>
      <c r="AJ224">
        <f t="shared" si="281"/>
        <v>15301384.375789464</v>
      </c>
      <c r="AM224" s="96">
        <f t="shared" si="262"/>
        <v>0</v>
      </c>
      <c r="AP224">
        <f t="shared" si="263"/>
        <v>8.2954951714024651E-3</v>
      </c>
      <c r="AQ224">
        <f t="shared" si="264"/>
        <v>2.2985003322379099E-2</v>
      </c>
      <c r="AR224">
        <f t="shared" si="265"/>
        <v>8.8297622018489799E-3</v>
      </c>
      <c r="AS224">
        <f t="shared" si="266"/>
        <v>4.3404708119427066E-2</v>
      </c>
      <c r="AT224">
        <f t="shared" si="267"/>
        <v>4.5114560517951055E-2</v>
      </c>
      <c r="AU224">
        <f t="shared" si="268"/>
        <v>8.8297622018489799E-3</v>
      </c>
      <c r="AV224" s="26">
        <f t="shared" si="282"/>
        <v>9.56521807548898E-3</v>
      </c>
      <c r="AW224" s="27">
        <f t="shared" si="269"/>
        <v>2.4254726226465614E-2</v>
      </c>
      <c r="AX224" s="27">
        <f t="shared" si="270"/>
        <v>1.0099485105935495E-2</v>
      </c>
      <c r="AY224" s="27">
        <f t="shared" si="283"/>
        <v>4.4674431023513581E-2</v>
      </c>
      <c r="AZ224" s="27">
        <f t="shared" si="284"/>
        <v>4.638428342203757E-2</v>
      </c>
      <c r="BA224" s="93">
        <f t="shared" si="285"/>
        <v>1.6199485105935496E-2</v>
      </c>
    </row>
    <row r="225" spans="1:53" x14ac:dyDescent="0.25">
      <c r="A225" s="138">
        <v>0.25</v>
      </c>
      <c r="B225">
        <f t="shared" si="271"/>
        <v>242.02500000000001</v>
      </c>
      <c r="C225" s="132">
        <f t="shared" si="272"/>
        <v>30874582.783026297</v>
      </c>
      <c r="D225">
        <v>1.06</v>
      </c>
      <c r="E225" s="238">
        <f t="shared" si="292"/>
        <v>2.5229461622062466E-3</v>
      </c>
      <c r="F225" s="237">
        <f t="shared" si="286"/>
        <v>4.3211038886443696E-3</v>
      </c>
      <c r="G225">
        <f t="shared" si="273"/>
        <v>124685335.5263157</v>
      </c>
      <c r="H225">
        <f t="shared" si="287"/>
        <v>2.063949465890039E-3</v>
      </c>
      <c r="I225">
        <f t="shared" si="288"/>
        <v>7.1629383948988171E-2</v>
      </c>
      <c r="J225">
        <f t="shared" si="274"/>
        <v>0</v>
      </c>
      <c r="K225" s="96">
        <f t="shared" si="289"/>
        <v>7.1629383948988171E-2</v>
      </c>
      <c r="L225">
        <f t="shared" si="258"/>
        <v>5.4197047970479702E-3</v>
      </c>
      <c r="M225">
        <f t="shared" si="259"/>
        <v>8.1295571955719553E-3</v>
      </c>
      <c r="S225">
        <v>0.6</v>
      </c>
      <c r="T225">
        <v>0.92</v>
      </c>
      <c r="U225" s="96">
        <v>1.4999999999999999E-2</v>
      </c>
      <c r="V225" s="96">
        <v>1.4E-2</v>
      </c>
      <c r="X225">
        <f t="shared" si="275"/>
        <v>23898022.642543845</v>
      </c>
      <c r="Y225">
        <f t="shared" si="290"/>
        <v>2.6222537033274785E-3</v>
      </c>
      <c r="Z225">
        <f t="shared" si="260"/>
        <v>0.45908716643493608</v>
      </c>
      <c r="AA225">
        <f t="shared" si="276"/>
        <v>4.2800655629582358E-2</v>
      </c>
      <c r="AB225">
        <f t="shared" si="277"/>
        <v>0.50188782206451843</v>
      </c>
      <c r="AC225" s="96">
        <f t="shared" si="278"/>
        <v>1.0037756441290369</v>
      </c>
      <c r="AD225">
        <f t="shared" si="279"/>
        <v>18079373.651315778</v>
      </c>
      <c r="AE225">
        <f t="shared" si="291"/>
        <v>2.7367158378507768E-3</v>
      </c>
      <c r="AF225">
        <f t="shared" si="261"/>
        <v>7.7973461744009931E-2</v>
      </c>
      <c r="AG225" s="96">
        <f t="shared" si="280"/>
        <v>0.93568154092811917</v>
      </c>
      <c r="AH225" s="96">
        <v>2.3999999999999998E-3</v>
      </c>
      <c r="AI225" s="96">
        <v>3.7000000000000002E-3</v>
      </c>
      <c r="AJ225">
        <f t="shared" si="281"/>
        <v>19126730.469736829</v>
      </c>
      <c r="AM225" s="96">
        <f t="shared" si="262"/>
        <v>0</v>
      </c>
      <c r="AP225">
        <f t="shared" si="263"/>
        <v>8.0307658950061738E-3</v>
      </c>
      <c r="AQ225">
        <f t="shared" si="264"/>
        <v>2.2222011253874872E-2</v>
      </c>
      <c r="AR225">
        <f t="shared" si="265"/>
        <v>8.5493215783200675E-3</v>
      </c>
      <c r="AS225">
        <f t="shared" si="266"/>
        <v>4.2641716050922845E-2</v>
      </c>
      <c r="AT225">
        <f t="shared" si="267"/>
        <v>4.4351568449446828E-2</v>
      </c>
      <c r="AU225">
        <f t="shared" si="268"/>
        <v>8.5493215783200675E-3</v>
      </c>
      <c r="AV225" s="26">
        <f t="shared" si="282"/>
        <v>9.2585334205619544E-3</v>
      </c>
      <c r="AW225" s="27">
        <f t="shared" si="269"/>
        <v>2.3449778779430653E-2</v>
      </c>
      <c r="AX225" s="27">
        <f t="shared" si="270"/>
        <v>9.7770891038758481E-3</v>
      </c>
      <c r="AY225" s="27">
        <f t="shared" si="283"/>
        <v>4.3869483576478623E-2</v>
      </c>
      <c r="AZ225" s="27">
        <f t="shared" si="284"/>
        <v>4.5579335975002605E-2</v>
      </c>
      <c r="BA225" s="93">
        <f t="shared" si="285"/>
        <v>1.5877089103875849E-2</v>
      </c>
    </row>
    <row r="226" spans="1:53" x14ac:dyDescent="0.25">
      <c r="A226" s="138">
        <v>0.3</v>
      </c>
      <c r="B226">
        <f t="shared" si="271"/>
        <v>290.43</v>
      </c>
      <c r="C226" s="132">
        <f t="shared" si="272"/>
        <v>37049499.339631557</v>
      </c>
      <c r="D226">
        <v>1.1499999999999999</v>
      </c>
      <c r="E226" s="238">
        <f t="shared" si="292"/>
        <v>2.4554114372991416E-3</v>
      </c>
      <c r="F226" s="237">
        <f t="shared" si="286"/>
        <v>4.5625010168762574E-3</v>
      </c>
      <c r="G226">
        <f t="shared" si="273"/>
        <v>149622402.63157886</v>
      </c>
      <c r="H226">
        <f t="shared" si="287"/>
        <v>2.0127666833414828E-3</v>
      </c>
      <c r="I226">
        <f t="shared" si="288"/>
        <v>6.9853085040832916E-2</v>
      </c>
      <c r="J226">
        <f t="shared" si="274"/>
        <v>0</v>
      </c>
      <c r="K226" s="96">
        <f t="shared" si="289"/>
        <v>6.9853085040832916E-2</v>
      </c>
      <c r="L226">
        <f t="shared" si="258"/>
        <v>5.4197047970479702E-3</v>
      </c>
      <c r="M226">
        <f t="shared" si="259"/>
        <v>8.1295571955719553E-3</v>
      </c>
      <c r="S226">
        <v>0.6</v>
      </c>
      <c r="T226">
        <v>0.92</v>
      </c>
      <c r="U226" s="96">
        <v>1.4999999999999999E-2</v>
      </c>
      <c r="V226" s="96">
        <v>1.4E-2</v>
      </c>
      <c r="X226">
        <f t="shared" si="275"/>
        <v>28677627.171052612</v>
      </c>
      <c r="Y226">
        <f t="shared" si="290"/>
        <v>2.5510224919599719E-3</v>
      </c>
      <c r="Z226">
        <f t="shared" si="260"/>
        <v>0.44661646806317262</v>
      </c>
      <c r="AA226">
        <f t="shared" si="276"/>
        <v>4.3394094610408267E-2</v>
      </c>
      <c r="AB226">
        <f t="shared" si="277"/>
        <v>0.4900105626735809</v>
      </c>
      <c r="AC226" s="96">
        <f t="shared" si="278"/>
        <v>0.98002112534716179</v>
      </c>
      <c r="AD226">
        <f t="shared" si="279"/>
        <v>21695248.381578933</v>
      </c>
      <c r="AE226">
        <f t="shared" si="291"/>
        <v>2.6611579572028339E-3</v>
      </c>
      <c r="AF226">
        <f t="shared" si="261"/>
        <v>7.5820695485022807E-2</v>
      </c>
      <c r="AG226" s="96">
        <f t="shared" si="280"/>
        <v>0.90984834582027374</v>
      </c>
      <c r="AH226" s="96">
        <v>2.3999999999999998E-3</v>
      </c>
      <c r="AI226" s="96">
        <v>3.7000000000000002E-3</v>
      </c>
      <c r="AJ226">
        <f t="shared" si="281"/>
        <v>22952076.563684195</v>
      </c>
      <c r="AM226" s="96">
        <f t="shared" si="262"/>
        <v>0</v>
      </c>
      <c r="AP226">
        <f t="shared" si="263"/>
        <v>8.1801690926994672E-3</v>
      </c>
      <c r="AQ226">
        <f t="shared" si="264"/>
        <v>2.1981653989366946E-2</v>
      </c>
      <c r="AR226">
        <f t="shared" si="265"/>
        <v>8.6864530688935734E-3</v>
      </c>
      <c r="AS226">
        <f t="shared" si="266"/>
        <v>4.2401358786414919E-2</v>
      </c>
      <c r="AT226">
        <f t="shared" si="267"/>
        <v>4.4111211184938902E-2</v>
      </c>
      <c r="AU226">
        <f t="shared" si="268"/>
        <v>8.6864530688935734E-3</v>
      </c>
      <c r="AV226" s="26">
        <f t="shared" si="282"/>
        <v>9.4765254701882923E-3</v>
      </c>
      <c r="AW226" s="27">
        <f t="shared" si="269"/>
        <v>2.327801036685577E-2</v>
      </c>
      <c r="AX226" s="27">
        <f t="shared" si="270"/>
        <v>9.9828094463823985E-3</v>
      </c>
      <c r="AY226" s="27">
        <f t="shared" si="283"/>
        <v>4.3697715163903736E-2</v>
      </c>
      <c r="AZ226" s="27">
        <f t="shared" si="284"/>
        <v>4.5407567562427725E-2</v>
      </c>
      <c r="BA226" s="93">
        <f t="shared" si="285"/>
        <v>1.60828094463824E-2</v>
      </c>
    </row>
    <row r="227" spans="1:53" x14ac:dyDescent="0.25">
      <c r="A227" s="138">
        <v>0.35</v>
      </c>
      <c r="B227">
        <f t="shared" si="271"/>
        <v>338.83499999999998</v>
      </c>
      <c r="C227" s="132">
        <f t="shared" si="272"/>
        <v>43224415.896236807</v>
      </c>
      <c r="D227">
        <v>1.1499999999999999</v>
      </c>
      <c r="E227" s="238">
        <f t="shared" si="292"/>
        <v>2.4002532726901536E-3</v>
      </c>
      <c r="F227" s="237">
        <f t="shared" si="286"/>
        <v>4.4600093617936576E-3</v>
      </c>
      <c r="G227">
        <f t="shared" si="273"/>
        <v>174559469.73684195</v>
      </c>
      <c r="H227">
        <f t="shared" si="287"/>
        <v>1.9708562781153671E-3</v>
      </c>
      <c r="I227">
        <f t="shared" si="288"/>
        <v>6.839858406732939E-2</v>
      </c>
      <c r="J227">
        <f t="shared" si="274"/>
        <v>0</v>
      </c>
      <c r="K227" s="96">
        <f t="shared" si="289"/>
        <v>6.839858406732939E-2</v>
      </c>
      <c r="L227">
        <f t="shared" si="258"/>
        <v>5.4197047970479702E-3</v>
      </c>
      <c r="M227">
        <f t="shared" si="259"/>
        <v>8.1295571955719553E-3</v>
      </c>
      <c r="S227">
        <v>0.6</v>
      </c>
      <c r="T227">
        <v>0.92</v>
      </c>
      <c r="U227" s="96">
        <v>1.4999999999999999E-2</v>
      </c>
      <c r="V227" s="96">
        <v>1.4E-2</v>
      </c>
      <c r="X227">
        <f t="shared" si="275"/>
        <v>33457231.699561376</v>
      </c>
      <c r="Y227">
        <f t="shared" si="290"/>
        <v>2.492875314938867E-3</v>
      </c>
      <c r="Z227">
        <f t="shared" si="260"/>
        <v>0.43643643754174138</v>
      </c>
      <c r="AA227">
        <f t="shared" si="276"/>
        <v>4.3897268464063409E-2</v>
      </c>
      <c r="AB227">
        <f t="shared" si="277"/>
        <v>0.48033370600580477</v>
      </c>
      <c r="AC227" s="96">
        <f t="shared" si="278"/>
        <v>0.96066741201160954</v>
      </c>
      <c r="AD227">
        <f t="shared" si="279"/>
        <v>25311123.111842081</v>
      </c>
      <c r="AE227">
        <f t="shared" si="291"/>
        <v>2.5995146534723798E-3</v>
      </c>
      <c r="AF227">
        <f t="shared" si="261"/>
        <v>7.4064378033746728E-2</v>
      </c>
      <c r="AG227" s="96">
        <f t="shared" si="280"/>
        <v>0.88877253640496079</v>
      </c>
      <c r="AH227" s="96">
        <v>2.3999999999999998E-3</v>
      </c>
      <c r="AI227" s="96">
        <v>3.7000000000000002E-3</v>
      </c>
      <c r="AJ227">
        <f t="shared" si="281"/>
        <v>26777422.657631554</v>
      </c>
      <c r="AM227" s="96">
        <f t="shared" si="262"/>
        <v>0</v>
      </c>
      <c r="AP227">
        <f t="shared" si="263"/>
        <v>8.0023493152437241E-3</v>
      </c>
      <c r="AQ227">
        <f t="shared" si="264"/>
        <v>2.1485864746407082E-2</v>
      </c>
      <c r="AR227">
        <f t="shared" si="265"/>
        <v>8.4986350631464005E-3</v>
      </c>
      <c r="AS227">
        <f t="shared" si="266"/>
        <v>4.1905569543455048E-2</v>
      </c>
      <c r="AT227">
        <f t="shared" si="267"/>
        <v>4.3615421941979038E-2</v>
      </c>
      <c r="AU227">
        <f t="shared" si="268"/>
        <v>8.4986350631464005E-3</v>
      </c>
      <c r="AV227" s="26">
        <f t="shared" si="282"/>
        <v>9.2695844475614783E-3</v>
      </c>
      <c r="AW227" s="27">
        <f t="shared" si="269"/>
        <v>2.2753099878724835E-2</v>
      </c>
      <c r="AX227" s="27">
        <f t="shared" si="270"/>
        <v>9.7658701954641547E-3</v>
      </c>
      <c r="AY227" s="27">
        <f t="shared" si="283"/>
        <v>4.3172804675772808E-2</v>
      </c>
      <c r="AZ227" s="27">
        <f t="shared" si="284"/>
        <v>4.488265707429679E-2</v>
      </c>
      <c r="BA227" s="93">
        <f t="shared" si="285"/>
        <v>1.5865870195464156E-2</v>
      </c>
    </row>
    <row r="228" spans="1:53" x14ac:dyDescent="0.25">
      <c r="A228" s="138">
        <v>0.4</v>
      </c>
      <c r="B228">
        <f t="shared" si="271"/>
        <v>387.24</v>
      </c>
      <c r="C228" s="132">
        <f t="shared" si="272"/>
        <v>49399332.452842072</v>
      </c>
      <c r="D228">
        <v>1.1499999999999999</v>
      </c>
      <c r="E228" s="238">
        <f t="shared" si="292"/>
        <v>2.3538532697596425E-3</v>
      </c>
      <c r="F228" s="237">
        <f t="shared" si="286"/>
        <v>4.3737916072708639E-3</v>
      </c>
      <c r="G228">
        <f t="shared" si="273"/>
        <v>199496536.84210512</v>
      </c>
      <c r="H228">
        <f t="shared" si="287"/>
        <v>1.9355243727841257E-3</v>
      </c>
      <c r="I228">
        <f t="shared" si="288"/>
        <v>6.7172389989205772E-2</v>
      </c>
      <c r="J228">
        <f t="shared" si="274"/>
        <v>0</v>
      </c>
      <c r="K228" s="96">
        <f t="shared" si="289"/>
        <v>6.7172389989205772E-2</v>
      </c>
      <c r="L228">
        <f t="shared" si="258"/>
        <v>5.4197047970479702E-3</v>
      </c>
      <c r="M228">
        <f t="shared" si="259"/>
        <v>8.1295571955719553E-3</v>
      </c>
      <c r="S228">
        <v>0.6</v>
      </c>
      <c r="T228">
        <v>0.92</v>
      </c>
      <c r="U228" s="96">
        <v>1.4999999999999999E-2</v>
      </c>
      <c r="V228" s="96">
        <v>1.4E-2</v>
      </c>
      <c r="X228">
        <f t="shared" si="275"/>
        <v>38236836.228070147</v>
      </c>
      <c r="Y228">
        <f t="shared" si="290"/>
        <v>2.4439821116404221E-3</v>
      </c>
      <c r="Z228">
        <f t="shared" si="260"/>
        <v>0.42787653270426235</v>
      </c>
      <c r="AA228">
        <f t="shared" si="276"/>
        <v>4.4334188550932574E-2</v>
      </c>
      <c r="AB228">
        <f t="shared" si="277"/>
        <v>0.47221072125519492</v>
      </c>
      <c r="AC228" s="96">
        <f t="shared" si="278"/>
        <v>0.94442144251038984</v>
      </c>
      <c r="AD228">
        <f t="shared" si="279"/>
        <v>28926997.842105243</v>
      </c>
      <c r="AE228">
        <f t="shared" si="291"/>
        <v>2.5477069737658074E-3</v>
      </c>
      <c r="AF228">
        <f t="shared" si="261"/>
        <v>7.2588293423216321E-2</v>
      </c>
      <c r="AG228" s="96">
        <f t="shared" si="280"/>
        <v>0.87105952107859586</v>
      </c>
      <c r="AH228" s="96">
        <v>2.3999999999999998E-3</v>
      </c>
      <c r="AI228" s="96">
        <v>3.7000000000000002E-3</v>
      </c>
      <c r="AJ228">
        <f t="shared" si="281"/>
        <v>30602768.751578927</v>
      </c>
      <c r="AM228" s="96">
        <f t="shared" si="262"/>
        <v>0</v>
      </c>
      <c r="AP228">
        <f t="shared" si="263"/>
        <v>7.8526273766380342E-3</v>
      </c>
      <c r="AQ228">
        <f t="shared" si="264"/>
        <v>2.1068917802552035E-2</v>
      </c>
      <c r="AR228">
        <f t="shared" si="265"/>
        <v>8.3405203727688632E-3</v>
      </c>
      <c r="AS228">
        <f t="shared" si="266"/>
        <v>4.1488622599600004E-2</v>
      </c>
      <c r="AT228">
        <f t="shared" si="267"/>
        <v>4.3198474998123987E-2</v>
      </c>
      <c r="AU228">
        <f t="shared" si="268"/>
        <v>8.3405203727688632E-3</v>
      </c>
      <c r="AV228" s="26">
        <f t="shared" si="282"/>
        <v>9.0953652133902718E-3</v>
      </c>
      <c r="AW228" s="27">
        <f t="shared" si="269"/>
        <v>2.2311655639304272E-2</v>
      </c>
      <c r="AX228" s="27">
        <f t="shared" si="270"/>
        <v>9.5832582095211009E-3</v>
      </c>
      <c r="AY228" s="27">
        <f t="shared" si="283"/>
        <v>4.2731360436352242E-2</v>
      </c>
      <c r="AZ228" s="27">
        <f t="shared" si="284"/>
        <v>4.4441212834876224E-2</v>
      </c>
      <c r="BA228" s="93">
        <f t="shared" si="285"/>
        <v>1.56832582095211E-2</v>
      </c>
    </row>
    <row r="229" spans="1:53" x14ac:dyDescent="0.25">
      <c r="A229" s="138">
        <v>0.45</v>
      </c>
      <c r="B229">
        <f t="shared" si="271"/>
        <v>435.64500000000004</v>
      </c>
      <c r="C229" s="132">
        <f t="shared" si="272"/>
        <v>55574249.009447329</v>
      </c>
      <c r="D229">
        <v>1.1499999999999999</v>
      </c>
      <c r="E229" s="238">
        <f t="shared" si="292"/>
        <v>2.3139523626032267E-3</v>
      </c>
      <c r="F229" s="237">
        <f t="shared" si="286"/>
        <v>4.2996500900041373E-3</v>
      </c>
      <c r="G229">
        <f t="shared" si="273"/>
        <v>224433603.94736826</v>
      </c>
      <c r="H229">
        <f t="shared" si="287"/>
        <v>1.9050848231027435E-3</v>
      </c>
      <c r="I229">
        <f t="shared" si="288"/>
        <v>6.6115985155949936E-2</v>
      </c>
      <c r="J229">
        <f t="shared" si="274"/>
        <v>0</v>
      </c>
      <c r="K229" s="96">
        <f t="shared" si="289"/>
        <v>6.6115985155949936E-2</v>
      </c>
      <c r="L229">
        <f t="shared" si="258"/>
        <v>5.4197047970479702E-3</v>
      </c>
      <c r="M229">
        <f t="shared" si="259"/>
        <v>8.1295571955719553E-3</v>
      </c>
      <c r="S229">
        <v>0.6</v>
      </c>
      <c r="T229">
        <v>0.92</v>
      </c>
      <c r="U229" s="96">
        <v>1.4999999999999999E-2</v>
      </c>
      <c r="V229" s="96">
        <v>1.4E-2</v>
      </c>
      <c r="X229">
        <f t="shared" si="275"/>
        <v>43016440.756578922</v>
      </c>
      <c r="Y229">
        <f t="shared" si="290"/>
        <v>2.4019528975182205E-3</v>
      </c>
      <c r="Z229">
        <f t="shared" si="260"/>
        <v>0.42051833056143972</v>
      </c>
      <c r="AA229">
        <f t="shared" si="276"/>
        <v>4.4720384828440256E-2</v>
      </c>
      <c r="AB229">
        <f t="shared" si="277"/>
        <v>0.46523871538987999</v>
      </c>
      <c r="AC229" s="96">
        <f t="shared" si="278"/>
        <v>0.93047743077975997</v>
      </c>
      <c r="AD229">
        <f t="shared" si="279"/>
        <v>32542872.572368395</v>
      </c>
      <c r="AE229">
        <f t="shared" si="291"/>
        <v>2.5031910938060676E-3</v>
      </c>
      <c r="AF229">
        <f t="shared" si="261"/>
        <v>7.1319963984319362E-2</v>
      </c>
      <c r="AG229" s="96">
        <f t="shared" si="280"/>
        <v>0.85583956781183235</v>
      </c>
      <c r="AH229" s="96">
        <v>2.3999999999999998E-3</v>
      </c>
      <c r="AI229" s="96">
        <v>3.7000000000000002E-3</v>
      </c>
      <c r="AJ229">
        <f t="shared" si="281"/>
        <v>34428114.845526285</v>
      </c>
      <c r="AM229" s="96">
        <f t="shared" si="262"/>
        <v>0</v>
      </c>
      <c r="AP229">
        <f t="shared" si="263"/>
        <v>7.7237750038925412E-3</v>
      </c>
      <c r="AQ229">
        <f t="shared" si="264"/>
        <v>2.0710459612173066E-2</v>
      </c>
      <c r="AR229">
        <f t="shared" si="265"/>
        <v>8.204464451527841E-3</v>
      </c>
      <c r="AS229">
        <f t="shared" si="266"/>
        <v>4.1130164409221036E-2</v>
      </c>
      <c r="AT229">
        <f t="shared" si="267"/>
        <v>4.2840016807745018E-2</v>
      </c>
      <c r="AU229">
        <f t="shared" si="268"/>
        <v>8.204464451527841E-3</v>
      </c>
      <c r="AV229" s="26">
        <f t="shared" si="282"/>
        <v>8.9454468006833852E-3</v>
      </c>
      <c r="AW229" s="27">
        <f t="shared" si="269"/>
        <v>2.1932131408963912E-2</v>
      </c>
      <c r="AX229" s="27">
        <f t="shared" si="270"/>
        <v>9.4261362483186849E-3</v>
      </c>
      <c r="AY229" s="27">
        <f t="shared" si="283"/>
        <v>4.2351836206011878E-2</v>
      </c>
      <c r="AZ229" s="27">
        <f t="shared" si="284"/>
        <v>4.4061688604535867E-2</v>
      </c>
      <c r="BA229" s="93">
        <f t="shared" si="285"/>
        <v>1.5526136248318684E-2</v>
      </c>
    </row>
    <row r="230" spans="1:53" x14ac:dyDescent="0.25">
      <c r="A230" s="138">
        <v>0.5</v>
      </c>
      <c r="B230">
        <f t="shared" si="271"/>
        <v>484.05</v>
      </c>
      <c r="C230" s="132">
        <f t="shared" si="272"/>
        <v>61749165.566052593</v>
      </c>
      <c r="D230">
        <v>1.1499999999999999</v>
      </c>
      <c r="E230" s="238">
        <f t="shared" si="292"/>
        <v>2.2790506957063297E-3</v>
      </c>
      <c r="F230" s="237">
        <f t="shared" si="286"/>
        <v>4.2347978667519213E-3</v>
      </c>
      <c r="G230">
        <f t="shared" si="273"/>
        <v>249370671.05263141</v>
      </c>
      <c r="H230">
        <f t="shared" si="287"/>
        <v>1.8784157223611497E-3</v>
      </c>
      <c r="I230">
        <f t="shared" si="288"/>
        <v>6.5190433785548479E-2</v>
      </c>
      <c r="J230">
        <f t="shared" si="274"/>
        <v>0</v>
      </c>
      <c r="K230" s="96">
        <f t="shared" si="289"/>
        <v>6.5190433785548479E-2</v>
      </c>
      <c r="L230">
        <f t="shared" si="258"/>
        <v>5.4197047970479702E-3</v>
      </c>
      <c r="M230">
        <f t="shared" si="259"/>
        <v>8.1295571955719553E-3</v>
      </c>
      <c r="S230">
        <v>0.6</v>
      </c>
      <c r="T230">
        <v>0.92</v>
      </c>
      <c r="U230" s="96">
        <v>1.4999999999999999E-2</v>
      </c>
      <c r="V230" s="96">
        <v>1.4E-2</v>
      </c>
      <c r="X230">
        <f t="shared" si="275"/>
        <v>47796045.28508769</v>
      </c>
      <c r="Y230">
        <f t="shared" si="290"/>
        <v>2.3652015906358822E-3</v>
      </c>
      <c r="Z230">
        <f t="shared" si="260"/>
        <v>0.41408415017760281</v>
      </c>
      <c r="AA230">
        <f t="shared" si="276"/>
        <v>4.5066485828117203E-2</v>
      </c>
      <c r="AB230">
        <f t="shared" si="277"/>
        <v>0.45915063600572004</v>
      </c>
      <c r="AC230" s="96">
        <f t="shared" si="278"/>
        <v>0.91830127201144007</v>
      </c>
      <c r="AD230">
        <f t="shared" si="279"/>
        <v>36158747.302631557</v>
      </c>
      <c r="AE230">
        <f t="shared" si="291"/>
        <v>2.4642796686930642E-3</v>
      </c>
      <c r="AF230">
        <f t="shared" si="261"/>
        <v>7.0211314531025582E-2</v>
      </c>
      <c r="AG230" s="96">
        <f t="shared" si="280"/>
        <v>0.84253577437230698</v>
      </c>
      <c r="AH230" s="96">
        <v>2.3999999999999998E-3</v>
      </c>
      <c r="AI230" s="96">
        <v>3.7000000000000002E-3</v>
      </c>
      <c r="AJ230">
        <f t="shared" si="281"/>
        <v>38253460.939473659</v>
      </c>
      <c r="AM230" s="96">
        <f t="shared" si="262"/>
        <v>0</v>
      </c>
      <c r="AP230">
        <f t="shared" si="263"/>
        <v>7.6109887825459178E-3</v>
      </c>
      <c r="AQ230">
        <f t="shared" si="264"/>
        <v>2.0396980829025392E-2</v>
      </c>
      <c r="AR230">
        <f t="shared" si="265"/>
        <v>8.0853879636588397E-3</v>
      </c>
      <c r="AS230">
        <f t="shared" si="266"/>
        <v>4.0816685626073365E-2</v>
      </c>
      <c r="AT230">
        <f t="shared" si="267"/>
        <v>4.2526538024597348E-2</v>
      </c>
      <c r="AU230">
        <f t="shared" si="268"/>
        <v>8.0853879636588397E-3</v>
      </c>
      <c r="AV230" s="26">
        <f t="shared" si="282"/>
        <v>8.8142339328776444E-3</v>
      </c>
      <c r="AW230" s="27">
        <f t="shared" si="269"/>
        <v>2.1600225979357117E-2</v>
      </c>
      <c r="AX230" s="27">
        <f t="shared" si="270"/>
        <v>9.2886331139905663E-3</v>
      </c>
      <c r="AY230" s="27">
        <f t="shared" si="283"/>
        <v>4.201993077640509E-2</v>
      </c>
      <c r="AZ230" s="27">
        <f t="shared" si="284"/>
        <v>4.3729783174929072E-2</v>
      </c>
      <c r="BA230" s="93">
        <f t="shared" si="285"/>
        <v>1.5388633113990566E-2</v>
      </c>
    </row>
    <row r="231" spans="1:53" x14ac:dyDescent="0.25">
      <c r="A231" s="138">
        <v>0.55000000000000004</v>
      </c>
      <c r="B231">
        <f t="shared" si="271"/>
        <v>532.45500000000004</v>
      </c>
      <c r="C231" s="132">
        <f t="shared" si="272"/>
        <v>67924082.12265785</v>
      </c>
      <c r="D231">
        <v>1.1499999999999999</v>
      </c>
      <c r="E231" s="238">
        <f t="shared" si="292"/>
        <v>2.2481044409539113E-3</v>
      </c>
      <c r="F231" s="237">
        <f t="shared" si="286"/>
        <v>4.1772953575464873E-3</v>
      </c>
      <c r="G231">
        <f t="shared" si="273"/>
        <v>274307738.15789455</v>
      </c>
      <c r="H231">
        <f t="shared" si="287"/>
        <v>1.8547348016140297E-3</v>
      </c>
      <c r="I231">
        <f t="shared" si="288"/>
        <v>6.4368587227532331E-2</v>
      </c>
      <c r="J231">
        <f t="shared" si="274"/>
        <v>0</v>
      </c>
      <c r="K231" s="96">
        <f t="shared" si="289"/>
        <v>6.4368587227532331E-2</v>
      </c>
      <c r="L231">
        <f t="shared" si="258"/>
        <v>5.4197047970479702E-3</v>
      </c>
      <c r="M231">
        <f t="shared" si="259"/>
        <v>8.1295571955719553E-3</v>
      </c>
      <c r="S231">
        <v>0.6</v>
      </c>
      <c r="T231">
        <v>0.92</v>
      </c>
      <c r="U231" s="96">
        <v>1.4999999999999999E-2</v>
      </c>
      <c r="V231" s="96">
        <v>1.4E-2</v>
      </c>
      <c r="X231">
        <f t="shared" si="275"/>
        <v>52575649.813596457</v>
      </c>
      <c r="Y231">
        <f t="shared" si="290"/>
        <v>2.3326247735070563E-3</v>
      </c>
      <c r="Z231">
        <f t="shared" si="260"/>
        <v>0.40838081237769275</v>
      </c>
      <c r="AA231">
        <f t="shared" si="276"/>
        <v>4.5380087980327444E-2</v>
      </c>
      <c r="AB231">
        <f t="shared" si="277"/>
        <v>0.45376090035802019</v>
      </c>
      <c r="AC231" s="96">
        <f t="shared" si="278"/>
        <v>0.90752180071604038</v>
      </c>
      <c r="AD231">
        <f t="shared" si="279"/>
        <v>39774622.032894701</v>
      </c>
      <c r="AE231">
        <f t="shared" si="291"/>
        <v>2.4297993360964092E-3</v>
      </c>
      <c r="AF231">
        <f t="shared" si="261"/>
        <v>6.9228914072248904E-2</v>
      </c>
      <c r="AG231" s="96">
        <f t="shared" si="280"/>
        <v>0.83074696886698685</v>
      </c>
      <c r="AH231" s="96">
        <v>2.3999999999999998E-3</v>
      </c>
      <c r="AI231" s="96">
        <v>3.7000000000000002E-3</v>
      </c>
      <c r="AJ231">
        <f t="shared" si="281"/>
        <v>42078807.033421017</v>
      </c>
      <c r="AM231" s="96">
        <f t="shared" si="262"/>
        <v>0</v>
      </c>
      <c r="AP231">
        <f t="shared" si="263"/>
        <v>7.510923113038798E-3</v>
      </c>
      <c r="AQ231">
        <f t="shared" si="264"/>
        <v>2.011908196474918E-2</v>
      </c>
      <c r="AR231">
        <f t="shared" si="265"/>
        <v>7.9797535635932094E-3</v>
      </c>
      <c r="AS231">
        <f t="shared" si="266"/>
        <v>4.0538786761797146E-2</v>
      </c>
      <c r="AT231">
        <f t="shared" si="267"/>
        <v>4.2248639160321136E-2</v>
      </c>
      <c r="AU231">
        <f t="shared" si="268"/>
        <v>7.9797535635932094E-3</v>
      </c>
      <c r="AV231" s="26">
        <f t="shared" si="282"/>
        <v>8.697829912046472E-3</v>
      </c>
      <c r="AW231" s="27">
        <f t="shared" si="269"/>
        <v>2.1305988763756854E-2</v>
      </c>
      <c r="AX231" s="27">
        <f t="shared" si="270"/>
        <v>9.1666603626008834E-3</v>
      </c>
      <c r="AY231" s="27">
        <f t="shared" si="283"/>
        <v>4.1725693560804827E-2</v>
      </c>
      <c r="AZ231" s="27">
        <f t="shared" si="284"/>
        <v>4.343554595932881E-2</v>
      </c>
      <c r="BA231" s="93">
        <f t="shared" si="285"/>
        <v>1.5266660362600883E-2</v>
      </c>
    </row>
    <row r="232" spans="1:53" x14ac:dyDescent="0.25">
      <c r="A232" s="138">
        <v>0.6</v>
      </c>
      <c r="B232">
        <f t="shared" si="271"/>
        <v>580.86</v>
      </c>
      <c r="C232" s="132">
        <f t="shared" si="272"/>
        <v>74098998.679263115</v>
      </c>
      <c r="D232">
        <v>1.1499999999999999</v>
      </c>
      <c r="E232" s="238">
        <f t="shared" si="292"/>
        <v>2.2203595426190065E-3</v>
      </c>
      <c r="F232" s="237">
        <f t="shared" si="286"/>
        <v>4.1257414204167609E-3</v>
      </c>
      <c r="G232">
        <f t="shared" si="273"/>
        <v>299244805.26315773</v>
      </c>
      <c r="H232">
        <f t="shared" si="287"/>
        <v>1.8334760094532365E-3</v>
      </c>
      <c r="I232">
        <f t="shared" si="288"/>
        <v>6.3630800662917694E-2</v>
      </c>
      <c r="J232">
        <f t="shared" si="274"/>
        <v>0</v>
      </c>
      <c r="K232" s="96">
        <f t="shared" si="289"/>
        <v>6.3630800662917694E-2</v>
      </c>
      <c r="L232">
        <f t="shared" si="258"/>
        <v>5.4197047970479702E-3</v>
      </c>
      <c r="M232">
        <f t="shared" si="259"/>
        <v>8.1295571955719553E-3</v>
      </c>
      <c r="S232">
        <v>0.6</v>
      </c>
      <c r="T232">
        <v>0.92</v>
      </c>
      <c r="U232" s="96">
        <v>1.4999999999999999E-2</v>
      </c>
      <c r="V232" s="96">
        <v>1.4E-2</v>
      </c>
      <c r="X232">
        <f t="shared" si="275"/>
        <v>57355254.342105225</v>
      </c>
      <c r="Y232">
        <f t="shared" si="290"/>
        <v>2.3034256116417407E-3</v>
      </c>
      <c r="Z232">
        <f t="shared" si="260"/>
        <v>0.40326881254868585</v>
      </c>
      <c r="AA232">
        <f t="shared" si="276"/>
        <v>4.5666810434608962E-2</v>
      </c>
      <c r="AB232">
        <f t="shared" si="277"/>
        <v>0.44893562298329481</v>
      </c>
      <c r="AC232" s="96">
        <f t="shared" si="278"/>
        <v>0.89787124596658963</v>
      </c>
      <c r="AD232">
        <f t="shared" si="279"/>
        <v>43390496.763157867</v>
      </c>
      <c r="AE232">
        <f t="shared" si="291"/>
        <v>2.398903071475444E-3</v>
      </c>
      <c r="AF232">
        <f t="shared" si="261"/>
        <v>6.8348629508489606E-2</v>
      </c>
      <c r="AG232" s="96">
        <f t="shared" si="280"/>
        <v>0.82018355410187527</v>
      </c>
      <c r="AH232" s="96">
        <v>2.3999999999999998E-3</v>
      </c>
      <c r="AI232" s="96">
        <v>3.7000000000000002E-3</v>
      </c>
      <c r="AJ232">
        <f t="shared" si="281"/>
        <v>45904153.127368391</v>
      </c>
      <c r="AM232" s="96">
        <f t="shared" si="262"/>
        <v>0</v>
      </c>
      <c r="AP232">
        <f t="shared" si="263"/>
        <v>7.4211594547490475E-3</v>
      </c>
      <c r="AQ232">
        <f t="shared" si="264"/>
        <v>1.9869974394523027E-2</v>
      </c>
      <c r="AR232">
        <f t="shared" si="265"/>
        <v>7.8850043788646282E-3</v>
      </c>
      <c r="AS232">
        <f t="shared" si="266"/>
        <v>4.0289679191570997E-2</v>
      </c>
      <c r="AT232">
        <f t="shared" si="267"/>
        <v>4.1999531590094979E-2</v>
      </c>
      <c r="AU232">
        <f t="shared" si="268"/>
        <v>7.8850043788646282E-3</v>
      </c>
      <c r="AV232" s="26">
        <f t="shared" si="282"/>
        <v>8.5934180871183857E-3</v>
      </c>
      <c r="AW232" s="27">
        <f t="shared" si="269"/>
        <v>2.1042233026892364E-2</v>
      </c>
      <c r="AX232" s="27">
        <f t="shared" si="270"/>
        <v>9.0572630112339663E-3</v>
      </c>
      <c r="AY232" s="27">
        <f t="shared" si="283"/>
        <v>4.1461937823940337E-2</v>
      </c>
      <c r="AZ232" s="27">
        <f t="shared" si="284"/>
        <v>4.3171790222464319E-2</v>
      </c>
      <c r="BA232" s="93">
        <f t="shared" si="285"/>
        <v>1.5157263011233966E-2</v>
      </c>
    </row>
    <row r="233" spans="1:53" x14ac:dyDescent="0.25">
      <c r="A233" s="138">
        <v>0.65</v>
      </c>
      <c r="B233">
        <f t="shared" si="271"/>
        <v>629.26499999999999</v>
      </c>
      <c r="C233" s="132">
        <f t="shared" si="272"/>
        <v>80273915.23586835</v>
      </c>
      <c r="D233">
        <v>1.25</v>
      </c>
      <c r="E233" s="238">
        <f t="shared" si="292"/>
        <v>2.1952545304886753E-3</v>
      </c>
      <c r="F233" s="237">
        <f t="shared" si="286"/>
        <v>4.4337964831076054E-3</v>
      </c>
      <c r="G233">
        <f t="shared" si="273"/>
        <v>324181872.36842078</v>
      </c>
      <c r="H233">
        <f t="shared" si="287"/>
        <v>1.81421723254897E-3</v>
      </c>
      <c r="I233">
        <f t="shared" si="288"/>
        <v>6.2962424644966736E-2</v>
      </c>
      <c r="J233">
        <f t="shared" si="274"/>
        <v>0</v>
      </c>
      <c r="K233" s="96">
        <f t="shared" si="289"/>
        <v>6.2962424644966736E-2</v>
      </c>
      <c r="L233">
        <f t="shared" si="258"/>
        <v>5.4197047970479702E-3</v>
      </c>
      <c r="M233">
        <f t="shared" si="259"/>
        <v>8.1295571955719553E-3</v>
      </c>
      <c r="S233">
        <v>0.6</v>
      </c>
      <c r="T233">
        <v>0.92</v>
      </c>
      <c r="U233" s="96">
        <v>1.4999999999999999E-2</v>
      </c>
      <c r="V233" s="96">
        <v>1.4E-2</v>
      </c>
      <c r="X233">
        <f t="shared" si="275"/>
        <v>62134858.870613992</v>
      </c>
      <c r="Y233">
        <f t="shared" si="290"/>
        <v>2.2770109605783364E-3</v>
      </c>
      <c r="Z233">
        <f t="shared" si="260"/>
        <v>0.39864430680628654</v>
      </c>
      <c r="AA233">
        <f t="shared" si="276"/>
        <v>4.5930927442079904E-2</v>
      </c>
      <c r="AB233">
        <f t="shared" si="277"/>
        <v>0.44457523424836642</v>
      </c>
      <c r="AC233" s="96">
        <f t="shared" si="278"/>
        <v>0.88915046849673285</v>
      </c>
      <c r="AD233">
        <f t="shared" si="279"/>
        <v>47006371.493421018</v>
      </c>
      <c r="AE233">
        <f t="shared" si="291"/>
        <v>2.3709605837842281E-3</v>
      </c>
      <c r="AF233">
        <f t="shared" si="261"/>
        <v>6.7552502828149064E-2</v>
      </c>
      <c r="AG233" s="96">
        <f t="shared" si="280"/>
        <v>0.81063003393778876</v>
      </c>
      <c r="AH233" s="96">
        <v>2.3999999999999998E-3</v>
      </c>
      <c r="AI233" s="96">
        <v>3.7000000000000002E-3</v>
      </c>
      <c r="AJ233">
        <f t="shared" si="281"/>
        <v>49729499.221315749</v>
      </c>
      <c r="AM233" s="96">
        <f t="shared" si="262"/>
        <v>0</v>
      </c>
      <c r="AP233">
        <f t="shared" si="263"/>
        <v>7.6945995454401079E-3</v>
      </c>
      <c r="AQ233">
        <f t="shared" si="264"/>
        <v>1.9999308032462935E-2</v>
      </c>
      <c r="AR233">
        <f t="shared" si="265"/>
        <v>8.1539392708627756E-3</v>
      </c>
      <c r="AS233">
        <f t="shared" si="266"/>
        <v>4.0419012829510909E-2</v>
      </c>
      <c r="AT233">
        <f t="shared" si="267"/>
        <v>4.2128865228034891E-2</v>
      </c>
      <c r="AU233">
        <f t="shared" si="268"/>
        <v>8.1539392708627739E-3</v>
      </c>
      <c r="AV233" s="26">
        <f t="shared" si="282"/>
        <v>8.9543867380573981E-3</v>
      </c>
      <c r="AW233" s="27">
        <f t="shared" si="269"/>
        <v>2.1259095225080224E-2</v>
      </c>
      <c r="AX233" s="27">
        <f t="shared" si="270"/>
        <v>9.4137264634800641E-3</v>
      </c>
      <c r="AY233" s="27">
        <f t="shared" si="283"/>
        <v>4.167880002212819E-2</v>
      </c>
      <c r="AZ233" s="27">
        <f t="shared" si="284"/>
        <v>4.338865242065218E-2</v>
      </c>
      <c r="BA233" s="93">
        <f t="shared" si="285"/>
        <v>1.5513726463480064E-2</v>
      </c>
    </row>
    <row r="234" spans="1:53" x14ac:dyDescent="0.25">
      <c r="A234" s="138">
        <v>0.7</v>
      </c>
      <c r="B234">
        <f t="shared" si="271"/>
        <v>677.67</v>
      </c>
      <c r="C234" s="132">
        <f t="shared" si="272"/>
        <v>86448831.792473614</v>
      </c>
      <c r="D234">
        <v>1.25</v>
      </c>
      <c r="E234" s="238">
        <f t="shared" si="292"/>
        <v>2.1723607138067484E-3</v>
      </c>
      <c r="F234" s="237">
        <f t="shared" si="286"/>
        <v>4.387557414936025E-3</v>
      </c>
      <c r="G234">
        <f t="shared" si="273"/>
        <v>349118939.47368389</v>
      </c>
      <c r="H234">
        <f t="shared" si="287"/>
        <v>1.7966357442950477E-3</v>
      </c>
      <c r="I234">
        <f t="shared" si="288"/>
        <v>6.2352258944038702E-2</v>
      </c>
      <c r="J234">
        <f t="shared" si="274"/>
        <v>0</v>
      </c>
      <c r="K234" s="96">
        <f t="shared" si="289"/>
        <v>6.2352258944038702E-2</v>
      </c>
      <c r="L234">
        <f t="shared" si="258"/>
        <v>5.4197047970479702E-3</v>
      </c>
      <c r="M234">
        <f t="shared" si="259"/>
        <v>8.1295571955719553E-3</v>
      </c>
      <c r="S234">
        <v>0.6</v>
      </c>
      <c r="T234">
        <v>0.92</v>
      </c>
      <c r="U234" s="96">
        <v>1.4999999999999999E-2</v>
      </c>
      <c r="V234" s="96">
        <v>1.4E-2</v>
      </c>
      <c r="X234">
        <f t="shared" si="275"/>
        <v>66914463.399122752</v>
      </c>
      <c r="Y234">
        <f t="shared" si="290"/>
        <v>2.2529280693145718E-3</v>
      </c>
      <c r="Z234">
        <f t="shared" si="260"/>
        <v>0.39442803044225172</v>
      </c>
      <c r="AA234">
        <f t="shared" si="276"/>
        <v>4.6175766407013673E-2</v>
      </c>
      <c r="AB234">
        <f t="shared" si="277"/>
        <v>0.44060379684926537</v>
      </c>
      <c r="AC234" s="96">
        <f t="shared" si="278"/>
        <v>0.88120759369853074</v>
      </c>
      <c r="AD234">
        <f t="shared" si="279"/>
        <v>50622246.223684162</v>
      </c>
      <c r="AE234">
        <f t="shared" si="291"/>
        <v>2.3454909152974494E-3</v>
      </c>
      <c r="AF234">
        <f t="shared" si="261"/>
        <v>6.6826830767528378E-2</v>
      </c>
      <c r="AG234" s="96">
        <f t="shared" si="280"/>
        <v>0.80192196921034054</v>
      </c>
      <c r="AH234" s="96">
        <v>2.3999999999999998E-3</v>
      </c>
      <c r="AI234" s="96">
        <v>3.7000000000000002E-3</v>
      </c>
      <c r="AJ234">
        <f t="shared" si="281"/>
        <v>53554845.315263107</v>
      </c>
      <c r="AM234" s="96">
        <f t="shared" si="262"/>
        <v>0</v>
      </c>
      <c r="AP234">
        <f t="shared" si="263"/>
        <v>7.6167601982555198E-3</v>
      </c>
      <c r="AQ234">
        <f t="shared" si="264"/>
        <v>1.9790118357630955E-2</v>
      </c>
      <c r="AR234">
        <f t="shared" si="265"/>
        <v>8.071996593524134E-3</v>
      </c>
      <c r="AS234">
        <f t="shared" si="266"/>
        <v>4.0209823154678928E-2</v>
      </c>
      <c r="AT234">
        <f t="shared" si="267"/>
        <v>4.1919675553202911E-2</v>
      </c>
      <c r="AU234">
        <f t="shared" si="268"/>
        <v>8.071996593524134E-3</v>
      </c>
      <c r="AV234" s="26">
        <f t="shared" si="282"/>
        <v>8.8634093530528396E-3</v>
      </c>
      <c r="AW234" s="27">
        <f t="shared" si="269"/>
        <v>2.1036767512428275E-2</v>
      </c>
      <c r="AX234" s="27">
        <f t="shared" si="270"/>
        <v>9.3186457483214538E-3</v>
      </c>
      <c r="AY234" s="27">
        <f t="shared" si="283"/>
        <v>4.1456472309476244E-2</v>
      </c>
      <c r="AZ234" s="27">
        <f t="shared" si="284"/>
        <v>4.3166324708000227E-2</v>
      </c>
      <c r="BA234" s="93">
        <f t="shared" si="285"/>
        <v>1.5418645748321453E-2</v>
      </c>
    </row>
    <row r="235" spans="1:53" x14ac:dyDescent="0.25">
      <c r="A235" s="138">
        <v>0.75</v>
      </c>
      <c r="B235">
        <f t="shared" si="271"/>
        <v>726.07500000000005</v>
      </c>
      <c r="C235" s="132">
        <f t="shared" si="272"/>
        <v>92623748.349078879</v>
      </c>
      <c r="D235">
        <v>1.25</v>
      </c>
      <c r="E235" s="238">
        <f t="shared" si="292"/>
        <v>2.1513437910020022E-3</v>
      </c>
      <c r="F235" s="237">
        <f t="shared" si="286"/>
        <v>4.3451091443035134E-3</v>
      </c>
      <c r="G235">
        <f t="shared" si="273"/>
        <v>374056006.57894713</v>
      </c>
      <c r="H235">
        <f t="shared" si="287"/>
        <v>1.7804795646648812E-3</v>
      </c>
      <c r="I235">
        <f t="shared" si="288"/>
        <v>6.1791558591145629E-2</v>
      </c>
      <c r="J235">
        <f t="shared" si="274"/>
        <v>0</v>
      </c>
      <c r="K235" s="96">
        <f t="shared" si="289"/>
        <v>6.1791558591145629E-2</v>
      </c>
      <c r="L235">
        <f t="shared" si="258"/>
        <v>5.4197047970479702E-3</v>
      </c>
      <c r="M235">
        <f t="shared" si="259"/>
        <v>8.1295571955719553E-3</v>
      </c>
      <c r="S235">
        <v>0.6</v>
      </c>
      <c r="T235">
        <v>0.92</v>
      </c>
      <c r="U235" s="96">
        <v>1.4999999999999999E-2</v>
      </c>
      <c r="V235" s="96">
        <v>1.4E-2</v>
      </c>
      <c r="X235">
        <f t="shared" si="275"/>
        <v>71694067.927631542</v>
      </c>
      <c r="Y235">
        <f t="shared" si="290"/>
        <v>2.2308239614836629E-3</v>
      </c>
      <c r="Z235">
        <f t="shared" si="260"/>
        <v>0.39055818664422887</v>
      </c>
      <c r="AA235">
        <f t="shared" si="276"/>
        <v>4.6403968687943026E-2</v>
      </c>
      <c r="AB235">
        <f t="shared" si="277"/>
        <v>0.43696215533217186</v>
      </c>
      <c r="AC235" s="96">
        <f t="shared" si="278"/>
        <v>0.87392431066434373</v>
      </c>
      <c r="AD235">
        <f t="shared" si="279"/>
        <v>54238120.953947335</v>
      </c>
      <c r="AE235">
        <f t="shared" si="291"/>
        <v>2.3221192038475448E-3</v>
      </c>
      <c r="AF235">
        <f t="shared" si="261"/>
        <v>6.6160932897012761E-2</v>
      </c>
      <c r="AG235" s="96">
        <f t="shared" si="280"/>
        <v>0.79393119476415319</v>
      </c>
      <c r="AH235" s="96">
        <v>2.3999999999999998E-3</v>
      </c>
      <c r="AI235" s="96">
        <v>3.7000000000000002E-3</v>
      </c>
      <c r="AJ235">
        <f t="shared" si="281"/>
        <v>57380191.409210488</v>
      </c>
      <c r="AM235" s="96">
        <f t="shared" si="262"/>
        <v>0</v>
      </c>
      <c r="AP235">
        <f t="shared" si="263"/>
        <v>7.5452734425571254E-3</v>
      </c>
      <c r="AQ235">
        <f t="shared" si="264"/>
        <v>1.9598103460118213E-2</v>
      </c>
      <c r="AR235">
        <f t="shared" si="265"/>
        <v>7.996747256184461E-3</v>
      </c>
      <c r="AS235">
        <f t="shared" si="266"/>
        <v>4.0017808257166179E-2</v>
      </c>
      <c r="AT235">
        <f t="shared" si="267"/>
        <v>4.1727660655690169E-2</v>
      </c>
      <c r="AU235">
        <f t="shared" si="268"/>
        <v>7.996747256184461E-3</v>
      </c>
      <c r="AV235" s="26">
        <f t="shared" si="282"/>
        <v>8.7798616496101538E-3</v>
      </c>
      <c r="AW235" s="27">
        <f t="shared" si="269"/>
        <v>2.0832691667171242E-2</v>
      </c>
      <c r="AX235" s="27">
        <f t="shared" si="270"/>
        <v>9.2313354632374903E-3</v>
      </c>
      <c r="AY235" s="27">
        <f t="shared" si="283"/>
        <v>4.1252396464219215E-2</v>
      </c>
      <c r="AZ235" s="27">
        <f t="shared" si="284"/>
        <v>4.2962248862743198E-2</v>
      </c>
      <c r="BA235" s="93">
        <f t="shared" si="285"/>
        <v>1.533133546323749E-2</v>
      </c>
    </row>
    <row r="236" spans="1:53" x14ac:dyDescent="0.25">
      <c r="A236" s="138">
        <v>0.8</v>
      </c>
      <c r="B236">
        <f t="shared" si="271"/>
        <v>774.48</v>
      </c>
      <c r="C236" s="132">
        <f t="shared" si="272"/>
        <v>98798664.905684143</v>
      </c>
      <c r="D236">
        <v>1.25</v>
      </c>
      <c r="E236" s="238">
        <f t="shared" si="292"/>
        <v>2.1319383193885394E-3</v>
      </c>
      <c r="F236" s="237">
        <f t="shared" si="286"/>
        <v>4.3059155516709264E-3</v>
      </c>
      <c r="G236">
        <f t="shared" si="273"/>
        <v>398993073.68421024</v>
      </c>
      <c r="H236">
        <f t="shared" si="287"/>
        <v>1.7655483884661501E-3</v>
      </c>
      <c r="I236">
        <f t="shared" si="288"/>
        <v>6.1273371992866831E-2</v>
      </c>
      <c r="J236">
        <f t="shared" si="274"/>
        <v>0</v>
      </c>
      <c r="K236" s="96">
        <f t="shared" si="289"/>
        <v>6.1273371992866831E-2</v>
      </c>
      <c r="L236">
        <f t="shared" si="258"/>
        <v>5.4197047970479702E-3</v>
      </c>
      <c r="M236">
        <f t="shared" si="259"/>
        <v>8.1295571955719553E-3</v>
      </c>
      <c r="S236">
        <v>0.6</v>
      </c>
      <c r="T236">
        <v>0.92</v>
      </c>
      <c r="U236" s="96">
        <v>1.4999999999999999E-2</v>
      </c>
      <c r="V236" s="96">
        <v>1.4E-2</v>
      </c>
      <c r="X236">
        <f t="shared" si="275"/>
        <v>76473672.456140295</v>
      </c>
      <c r="Y236">
        <f t="shared" si="290"/>
        <v>2.2104184303072369E-3</v>
      </c>
      <c r="Z236">
        <f t="shared" si="260"/>
        <v>0.38698571862730979</v>
      </c>
      <c r="AA236">
        <f t="shared" si="276"/>
        <v>4.6617666311626657E-2</v>
      </c>
      <c r="AB236">
        <f t="shared" si="277"/>
        <v>0.43360338493893646</v>
      </c>
      <c r="AC236" s="96">
        <f t="shared" si="278"/>
        <v>0.86720676987787293</v>
      </c>
      <c r="AD236">
        <f t="shared" si="279"/>
        <v>57853995.684210487</v>
      </c>
      <c r="AE236">
        <f t="shared" si="291"/>
        <v>2.3005479453214565E-3</v>
      </c>
      <c r="AF236">
        <f t="shared" si="261"/>
        <v>6.5546332843112037E-2</v>
      </c>
      <c r="AG236" s="96">
        <f t="shared" si="280"/>
        <v>0.78655599411734445</v>
      </c>
      <c r="AH236" s="96">
        <v>2.5000000000000001E-3</v>
      </c>
      <c r="AI236" s="96">
        <v>3.7000000000000002E-3</v>
      </c>
      <c r="AJ236">
        <f t="shared" si="281"/>
        <v>61205537.503157854</v>
      </c>
      <c r="AM236" s="96">
        <f t="shared" si="262"/>
        <v>0</v>
      </c>
      <c r="AP236">
        <f t="shared" si="263"/>
        <v>7.4792431380911696E-3</v>
      </c>
      <c r="AQ236">
        <f t="shared" si="264"/>
        <v>1.9420832379742778E-2</v>
      </c>
      <c r="AR236">
        <f t="shared" si="265"/>
        <v>7.9272466354450514E-3</v>
      </c>
      <c r="AS236">
        <f t="shared" si="266"/>
        <v>3.9840537176790744E-2</v>
      </c>
      <c r="AT236">
        <f t="shared" si="267"/>
        <v>4.1550389575314733E-2</v>
      </c>
      <c r="AU236">
        <f t="shared" si="268"/>
        <v>7.9272466354450531E-3</v>
      </c>
      <c r="AV236" s="26">
        <f t="shared" si="282"/>
        <v>8.7026951583076325E-3</v>
      </c>
      <c r="AW236" s="27">
        <f t="shared" si="269"/>
        <v>2.0644284399959242E-2</v>
      </c>
      <c r="AX236" s="27">
        <f t="shared" si="270"/>
        <v>9.1506986556615152E-3</v>
      </c>
      <c r="AY236" s="27">
        <f t="shared" si="283"/>
        <v>4.1063989197007211E-2</v>
      </c>
      <c r="AZ236" s="27">
        <f t="shared" si="284"/>
        <v>4.2773841595531194E-2</v>
      </c>
      <c r="BA236" s="93">
        <f t="shared" si="285"/>
        <v>1.5350698655661516E-2</v>
      </c>
    </row>
    <row r="237" spans="1:53" x14ac:dyDescent="0.25">
      <c r="A237" s="138">
        <v>0.85</v>
      </c>
      <c r="B237">
        <f t="shared" si="271"/>
        <v>822.88499999999999</v>
      </c>
      <c r="C237" s="132">
        <f t="shared" si="272"/>
        <v>104973581.46228938</v>
      </c>
      <c r="D237">
        <v>1.35</v>
      </c>
      <c r="E237" s="238">
        <f t="shared" si="292"/>
        <v>2.1139302187057627E-3</v>
      </c>
      <c r="F237" s="237">
        <f t="shared" si="286"/>
        <v>4.6111077955583437E-3</v>
      </c>
      <c r="G237">
        <f t="shared" si="273"/>
        <v>423930140.78947335</v>
      </c>
      <c r="H237">
        <f t="shared" si="287"/>
        <v>1.751680499040856E-3</v>
      </c>
      <c r="I237">
        <f t="shared" si="288"/>
        <v>6.0792086771196858E-2</v>
      </c>
      <c r="J237">
        <f t="shared" si="274"/>
        <v>0</v>
      </c>
      <c r="K237" s="96">
        <f t="shared" si="289"/>
        <v>6.0792086771196858E-2</v>
      </c>
      <c r="L237">
        <f t="shared" si="258"/>
        <v>5.4197047970479702E-3</v>
      </c>
      <c r="M237">
        <f t="shared" si="259"/>
        <v>8.1295571955719553E-3</v>
      </c>
      <c r="S237">
        <v>0.6</v>
      </c>
      <c r="T237">
        <v>0.92</v>
      </c>
      <c r="U237" s="96">
        <v>1.4999999999999999E-2</v>
      </c>
      <c r="V237" s="96">
        <v>1.4E-2</v>
      </c>
      <c r="X237">
        <f t="shared" si="275"/>
        <v>81253276.984649062</v>
      </c>
      <c r="Y237">
        <f t="shared" si="290"/>
        <v>2.1914855360325256E-3</v>
      </c>
      <c r="Z237">
        <f t="shared" si="260"/>
        <v>0.38367107032537007</v>
      </c>
      <c r="AA237">
        <f t="shared" si="276"/>
        <v>4.6818605183146234E-2</v>
      </c>
      <c r="AB237">
        <f t="shared" si="277"/>
        <v>0.4304896755085163</v>
      </c>
      <c r="AC237" s="96">
        <f t="shared" si="278"/>
        <v>0.8609793510170326</v>
      </c>
      <c r="AD237">
        <f t="shared" si="279"/>
        <v>61469870.41447363</v>
      </c>
      <c r="AE237">
        <f t="shared" si="291"/>
        <v>2.2805373095748046E-3</v>
      </c>
      <c r="AF237">
        <f t="shared" si="261"/>
        <v>6.4976197457009902E-2</v>
      </c>
      <c r="AG237" s="96">
        <f t="shared" si="280"/>
        <v>0.77971436948411887</v>
      </c>
      <c r="AH237" s="96">
        <v>2.7499999999999998E-3</v>
      </c>
      <c r="AI237" s="96">
        <v>3.7000000000000002E-3</v>
      </c>
      <c r="AJ237">
        <f t="shared" si="281"/>
        <v>65030883.597105213</v>
      </c>
      <c r="AM237" s="96">
        <f t="shared" si="262"/>
        <v>0</v>
      </c>
      <c r="AP237">
        <f t="shared" si="263"/>
        <v>7.7595097801847202E-3</v>
      </c>
      <c r="AQ237">
        <f t="shared" si="264"/>
        <v>1.9597908349555552E-2</v>
      </c>
      <c r="AR237">
        <f t="shared" si="265"/>
        <v>8.2042961607839259E-3</v>
      </c>
      <c r="AS237">
        <f t="shared" si="266"/>
        <v>4.0017613146603521E-2</v>
      </c>
      <c r="AT237">
        <f t="shared" si="267"/>
        <v>4.1727465545127504E-2</v>
      </c>
      <c r="AU237">
        <f t="shared" si="268"/>
        <v>8.2042961607839259E-3</v>
      </c>
      <c r="AV237" s="26">
        <f t="shared" si="282"/>
        <v>9.069676939808308E-3</v>
      </c>
      <c r="AW237" s="27">
        <f t="shared" si="269"/>
        <v>2.0908075509179141E-2</v>
      </c>
      <c r="AX237" s="27">
        <f t="shared" si="270"/>
        <v>9.5144633204075138E-3</v>
      </c>
      <c r="AY237" s="27">
        <f t="shared" si="283"/>
        <v>4.1327780306227108E-2</v>
      </c>
      <c r="AZ237" s="27">
        <f t="shared" si="284"/>
        <v>4.3037632704751097E-2</v>
      </c>
      <c r="BA237" s="93">
        <f t="shared" si="285"/>
        <v>1.5964463320407511E-2</v>
      </c>
    </row>
    <row r="238" spans="1:53" x14ac:dyDescent="0.25">
      <c r="A238" s="138">
        <v>0.9</v>
      </c>
      <c r="B238">
        <f t="shared" si="271"/>
        <v>871.29000000000008</v>
      </c>
      <c r="C238" s="132">
        <f t="shared" si="272"/>
        <v>111148498.01889466</v>
      </c>
      <c r="D238">
        <v>1.35</v>
      </c>
      <c r="E238" s="238">
        <f t="shared" si="292"/>
        <v>2.0971444658606847E-3</v>
      </c>
      <c r="F238" s="237">
        <f t="shared" si="286"/>
        <v>4.5744930979144255E-3</v>
      </c>
      <c r="G238">
        <f t="shared" si="273"/>
        <v>448867207.89473653</v>
      </c>
      <c r="H238">
        <f t="shared" si="287"/>
        <v>1.7387435542601673E-3</v>
      </c>
      <c r="I238">
        <f t="shared" si="288"/>
        <v>6.0343109991417426E-2</v>
      </c>
      <c r="J238">
        <f t="shared" si="274"/>
        <v>0</v>
      </c>
      <c r="K238" s="96">
        <f t="shared" si="289"/>
        <v>6.0343109991417426E-2</v>
      </c>
      <c r="L238">
        <f t="shared" si="258"/>
        <v>5.4197047970479702E-3</v>
      </c>
      <c r="M238">
        <f t="shared" si="259"/>
        <v>8.1295571955719553E-3</v>
      </c>
      <c r="S238">
        <v>0.6</v>
      </c>
      <c r="T238">
        <v>0.92</v>
      </c>
      <c r="U238" s="96">
        <v>1.4999999999999999E-2</v>
      </c>
      <c r="V238" s="96">
        <v>1.4E-2</v>
      </c>
      <c r="X238">
        <f t="shared" si="275"/>
        <v>86032881.513157845</v>
      </c>
      <c r="Y238">
        <f t="shared" si="290"/>
        <v>2.1738405960487856E-3</v>
      </c>
      <c r="Z238">
        <f t="shared" si="260"/>
        <v>0.38058190870505443</v>
      </c>
      <c r="AA238">
        <f t="shared" si="276"/>
        <v>4.7008233133409232E-2</v>
      </c>
      <c r="AB238">
        <f t="shared" si="277"/>
        <v>0.42759014183846367</v>
      </c>
      <c r="AC238" s="96">
        <f t="shared" si="278"/>
        <v>0.85518028367692733</v>
      </c>
      <c r="AD238">
        <f t="shared" si="279"/>
        <v>65085745.144736789</v>
      </c>
      <c r="AE238">
        <f t="shared" si="291"/>
        <v>2.2618913033209615E-3</v>
      </c>
      <c r="AF238">
        <f t="shared" si="261"/>
        <v>6.444494257288777E-2</v>
      </c>
      <c r="AG238" s="96">
        <f t="shared" si="280"/>
        <v>0.77333931087465324</v>
      </c>
      <c r="AH238" s="96">
        <v>3.2499999999999999E-3</v>
      </c>
      <c r="AI238" s="96">
        <v>3.7000000000000002E-3</v>
      </c>
      <c r="AJ238">
        <f t="shared" si="281"/>
        <v>68856229.691052571</v>
      </c>
      <c r="AM238" s="96">
        <f t="shared" si="262"/>
        <v>0</v>
      </c>
      <c r="AP238">
        <f t="shared" si="263"/>
        <v>7.699642724222704E-3</v>
      </c>
      <c r="AQ238">
        <f t="shared" si="264"/>
        <v>1.9441889627464022E-2</v>
      </c>
      <c r="AR238">
        <f t="shared" si="265"/>
        <v>8.1414332766757309E-3</v>
      </c>
      <c r="AS238">
        <f t="shared" si="266"/>
        <v>3.9861594424511995E-2</v>
      </c>
      <c r="AT238">
        <f t="shared" si="267"/>
        <v>4.1571446823035978E-2</v>
      </c>
      <c r="AU238">
        <f t="shared" si="268"/>
        <v>8.1414332766757292E-3</v>
      </c>
      <c r="AV238" s="26">
        <f t="shared" si="282"/>
        <v>8.9994064457703457E-3</v>
      </c>
      <c r="AW238" s="27">
        <f t="shared" si="269"/>
        <v>2.0741653349011662E-2</v>
      </c>
      <c r="AX238" s="27">
        <f t="shared" si="270"/>
        <v>9.4411969982233709E-3</v>
      </c>
      <c r="AY238" s="27">
        <f t="shared" si="283"/>
        <v>4.1161358146059632E-2</v>
      </c>
      <c r="AZ238" s="27">
        <f t="shared" si="284"/>
        <v>4.2871210544583614E-2</v>
      </c>
      <c r="BA238" s="93">
        <f t="shared" si="285"/>
        <v>1.6391196998223369E-2</v>
      </c>
    </row>
    <row r="239" spans="1:53" x14ac:dyDescent="0.25">
      <c r="A239" s="138">
        <v>0.95</v>
      </c>
      <c r="B239">
        <f t="shared" si="271"/>
        <v>919.69499999999994</v>
      </c>
      <c r="C239" s="132">
        <f t="shared" si="272"/>
        <v>117323414.57549989</v>
      </c>
      <c r="D239">
        <v>1.35</v>
      </c>
      <c r="E239" s="238">
        <f t="shared" si="292"/>
        <v>2.0814362433460251E-3</v>
      </c>
      <c r="F239" s="237">
        <f t="shared" si="286"/>
        <v>4.5402288130053144E-3</v>
      </c>
      <c r="G239">
        <f t="shared" si="273"/>
        <v>473804274.99999958</v>
      </c>
      <c r="H239">
        <f t="shared" si="287"/>
        <v>1.7266279516251789E-3</v>
      </c>
      <c r="I239">
        <f t="shared" si="288"/>
        <v>5.9922637897862209E-2</v>
      </c>
      <c r="J239">
        <f t="shared" si="274"/>
        <v>0</v>
      </c>
      <c r="K239" s="96">
        <f t="shared" si="289"/>
        <v>5.9922637897862209E-2</v>
      </c>
      <c r="L239">
        <f t="shared" si="258"/>
        <v>5.4197047970479702E-3</v>
      </c>
      <c r="M239">
        <f t="shared" si="259"/>
        <v>8.1295571955719553E-3</v>
      </c>
      <c r="S239">
        <v>0.6</v>
      </c>
      <c r="T239">
        <v>0.92</v>
      </c>
      <c r="U239" s="96">
        <v>1.4999999999999999E-2</v>
      </c>
      <c r="V239" s="96">
        <v>1.4E-2</v>
      </c>
      <c r="X239">
        <f t="shared" si="275"/>
        <v>90812486.041666597</v>
      </c>
      <c r="Y239">
        <f t="shared" si="290"/>
        <v>2.1573308284233463E-3</v>
      </c>
      <c r="Z239">
        <f t="shared" si="260"/>
        <v>0.37769148569676797</v>
      </c>
      <c r="AA239">
        <f t="shared" si="276"/>
        <v>4.7187764202959302E-2</v>
      </c>
      <c r="AB239">
        <f t="shared" si="277"/>
        <v>0.42487924989972725</v>
      </c>
      <c r="AC239" s="96">
        <f t="shared" si="278"/>
        <v>0.8497584997994545</v>
      </c>
      <c r="AD239">
        <f t="shared" si="279"/>
        <v>68701619.87499994</v>
      </c>
      <c r="AE239">
        <f t="shared" si="291"/>
        <v>2.2444478211070839E-3</v>
      </c>
      <c r="AF239">
        <f t="shared" si="261"/>
        <v>6.3947949544136115E-2</v>
      </c>
      <c r="AG239" s="96">
        <f t="shared" si="280"/>
        <v>0.76737539452963333</v>
      </c>
      <c r="AH239" s="96">
        <v>3.7499999999999999E-3</v>
      </c>
      <c r="AI239" s="96">
        <v>3.7000000000000002E-3</v>
      </c>
      <c r="AJ239">
        <f t="shared" si="281"/>
        <v>72681575.784999937</v>
      </c>
      <c r="AM239" s="96">
        <f t="shared" si="262"/>
        <v>0</v>
      </c>
      <c r="AP239">
        <f t="shared" si="263"/>
        <v>7.6436023292285465E-3</v>
      </c>
      <c r="AQ239">
        <f t="shared" si="264"/>
        <v>1.9295900308229551E-2</v>
      </c>
      <c r="AR239">
        <f t="shared" si="265"/>
        <v>8.0825919601212552E-3</v>
      </c>
      <c r="AS239">
        <f t="shared" si="266"/>
        <v>3.9715605105277524E-2</v>
      </c>
      <c r="AT239">
        <f t="shared" si="267"/>
        <v>4.1425457503801506E-2</v>
      </c>
      <c r="AU239">
        <f t="shared" si="268"/>
        <v>8.0825919601212534E-3</v>
      </c>
      <c r="AV239" s="161">
        <f t="shared" si="282"/>
        <v>8.9336304421488762E-3</v>
      </c>
      <c r="AW239" s="94">
        <f t="shared" si="269"/>
        <v>2.0585928421149879E-2</v>
      </c>
      <c r="AX239" s="94">
        <f t="shared" si="270"/>
        <v>9.3726200730415831E-3</v>
      </c>
      <c r="AY239" s="27">
        <f t="shared" si="283"/>
        <v>4.1005633218197848E-2</v>
      </c>
      <c r="AZ239" s="27">
        <f t="shared" si="284"/>
        <v>4.2715485616721831E-2</v>
      </c>
      <c r="BA239" s="162">
        <f t="shared" si="285"/>
        <v>1.6822620073041583E-2</v>
      </c>
    </row>
    <row r="241" spans="1:53" x14ac:dyDescent="0.25">
      <c r="A241" t="s">
        <v>180</v>
      </c>
      <c r="B241" s="98">
        <v>45000</v>
      </c>
      <c r="C241" s="132" t="s">
        <v>124</v>
      </c>
      <c r="D241" t="s">
        <v>181</v>
      </c>
      <c r="E241" s="238" t="s">
        <v>153</v>
      </c>
      <c r="F241" s="238">
        <v>542</v>
      </c>
      <c r="G241" t="s">
        <v>150</v>
      </c>
      <c r="H241" t="s">
        <v>233</v>
      </c>
    </row>
    <row r="242" spans="1:53" x14ac:dyDescent="0.25">
      <c r="A242" t="s">
        <v>353</v>
      </c>
      <c r="B242" s="98">
        <v>-69.67</v>
      </c>
      <c r="C242" s="132" t="s">
        <v>352</v>
      </c>
      <c r="D242" t="s">
        <v>350</v>
      </c>
      <c r="E242" s="238" t="s">
        <v>410</v>
      </c>
      <c r="F242" s="238">
        <f>$F$2</f>
        <v>24.1</v>
      </c>
      <c r="G242" t="s">
        <v>364</v>
      </c>
      <c r="H242" t="s">
        <v>365</v>
      </c>
    </row>
    <row r="243" spans="1:53" x14ac:dyDescent="0.25">
      <c r="A243" t="s">
        <v>177</v>
      </c>
      <c r="B243" s="131">
        <v>4.6230000000000002E-4</v>
      </c>
      <c r="C243" s="132" t="s">
        <v>165</v>
      </c>
      <c r="D243" t="s">
        <v>324</v>
      </c>
      <c r="E243" s="238" t="s">
        <v>363</v>
      </c>
      <c r="F243" s="238">
        <f>$F$3</f>
        <v>0.91283417723304283</v>
      </c>
    </row>
    <row r="244" spans="1:53" x14ac:dyDescent="0.25">
      <c r="A244" t="s">
        <v>349</v>
      </c>
      <c r="B244" s="131">
        <f>0.000000297-0.00000026</f>
        <v>3.7000000000000027E-8</v>
      </c>
      <c r="C244" s="132" t="s">
        <v>354</v>
      </c>
      <c r="D244" t="s">
        <v>351</v>
      </c>
    </row>
    <row r="245" spans="1:53" x14ac:dyDescent="0.25">
      <c r="A245" t="s">
        <v>142</v>
      </c>
      <c r="B245" s="98">
        <v>968.1</v>
      </c>
      <c r="C245" s="132" t="s">
        <v>135</v>
      </c>
      <c r="D245" t="s">
        <v>327</v>
      </c>
    </row>
    <row r="246" spans="1:53" x14ac:dyDescent="0.25">
      <c r="C246" s="164" t="s">
        <v>207</v>
      </c>
      <c r="G246" s="96" t="s">
        <v>379</v>
      </c>
      <c r="I246" t="s">
        <v>521</v>
      </c>
      <c r="L246" s="96" t="s">
        <v>554</v>
      </c>
      <c r="N246" s="29"/>
      <c r="S246" s="96" t="s">
        <v>163</v>
      </c>
      <c r="X246" s="96" t="s">
        <v>390</v>
      </c>
      <c r="AJ246" s="96" t="s">
        <v>503</v>
      </c>
      <c r="AK246" t="s">
        <v>614</v>
      </c>
      <c r="AP246" s="96" t="s">
        <v>417</v>
      </c>
      <c r="AV246" s="96" t="s">
        <v>624</v>
      </c>
    </row>
    <row r="247" spans="1:53" x14ac:dyDescent="0.25">
      <c r="C247" s="235" t="s">
        <v>518</v>
      </c>
      <c r="D247" s="97" t="s">
        <v>360</v>
      </c>
      <c r="E247" s="240" t="s">
        <v>219</v>
      </c>
      <c r="F247" s="240" t="s">
        <v>220</v>
      </c>
      <c r="G247" s="97" t="s">
        <v>371</v>
      </c>
      <c r="H247" s="97" t="s">
        <v>372</v>
      </c>
      <c r="I247" s="97" t="s">
        <v>553</v>
      </c>
      <c r="J247" s="97" t="s">
        <v>380</v>
      </c>
      <c r="K247" s="97" t="s">
        <v>376</v>
      </c>
      <c r="L247" t="s">
        <v>629</v>
      </c>
      <c r="M247" t="s">
        <v>585</v>
      </c>
      <c r="N247" t="s">
        <v>587</v>
      </c>
      <c r="O247" s="29" t="s">
        <v>588</v>
      </c>
      <c r="P247" t="s">
        <v>589</v>
      </c>
      <c r="Q247" t="s">
        <v>590</v>
      </c>
      <c r="R247" t="s">
        <v>591</v>
      </c>
      <c r="S247" t="s">
        <v>155</v>
      </c>
      <c r="T247" t="s">
        <v>581</v>
      </c>
      <c r="U247" t="s">
        <v>142</v>
      </c>
      <c r="V247" t="s">
        <v>143</v>
      </c>
      <c r="W247" t="s">
        <v>583</v>
      </c>
      <c r="AJ247" t="s">
        <v>518</v>
      </c>
      <c r="AK247" t="s">
        <v>360</v>
      </c>
      <c r="AL247" t="s">
        <v>219</v>
      </c>
      <c r="AM247" t="s">
        <v>220</v>
      </c>
      <c r="AN247" t="s">
        <v>602</v>
      </c>
      <c r="AO247" t="s">
        <v>603</v>
      </c>
      <c r="AP247" t="s">
        <v>534</v>
      </c>
      <c r="AV247" t="s">
        <v>534</v>
      </c>
    </row>
    <row r="248" spans="1:53" x14ac:dyDescent="0.25">
      <c r="C248" s="236">
        <v>12.381</v>
      </c>
      <c r="D248" s="28">
        <v>1.2</v>
      </c>
      <c r="E248" s="236">
        <v>0.1</v>
      </c>
      <c r="F248" s="241">
        <v>775</v>
      </c>
      <c r="G248" s="133">
        <v>867.11</v>
      </c>
      <c r="H248" s="28">
        <v>6.8449999999999998</v>
      </c>
      <c r="I248" s="28">
        <v>28.07</v>
      </c>
      <c r="J248" s="28">
        <v>50</v>
      </c>
      <c r="K248" s="28"/>
      <c r="L248" s="86">
        <v>15</v>
      </c>
      <c r="M248">
        <v>20</v>
      </c>
      <c r="N248">
        <v>1.4</v>
      </c>
      <c r="O248">
        <v>0.02</v>
      </c>
      <c r="P248">
        <v>0.03</v>
      </c>
      <c r="Q248">
        <v>104.91</v>
      </c>
      <c r="R248" t="e">
        <f>Q248/N242</f>
        <v>#DIV/0!</v>
      </c>
      <c r="S248">
        <v>4.7300000000000004</v>
      </c>
      <c r="T248">
        <v>1.65</v>
      </c>
      <c r="U248">
        <v>1.1399999999999999</v>
      </c>
      <c r="V248">
        <v>4.53</v>
      </c>
      <c r="W248">
        <v>3.18</v>
      </c>
      <c r="X248" t="s">
        <v>515</v>
      </c>
      <c r="AB248" t="s">
        <v>615</v>
      </c>
      <c r="AC248" t="s">
        <v>616</v>
      </c>
      <c r="AD248" t="s">
        <v>606</v>
      </c>
      <c r="AF248" t="s">
        <v>615</v>
      </c>
      <c r="AG248" t="s">
        <v>617</v>
      </c>
      <c r="AH248" t="s">
        <v>627</v>
      </c>
      <c r="AI248" t="s">
        <v>628</v>
      </c>
      <c r="AJ248">
        <v>7.67</v>
      </c>
      <c r="AK248">
        <v>1.2</v>
      </c>
      <c r="AL248">
        <v>0.09</v>
      </c>
      <c r="AM248">
        <v>217.4</v>
      </c>
      <c r="AN248">
        <v>58.91</v>
      </c>
      <c r="AO248">
        <v>95.09</v>
      </c>
    </row>
    <row r="249" spans="1:53" x14ac:dyDescent="0.25">
      <c r="A249" t="s">
        <v>348</v>
      </c>
      <c r="B249" t="s">
        <v>355</v>
      </c>
      <c r="C249" s="132" t="s">
        <v>374</v>
      </c>
      <c r="D249" t="s">
        <v>367</v>
      </c>
      <c r="E249" s="238" t="s">
        <v>366</v>
      </c>
      <c r="F249" s="237" t="s">
        <v>356</v>
      </c>
      <c r="G249" t="s">
        <v>374</v>
      </c>
      <c r="H249" t="s">
        <v>366</v>
      </c>
      <c r="I249" t="s">
        <v>375</v>
      </c>
      <c r="J249" t="s">
        <v>377</v>
      </c>
      <c r="K249" s="96" t="s">
        <v>378</v>
      </c>
      <c r="L249" s="11" t="s">
        <v>630</v>
      </c>
      <c r="M249" s="11" t="s">
        <v>586</v>
      </c>
      <c r="N249" s="11"/>
      <c r="O249" s="11"/>
      <c r="S249" t="s">
        <v>555</v>
      </c>
      <c r="T249" t="s">
        <v>582</v>
      </c>
      <c r="U249" s="96" t="s">
        <v>622</v>
      </c>
      <c r="V249" s="96" t="s">
        <v>623</v>
      </c>
      <c r="X249" t="s">
        <v>374</v>
      </c>
      <c r="Y249" t="s">
        <v>366</v>
      </c>
      <c r="Z249" t="s">
        <v>611</v>
      </c>
      <c r="AA249" t="s">
        <v>377</v>
      </c>
      <c r="AB249" t="s">
        <v>612</v>
      </c>
      <c r="AC249" s="96" t="s">
        <v>612</v>
      </c>
      <c r="AD249" t="s">
        <v>374</v>
      </c>
      <c r="AE249" t="s">
        <v>366</v>
      </c>
      <c r="AF249" t="s">
        <v>613</v>
      </c>
      <c r="AG249" s="96" t="s">
        <v>613</v>
      </c>
      <c r="AH249" s="96" t="s">
        <v>110</v>
      </c>
      <c r="AI249" s="96" t="s">
        <v>110</v>
      </c>
      <c r="AJ249" t="s">
        <v>374</v>
      </c>
      <c r="AK249" t="s">
        <v>367</v>
      </c>
      <c r="AL249" t="s">
        <v>366</v>
      </c>
      <c r="AM249" s="96" t="s">
        <v>523</v>
      </c>
      <c r="AP249" t="s">
        <v>522</v>
      </c>
      <c r="AQ249" t="s">
        <v>516</v>
      </c>
      <c r="AR249" t="s">
        <v>192</v>
      </c>
      <c r="AS249" t="s">
        <v>290</v>
      </c>
      <c r="AT249" t="s">
        <v>294</v>
      </c>
      <c r="AU249" t="s">
        <v>289</v>
      </c>
      <c r="AV249" s="160" t="s">
        <v>522</v>
      </c>
      <c r="AW249" s="108" t="s">
        <v>516</v>
      </c>
      <c r="AX249" s="108" t="s">
        <v>192</v>
      </c>
      <c r="AY249" s="108" t="s">
        <v>290</v>
      </c>
      <c r="AZ249" s="108" t="s">
        <v>294</v>
      </c>
      <c r="BA249" s="51" t="s">
        <v>289</v>
      </c>
    </row>
    <row r="250" spans="1:53" x14ac:dyDescent="0.25">
      <c r="A250" s="138">
        <v>0</v>
      </c>
      <c r="B250">
        <f>A250*$B$245</f>
        <v>0</v>
      </c>
      <c r="C250" s="132">
        <f>($B$243*B250*($C$8))/$B$244</f>
        <v>0</v>
      </c>
      <c r="D250">
        <v>1.06</v>
      </c>
      <c r="E250" s="238" t="e">
        <f>0.455/(LOG10(C250))^2.58</f>
        <v>#NUM!</v>
      </c>
      <c r="F250" s="237" t="e">
        <f>E250*(1+$D$8*$E$8+100*$E$8^4)*D250*($F$8/$F$1)</f>
        <v>#NUM!</v>
      </c>
      <c r="G250">
        <f>($B$243*B250*$J$8)/$B$244</f>
        <v>0</v>
      </c>
      <c r="H250" t="e">
        <f>1.328/SQRT(G250)</f>
        <v>#DIV/0!</v>
      </c>
      <c r="I250" t="e">
        <f>H250*(1+(60/(($J$8/$H$8)^3))+0.0025*($J$8/$H$8))*($G$8/$I$8)</f>
        <v>#DIV/0!</v>
      </c>
      <c r="J250" t="e">
        <f>(0.029*($K$8/$H$8)^3)/SQRT(I250)</f>
        <v>#DIV/0!</v>
      </c>
      <c r="K250" s="96" t="e">
        <f>I250+J250</f>
        <v>#DIV/0!</v>
      </c>
      <c r="L250">
        <f t="shared" ref="L250:L269" si="293">$N$8*$O$8*$R$8</f>
        <v>5.4197047970479702E-3</v>
      </c>
      <c r="M250">
        <f t="shared" ref="M250:M269" si="294">$N$8*$P$8*$R$8</f>
        <v>8.1295571955719553E-3</v>
      </c>
      <c r="S250">
        <v>0.6</v>
      </c>
      <c r="T250">
        <v>0.92</v>
      </c>
      <c r="U250" s="96">
        <v>1.4999999999999999E-2</v>
      </c>
      <c r="V250" s="96">
        <v>1.4E-2</v>
      </c>
      <c r="X250">
        <f>$B$243*B250*$Z$2/$B$244</f>
        <v>0</v>
      </c>
      <c r="Z250">
        <f t="shared" ref="Z250:Z269" si="295">Y250*(1+(60/($Z$2/$Z$1)^3)+0.0025*($Z$2/$Z$1))*($AC$1/$AC$2)</f>
        <v>0</v>
      </c>
      <c r="AA250" t="e">
        <f>0.029*($Z$1/$Z$1)^3/SQRT(Z250)</f>
        <v>#DIV/0!</v>
      </c>
      <c r="AB250" t="e">
        <f>Z250+AA250</f>
        <v>#DIV/0!</v>
      </c>
      <c r="AC250" s="96" t="e">
        <f>2*AB250</f>
        <v>#DIV/0!</v>
      </c>
      <c r="AD250">
        <f>$B$243*B250*$Z$4/$B$244</f>
        <v>0</v>
      </c>
      <c r="AF250">
        <f t="shared" ref="AF250:AF269" si="296">AE250*(1+(60/($Z$4/$Z$3)^3)+0.0025*($Z$4/$Z$3))*($AC$3/$AC$4)</f>
        <v>0</v>
      </c>
      <c r="AG250" s="96">
        <f>12*AF250</f>
        <v>0</v>
      </c>
      <c r="AH250" s="96">
        <v>2.3999999999999998E-3</v>
      </c>
      <c r="AI250" s="96">
        <v>3.7000000000000002E-3</v>
      </c>
      <c r="AJ250">
        <f>($B$243*B250*$AJ$8)/$B$244</f>
        <v>0</v>
      </c>
      <c r="AM250" s="96">
        <f t="shared" ref="AM250:AM269" si="297">AL250*(1+$AK$8*$AL$8+100*$AL$8^4)*AK250*($AM$8/$F$1)</f>
        <v>0</v>
      </c>
      <c r="AP250" t="e">
        <f t="shared" ref="AP250:AP269" si="298">K250*($I$8/$F$1)+F250</f>
        <v>#DIV/0!</v>
      </c>
      <c r="AQ250" t="e">
        <f t="shared" ref="AQ250:AQ269" si="299">AP250+AC250*($AF$2/$F$1)+AG250*($AF$4/$F$1)</f>
        <v>#DIV/0!</v>
      </c>
      <c r="AR250" t="e">
        <f t="shared" ref="AR250:AR269" si="300">AQ250-AG250*($AF$4/$F$1)</f>
        <v>#DIV/0!</v>
      </c>
      <c r="AS250" t="e">
        <f t="shared" ref="AS250:AS269" si="301">AQ250+L250+U250</f>
        <v>#DIV/0!</v>
      </c>
      <c r="AT250" t="e">
        <f t="shared" ref="AT250:AT269" si="302">AQ250+M250+V250</f>
        <v>#DIV/0!</v>
      </c>
      <c r="AU250" t="e">
        <f t="shared" ref="AU250:AU269" si="303">AP250+AC250*($AF$2/$F$1)</f>
        <v>#DIV/0!</v>
      </c>
      <c r="AV250" s="26" t="e">
        <f>AP250+F250*(($AN$8+$AO$8)/$F$1)</f>
        <v>#DIV/0!</v>
      </c>
      <c r="AW250" s="27" t="e">
        <f>AV250+AC250*($AF$2/$F$1)+AG250*($AF$4/$F$1)</f>
        <v>#DIV/0!</v>
      </c>
      <c r="AX250" s="27" t="e">
        <f t="shared" ref="AX250:AX269" si="304">AV250+AC250*($AF$2/$F$1)</f>
        <v>#DIV/0!</v>
      </c>
      <c r="AY250" s="27" t="e">
        <f>AW250+L250+U250</f>
        <v>#DIV/0!</v>
      </c>
      <c r="AZ250" s="27" t="e">
        <f>AW250+M250+V250</f>
        <v>#DIV/0!</v>
      </c>
      <c r="BA250" s="93" t="e">
        <f>AV250+AC250*($AF$2/$F$1)+AH250+AI250</f>
        <v>#DIV/0!</v>
      </c>
    </row>
    <row r="251" spans="1:53" x14ac:dyDescent="0.25">
      <c r="A251" s="138">
        <v>0.05</v>
      </c>
      <c r="B251">
        <f t="shared" ref="B251:B269" si="305">A251*$B$245</f>
        <v>48.405000000000001</v>
      </c>
      <c r="C251" s="132">
        <f t="shared" ref="C251:C269" si="306">($B$243*B251*($C$8))/$B$244</f>
        <v>7488039.3405810762</v>
      </c>
      <c r="D251">
        <v>1.06</v>
      </c>
      <c r="E251" s="238">
        <f>0.455/(LOG10(C251))^2.58</f>
        <v>3.1473918249370196E-3</v>
      </c>
      <c r="F251" s="237">
        <f>E251*(1+$D$8*$E$8+100*$E$8^4)*D251*($F$8/$F$1)</f>
        <v>5.3906053397230827E-3</v>
      </c>
      <c r="G251">
        <f t="shared" ref="G251:G269" si="307">($B$243*B251*$J$8)/$B$244</f>
        <v>30240042.567567546</v>
      </c>
      <c r="H251">
        <f>0.455/(LOG10(G251))^2.58</f>
        <v>2.5308012261839189E-3</v>
      </c>
      <c r="I251">
        <f>H251*(1+(60/(($J$8/$H$8)^3))+0.0025*($J$8/$H$8))*($G$8/$I$8)</f>
        <v>8.7831478301589397E-2</v>
      </c>
      <c r="J251">
        <f t="shared" ref="J251:J269" si="308">(0.029*($K$8/$H$8)^3)/SQRT(I251)</f>
        <v>0</v>
      </c>
      <c r="K251" s="96">
        <f>I251+J251</f>
        <v>8.7831478301589397E-2</v>
      </c>
      <c r="L251">
        <f t="shared" si="293"/>
        <v>5.4197047970479702E-3</v>
      </c>
      <c r="M251">
        <f t="shared" si="294"/>
        <v>8.1295571955719553E-3</v>
      </c>
      <c r="S251">
        <v>0.6</v>
      </c>
      <c r="T251">
        <v>0.92</v>
      </c>
      <c r="U251" s="96">
        <v>1.4999999999999999E-2</v>
      </c>
      <c r="V251" s="96">
        <v>1.4E-2</v>
      </c>
      <c r="X251">
        <f t="shared" ref="X251:X269" si="309">$B$243*B251*$Z$2/$B$244</f>
        <v>5796008.1587837804</v>
      </c>
      <c r="Y251">
        <f>0.455/(LOG10(X251))^2.58</f>
        <v>3.2826940411818059E-3</v>
      </c>
      <c r="Z251">
        <f t="shared" si="295"/>
        <v>0.57471277616145988</v>
      </c>
      <c r="AA251">
        <f t="shared" ref="AA251:AA269" si="310">0.029*($Z$1/$Z$1)^3/SQRT(Z251)</f>
        <v>3.825362286986117E-2</v>
      </c>
      <c r="AB251">
        <f t="shared" ref="AB251:AB269" si="311">Z251+AA251</f>
        <v>0.612966399031321</v>
      </c>
      <c r="AC251" s="96">
        <f t="shared" ref="AC251:AC269" si="312">2*AB251</f>
        <v>1.225932798062642</v>
      </c>
      <c r="AD251">
        <f t="shared" ref="AD251:AD269" si="313">$B$243*B251*$Z$4/$B$244</f>
        <v>4384806.1722972943</v>
      </c>
      <c r="AE251">
        <f>0.455/(LOG10(AD251))^2.58</f>
        <v>3.43944743158651E-3</v>
      </c>
      <c r="AF251">
        <f t="shared" si="296"/>
        <v>9.7995421745342023E-2</v>
      </c>
      <c r="AG251" s="96">
        <f t="shared" ref="AG251:AG269" si="314">12*AF251</f>
        <v>1.1759450609441042</v>
      </c>
      <c r="AH251" s="96">
        <v>2.3999999999999998E-3</v>
      </c>
      <c r="AI251" s="96">
        <v>3.7000000000000002E-3</v>
      </c>
      <c r="AJ251">
        <f t="shared" ref="AJ251:AJ269" si="315">($B$243*B251*$AJ$8)/$B$244</f>
        <v>4638822.5298648616</v>
      </c>
      <c r="AM251" s="96">
        <f t="shared" si="297"/>
        <v>0</v>
      </c>
      <c r="AP251">
        <f t="shared" si="298"/>
        <v>9.9393684318367613E-3</v>
      </c>
      <c r="AQ251">
        <f t="shared" si="299"/>
        <v>2.7756243092602158E-2</v>
      </c>
      <c r="AR251">
        <f t="shared" si="300"/>
        <v>1.0572691648548089E-2</v>
      </c>
      <c r="AS251">
        <f t="shared" si="301"/>
        <v>4.8175947889650128E-2</v>
      </c>
      <c r="AT251">
        <f t="shared" si="302"/>
        <v>4.9885800288174111E-2</v>
      </c>
      <c r="AU251">
        <f t="shared" si="303"/>
        <v>1.0572691648548089E-2</v>
      </c>
      <c r="AV251" s="26">
        <f t="shared" ref="AV251:AV269" si="316">AP251+F251*(($AN$8+$AO$8)/$F$1)</f>
        <v>1.1471016443492398E-2</v>
      </c>
      <c r="AW251" s="27">
        <f t="shared" ref="AW251:AW269" si="317">AV251+AC251*($AF$2/$F$1)+AG251*($AF$4/$F$1)</f>
        <v>2.9287891104257793E-2</v>
      </c>
      <c r="AX251" s="27">
        <f t="shared" si="304"/>
        <v>1.2104339660203725E-2</v>
      </c>
      <c r="AY251" s="27">
        <f t="shared" ref="AY251:AY269" si="318">AW251+L251+U251</f>
        <v>4.9707595901305759E-2</v>
      </c>
      <c r="AZ251" s="27">
        <f t="shared" ref="AZ251:AZ269" si="319">AW251+M251+V251</f>
        <v>5.1417448299829749E-2</v>
      </c>
      <c r="BA251" s="93">
        <f t="shared" ref="BA251:BA269" si="320">AV251+AC251*($AF$2/$F$1)+AH251+AI251</f>
        <v>1.8204339660203725E-2</v>
      </c>
    </row>
    <row r="252" spans="1:53" x14ac:dyDescent="0.25">
      <c r="A252" s="138">
        <v>0.1</v>
      </c>
      <c r="B252">
        <f t="shared" si="305"/>
        <v>96.81</v>
      </c>
      <c r="C252" s="132">
        <f t="shared" si="306"/>
        <v>14976078.681162152</v>
      </c>
      <c r="D252">
        <v>1.06</v>
      </c>
      <c r="E252" s="238">
        <f>0.455/(LOG10(C252))^2.58</f>
        <v>2.8179203366757747E-3</v>
      </c>
      <c r="F252" s="237">
        <f t="shared" ref="F252:F269" si="321">E252*(1+$D$8*$E$8+100*$E$8^4)*D252*($F$8/$F$1)</f>
        <v>4.8263124703587434E-3</v>
      </c>
      <c r="G252">
        <f t="shared" si="307"/>
        <v>60480085.135135092</v>
      </c>
      <c r="H252">
        <f t="shared" ref="H252:H269" si="322">0.455/(LOG10(G252))^2.58</f>
        <v>2.2858716564797496E-3</v>
      </c>
      <c r="I252">
        <f t="shared" ref="I252:I269" si="323">H252*(1+(60/(($J$8/$H$8)^3))+0.0025*($J$8/$H$8))*($G$8/$I$8)</f>
        <v>7.9331195480355277E-2</v>
      </c>
      <c r="J252">
        <f t="shared" si="308"/>
        <v>0</v>
      </c>
      <c r="K252" s="96">
        <f t="shared" ref="K252:K269" si="324">I252+J252</f>
        <v>7.9331195480355277E-2</v>
      </c>
      <c r="L252">
        <f t="shared" si="293"/>
        <v>5.4197047970479702E-3</v>
      </c>
      <c r="M252">
        <f t="shared" si="294"/>
        <v>8.1295571955719553E-3</v>
      </c>
      <c r="S252">
        <v>0.6</v>
      </c>
      <c r="T252">
        <v>0.92</v>
      </c>
      <c r="U252" s="96">
        <v>1.4999999999999999E-2</v>
      </c>
      <c r="V252" s="96">
        <v>1.4E-2</v>
      </c>
      <c r="X252">
        <f t="shared" si="309"/>
        <v>11592016.317567561</v>
      </c>
      <c r="Y252">
        <f t="shared" ref="Y252:Y269" si="325">0.455/(LOG10(X252))^2.58</f>
        <v>2.9338330559479128E-3</v>
      </c>
      <c r="Z252">
        <f t="shared" si="295"/>
        <v>0.51363645811202863</v>
      </c>
      <c r="AA252">
        <f t="shared" si="310"/>
        <v>4.0464117827755337E-2</v>
      </c>
      <c r="AB252">
        <f t="shared" si="311"/>
        <v>0.55410057593978401</v>
      </c>
      <c r="AC252" s="96">
        <f t="shared" si="312"/>
        <v>1.108201151879568</v>
      </c>
      <c r="AD252">
        <f t="shared" si="313"/>
        <v>8769612.3445945885</v>
      </c>
      <c r="AE252">
        <f t="shared" ref="AE252:AE269" si="326">0.455/(LOG10(AD252))^2.58</f>
        <v>3.0677705503312619E-3</v>
      </c>
      <c r="AF252">
        <f t="shared" si="296"/>
        <v>8.7405746090726544E-2</v>
      </c>
      <c r="AG252" s="96">
        <f t="shared" si="314"/>
        <v>1.0488689530887185</v>
      </c>
      <c r="AH252" s="96">
        <v>2.3999999999999998E-3</v>
      </c>
      <c r="AI252" s="96">
        <v>3.7000000000000002E-3</v>
      </c>
      <c r="AJ252">
        <f t="shared" si="315"/>
        <v>9277645.0597297233</v>
      </c>
      <c r="AM252" s="96">
        <f t="shared" si="297"/>
        <v>0</v>
      </c>
      <c r="AP252">
        <f t="shared" si="298"/>
        <v>8.9348487381328626E-3</v>
      </c>
      <c r="AQ252">
        <f t="shared" si="299"/>
        <v>2.4833997134791404E-2</v>
      </c>
      <c r="AR252">
        <f t="shared" si="300"/>
        <v>9.5073511782182464E-3</v>
      </c>
      <c r="AS252">
        <f t="shared" si="301"/>
        <v>4.5253701931839377E-2</v>
      </c>
      <c r="AT252">
        <f t="shared" si="302"/>
        <v>4.6963554330363359E-2</v>
      </c>
      <c r="AU252">
        <f t="shared" si="303"/>
        <v>9.5073511782182481E-3</v>
      </c>
      <c r="AV252" s="26">
        <f t="shared" si="316"/>
        <v>1.0306162613474645E-2</v>
      </c>
      <c r="AW252" s="27">
        <f t="shared" si="317"/>
        <v>2.6205311010133188E-2</v>
      </c>
      <c r="AX252" s="27">
        <f t="shared" si="304"/>
        <v>1.0878665053560031E-2</v>
      </c>
      <c r="AY252" s="27">
        <f t="shared" si="318"/>
        <v>4.6625015807181161E-2</v>
      </c>
      <c r="AZ252" s="27">
        <f t="shared" si="319"/>
        <v>4.8334868205705143E-2</v>
      </c>
      <c r="BA252" s="93">
        <f t="shared" si="320"/>
        <v>1.6978665053560028E-2</v>
      </c>
    </row>
    <row r="253" spans="1:53" x14ac:dyDescent="0.25">
      <c r="A253" s="138">
        <v>0.15</v>
      </c>
      <c r="B253">
        <f t="shared" si="305"/>
        <v>145.215</v>
      </c>
      <c r="C253" s="132">
        <f t="shared" si="306"/>
        <v>22464118.021743227</v>
      </c>
      <c r="D253">
        <v>1.06</v>
      </c>
      <c r="E253" s="238">
        <f t="shared" ref="E253:E269" si="327">0.455/(LOG10(C253))^2.58</f>
        <v>2.6470554301602639E-3</v>
      </c>
      <c r="F253" s="237">
        <f t="shared" si="321"/>
        <v>4.53366848808233E-3</v>
      </c>
      <c r="G253">
        <f t="shared" si="307"/>
        <v>90720127.702702627</v>
      </c>
      <c r="H253">
        <f t="shared" si="322"/>
        <v>2.1576399316536247E-3</v>
      </c>
      <c r="I253">
        <f t="shared" si="323"/>
        <v>7.4880912368384539E-2</v>
      </c>
      <c r="J253">
        <f t="shared" si="308"/>
        <v>0</v>
      </c>
      <c r="K253" s="96">
        <f t="shared" si="324"/>
        <v>7.4880912368384539E-2</v>
      </c>
      <c r="L253">
        <f t="shared" si="293"/>
        <v>5.4197047970479702E-3</v>
      </c>
      <c r="M253">
        <f t="shared" si="294"/>
        <v>8.1295571955719553E-3</v>
      </c>
      <c r="S253">
        <v>0.6</v>
      </c>
      <c r="T253">
        <v>0.92</v>
      </c>
      <c r="U253" s="96">
        <v>1.4999999999999999E-2</v>
      </c>
      <c r="V253" s="96">
        <v>1.4E-2</v>
      </c>
      <c r="X253">
        <f t="shared" si="309"/>
        <v>17388024.476351339</v>
      </c>
      <c r="Y253">
        <f t="shared" si="325"/>
        <v>2.7532596390975788E-3</v>
      </c>
      <c r="Z253">
        <f t="shared" si="295"/>
        <v>0.48202283576492289</v>
      </c>
      <c r="AA253">
        <f t="shared" si="310"/>
        <v>4.1769972680401571E-2</v>
      </c>
      <c r="AB253">
        <f t="shared" si="311"/>
        <v>0.5237928084453245</v>
      </c>
      <c r="AC253" s="96">
        <f t="shared" si="312"/>
        <v>1.047585616890649</v>
      </c>
      <c r="AD253">
        <f t="shared" si="313"/>
        <v>13154418.516891882</v>
      </c>
      <c r="AE253">
        <f t="shared" si="326"/>
        <v>2.8758028974022469E-3</v>
      </c>
      <c r="AF253">
        <f t="shared" si="296"/>
        <v>8.1936277088967474E-2</v>
      </c>
      <c r="AG253" s="96">
        <f t="shared" si="314"/>
        <v>0.98323532506760969</v>
      </c>
      <c r="AH253" s="96">
        <v>2.3999999999999998E-3</v>
      </c>
      <c r="AI253" s="96">
        <v>3.7000000000000002E-3</v>
      </c>
      <c r="AJ253">
        <f t="shared" si="315"/>
        <v>13916467.589594584</v>
      </c>
      <c r="AM253" s="96">
        <f t="shared" si="297"/>
        <v>0</v>
      </c>
      <c r="AP253">
        <f t="shared" si="298"/>
        <v>8.4117260714412848E-3</v>
      </c>
      <c r="AQ253">
        <f t="shared" si="299"/>
        <v>2.3320485752741746E-2</v>
      </c>
      <c r="AR253">
        <f t="shared" si="300"/>
        <v>8.9529142130084088E-3</v>
      </c>
      <c r="AS253">
        <f t="shared" si="301"/>
        <v>4.3740190549789712E-2</v>
      </c>
      <c r="AT253">
        <f t="shared" si="302"/>
        <v>4.5450042948313701E-2</v>
      </c>
      <c r="AU253">
        <f t="shared" si="303"/>
        <v>8.9529142130084088E-3</v>
      </c>
      <c r="AV253" s="26">
        <f t="shared" si="316"/>
        <v>9.6998901806012085E-3</v>
      </c>
      <c r="AW253" s="27">
        <f t="shared" si="317"/>
        <v>2.4608649861901671E-2</v>
      </c>
      <c r="AX253" s="27">
        <f t="shared" si="304"/>
        <v>1.0241078322168334E-2</v>
      </c>
      <c r="AY253" s="27">
        <f t="shared" si="318"/>
        <v>4.5028354658949638E-2</v>
      </c>
      <c r="AZ253" s="27">
        <f t="shared" si="319"/>
        <v>4.6738207057473627E-2</v>
      </c>
      <c r="BA253" s="93">
        <f t="shared" si="320"/>
        <v>1.6341078322168336E-2</v>
      </c>
    </row>
    <row r="254" spans="1:53" x14ac:dyDescent="0.25">
      <c r="A254" s="138">
        <v>0.2</v>
      </c>
      <c r="B254">
        <f t="shared" si="305"/>
        <v>193.62</v>
      </c>
      <c r="C254" s="132">
        <f t="shared" si="306"/>
        <v>29952157.362324305</v>
      </c>
      <c r="D254">
        <v>1.06</v>
      </c>
      <c r="E254" s="238">
        <f t="shared" si="327"/>
        <v>2.5344309279921825E-3</v>
      </c>
      <c r="F254" s="237">
        <f t="shared" si="321"/>
        <v>4.3407740928053567E-3</v>
      </c>
      <c r="G254">
        <f t="shared" si="307"/>
        <v>120960170.27027018</v>
      </c>
      <c r="H254">
        <f t="shared" si="322"/>
        <v>2.0726392444326033E-3</v>
      </c>
      <c r="I254">
        <f t="shared" si="323"/>
        <v>7.1930962787978114E-2</v>
      </c>
      <c r="J254">
        <f t="shared" si="308"/>
        <v>0</v>
      </c>
      <c r="K254" s="96">
        <f t="shared" si="324"/>
        <v>7.1930962787978114E-2</v>
      </c>
      <c r="L254">
        <f t="shared" si="293"/>
        <v>5.4197047970479702E-3</v>
      </c>
      <c r="M254">
        <f t="shared" si="294"/>
        <v>8.1295571955719553E-3</v>
      </c>
      <c r="S254">
        <v>0.6</v>
      </c>
      <c r="T254">
        <v>0.92</v>
      </c>
      <c r="U254" s="96">
        <v>1.4999999999999999E-2</v>
      </c>
      <c r="V254" s="96">
        <v>1.4E-2</v>
      </c>
      <c r="X254">
        <f t="shared" si="309"/>
        <v>23184032.635135122</v>
      </c>
      <c r="Y254">
        <f t="shared" si="325"/>
        <v>2.6343710702184772E-3</v>
      </c>
      <c r="Z254">
        <f t="shared" si="295"/>
        <v>0.46120859641845829</v>
      </c>
      <c r="AA254">
        <f t="shared" si="310"/>
        <v>4.2702106678299712E-2</v>
      </c>
      <c r="AB254">
        <f t="shared" si="311"/>
        <v>0.50391070309675801</v>
      </c>
      <c r="AC254" s="96">
        <f t="shared" si="312"/>
        <v>1.007821406193516</v>
      </c>
      <c r="AD254">
        <f t="shared" si="313"/>
        <v>17539224.689189177</v>
      </c>
      <c r="AE254">
        <f t="shared" si="326"/>
        <v>2.749573983573228E-3</v>
      </c>
      <c r="AF254">
        <f t="shared" si="296"/>
        <v>7.8339811117854985E-2</v>
      </c>
      <c r="AG254" s="96">
        <f t="shared" si="314"/>
        <v>0.94007773341425982</v>
      </c>
      <c r="AH254" s="96">
        <v>2.3999999999999998E-3</v>
      </c>
      <c r="AI254" s="96">
        <v>3.7000000000000002E-3</v>
      </c>
      <c r="AJ254">
        <f t="shared" si="315"/>
        <v>18555290.119459447</v>
      </c>
      <c r="AM254" s="96">
        <f t="shared" si="297"/>
        <v>0</v>
      </c>
      <c r="AP254">
        <f t="shared" si="298"/>
        <v>8.0660547670831154E-3</v>
      </c>
      <c r="AQ254">
        <f t="shared" si="299"/>
        <v>2.2323629753015075E-2</v>
      </c>
      <c r="AR254">
        <f t="shared" si="300"/>
        <v>8.5867005119801346E-3</v>
      </c>
      <c r="AS254">
        <f t="shared" si="301"/>
        <v>4.2743334550063045E-2</v>
      </c>
      <c r="AT254">
        <f t="shared" si="302"/>
        <v>4.4453186948587027E-2</v>
      </c>
      <c r="AU254">
        <f t="shared" si="303"/>
        <v>8.5867005119801346E-3</v>
      </c>
      <c r="AV254" s="26">
        <f t="shared" si="316"/>
        <v>9.2994112436366669E-3</v>
      </c>
      <c r="AW254" s="27">
        <f t="shared" si="317"/>
        <v>2.3556986229568627E-2</v>
      </c>
      <c r="AX254" s="27">
        <f t="shared" si="304"/>
        <v>9.8200569885336861E-3</v>
      </c>
      <c r="AY254" s="27">
        <f t="shared" si="318"/>
        <v>4.3976691026616596E-2</v>
      </c>
      <c r="AZ254" s="27">
        <f t="shared" si="319"/>
        <v>4.5686543425140579E-2</v>
      </c>
      <c r="BA254" s="93">
        <f t="shared" si="320"/>
        <v>1.5920056988533687E-2</v>
      </c>
    </row>
    <row r="255" spans="1:53" x14ac:dyDescent="0.25">
      <c r="A255" s="138">
        <v>0.25</v>
      </c>
      <c r="B255">
        <f t="shared" si="305"/>
        <v>242.02500000000001</v>
      </c>
      <c r="C255" s="132">
        <f t="shared" si="306"/>
        <v>37440196.702905379</v>
      </c>
      <c r="D255">
        <v>1.06</v>
      </c>
      <c r="E255" s="238">
        <f t="shared" si="327"/>
        <v>2.4516024213858648E-3</v>
      </c>
      <c r="F255" s="237">
        <f t="shared" si="321"/>
        <v>4.1989119368272916E-3</v>
      </c>
      <c r="G255">
        <f t="shared" si="307"/>
        <v>151200212.83783773</v>
      </c>
      <c r="H255">
        <f t="shared" si="322"/>
        <v>2.0098756369857957E-3</v>
      </c>
      <c r="I255">
        <f t="shared" si="323"/>
        <v>6.9752751252216375E-2</v>
      </c>
      <c r="J255">
        <f t="shared" si="308"/>
        <v>0</v>
      </c>
      <c r="K255" s="96">
        <f t="shared" si="324"/>
        <v>6.9752751252216375E-2</v>
      </c>
      <c r="L255">
        <f t="shared" si="293"/>
        <v>5.4197047970479702E-3</v>
      </c>
      <c r="M255">
        <f t="shared" si="294"/>
        <v>8.1295571955719553E-3</v>
      </c>
      <c r="S255">
        <v>0.6</v>
      </c>
      <c r="T255">
        <v>0.92</v>
      </c>
      <c r="U255" s="96">
        <v>1.4999999999999999E-2</v>
      </c>
      <c r="V255" s="96">
        <v>1.4E-2</v>
      </c>
      <c r="X255">
        <f t="shared" si="309"/>
        <v>28980040.7939189</v>
      </c>
      <c r="Y255">
        <f t="shared" si="325"/>
        <v>2.5470061927140575E-3</v>
      </c>
      <c r="Z255">
        <f t="shared" si="295"/>
        <v>0.44591332044705068</v>
      </c>
      <c r="AA255">
        <f t="shared" si="310"/>
        <v>4.3428294570026796E-2</v>
      </c>
      <c r="AB255">
        <f t="shared" si="311"/>
        <v>0.48934161501707746</v>
      </c>
      <c r="AC255" s="96">
        <f t="shared" si="312"/>
        <v>0.97868323003415492</v>
      </c>
      <c r="AD255">
        <f t="shared" si="313"/>
        <v>21924030.861486472</v>
      </c>
      <c r="AE255">
        <f t="shared" si="326"/>
        <v>2.656899135467405E-3</v>
      </c>
      <c r="AF255">
        <f t="shared" si="296"/>
        <v>7.5699354763757845E-2</v>
      </c>
      <c r="AG255" s="96">
        <f t="shared" si="314"/>
        <v>0.9083922571650942</v>
      </c>
      <c r="AH255" s="96">
        <v>2.3999999999999998E-3</v>
      </c>
      <c r="AI255" s="96">
        <v>3.7000000000000002E-3</v>
      </c>
      <c r="AJ255">
        <f t="shared" si="315"/>
        <v>23194112.649324309</v>
      </c>
      <c r="AM255" s="96">
        <f t="shared" si="297"/>
        <v>0</v>
      </c>
      <c r="AP255">
        <f t="shared" si="298"/>
        <v>7.8113837590592355E-3</v>
      </c>
      <c r="AQ255">
        <f t="shared" si="299"/>
        <v>2.1590900329459806E-2</v>
      </c>
      <c r="AR255">
        <f t="shared" si="300"/>
        <v>8.3169765716230061E-3</v>
      </c>
      <c r="AS255">
        <f t="shared" si="301"/>
        <v>4.2010605126507776E-2</v>
      </c>
      <c r="AT255">
        <f t="shared" si="302"/>
        <v>4.3720457525031758E-2</v>
      </c>
      <c r="AU255">
        <f t="shared" si="303"/>
        <v>8.3169765716230061E-3</v>
      </c>
      <c r="AV255" s="26">
        <f t="shared" si="316"/>
        <v>9.0044325381577646E-3</v>
      </c>
      <c r="AW255" s="27">
        <f t="shared" si="317"/>
        <v>2.2783949108558334E-2</v>
      </c>
      <c r="AX255" s="27">
        <f t="shared" si="304"/>
        <v>9.5100253507215352E-3</v>
      </c>
      <c r="AY255" s="27">
        <f t="shared" si="318"/>
        <v>4.3203653905606307E-2</v>
      </c>
      <c r="AZ255" s="27">
        <f t="shared" si="319"/>
        <v>4.4913506304130289E-2</v>
      </c>
      <c r="BA255" s="93">
        <f t="shared" si="320"/>
        <v>1.5610025350721535E-2</v>
      </c>
    </row>
    <row r="256" spans="1:53" x14ac:dyDescent="0.25">
      <c r="A256" s="138">
        <v>0.3</v>
      </c>
      <c r="B256">
        <f t="shared" si="305"/>
        <v>290.43</v>
      </c>
      <c r="C256" s="132">
        <f t="shared" si="306"/>
        <v>44928236.043486454</v>
      </c>
      <c r="D256">
        <v>1.1499999999999999</v>
      </c>
      <c r="E256" s="238">
        <f t="shared" si="327"/>
        <v>2.3866896407321756E-3</v>
      </c>
      <c r="F256" s="237">
        <f t="shared" si="321"/>
        <v>4.4348062191916669E-3</v>
      </c>
      <c r="G256">
        <f t="shared" si="307"/>
        <v>181440255.40540525</v>
      </c>
      <c r="H256">
        <f t="shared" si="322"/>
        <v>1.9605353165268024E-3</v>
      </c>
      <c r="I256">
        <f t="shared" si="323"/>
        <v>6.804039500671144E-2</v>
      </c>
      <c r="J256">
        <f t="shared" si="308"/>
        <v>0</v>
      </c>
      <c r="K256" s="96">
        <f t="shared" si="324"/>
        <v>6.804039500671144E-2</v>
      </c>
      <c r="L256">
        <f t="shared" si="293"/>
        <v>5.4197047970479702E-3</v>
      </c>
      <c r="M256">
        <f t="shared" si="294"/>
        <v>8.1295571955719553E-3</v>
      </c>
      <c r="S256">
        <v>0.6</v>
      </c>
      <c r="T256">
        <v>0.92</v>
      </c>
      <c r="U256" s="96">
        <v>1.4999999999999999E-2</v>
      </c>
      <c r="V256" s="96">
        <v>1.4E-2</v>
      </c>
      <c r="X256">
        <f t="shared" si="309"/>
        <v>34776048.952702679</v>
      </c>
      <c r="Y256">
        <f t="shared" si="325"/>
        <v>2.4785808558049965E-3</v>
      </c>
      <c r="Z256">
        <f t="shared" si="295"/>
        <v>0.43393385637228354</v>
      </c>
      <c r="AA256">
        <f t="shared" si="310"/>
        <v>4.4023668536334631E-2</v>
      </c>
      <c r="AB256">
        <f t="shared" si="311"/>
        <v>0.4779575249086182</v>
      </c>
      <c r="AC256" s="96">
        <f t="shared" si="312"/>
        <v>0.95591504981723641</v>
      </c>
      <c r="AD256">
        <f t="shared" si="313"/>
        <v>26308837.033783764</v>
      </c>
      <c r="AE256">
        <f t="shared" si="326"/>
        <v>2.5843657158002723E-3</v>
      </c>
      <c r="AF256">
        <f t="shared" si="296"/>
        <v>7.3632760291158547E-2</v>
      </c>
      <c r="AG256" s="96">
        <f t="shared" si="314"/>
        <v>0.88359312349390251</v>
      </c>
      <c r="AH256" s="96">
        <v>2.3999999999999998E-3</v>
      </c>
      <c r="AI256" s="96">
        <v>3.7000000000000002E-3</v>
      </c>
      <c r="AJ256">
        <f t="shared" si="315"/>
        <v>27832935.179189168</v>
      </c>
      <c r="AM256" s="96">
        <f t="shared" si="297"/>
        <v>0</v>
      </c>
      <c r="AP256">
        <f t="shared" si="298"/>
        <v>7.9585956801481068E-3</v>
      </c>
      <c r="AQ256">
        <f t="shared" si="299"/>
        <v>2.1363971606385253E-2</v>
      </c>
      <c r="AR256">
        <f t="shared" si="300"/>
        <v>8.4524263331902209E-3</v>
      </c>
      <c r="AS256">
        <f t="shared" si="301"/>
        <v>4.1783676403433223E-2</v>
      </c>
      <c r="AT256">
        <f t="shared" si="302"/>
        <v>4.3493528801957206E-2</v>
      </c>
      <c r="AU256">
        <f t="shared" si="303"/>
        <v>8.4524263331902209E-3</v>
      </c>
      <c r="AV256" s="26">
        <f t="shared" si="316"/>
        <v>9.2186697719479523E-3</v>
      </c>
      <c r="AW256" s="27">
        <f t="shared" si="317"/>
        <v>2.2624045698185099E-2</v>
      </c>
      <c r="AX256" s="27">
        <f t="shared" si="304"/>
        <v>9.7125004249900664E-3</v>
      </c>
      <c r="AY256" s="27">
        <f t="shared" si="318"/>
        <v>4.3043750495233069E-2</v>
      </c>
      <c r="AZ256" s="27">
        <f t="shared" si="319"/>
        <v>4.4753602893757051E-2</v>
      </c>
      <c r="BA256" s="93">
        <f t="shared" si="320"/>
        <v>1.5812500424990064E-2</v>
      </c>
    </row>
    <row r="257" spans="1:53" x14ac:dyDescent="0.25">
      <c r="A257" s="138">
        <v>0.35</v>
      </c>
      <c r="B257">
        <f t="shared" si="305"/>
        <v>338.83499999999998</v>
      </c>
      <c r="C257" s="132">
        <f t="shared" si="306"/>
        <v>52416275.384067528</v>
      </c>
      <c r="D257">
        <v>1.1499999999999999</v>
      </c>
      <c r="E257" s="238">
        <f t="shared" si="327"/>
        <v>2.3336528213001111E-3</v>
      </c>
      <c r="F257" s="237">
        <f t="shared" si="321"/>
        <v>4.3362563228627454E-3</v>
      </c>
      <c r="G257">
        <f t="shared" si="307"/>
        <v>211680297.97297281</v>
      </c>
      <c r="H257">
        <f t="shared" si="322"/>
        <v>1.9201204539370275E-3</v>
      </c>
      <c r="I257">
        <f t="shared" si="323"/>
        <v>6.6637796853253176E-2</v>
      </c>
      <c r="J257">
        <f t="shared" si="308"/>
        <v>0</v>
      </c>
      <c r="K257" s="96">
        <f t="shared" si="324"/>
        <v>6.6637796853253176E-2</v>
      </c>
      <c r="L257">
        <f t="shared" si="293"/>
        <v>5.4197047970479702E-3</v>
      </c>
      <c r="M257">
        <f t="shared" si="294"/>
        <v>8.1295571955719553E-3</v>
      </c>
      <c r="S257">
        <v>0.6</v>
      </c>
      <c r="T257">
        <v>0.92</v>
      </c>
      <c r="U257" s="96">
        <v>1.4999999999999999E-2</v>
      </c>
      <c r="V257" s="96">
        <v>1.4E-2</v>
      </c>
      <c r="X257">
        <f t="shared" si="309"/>
        <v>40572057.111486457</v>
      </c>
      <c r="Y257">
        <f t="shared" si="325"/>
        <v>2.4227023529668048E-3</v>
      </c>
      <c r="Z257">
        <f t="shared" si="295"/>
        <v>0.42415101060871013</v>
      </c>
      <c r="AA257">
        <f t="shared" si="310"/>
        <v>4.4528467111610223E-2</v>
      </c>
      <c r="AB257">
        <f t="shared" si="311"/>
        <v>0.46867947772032037</v>
      </c>
      <c r="AC257" s="96">
        <f t="shared" si="312"/>
        <v>0.93735895544064074</v>
      </c>
      <c r="AD257">
        <f t="shared" si="313"/>
        <v>30693643.206081055</v>
      </c>
      <c r="AE257">
        <f t="shared" si="326"/>
        <v>2.5251660268840008E-3</v>
      </c>
      <c r="AF257">
        <f t="shared" si="296"/>
        <v>7.1946065379276405E-2</v>
      </c>
      <c r="AG257" s="96">
        <f t="shared" si="314"/>
        <v>0.86335278455131692</v>
      </c>
      <c r="AH257" s="96">
        <v>2.3999999999999998E-3</v>
      </c>
      <c r="AI257" s="96">
        <v>3.7000000000000002E-3</v>
      </c>
      <c r="AJ257">
        <f t="shared" si="315"/>
        <v>32471757.70905403</v>
      </c>
      <c r="AM257" s="96">
        <f t="shared" si="297"/>
        <v>0</v>
      </c>
      <c r="AP257">
        <f t="shared" si="298"/>
        <v>7.7874056912590854E-3</v>
      </c>
      <c r="AQ257">
        <f t="shared" si="299"/>
        <v>2.0887432556886042E-2</v>
      </c>
      <c r="AR257">
        <f t="shared" si="300"/>
        <v>8.2716501700845109E-3</v>
      </c>
      <c r="AS257">
        <f t="shared" si="301"/>
        <v>4.1307137353934015E-2</v>
      </c>
      <c r="AT257">
        <f t="shared" si="302"/>
        <v>4.3016989752457997E-2</v>
      </c>
      <c r="AU257">
        <f t="shared" si="303"/>
        <v>8.2716501700845092E-3</v>
      </c>
      <c r="AV257" s="26">
        <f t="shared" si="316"/>
        <v>9.0194785210023741E-3</v>
      </c>
      <c r="AW257" s="27">
        <f t="shared" si="317"/>
        <v>2.211950538662933E-2</v>
      </c>
      <c r="AX257" s="27">
        <f t="shared" si="304"/>
        <v>9.5037229998277978E-3</v>
      </c>
      <c r="AY257" s="27">
        <f t="shared" si="318"/>
        <v>4.2539210183677303E-2</v>
      </c>
      <c r="AZ257" s="27">
        <f t="shared" si="319"/>
        <v>4.4249062582201286E-2</v>
      </c>
      <c r="BA257" s="93">
        <f t="shared" si="320"/>
        <v>1.5603722999827797E-2</v>
      </c>
    </row>
    <row r="258" spans="1:53" x14ac:dyDescent="0.25">
      <c r="A258" s="138">
        <v>0.4</v>
      </c>
      <c r="B258">
        <f t="shared" si="305"/>
        <v>387.24</v>
      </c>
      <c r="C258" s="132">
        <f t="shared" si="306"/>
        <v>59904314.72464861</v>
      </c>
      <c r="D258">
        <v>1.1499999999999999</v>
      </c>
      <c r="E258" s="238">
        <f t="shared" si="327"/>
        <v>2.2890231314220914E-3</v>
      </c>
      <c r="F258" s="237">
        <f t="shared" si="321"/>
        <v>4.253328059860389E-3</v>
      </c>
      <c r="G258">
        <f t="shared" si="307"/>
        <v>241920340.54054037</v>
      </c>
      <c r="H258">
        <f t="shared" si="322"/>
        <v>1.8860400291651059E-3</v>
      </c>
      <c r="I258">
        <f t="shared" si="323"/>
        <v>6.545503541869456E-2</v>
      </c>
      <c r="J258">
        <f t="shared" si="308"/>
        <v>0</v>
      </c>
      <c r="K258" s="96">
        <f t="shared" si="324"/>
        <v>6.545503541869456E-2</v>
      </c>
      <c r="L258">
        <f t="shared" si="293"/>
        <v>5.4197047970479702E-3</v>
      </c>
      <c r="M258">
        <f t="shared" si="294"/>
        <v>8.1295571955719553E-3</v>
      </c>
      <c r="S258">
        <v>0.6</v>
      </c>
      <c r="T258">
        <v>0.92</v>
      </c>
      <c r="U258" s="96">
        <v>1.4999999999999999E-2</v>
      </c>
      <c r="V258" s="96">
        <v>1.4E-2</v>
      </c>
      <c r="X258">
        <f t="shared" si="309"/>
        <v>46368065.270270243</v>
      </c>
      <c r="Y258">
        <f t="shared" si="325"/>
        <v>2.3757013732716033E-3</v>
      </c>
      <c r="Z258">
        <f t="shared" si="295"/>
        <v>0.41592238400383374</v>
      </c>
      <c r="AA258">
        <f t="shared" si="310"/>
        <v>4.496678636638661E-2</v>
      </c>
      <c r="AB258">
        <f t="shared" si="311"/>
        <v>0.46088917037022037</v>
      </c>
      <c r="AC258" s="96">
        <f t="shared" si="312"/>
        <v>0.92177834074044074</v>
      </c>
      <c r="AD258">
        <f t="shared" si="313"/>
        <v>35078449.378378354</v>
      </c>
      <c r="AE258">
        <f t="shared" si="326"/>
        <v>2.4753952262848585E-3</v>
      </c>
      <c r="AF258">
        <f t="shared" si="296"/>
        <v>7.0528014749827908E-2</v>
      </c>
      <c r="AG258" s="96">
        <f t="shared" si="314"/>
        <v>0.84633617699793495</v>
      </c>
      <c r="AH258" s="96">
        <v>2.3999999999999998E-3</v>
      </c>
      <c r="AI258" s="96">
        <v>3.7000000000000002E-3</v>
      </c>
      <c r="AJ258">
        <f t="shared" si="315"/>
        <v>37110580.238918893</v>
      </c>
      <c r="AM258" s="96">
        <f t="shared" si="297"/>
        <v>0</v>
      </c>
      <c r="AP258">
        <f t="shared" si="298"/>
        <v>7.6432226063599396E-3</v>
      </c>
      <c r="AQ258">
        <f t="shared" si="299"/>
        <v>2.0486544483169843E-2</v>
      </c>
      <c r="AR258">
        <f t="shared" si="300"/>
        <v>8.1194180591409783E-3</v>
      </c>
      <c r="AS258">
        <f t="shared" si="301"/>
        <v>4.0906249280217813E-2</v>
      </c>
      <c r="AT258">
        <f t="shared" si="302"/>
        <v>4.2616101678741795E-2</v>
      </c>
      <c r="AU258">
        <f t="shared" si="303"/>
        <v>8.1194180591409783E-3</v>
      </c>
      <c r="AV258" s="26">
        <f t="shared" si="316"/>
        <v>8.8517327931099399E-3</v>
      </c>
      <c r="AW258" s="27">
        <f t="shared" si="317"/>
        <v>2.1695054669919844E-2</v>
      </c>
      <c r="AX258" s="27">
        <f t="shared" si="304"/>
        <v>9.3279282458909787E-3</v>
      </c>
      <c r="AY258" s="27">
        <f t="shared" si="318"/>
        <v>4.2114759466967813E-2</v>
      </c>
      <c r="AZ258" s="27">
        <f t="shared" si="319"/>
        <v>4.3824611865491796E-2</v>
      </c>
      <c r="BA258" s="93">
        <f t="shared" si="320"/>
        <v>1.5427928245890978E-2</v>
      </c>
    </row>
    <row r="259" spans="1:53" x14ac:dyDescent="0.25">
      <c r="A259" s="138">
        <v>0.45</v>
      </c>
      <c r="B259">
        <f t="shared" si="305"/>
        <v>435.64500000000004</v>
      </c>
      <c r="C259" s="132">
        <f t="shared" si="306"/>
        <v>67392354.065229684</v>
      </c>
      <c r="D259">
        <v>1.1499999999999999</v>
      </c>
      <c r="E259" s="238">
        <f t="shared" si="327"/>
        <v>2.2506340688066657E-3</v>
      </c>
      <c r="F259" s="237">
        <f t="shared" si="321"/>
        <v>4.1819957631384743E-3</v>
      </c>
      <c r="G259">
        <f t="shared" si="307"/>
        <v>272160383.10810798</v>
      </c>
      <c r="H259">
        <f t="shared" si="322"/>
        <v>1.8566717580108915E-3</v>
      </c>
      <c r="I259">
        <f t="shared" si="323"/>
        <v>6.443580931592946E-2</v>
      </c>
      <c r="J259">
        <f t="shared" si="308"/>
        <v>0</v>
      </c>
      <c r="K259" s="96">
        <f t="shared" si="324"/>
        <v>6.443580931592946E-2</v>
      </c>
      <c r="L259">
        <f t="shared" si="293"/>
        <v>5.4197047970479702E-3</v>
      </c>
      <c r="M259">
        <f t="shared" si="294"/>
        <v>8.1295571955719553E-3</v>
      </c>
      <c r="S259">
        <v>0.6</v>
      </c>
      <c r="T259">
        <v>0.92</v>
      </c>
      <c r="U259" s="96">
        <v>1.4999999999999999E-2</v>
      </c>
      <c r="V259" s="96">
        <v>1.4E-2</v>
      </c>
      <c r="X259">
        <f t="shared" si="309"/>
        <v>52164073.429054029</v>
      </c>
      <c r="Y259">
        <f t="shared" si="325"/>
        <v>2.3352873523493048E-3</v>
      </c>
      <c r="Z259">
        <f t="shared" si="295"/>
        <v>0.40884695940783955</v>
      </c>
      <c r="AA259">
        <f t="shared" si="310"/>
        <v>4.5354210539124515E-2</v>
      </c>
      <c r="AB259">
        <f t="shared" si="311"/>
        <v>0.45420116994696408</v>
      </c>
      <c r="AC259" s="96">
        <f t="shared" si="312"/>
        <v>0.90840233989392816</v>
      </c>
      <c r="AD259">
        <f t="shared" si="313"/>
        <v>39463255.55067566</v>
      </c>
      <c r="AE259">
        <f t="shared" si="326"/>
        <v>2.4326170950830601E-3</v>
      </c>
      <c r="AF259">
        <f t="shared" si="296"/>
        <v>6.9309196584415741E-2</v>
      </c>
      <c r="AG259" s="96">
        <f t="shared" si="314"/>
        <v>0.83171035901298884</v>
      </c>
      <c r="AH259" s="96">
        <v>2.3999999999999998E-3</v>
      </c>
      <c r="AI259" s="96">
        <v>3.7000000000000002E-3</v>
      </c>
      <c r="AJ259">
        <f t="shared" si="315"/>
        <v>41749402.768783763</v>
      </c>
      <c r="AM259" s="96">
        <f t="shared" si="297"/>
        <v>0</v>
      </c>
      <c r="AP259">
        <f t="shared" si="298"/>
        <v>7.5191049282641934E-3</v>
      </c>
      <c r="AQ259">
        <f t="shared" si="299"/>
        <v>2.0141796254008054E-2</v>
      </c>
      <c r="AR259">
        <f t="shared" si="300"/>
        <v>7.9883902699068154E-3</v>
      </c>
      <c r="AS259">
        <f t="shared" si="301"/>
        <v>4.056150105105602E-2</v>
      </c>
      <c r="AT259">
        <f t="shared" si="302"/>
        <v>4.227135344958001E-2</v>
      </c>
      <c r="AU259">
        <f t="shared" si="303"/>
        <v>7.9883902699068136E-3</v>
      </c>
      <c r="AV259" s="26">
        <f t="shared" si="316"/>
        <v>8.7073472668681134E-3</v>
      </c>
      <c r="AW259" s="27">
        <f t="shared" si="317"/>
        <v>2.1330038592611972E-2</v>
      </c>
      <c r="AX259" s="27">
        <f t="shared" si="304"/>
        <v>9.1766326085107337E-3</v>
      </c>
      <c r="AY259" s="27">
        <f t="shared" si="318"/>
        <v>4.1749743389659942E-2</v>
      </c>
      <c r="AZ259" s="27">
        <f t="shared" si="319"/>
        <v>4.3459595788183925E-2</v>
      </c>
      <c r="BA259" s="93">
        <f t="shared" si="320"/>
        <v>1.5276632608510733E-2</v>
      </c>
    </row>
    <row r="260" spans="1:53" x14ac:dyDescent="0.25">
      <c r="A260" s="138">
        <v>0.5</v>
      </c>
      <c r="B260">
        <f t="shared" si="305"/>
        <v>484.05</v>
      </c>
      <c r="C260" s="132">
        <f t="shared" si="306"/>
        <v>74880393.405810758</v>
      </c>
      <c r="D260">
        <v>1.1499999999999999</v>
      </c>
      <c r="E260" s="238">
        <f t="shared" si="327"/>
        <v>2.2170467721720983E-3</v>
      </c>
      <c r="F260" s="237">
        <f t="shared" si="321"/>
        <v>4.1195858253490264E-3</v>
      </c>
      <c r="G260">
        <f t="shared" si="307"/>
        <v>302400425.67567545</v>
      </c>
      <c r="H260">
        <f t="shared" si="322"/>
        <v>1.8309359288539732E-3</v>
      </c>
      <c r="I260">
        <f t="shared" si="323"/>
        <v>6.3542647143893655E-2</v>
      </c>
      <c r="J260">
        <f t="shared" si="308"/>
        <v>0</v>
      </c>
      <c r="K260" s="96">
        <f t="shared" si="324"/>
        <v>6.3542647143893655E-2</v>
      </c>
      <c r="L260">
        <f t="shared" si="293"/>
        <v>5.4197047970479702E-3</v>
      </c>
      <c r="M260">
        <f t="shared" si="294"/>
        <v>8.1295571955719553E-3</v>
      </c>
      <c r="S260">
        <v>0.6</v>
      </c>
      <c r="T260">
        <v>0.92</v>
      </c>
      <c r="U260" s="96">
        <v>1.4999999999999999E-2</v>
      </c>
      <c r="V260" s="96">
        <v>1.4E-2</v>
      </c>
      <c r="X260">
        <f t="shared" si="309"/>
        <v>57960081.5878378</v>
      </c>
      <c r="Y260">
        <f t="shared" si="325"/>
        <v>2.2999396845815876E-3</v>
      </c>
      <c r="Z260">
        <f t="shared" si="295"/>
        <v>0.40265851905404271</v>
      </c>
      <c r="AA260">
        <f t="shared" si="310"/>
        <v>4.5701405014860377E-2</v>
      </c>
      <c r="AB260">
        <f t="shared" si="311"/>
        <v>0.44835992406890307</v>
      </c>
      <c r="AC260" s="96">
        <f t="shared" si="312"/>
        <v>0.89671984813780614</v>
      </c>
      <c r="AD260">
        <f t="shared" si="313"/>
        <v>43848061.722972944</v>
      </c>
      <c r="AE260">
        <f t="shared" si="326"/>
        <v>2.3952151115017909E-3</v>
      </c>
      <c r="AF260">
        <f t="shared" si="296"/>
        <v>6.8243553562371315E-2</v>
      </c>
      <c r="AG260" s="96">
        <f t="shared" si="314"/>
        <v>0.81892264274845572</v>
      </c>
      <c r="AH260" s="96">
        <v>2.3999999999999998E-3</v>
      </c>
      <c r="AI260" s="96">
        <v>3.7000000000000002E-3</v>
      </c>
      <c r="AJ260">
        <f t="shared" si="315"/>
        <v>46388225.298648618</v>
      </c>
      <c r="AM260" s="96">
        <f t="shared" si="297"/>
        <v>0</v>
      </c>
      <c r="AP260">
        <f t="shared" si="298"/>
        <v>7.4104384182071348E-3</v>
      </c>
      <c r="AQ260">
        <f t="shared" si="299"/>
        <v>1.9840233414602622E-2</v>
      </c>
      <c r="AR260">
        <f t="shared" si="300"/>
        <v>7.8736885242561838E-3</v>
      </c>
      <c r="AS260">
        <f t="shared" si="301"/>
        <v>4.0259938211650595E-2</v>
      </c>
      <c r="AT260">
        <f t="shared" si="302"/>
        <v>4.1969790610174577E-2</v>
      </c>
      <c r="AU260">
        <f t="shared" si="303"/>
        <v>7.8736885242561856E-3</v>
      </c>
      <c r="AV260" s="26">
        <f t="shared" si="316"/>
        <v>8.5809480438598096E-3</v>
      </c>
      <c r="AW260" s="27">
        <f t="shared" si="317"/>
        <v>2.1010743040255297E-2</v>
      </c>
      <c r="AX260" s="27">
        <f t="shared" si="304"/>
        <v>9.0441981499088612E-3</v>
      </c>
      <c r="AY260" s="27">
        <f t="shared" si="318"/>
        <v>4.1430447837303264E-2</v>
      </c>
      <c r="AZ260" s="27">
        <f t="shared" si="319"/>
        <v>4.3140300235827253E-2</v>
      </c>
      <c r="BA260" s="93">
        <f t="shared" si="320"/>
        <v>1.5144198149908861E-2</v>
      </c>
    </row>
    <row r="261" spans="1:53" x14ac:dyDescent="0.25">
      <c r="A261" s="138">
        <v>0.55000000000000004</v>
      </c>
      <c r="B261">
        <f t="shared" si="305"/>
        <v>532.45500000000004</v>
      </c>
      <c r="C261" s="132">
        <f t="shared" si="306"/>
        <v>82368432.746391848</v>
      </c>
      <c r="D261">
        <v>1.1499999999999999</v>
      </c>
      <c r="E261" s="238">
        <f t="shared" si="327"/>
        <v>2.1872595830148122E-3</v>
      </c>
      <c r="F261" s="237">
        <f t="shared" si="321"/>
        <v>4.0642370236144004E-3</v>
      </c>
      <c r="G261">
        <f t="shared" si="307"/>
        <v>332640468.24324304</v>
      </c>
      <c r="H261">
        <f t="shared" si="322"/>
        <v>1.8080795145348437E-3</v>
      </c>
      <c r="I261">
        <f t="shared" si="323"/>
        <v>6.2749415088545799E-2</v>
      </c>
      <c r="J261">
        <f t="shared" si="308"/>
        <v>0</v>
      </c>
      <c r="K261" s="96">
        <f t="shared" si="324"/>
        <v>6.2749415088545799E-2</v>
      </c>
      <c r="L261">
        <f t="shared" si="293"/>
        <v>5.4197047970479702E-3</v>
      </c>
      <c r="M261">
        <f t="shared" si="294"/>
        <v>8.1295571955719553E-3</v>
      </c>
      <c r="S261">
        <v>0.6</v>
      </c>
      <c r="T261">
        <v>0.92</v>
      </c>
      <c r="U261" s="96">
        <v>1.4999999999999999E-2</v>
      </c>
      <c r="V261" s="96">
        <v>1.4E-2</v>
      </c>
      <c r="X261">
        <f t="shared" si="309"/>
        <v>63756089.746621586</v>
      </c>
      <c r="Y261">
        <f t="shared" si="325"/>
        <v>2.2686001992247807E-3</v>
      </c>
      <c r="Z261">
        <f t="shared" si="295"/>
        <v>0.39717180527355356</v>
      </c>
      <c r="AA261">
        <f t="shared" si="310"/>
        <v>4.6015992379944234E-2</v>
      </c>
      <c r="AB261">
        <f t="shared" si="311"/>
        <v>0.44318779765349781</v>
      </c>
      <c r="AC261" s="96">
        <f t="shared" si="312"/>
        <v>0.88637559530699561</v>
      </c>
      <c r="AD261">
        <f t="shared" si="313"/>
        <v>48232867.895270236</v>
      </c>
      <c r="AE261">
        <f t="shared" si="326"/>
        <v>2.3620648284886337E-3</v>
      </c>
      <c r="AF261">
        <f t="shared" si="296"/>
        <v>6.7299048368014175E-2</v>
      </c>
      <c r="AG261" s="96">
        <f t="shared" si="314"/>
        <v>0.8075885804161701</v>
      </c>
      <c r="AH261" s="96">
        <v>2.3999999999999998E-3</v>
      </c>
      <c r="AI261" s="96">
        <v>3.7000000000000002E-3</v>
      </c>
      <c r="AJ261">
        <f t="shared" si="315"/>
        <v>51027047.828513481</v>
      </c>
      <c r="AM261" s="96">
        <f t="shared" si="297"/>
        <v>0</v>
      </c>
      <c r="AP261">
        <f t="shared" si="298"/>
        <v>7.3140083917610432E-3</v>
      </c>
      <c r="AQ261">
        <f t="shared" si="299"/>
        <v>1.9572839985085813E-2</v>
      </c>
      <c r="AR261">
        <f t="shared" si="300"/>
        <v>7.7719146033587514E-3</v>
      </c>
      <c r="AS261">
        <f t="shared" si="301"/>
        <v>3.9992544782133779E-2</v>
      </c>
      <c r="AT261">
        <f t="shared" si="302"/>
        <v>4.1702397180657769E-2</v>
      </c>
      <c r="AU261">
        <f t="shared" si="303"/>
        <v>7.7719146033587531E-3</v>
      </c>
      <c r="AV261" s="26">
        <f t="shared" si="316"/>
        <v>8.4687916051127358E-3</v>
      </c>
      <c r="AW261" s="27">
        <f t="shared" si="317"/>
        <v>2.072762319843751E-2</v>
      </c>
      <c r="AX261" s="27">
        <f t="shared" si="304"/>
        <v>8.9266978167104466E-3</v>
      </c>
      <c r="AY261" s="27">
        <f t="shared" si="318"/>
        <v>4.1147327995485483E-2</v>
      </c>
      <c r="AZ261" s="27">
        <f t="shared" si="319"/>
        <v>4.2857180394009466E-2</v>
      </c>
      <c r="BA261" s="93">
        <f t="shared" si="320"/>
        <v>1.5026697816710446E-2</v>
      </c>
    </row>
    <row r="262" spans="1:53" x14ac:dyDescent="0.25">
      <c r="A262" s="138">
        <v>0.6</v>
      </c>
      <c r="B262">
        <f t="shared" si="305"/>
        <v>580.86</v>
      </c>
      <c r="C262" s="132">
        <f t="shared" si="306"/>
        <v>89856472.086972907</v>
      </c>
      <c r="D262">
        <v>1.1499999999999999</v>
      </c>
      <c r="E262" s="238">
        <f t="shared" si="327"/>
        <v>2.1605487301007754E-3</v>
      </c>
      <c r="F262" s="237">
        <f t="shared" si="321"/>
        <v>4.0146044888258623E-3</v>
      </c>
      <c r="G262">
        <f t="shared" si="307"/>
        <v>362880510.81081051</v>
      </c>
      <c r="H262">
        <f t="shared" si="322"/>
        <v>1.7875575080669294E-3</v>
      </c>
      <c r="I262">
        <f t="shared" si="323"/>
        <v>6.2037198677733642E-2</v>
      </c>
      <c r="J262">
        <f t="shared" si="308"/>
        <v>0</v>
      </c>
      <c r="K262" s="96">
        <f t="shared" si="324"/>
        <v>6.2037198677733642E-2</v>
      </c>
      <c r="L262">
        <f t="shared" si="293"/>
        <v>5.4197047970479702E-3</v>
      </c>
      <c r="M262">
        <f t="shared" si="294"/>
        <v>8.1295571955719553E-3</v>
      </c>
      <c r="S262">
        <v>0.6</v>
      </c>
      <c r="T262">
        <v>0.92</v>
      </c>
      <c r="U262" s="96">
        <v>1.4999999999999999E-2</v>
      </c>
      <c r="V262" s="96">
        <v>1.4E-2</v>
      </c>
      <c r="X262">
        <f t="shared" si="309"/>
        <v>69552097.905405357</v>
      </c>
      <c r="Y262">
        <f t="shared" si="325"/>
        <v>2.2405045424082832E-3</v>
      </c>
      <c r="Z262">
        <f t="shared" si="295"/>
        <v>0.3922529999494741</v>
      </c>
      <c r="AA262">
        <f t="shared" si="310"/>
        <v>4.6303611011414322E-2</v>
      </c>
      <c r="AB262">
        <f t="shared" si="311"/>
        <v>0.43855661096088844</v>
      </c>
      <c r="AC262" s="96">
        <f t="shared" si="312"/>
        <v>0.87711322192177688</v>
      </c>
      <c r="AD262">
        <f t="shared" si="313"/>
        <v>52617674.067567527</v>
      </c>
      <c r="AE262">
        <f t="shared" si="326"/>
        <v>2.3323543189038552E-3</v>
      </c>
      <c r="AF262">
        <f t="shared" si="296"/>
        <v>6.6452547883578378E-2</v>
      </c>
      <c r="AG262" s="96">
        <f t="shared" si="314"/>
        <v>0.79743057460294053</v>
      </c>
      <c r="AH262" s="96">
        <v>2.3999999999999998E-3</v>
      </c>
      <c r="AI262" s="96">
        <v>3.7000000000000002E-3</v>
      </c>
      <c r="AJ262">
        <f t="shared" si="315"/>
        <v>55665870.358378336</v>
      </c>
      <c r="AM262" s="96">
        <f t="shared" si="297"/>
        <v>0</v>
      </c>
      <c r="AP262">
        <f t="shared" si="298"/>
        <v>7.2274904055859793E-3</v>
      </c>
      <c r="AQ262">
        <f t="shared" si="299"/>
        <v>1.9333102680481527E-2</v>
      </c>
      <c r="AR262">
        <f t="shared" si="300"/>
        <v>7.6806116272429854E-3</v>
      </c>
      <c r="AS262">
        <f t="shared" si="301"/>
        <v>3.9752807477529496E-2</v>
      </c>
      <c r="AT262">
        <f t="shared" si="302"/>
        <v>4.1462659876053479E-2</v>
      </c>
      <c r="AU262">
        <f t="shared" si="303"/>
        <v>7.6806116272429862E-3</v>
      </c>
      <c r="AV262" s="26">
        <f t="shared" si="316"/>
        <v>8.368171385805874E-3</v>
      </c>
      <c r="AW262" s="27">
        <f t="shared" si="317"/>
        <v>2.047378366070142E-2</v>
      </c>
      <c r="AX262" s="27">
        <f t="shared" si="304"/>
        <v>8.82129260746288E-3</v>
      </c>
      <c r="AY262" s="27">
        <f t="shared" si="318"/>
        <v>4.0893488457749386E-2</v>
      </c>
      <c r="AZ262" s="27">
        <f t="shared" si="319"/>
        <v>4.2603340856273375E-2</v>
      </c>
      <c r="BA262" s="93">
        <f t="shared" si="320"/>
        <v>1.492129260746288E-2</v>
      </c>
    </row>
    <row r="263" spans="1:53" x14ac:dyDescent="0.25">
      <c r="A263" s="138">
        <v>0.65</v>
      </c>
      <c r="B263">
        <f t="shared" si="305"/>
        <v>629.26499999999999</v>
      </c>
      <c r="C263" s="132">
        <f t="shared" si="306"/>
        <v>97344511.427553982</v>
      </c>
      <c r="D263">
        <v>1.25</v>
      </c>
      <c r="E263" s="238">
        <f t="shared" si="327"/>
        <v>2.1363751739185075E-3</v>
      </c>
      <c r="F263" s="237">
        <f t="shared" si="321"/>
        <v>4.3148767494444957E-3</v>
      </c>
      <c r="G263">
        <f t="shared" si="307"/>
        <v>393120553.37837803</v>
      </c>
      <c r="H263">
        <f t="shared" si="322"/>
        <v>1.7689634123832715E-3</v>
      </c>
      <c r="I263">
        <f t="shared" si="323"/>
        <v>6.1391890427255437E-2</v>
      </c>
      <c r="J263">
        <f t="shared" si="308"/>
        <v>0</v>
      </c>
      <c r="K263" s="96">
        <f t="shared" si="324"/>
        <v>6.1391890427255437E-2</v>
      </c>
      <c r="L263">
        <f t="shared" si="293"/>
        <v>5.4197047970479702E-3</v>
      </c>
      <c r="M263">
        <f t="shared" si="294"/>
        <v>8.1295571955719553E-3</v>
      </c>
      <c r="S263">
        <v>0.6</v>
      </c>
      <c r="T263">
        <v>0.92</v>
      </c>
      <c r="U263" s="96">
        <v>1.4999999999999999E-2</v>
      </c>
      <c r="V263" s="96">
        <v>1.4E-2</v>
      </c>
      <c r="X263">
        <f t="shared" si="309"/>
        <v>75348106.064189136</v>
      </c>
      <c r="Y263">
        <f t="shared" si="325"/>
        <v>2.2150836178555927E-3</v>
      </c>
      <c r="Z263">
        <f t="shared" si="295"/>
        <v>0.38780246939774227</v>
      </c>
      <c r="AA263">
        <f t="shared" si="310"/>
        <v>4.6568549703987862E-2</v>
      </c>
      <c r="AB263">
        <f t="shared" si="311"/>
        <v>0.43437101910173015</v>
      </c>
      <c r="AC263" s="96">
        <f t="shared" si="312"/>
        <v>0.8687420382034603</v>
      </c>
      <c r="AD263">
        <f t="shared" si="313"/>
        <v>57002480.239864819</v>
      </c>
      <c r="AE263">
        <f t="shared" si="326"/>
        <v>2.3054792662497376E-3</v>
      </c>
      <c r="AF263">
        <f t="shared" si="296"/>
        <v>6.568683415436645E-2</v>
      </c>
      <c r="AG263" s="96">
        <f t="shared" si="314"/>
        <v>0.78824200985239745</v>
      </c>
      <c r="AH263" s="96">
        <v>2.3999999999999998E-3</v>
      </c>
      <c r="AI263" s="96">
        <v>3.7000000000000002E-3</v>
      </c>
      <c r="AJ263">
        <f t="shared" si="315"/>
        <v>60304692.888243191</v>
      </c>
      <c r="AM263" s="96">
        <f t="shared" si="297"/>
        <v>0</v>
      </c>
      <c r="AP263">
        <f t="shared" si="298"/>
        <v>7.4943423662213599E-3</v>
      </c>
      <c r="AQ263">
        <f t="shared" si="299"/>
        <v>1.9461361718117957E-2</v>
      </c>
      <c r="AR263">
        <f t="shared" si="300"/>
        <v>7.9431389911235155E-3</v>
      </c>
      <c r="AS263">
        <f t="shared" si="301"/>
        <v>3.988106651516593E-2</v>
      </c>
      <c r="AT263">
        <f t="shared" si="302"/>
        <v>4.1590918913689913E-2</v>
      </c>
      <c r="AU263">
        <f t="shared" si="303"/>
        <v>7.9431389911235172E-3</v>
      </c>
      <c r="AV263" s="26">
        <f t="shared" si="316"/>
        <v>8.720340557022933E-3</v>
      </c>
      <c r="AW263" s="27">
        <f t="shared" si="317"/>
        <v>2.0687359908919532E-2</v>
      </c>
      <c r="AX263" s="27">
        <f t="shared" si="304"/>
        <v>9.1691371819250904E-3</v>
      </c>
      <c r="AY263" s="27">
        <f t="shared" si="318"/>
        <v>4.1107064705967505E-2</v>
      </c>
      <c r="AZ263" s="27">
        <f t="shared" si="319"/>
        <v>4.2816917104491488E-2</v>
      </c>
      <c r="BA263" s="93">
        <f t="shared" si="320"/>
        <v>1.526913718192509E-2</v>
      </c>
    </row>
    <row r="264" spans="1:53" x14ac:dyDescent="0.25">
      <c r="A264" s="138">
        <v>0.7</v>
      </c>
      <c r="B264">
        <f t="shared" si="305"/>
        <v>677.67</v>
      </c>
      <c r="C264" s="132">
        <f t="shared" si="306"/>
        <v>104832550.76813506</v>
      </c>
      <c r="D264">
        <v>1.25</v>
      </c>
      <c r="E264" s="238">
        <f t="shared" si="327"/>
        <v>2.1143272675460735E-3</v>
      </c>
      <c r="F264" s="237">
        <f t="shared" si="321"/>
        <v>4.2703461820882702E-3</v>
      </c>
      <c r="G264">
        <f t="shared" si="307"/>
        <v>423360595.94594562</v>
      </c>
      <c r="H264">
        <f t="shared" si="322"/>
        <v>1.7519863870402784E-3</v>
      </c>
      <c r="I264">
        <f t="shared" si="323"/>
        <v>6.0802702616845276E-2</v>
      </c>
      <c r="J264">
        <f t="shared" si="308"/>
        <v>0</v>
      </c>
      <c r="K264" s="96">
        <f t="shared" si="324"/>
        <v>6.0802702616845276E-2</v>
      </c>
      <c r="L264">
        <f t="shared" si="293"/>
        <v>5.4197047970479702E-3</v>
      </c>
      <c r="M264">
        <f t="shared" si="294"/>
        <v>8.1295571955719553E-3</v>
      </c>
      <c r="S264">
        <v>0.6</v>
      </c>
      <c r="T264">
        <v>0.92</v>
      </c>
      <c r="U264" s="96">
        <v>1.4999999999999999E-2</v>
      </c>
      <c r="V264" s="96">
        <v>1.4E-2</v>
      </c>
      <c r="X264">
        <f t="shared" si="309"/>
        <v>81144114.222972915</v>
      </c>
      <c r="Y264">
        <f t="shared" si="325"/>
        <v>2.1919029411705741E-3</v>
      </c>
      <c r="Z264">
        <f t="shared" si="295"/>
        <v>0.38374414690901221</v>
      </c>
      <c r="AA264">
        <f t="shared" si="310"/>
        <v>4.6814147126075158E-2</v>
      </c>
      <c r="AB264">
        <f t="shared" si="311"/>
        <v>0.43055829403508739</v>
      </c>
      <c r="AC264" s="96">
        <f t="shared" si="312"/>
        <v>0.86111658807017477</v>
      </c>
      <c r="AD264">
        <f t="shared" si="313"/>
        <v>61387286.41216211</v>
      </c>
      <c r="AE264">
        <f t="shared" si="326"/>
        <v>2.2809784350405673E-3</v>
      </c>
      <c r="AF264">
        <f t="shared" si="296"/>
        <v>6.4988765835192697E-2</v>
      </c>
      <c r="AG264" s="96">
        <f t="shared" si="314"/>
        <v>0.77986519002231236</v>
      </c>
      <c r="AH264" s="96">
        <v>2.3999999999999998E-3</v>
      </c>
      <c r="AI264" s="96">
        <v>3.7000000000000002E-3</v>
      </c>
      <c r="AJ264">
        <f t="shared" si="315"/>
        <v>64943515.418108061</v>
      </c>
      <c r="AM264" s="96">
        <f t="shared" si="297"/>
        <v>0</v>
      </c>
      <c r="AP264">
        <f t="shared" si="298"/>
        <v>7.41929795783522E-3</v>
      </c>
      <c r="AQ264">
        <f t="shared" si="299"/>
        <v>1.92599712966477E-2</v>
      </c>
      <c r="AR264">
        <f t="shared" si="300"/>
        <v>7.8641552358050537E-3</v>
      </c>
      <c r="AS264">
        <f t="shared" si="301"/>
        <v>3.9679676093695673E-2</v>
      </c>
      <c r="AT264">
        <f t="shared" si="302"/>
        <v>4.1389528492219656E-2</v>
      </c>
      <c r="AU264">
        <f t="shared" si="303"/>
        <v>7.864155235805052E-3</v>
      </c>
      <c r="AV264" s="26">
        <f t="shared" si="316"/>
        <v>8.6326435520079018E-3</v>
      </c>
      <c r="AW264" s="27">
        <f t="shared" si="317"/>
        <v>2.0473316890820381E-2</v>
      </c>
      <c r="AX264" s="27">
        <f t="shared" si="304"/>
        <v>9.0775008299777346E-3</v>
      </c>
      <c r="AY264" s="27">
        <f t="shared" si="318"/>
        <v>4.0893021687868347E-2</v>
      </c>
      <c r="AZ264" s="27">
        <f t="shared" si="319"/>
        <v>4.2602874086392337E-2</v>
      </c>
      <c r="BA264" s="93">
        <f t="shared" si="320"/>
        <v>1.5177500829977734E-2</v>
      </c>
    </row>
    <row r="265" spans="1:53" x14ac:dyDescent="0.25">
      <c r="A265" s="138">
        <v>0.75</v>
      </c>
      <c r="B265">
        <f t="shared" si="305"/>
        <v>726.07500000000005</v>
      </c>
      <c r="C265" s="132">
        <f t="shared" si="306"/>
        <v>112320590.10871615</v>
      </c>
      <c r="D265">
        <v>1.25</v>
      </c>
      <c r="E265" s="238">
        <f t="shared" si="327"/>
        <v>2.0940839419263291E-3</v>
      </c>
      <c r="F265" s="237">
        <f t="shared" si="321"/>
        <v>4.2294603601060491E-3</v>
      </c>
      <c r="G265">
        <f t="shared" si="307"/>
        <v>453600638.51351321</v>
      </c>
      <c r="H265">
        <f t="shared" si="322"/>
        <v>1.7363836945737923E-3</v>
      </c>
      <c r="I265">
        <f t="shared" si="323"/>
        <v>6.0261211040723781E-2</v>
      </c>
      <c r="J265">
        <f t="shared" si="308"/>
        <v>0</v>
      </c>
      <c r="K265" s="96">
        <f t="shared" si="324"/>
        <v>6.0261211040723781E-2</v>
      </c>
      <c r="L265">
        <f t="shared" si="293"/>
        <v>5.4197047970479702E-3</v>
      </c>
      <c r="M265">
        <f t="shared" si="294"/>
        <v>8.1295571955719553E-3</v>
      </c>
      <c r="S265">
        <v>0.6</v>
      </c>
      <c r="T265">
        <v>0.92</v>
      </c>
      <c r="U265" s="96">
        <v>1.4999999999999999E-2</v>
      </c>
      <c r="V265" s="96">
        <v>1.4E-2</v>
      </c>
      <c r="X265">
        <f t="shared" si="309"/>
        <v>86940122.381756708</v>
      </c>
      <c r="Y265">
        <f t="shared" si="325"/>
        <v>2.1706237134017131E-3</v>
      </c>
      <c r="Z265">
        <f t="shared" si="295"/>
        <v>0.38001871776082041</v>
      </c>
      <c r="AA265">
        <f t="shared" si="310"/>
        <v>4.7043053536103559E-2</v>
      </c>
      <c r="AB265">
        <f t="shared" si="311"/>
        <v>0.42706177129692396</v>
      </c>
      <c r="AC265" s="96">
        <f t="shared" si="312"/>
        <v>0.85412354259384793</v>
      </c>
      <c r="AD265">
        <f t="shared" si="313"/>
        <v>65772092.584459417</v>
      </c>
      <c r="AE265">
        <f t="shared" si="326"/>
        <v>2.258492264916897E-3</v>
      </c>
      <c r="AF265">
        <f t="shared" si="296"/>
        <v>6.4348098469711207E-2</v>
      </c>
      <c r="AG265" s="96">
        <f t="shared" si="314"/>
        <v>0.77217718163653448</v>
      </c>
      <c r="AH265" s="96">
        <v>2.3999999999999998E-3</v>
      </c>
      <c r="AI265" s="96">
        <v>3.7000000000000002E-3</v>
      </c>
      <c r="AJ265">
        <f t="shared" si="315"/>
        <v>69582337.947972924</v>
      </c>
      <c r="AM265" s="96">
        <f t="shared" si="297"/>
        <v>0</v>
      </c>
      <c r="AP265">
        <f t="shared" si="298"/>
        <v>7.3503684669568173E-3</v>
      </c>
      <c r="AQ265">
        <f t="shared" si="299"/>
        <v>1.9075087785199677E-2</v>
      </c>
      <c r="AR265">
        <f t="shared" si="300"/>
        <v>7.791613101507144E-3</v>
      </c>
      <c r="AS265">
        <f t="shared" si="301"/>
        <v>3.9494792582247647E-2</v>
      </c>
      <c r="AT265">
        <f t="shared" si="302"/>
        <v>4.1204644980771629E-2</v>
      </c>
      <c r="AU265">
        <f t="shared" si="303"/>
        <v>7.7916131015071449E-3</v>
      </c>
      <c r="AV265" s="26">
        <f t="shared" si="316"/>
        <v>8.5520970563596425E-3</v>
      </c>
      <c r="AW265" s="27">
        <f t="shared" si="317"/>
        <v>2.0276816374602505E-2</v>
      </c>
      <c r="AX265" s="27">
        <f t="shared" si="304"/>
        <v>8.99334169090997E-3</v>
      </c>
      <c r="AY265" s="27">
        <f t="shared" si="318"/>
        <v>4.0696521171650471E-2</v>
      </c>
      <c r="AZ265" s="27">
        <f t="shared" si="319"/>
        <v>4.240637357017446E-2</v>
      </c>
      <c r="BA265" s="93">
        <f t="shared" si="320"/>
        <v>1.509334169090997E-2</v>
      </c>
    </row>
    <row r="266" spans="1:53" x14ac:dyDescent="0.25">
      <c r="A266" s="138">
        <v>0.8</v>
      </c>
      <c r="B266">
        <f t="shared" si="305"/>
        <v>774.48</v>
      </c>
      <c r="C266" s="132">
        <f t="shared" si="306"/>
        <v>119808629.44929722</v>
      </c>
      <c r="D266">
        <v>1.25</v>
      </c>
      <c r="E266" s="238">
        <f t="shared" si="327"/>
        <v>2.0753902184975242E-3</v>
      </c>
      <c r="F266" s="237">
        <f t="shared" si="321"/>
        <v>4.191704298545219E-3</v>
      </c>
      <c r="G266">
        <f t="shared" si="307"/>
        <v>483840681.08108073</v>
      </c>
      <c r="H266">
        <f t="shared" si="322"/>
        <v>1.7219623491686962E-3</v>
      </c>
      <c r="I266">
        <f t="shared" si="323"/>
        <v>5.9760718124518997E-2</v>
      </c>
      <c r="J266">
        <f t="shared" si="308"/>
        <v>0</v>
      </c>
      <c r="K266" s="96">
        <f t="shared" si="324"/>
        <v>5.9760718124518997E-2</v>
      </c>
      <c r="L266">
        <f t="shared" si="293"/>
        <v>5.4197047970479702E-3</v>
      </c>
      <c r="M266">
        <f t="shared" si="294"/>
        <v>8.1295571955719553E-3</v>
      </c>
      <c r="S266">
        <v>0.6</v>
      </c>
      <c r="T266">
        <v>0.92</v>
      </c>
      <c r="U266" s="96">
        <v>1.4999999999999999E-2</v>
      </c>
      <c r="V266" s="96">
        <v>1.4E-2</v>
      </c>
      <c r="X266">
        <f t="shared" si="309"/>
        <v>92736130.540540487</v>
      </c>
      <c r="Y266">
        <f t="shared" si="325"/>
        <v>2.1509769358889715E-3</v>
      </c>
      <c r="Z266">
        <f t="shared" si="295"/>
        <v>0.37657908741290375</v>
      </c>
      <c r="AA266">
        <f t="shared" si="310"/>
        <v>4.7257408113564707E-2</v>
      </c>
      <c r="AB266">
        <f t="shared" si="311"/>
        <v>0.42383649552646846</v>
      </c>
      <c r="AC266" s="96">
        <f t="shared" si="312"/>
        <v>0.84767299105293692</v>
      </c>
      <c r="AD266">
        <f t="shared" si="313"/>
        <v>70156898.756756708</v>
      </c>
      <c r="AE266">
        <f t="shared" si="326"/>
        <v>2.2377353448783288E-3</v>
      </c>
      <c r="AF266">
        <f t="shared" si="296"/>
        <v>6.3756700236776001E-2</v>
      </c>
      <c r="AG266" s="96">
        <f t="shared" si="314"/>
        <v>0.76508040284131207</v>
      </c>
      <c r="AH266" s="96">
        <v>2.5000000000000001E-3</v>
      </c>
      <c r="AI266" s="96">
        <v>3.7000000000000002E-3</v>
      </c>
      <c r="AJ266">
        <f t="shared" si="315"/>
        <v>74221160.477837786</v>
      </c>
      <c r="AM266" s="96">
        <f t="shared" si="297"/>
        <v>0</v>
      </c>
      <c r="AP266">
        <f t="shared" si="298"/>
        <v>7.2866920434811015E-3</v>
      </c>
      <c r="AQ266">
        <f t="shared" si="299"/>
        <v>1.8904376965986663E-2</v>
      </c>
      <c r="AR266">
        <f t="shared" si="300"/>
        <v>7.7246042897815125E-3</v>
      </c>
      <c r="AS266">
        <f t="shared" si="301"/>
        <v>3.9324081763034632E-2</v>
      </c>
      <c r="AT266">
        <f t="shared" si="302"/>
        <v>4.1033934161558615E-2</v>
      </c>
      <c r="AU266">
        <f t="shared" si="303"/>
        <v>7.7246042897815117E-3</v>
      </c>
      <c r="AV266" s="26">
        <f t="shared" si="316"/>
        <v>8.4776928958352777E-3</v>
      </c>
      <c r="AW266" s="27">
        <f t="shared" si="317"/>
        <v>2.0095377818340837E-2</v>
      </c>
      <c r="AX266" s="27">
        <f t="shared" si="304"/>
        <v>8.9156051421356887E-3</v>
      </c>
      <c r="AY266" s="27">
        <f t="shared" si="318"/>
        <v>4.0515082615388803E-2</v>
      </c>
      <c r="AZ266" s="27">
        <f t="shared" si="319"/>
        <v>4.2224935013912793E-2</v>
      </c>
      <c r="BA266" s="93">
        <f t="shared" si="320"/>
        <v>1.5115605142135689E-2</v>
      </c>
    </row>
    <row r="267" spans="1:53" x14ac:dyDescent="0.25">
      <c r="A267" s="138">
        <v>0.85</v>
      </c>
      <c r="B267">
        <f t="shared" si="305"/>
        <v>822.88499999999999</v>
      </c>
      <c r="C267" s="132">
        <f t="shared" si="306"/>
        <v>127296668.78987829</v>
      </c>
      <c r="D267">
        <v>1.35</v>
      </c>
      <c r="E267" s="238">
        <f t="shared" si="327"/>
        <v>2.0580404244352809E-3</v>
      </c>
      <c r="F267" s="237">
        <f t="shared" si="321"/>
        <v>4.4891956038633149E-3</v>
      </c>
      <c r="G267">
        <f t="shared" si="307"/>
        <v>514080723.64864832</v>
      </c>
      <c r="H267">
        <f t="shared" si="322"/>
        <v>1.7085665227317265E-3</v>
      </c>
      <c r="I267">
        <f t="shared" si="323"/>
        <v>5.9295815852915212E-2</v>
      </c>
      <c r="J267">
        <f t="shared" si="308"/>
        <v>0</v>
      </c>
      <c r="K267" s="96">
        <f t="shared" si="324"/>
        <v>5.9295815852915212E-2</v>
      </c>
      <c r="L267">
        <f t="shared" si="293"/>
        <v>5.4197047970479702E-3</v>
      </c>
      <c r="M267">
        <f t="shared" si="294"/>
        <v>8.1295571955719553E-3</v>
      </c>
      <c r="S267">
        <v>0.6</v>
      </c>
      <c r="T267">
        <v>0.92</v>
      </c>
      <c r="U267" s="96">
        <v>1.4999999999999999E-2</v>
      </c>
      <c r="V267" s="96">
        <v>1.4E-2</v>
      </c>
      <c r="X267">
        <f t="shared" si="309"/>
        <v>98532138.699324265</v>
      </c>
      <c r="Y267">
        <f t="shared" si="325"/>
        <v>2.1327456716865555E-3</v>
      </c>
      <c r="Z267">
        <f t="shared" si="295"/>
        <v>0.37338727595217691</v>
      </c>
      <c r="AA267">
        <f t="shared" si="310"/>
        <v>4.7458962597406652E-2</v>
      </c>
      <c r="AB267">
        <f t="shared" si="311"/>
        <v>0.42084623854958358</v>
      </c>
      <c r="AC267" s="96">
        <f t="shared" si="312"/>
        <v>0.84169247709916717</v>
      </c>
      <c r="AD267">
        <f t="shared" si="313"/>
        <v>74541704.929053992</v>
      </c>
      <c r="AE267">
        <f t="shared" si="326"/>
        <v>2.2184775555492411E-3</v>
      </c>
      <c r="AF267">
        <f t="shared" si="296"/>
        <v>6.3208014663083012E-2</v>
      </c>
      <c r="AG267" s="96">
        <f t="shared" si="314"/>
        <v>0.75849617595699614</v>
      </c>
      <c r="AH267" s="96">
        <v>2.7499999999999998E-3</v>
      </c>
      <c r="AI267" s="96">
        <v>3.7000000000000002E-3</v>
      </c>
      <c r="AJ267">
        <f t="shared" si="315"/>
        <v>78859983.007702649</v>
      </c>
      <c r="AM267" s="96">
        <f t="shared" si="297"/>
        <v>0</v>
      </c>
      <c r="AP267">
        <f t="shared" si="298"/>
        <v>7.5601062145484255E-3</v>
      </c>
      <c r="AQ267">
        <f t="shared" si="299"/>
        <v>1.9078489253602254E-2</v>
      </c>
      <c r="AR267">
        <f t="shared" si="300"/>
        <v>7.9949288964446721E-3</v>
      </c>
      <c r="AS267">
        <f t="shared" si="301"/>
        <v>3.949819405065022E-2</v>
      </c>
      <c r="AT267">
        <f t="shared" si="302"/>
        <v>4.120804644917421E-2</v>
      </c>
      <c r="AU267">
        <f t="shared" si="303"/>
        <v>7.9949288964446738E-3</v>
      </c>
      <c r="AV267" s="26">
        <f t="shared" si="316"/>
        <v>8.8356341167531317E-3</v>
      </c>
      <c r="AW267" s="27">
        <f t="shared" si="317"/>
        <v>2.0354017155806963E-2</v>
      </c>
      <c r="AX267" s="27">
        <f t="shared" si="304"/>
        <v>9.2704567986493808E-3</v>
      </c>
      <c r="AY267" s="27">
        <f t="shared" si="318"/>
        <v>4.0773721952854933E-2</v>
      </c>
      <c r="AZ267" s="27">
        <f t="shared" si="319"/>
        <v>4.2483574351378915E-2</v>
      </c>
      <c r="BA267" s="93">
        <f t="shared" si="320"/>
        <v>1.5720456798649383E-2</v>
      </c>
    </row>
    <row r="268" spans="1:53" x14ac:dyDescent="0.25">
      <c r="A268" s="138">
        <v>0.9</v>
      </c>
      <c r="B268">
        <f t="shared" si="305"/>
        <v>871.29000000000008</v>
      </c>
      <c r="C268" s="132">
        <f t="shared" si="306"/>
        <v>134784708.13045937</v>
      </c>
      <c r="D268">
        <v>1.35</v>
      </c>
      <c r="E268" s="238">
        <f t="shared" si="327"/>
        <v>2.0418663859618261E-3</v>
      </c>
      <c r="F268" s="237">
        <f t="shared" si="321"/>
        <v>4.4539152364081068E-3</v>
      </c>
      <c r="G268">
        <f t="shared" si="307"/>
        <v>544320766.21621597</v>
      </c>
      <c r="H268">
        <f t="shared" si="322"/>
        <v>1.69606867629724E-3</v>
      </c>
      <c r="I268">
        <f t="shared" si="323"/>
        <v>5.886207798501384E-2</v>
      </c>
      <c r="J268">
        <f t="shared" si="308"/>
        <v>0</v>
      </c>
      <c r="K268" s="96">
        <f t="shared" si="324"/>
        <v>5.886207798501384E-2</v>
      </c>
      <c r="L268">
        <f t="shared" si="293"/>
        <v>5.4197047970479702E-3</v>
      </c>
      <c r="M268">
        <f t="shared" si="294"/>
        <v>8.1295571955719553E-3</v>
      </c>
      <c r="S268">
        <v>0.6</v>
      </c>
      <c r="T268">
        <v>0.92</v>
      </c>
      <c r="U268" s="96">
        <v>1.4999999999999999E-2</v>
      </c>
      <c r="V268" s="96">
        <v>1.4E-2</v>
      </c>
      <c r="X268">
        <f t="shared" si="309"/>
        <v>104328146.85810806</v>
      </c>
      <c r="Y268">
        <f t="shared" si="325"/>
        <v>2.1157525707193045E-3</v>
      </c>
      <c r="Z268">
        <f t="shared" si="295"/>
        <v>0.37041223407804452</v>
      </c>
      <c r="AA268">
        <f t="shared" si="310"/>
        <v>4.76491696383156E-2</v>
      </c>
      <c r="AB268">
        <f t="shared" si="311"/>
        <v>0.41806140371636014</v>
      </c>
      <c r="AC268" s="96">
        <f t="shared" si="312"/>
        <v>0.83612280743272027</v>
      </c>
      <c r="AD268">
        <f t="shared" si="313"/>
        <v>78926511.101351321</v>
      </c>
      <c r="AE268">
        <f t="shared" si="326"/>
        <v>2.2005308105984044E-3</v>
      </c>
      <c r="AF268">
        <f t="shared" si="296"/>
        <v>6.2696682864765013E-2</v>
      </c>
      <c r="AG268" s="96">
        <f t="shared" si="314"/>
        <v>0.75236019437718016</v>
      </c>
      <c r="AH268" s="96">
        <v>3.2499999999999999E-3</v>
      </c>
      <c r="AI268" s="96">
        <v>3.7000000000000002E-3</v>
      </c>
      <c r="AJ268">
        <f t="shared" si="315"/>
        <v>83498805.537567526</v>
      </c>
      <c r="AM268" s="96">
        <f t="shared" si="297"/>
        <v>0</v>
      </c>
      <c r="AP268">
        <f t="shared" si="298"/>
        <v>7.5023627069603915E-3</v>
      </c>
      <c r="AQ268">
        <f t="shared" si="299"/>
        <v>1.8928206112031293E-2</v>
      </c>
      <c r="AR268">
        <f t="shared" si="300"/>
        <v>7.9343080687337524E-3</v>
      </c>
      <c r="AS268">
        <f t="shared" si="301"/>
        <v>3.9347910909079263E-2</v>
      </c>
      <c r="AT268">
        <f t="shared" si="302"/>
        <v>4.1057763307603246E-2</v>
      </c>
      <c r="AU268">
        <f t="shared" si="303"/>
        <v>7.9343080687337524E-3</v>
      </c>
      <c r="AV268" s="26">
        <f t="shared" si="316"/>
        <v>8.7678662981169383E-3</v>
      </c>
      <c r="AW268" s="27">
        <f t="shared" si="317"/>
        <v>2.0193709703187838E-2</v>
      </c>
      <c r="AX268" s="27">
        <f t="shared" si="304"/>
        <v>9.1998116598902991E-3</v>
      </c>
      <c r="AY268" s="27">
        <f t="shared" si="318"/>
        <v>4.0613414500235812E-2</v>
      </c>
      <c r="AZ268" s="27">
        <f t="shared" si="319"/>
        <v>4.2323266898759794E-2</v>
      </c>
      <c r="BA268" s="93">
        <f t="shared" si="320"/>
        <v>1.6149811659890299E-2</v>
      </c>
    </row>
    <row r="269" spans="1:53" x14ac:dyDescent="0.25">
      <c r="A269" s="138">
        <v>0.95</v>
      </c>
      <c r="B269">
        <f t="shared" si="305"/>
        <v>919.69499999999994</v>
      </c>
      <c r="C269" s="132">
        <f t="shared" si="306"/>
        <v>142272747.47104046</v>
      </c>
      <c r="D269">
        <v>1.35</v>
      </c>
      <c r="E269" s="238">
        <f t="shared" si="327"/>
        <v>2.02672893408298E-3</v>
      </c>
      <c r="F269" s="237">
        <f t="shared" si="321"/>
        <v>4.4208959712754231E-3</v>
      </c>
      <c r="G269">
        <f t="shared" si="307"/>
        <v>574560808.78378332</v>
      </c>
      <c r="H269">
        <f t="shared" si="322"/>
        <v>1.6843631730076739E-3</v>
      </c>
      <c r="I269">
        <f t="shared" si="323"/>
        <v>5.8455838392765434E-2</v>
      </c>
      <c r="J269">
        <f t="shared" si="308"/>
        <v>0</v>
      </c>
      <c r="K269" s="96">
        <f t="shared" si="324"/>
        <v>5.8455838392765434E-2</v>
      </c>
      <c r="L269">
        <f t="shared" si="293"/>
        <v>5.4197047970479702E-3</v>
      </c>
      <c r="M269">
        <f t="shared" si="294"/>
        <v>8.1295571955719553E-3</v>
      </c>
      <c r="S269">
        <v>0.6</v>
      </c>
      <c r="T269">
        <v>0.92</v>
      </c>
      <c r="U269" s="96">
        <v>1.4999999999999999E-2</v>
      </c>
      <c r="V269" s="96">
        <v>1.4E-2</v>
      </c>
      <c r="X269">
        <f t="shared" si="309"/>
        <v>110124155.01689182</v>
      </c>
      <c r="Y269">
        <f t="shared" si="325"/>
        <v>2.0998508966758181E-3</v>
      </c>
      <c r="Z269">
        <f t="shared" si="295"/>
        <v>0.36762827214906246</v>
      </c>
      <c r="AA269">
        <f t="shared" si="310"/>
        <v>4.7829247304175419E-2</v>
      </c>
      <c r="AB269">
        <f t="shared" si="311"/>
        <v>0.41545751945323789</v>
      </c>
      <c r="AC269" s="96">
        <f t="shared" si="312"/>
        <v>0.83091503890647578</v>
      </c>
      <c r="AD269">
        <f t="shared" si="313"/>
        <v>83311317.27364859</v>
      </c>
      <c r="AE269">
        <f t="shared" si="326"/>
        <v>2.1837395221094807E-3</v>
      </c>
      <c r="AF269">
        <f t="shared" si="296"/>
        <v>6.221827189037174E-2</v>
      </c>
      <c r="AG269" s="96">
        <f t="shared" si="314"/>
        <v>0.74661926268446088</v>
      </c>
      <c r="AH269" s="96">
        <v>3.7499999999999999E-3</v>
      </c>
      <c r="AI269" s="96">
        <v>3.7000000000000002E-3</v>
      </c>
      <c r="AJ269">
        <f t="shared" si="315"/>
        <v>88137628.067432359</v>
      </c>
      <c r="AM269" s="96">
        <f t="shared" si="297"/>
        <v>0</v>
      </c>
      <c r="AP269">
        <f t="shared" si="298"/>
        <v>7.4483044282586813E-3</v>
      </c>
      <c r="AQ269">
        <f t="shared" si="299"/>
        <v>1.8787567844042341E-2</v>
      </c>
      <c r="AR269">
        <f t="shared" si="300"/>
        <v>7.877559429907784E-3</v>
      </c>
      <c r="AS269">
        <f t="shared" si="301"/>
        <v>3.9207272641090307E-2</v>
      </c>
      <c r="AT269">
        <f t="shared" si="302"/>
        <v>4.0917125039614297E-2</v>
      </c>
      <c r="AU269">
        <f t="shared" si="303"/>
        <v>7.877559429907784E-3</v>
      </c>
      <c r="AV269" s="26">
        <f t="shared" si="316"/>
        <v>8.7044261617945026E-3</v>
      </c>
      <c r="AW269" s="94">
        <f t="shared" si="317"/>
        <v>2.0043689577578162E-2</v>
      </c>
      <c r="AX269" s="94">
        <f t="shared" si="304"/>
        <v>9.1336811634436053E-3</v>
      </c>
      <c r="AY269" s="27">
        <f t="shared" si="318"/>
        <v>4.0463394374626135E-2</v>
      </c>
      <c r="AZ269" s="27">
        <f t="shared" si="319"/>
        <v>4.2173246773150118E-2</v>
      </c>
      <c r="BA269" s="162">
        <f t="shared" si="320"/>
        <v>1.6583681163443605E-2</v>
      </c>
    </row>
  </sheetData>
  <phoneticPr fontId="9" type="noConversion"/>
  <hyperlinks>
    <hyperlink ref="S1" r:id="rId1" xr:uid="{27F251C3-8A3A-499A-BD28-41780453CFF6}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E249-1E0B-4025-ADFA-1F294C3A61DC}">
  <dimension ref="A1:T94"/>
  <sheetViews>
    <sheetView zoomScale="70" zoomScaleNormal="70" workbookViewId="0">
      <selection activeCell="AA109" sqref="AA109"/>
    </sheetView>
  </sheetViews>
  <sheetFormatPr defaultRowHeight="15" x14ac:dyDescent="0.25"/>
  <cols>
    <col min="1" max="1" width="11.5703125" bestFit="1" customWidth="1"/>
    <col min="2" max="2" width="9.5703125" bestFit="1" customWidth="1"/>
    <col min="4" max="4" width="37.140625" bestFit="1" customWidth="1"/>
    <col min="5" max="5" width="12.140625" bestFit="1" customWidth="1"/>
    <col min="9" max="9" width="13.7109375" bestFit="1" customWidth="1"/>
    <col min="10" max="10" width="14.7109375" bestFit="1" customWidth="1"/>
    <col min="13" max="13" width="10.85546875" bestFit="1" customWidth="1"/>
    <col min="17" max="17" width="9.7109375" bestFit="1" customWidth="1"/>
    <col min="20" max="20" width="11.85546875" bestFit="1" customWidth="1"/>
  </cols>
  <sheetData>
    <row r="1" spans="1:20" x14ac:dyDescent="0.25">
      <c r="A1" t="s">
        <v>225</v>
      </c>
      <c r="B1" t="s">
        <v>227</v>
      </c>
      <c r="G1" s="75" t="s">
        <v>180</v>
      </c>
      <c r="H1" s="28">
        <v>0</v>
      </c>
      <c r="I1" t="s">
        <v>124</v>
      </c>
      <c r="J1" t="s">
        <v>181</v>
      </c>
      <c r="K1" t="s">
        <v>153</v>
      </c>
      <c r="L1" s="28">
        <v>489</v>
      </c>
      <c r="M1" t="s">
        <v>150</v>
      </c>
      <c r="N1" t="s">
        <v>233</v>
      </c>
    </row>
    <row r="2" spans="1:20" x14ac:dyDescent="0.25">
      <c r="A2" t="s">
        <v>93</v>
      </c>
      <c r="B2">
        <f>B3*B4*B9</f>
        <v>0</v>
      </c>
      <c r="C2" t="s">
        <v>146</v>
      </c>
      <c r="D2" t="s">
        <v>321</v>
      </c>
      <c r="G2" s="75" t="s">
        <v>353</v>
      </c>
      <c r="H2" s="28">
        <v>90</v>
      </c>
      <c r="I2" t="s">
        <v>352</v>
      </c>
      <c r="J2" t="s">
        <v>350</v>
      </c>
      <c r="K2" s="86" t="s">
        <v>362</v>
      </c>
      <c r="L2" s="28">
        <v>24.2</v>
      </c>
      <c r="M2" t="s">
        <v>364</v>
      </c>
      <c r="N2" t="s">
        <v>365</v>
      </c>
    </row>
    <row r="3" spans="1:20" x14ac:dyDescent="0.25">
      <c r="A3" s="70" t="s">
        <v>245</v>
      </c>
      <c r="D3" t="s">
        <v>322</v>
      </c>
      <c r="G3" s="46" t="s">
        <v>177</v>
      </c>
      <c r="H3" s="28">
        <v>2.2428000000000001E-3</v>
      </c>
      <c r="I3" t="s">
        <v>165</v>
      </c>
      <c r="J3" t="s">
        <v>324</v>
      </c>
      <c r="K3" t="s">
        <v>363</v>
      </c>
      <c r="L3" s="28">
        <f>COS(RADIANS(L2))</f>
        <v>0.91212011617227307</v>
      </c>
    </row>
    <row r="4" spans="1:20" x14ac:dyDescent="0.25">
      <c r="A4" s="70" t="s">
        <v>184</v>
      </c>
      <c r="B4">
        <f>0.5*B5*B6^2</f>
        <v>0</v>
      </c>
      <c r="D4" t="s">
        <v>323</v>
      </c>
      <c r="G4" t="s">
        <v>349</v>
      </c>
      <c r="H4" s="28">
        <f>0.3907*10^-6</f>
        <v>3.9069999999999997E-7</v>
      </c>
      <c r="I4" t="s">
        <v>354</v>
      </c>
      <c r="J4" t="s">
        <v>351</v>
      </c>
    </row>
    <row r="5" spans="1:20" x14ac:dyDescent="0.25">
      <c r="A5" s="61" t="s">
        <v>177</v>
      </c>
      <c r="C5" t="s">
        <v>165</v>
      </c>
      <c r="D5" t="s">
        <v>324</v>
      </c>
      <c r="G5" s="75" t="s">
        <v>142</v>
      </c>
      <c r="H5" s="28">
        <v>1100</v>
      </c>
      <c r="I5" t="s">
        <v>135</v>
      </c>
      <c r="J5" t="s">
        <v>327</v>
      </c>
    </row>
    <row r="6" spans="1:20" x14ac:dyDescent="0.25">
      <c r="A6" s="71" t="s">
        <v>320</v>
      </c>
      <c r="B6">
        <f>B7*B8</f>
        <v>0</v>
      </c>
      <c r="D6" t="s">
        <v>325</v>
      </c>
      <c r="I6" s="89" t="s">
        <v>207</v>
      </c>
      <c r="J6" s="2"/>
      <c r="K6" s="2"/>
      <c r="L6" s="2"/>
      <c r="M6" s="3"/>
      <c r="N6" s="89" t="s">
        <v>379</v>
      </c>
      <c r="O6" s="2"/>
      <c r="P6" s="2"/>
      <c r="Q6" s="2"/>
      <c r="R6" s="3"/>
      <c r="S6" t="s">
        <v>513</v>
      </c>
    </row>
    <row r="7" spans="1:20" x14ac:dyDescent="0.25">
      <c r="A7" s="84" t="s">
        <v>182</v>
      </c>
      <c r="D7" t="s">
        <v>326</v>
      </c>
      <c r="I7" s="90" t="s">
        <v>381</v>
      </c>
      <c r="J7" s="91" t="s">
        <v>360</v>
      </c>
      <c r="K7" s="91" t="s">
        <v>219</v>
      </c>
      <c r="L7" s="91" t="s">
        <v>220</v>
      </c>
      <c r="M7" s="92"/>
      <c r="N7" s="90" t="s">
        <v>371</v>
      </c>
      <c r="O7" s="91" t="s">
        <v>372</v>
      </c>
      <c r="P7" s="91" t="s">
        <v>373</v>
      </c>
      <c r="Q7" s="91" t="s">
        <v>380</v>
      </c>
      <c r="R7" s="92" t="s">
        <v>376</v>
      </c>
    </row>
    <row r="8" spans="1:20" x14ac:dyDescent="0.25">
      <c r="A8" s="84" t="s">
        <v>142</v>
      </c>
      <c r="D8" t="s">
        <v>327</v>
      </c>
      <c r="I8" s="26">
        <v>50</v>
      </c>
      <c r="J8" s="27"/>
      <c r="K8" s="27"/>
      <c r="L8" s="27"/>
      <c r="M8" s="93"/>
      <c r="N8" s="26"/>
      <c r="O8" s="27">
        <f>SQRT($N$8/0.7854)</f>
        <v>0</v>
      </c>
      <c r="P8" s="27"/>
      <c r="Q8" s="27"/>
      <c r="R8" s="93"/>
      <c r="S8" s="86" t="s">
        <v>243</v>
      </c>
    </row>
    <row r="9" spans="1:20" x14ac:dyDescent="0.25">
      <c r="A9" s="70" t="s">
        <v>153</v>
      </c>
      <c r="C9" t="s">
        <v>150</v>
      </c>
      <c r="D9" t="s">
        <v>233</v>
      </c>
      <c r="G9" s="75" t="s">
        <v>348</v>
      </c>
      <c r="H9" t="s">
        <v>355</v>
      </c>
      <c r="I9" s="14" t="s">
        <v>374</v>
      </c>
      <c r="J9" s="5" t="s">
        <v>367</v>
      </c>
      <c r="K9" s="5" t="s">
        <v>366</v>
      </c>
      <c r="L9" s="5" t="s">
        <v>357</v>
      </c>
      <c r="M9" s="87" t="s">
        <v>356</v>
      </c>
      <c r="N9" s="18" t="s">
        <v>374</v>
      </c>
      <c r="O9" s="11" t="s">
        <v>366</v>
      </c>
      <c r="P9" s="5" t="s">
        <v>375</v>
      </c>
      <c r="Q9" s="5" t="s">
        <v>377</v>
      </c>
      <c r="R9" s="87" t="s">
        <v>378</v>
      </c>
      <c r="S9" s="11" t="s">
        <v>514</v>
      </c>
      <c r="T9" s="11" t="s">
        <v>515</v>
      </c>
    </row>
    <row r="10" spans="1:20" x14ac:dyDescent="0.25">
      <c r="G10">
        <v>0</v>
      </c>
      <c r="H10">
        <f>G10*$H$5</f>
        <v>0</v>
      </c>
      <c r="I10" s="14">
        <f>($H$3*H10*($I$8/12))/$H$4</f>
        <v>0</v>
      </c>
      <c r="J10" s="5"/>
      <c r="K10" s="5"/>
      <c r="L10" s="5">
        <f>($H$3*H10*($L$8/12))/$H$4</f>
        <v>0</v>
      </c>
      <c r="M10" s="87">
        <f>(I10*J10*K10)*(1+$J$8*$K$8+100*$K$8^4)*($L$8/$L$1)</f>
        <v>0</v>
      </c>
      <c r="N10" s="18">
        <f>($H$3*$H$10*$Q$8)/$H$4</f>
        <v>0</v>
      </c>
      <c r="O10" s="11"/>
      <c r="P10" s="5" t="e">
        <f>K10*(1+(60/(($Q$8/$O$8)^3))+0.0025*($Q$8/$O$8))*($N$8/$P$8)</f>
        <v>#DIV/0!</v>
      </c>
      <c r="Q10" s="5" t="e">
        <f>(0.029*($R$8/$O$8)^3)/SQRT(P10)</f>
        <v>#DIV/0!</v>
      </c>
      <c r="R10" s="87" t="e">
        <f>P10+Q10</f>
        <v>#DIV/0!</v>
      </c>
      <c r="S10">
        <v>5.9999999999999995E-4</v>
      </c>
    </row>
    <row r="11" spans="1:20" x14ac:dyDescent="0.25">
      <c r="A11" s="302" t="s">
        <v>328</v>
      </c>
      <c r="B11" s="302"/>
      <c r="C11" s="302"/>
      <c r="D11" s="302"/>
      <c r="E11" t="s">
        <v>208</v>
      </c>
      <c r="G11">
        <v>0.05</v>
      </c>
      <c r="H11">
        <f t="shared" ref="H11:H28" si="0">G11*$H$5</f>
        <v>55</v>
      </c>
      <c r="I11" s="14">
        <f t="shared" ref="I11:I29" si="1">($H$3*H11*$J$8)/$H$4</f>
        <v>0</v>
      </c>
      <c r="J11" s="5"/>
      <c r="K11" s="5"/>
      <c r="L11" s="5">
        <f t="shared" ref="L11:L29" si="2">($H$3*H11*($M$8/12))/$H$4</f>
        <v>0</v>
      </c>
      <c r="M11" s="87">
        <f t="shared" ref="M11:M29" si="3">(I11*J11*K11)*(1+$J$8*$K$8+100*$K$8^4)*($L$8/$L$1)</f>
        <v>0</v>
      </c>
      <c r="N11" s="18">
        <f t="shared" ref="N11:N29" si="4">($H$3*$H$10*$Q$8)/$H$4</f>
        <v>0</v>
      </c>
      <c r="O11" s="11"/>
      <c r="P11" s="5" t="e">
        <f t="shared" ref="P11:P29" si="5">K11*(1+(60/(($Q$8/$O$8)^3))+0.0025*($Q$8/$O$8))*($N$8/$P$8)</f>
        <v>#DIV/0!</v>
      </c>
      <c r="Q11" s="5" t="e">
        <f t="shared" ref="Q11:Q29" si="6">(0.029*($R$8/$O$8)^3)/SQRT(P11)</f>
        <v>#DIV/0!</v>
      </c>
      <c r="R11" s="87" t="e">
        <f t="shared" ref="R11:R29" si="7">P11+Q11</f>
        <v>#DIV/0!</v>
      </c>
    </row>
    <row r="12" spans="1:20" x14ac:dyDescent="0.25">
      <c r="A12" t="s">
        <v>209</v>
      </c>
      <c r="B12" t="e">
        <f>B13+B21</f>
        <v>#DIV/0!</v>
      </c>
      <c r="D12" t="s">
        <v>212</v>
      </c>
      <c r="E12" t="s">
        <v>330</v>
      </c>
      <c r="G12">
        <v>0.1</v>
      </c>
      <c r="H12">
        <f t="shared" si="0"/>
        <v>110</v>
      </c>
      <c r="I12" s="14">
        <f t="shared" si="1"/>
        <v>0</v>
      </c>
      <c r="J12" s="5"/>
      <c r="K12" s="5"/>
      <c r="L12" s="5">
        <f t="shared" si="2"/>
        <v>0</v>
      </c>
      <c r="M12" s="87">
        <f t="shared" si="3"/>
        <v>0</v>
      </c>
      <c r="N12" s="18">
        <f t="shared" si="4"/>
        <v>0</v>
      </c>
      <c r="O12" s="11"/>
      <c r="P12" s="5" t="e">
        <f t="shared" si="5"/>
        <v>#DIV/0!</v>
      </c>
      <c r="Q12" s="5" t="e">
        <f t="shared" si="6"/>
        <v>#DIV/0!</v>
      </c>
      <c r="R12" s="87" t="e">
        <f t="shared" si="7"/>
        <v>#DIV/0!</v>
      </c>
    </row>
    <row r="13" spans="1:20" x14ac:dyDescent="0.25">
      <c r="A13" s="70" t="s">
        <v>210</v>
      </c>
      <c r="B13" t="e">
        <f>(B14*B15*B16)*(1+B17*B18+100*B18^4)*(B19/B20)</f>
        <v>#DIV/0!</v>
      </c>
      <c r="D13" t="s">
        <v>213</v>
      </c>
      <c r="E13" t="s">
        <v>331</v>
      </c>
      <c r="G13">
        <v>0.15</v>
      </c>
      <c r="H13">
        <f t="shared" si="0"/>
        <v>165</v>
      </c>
      <c r="I13" s="14">
        <f t="shared" si="1"/>
        <v>0</v>
      </c>
      <c r="J13" s="5"/>
      <c r="K13" s="5"/>
      <c r="L13" s="5">
        <f t="shared" si="2"/>
        <v>0</v>
      </c>
      <c r="M13" s="87">
        <f t="shared" si="3"/>
        <v>0</v>
      </c>
      <c r="N13" s="18">
        <f t="shared" si="4"/>
        <v>0</v>
      </c>
      <c r="O13" s="11"/>
      <c r="P13" s="5" t="e">
        <f t="shared" si="5"/>
        <v>#DIV/0!</v>
      </c>
      <c r="Q13" s="5" t="e">
        <f t="shared" si="6"/>
        <v>#DIV/0!</v>
      </c>
      <c r="R13" s="87" t="e">
        <f t="shared" si="7"/>
        <v>#DIV/0!</v>
      </c>
    </row>
    <row r="14" spans="1:20" x14ac:dyDescent="0.25">
      <c r="A14" s="71" t="s">
        <v>215</v>
      </c>
      <c r="D14" t="s">
        <v>329</v>
      </c>
      <c r="E14" t="s">
        <v>332</v>
      </c>
      <c r="G14">
        <v>0.2</v>
      </c>
      <c r="H14">
        <f t="shared" si="0"/>
        <v>220</v>
      </c>
      <c r="I14" s="14">
        <f t="shared" si="1"/>
        <v>0</v>
      </c>
      <c r="J14" s="5"/>
      <c r="K14" s="5"/>
      <c r="L14" s="5">
        <f t="shared" si="2"/>
        <v>0</v>
      </c>
      <c r="M14" s="87">
        <f t="shared" si="3"/>
        <v>0</v>
      </c>
      <c r="N14" s="18">
        <f t="shared" si="4"/>
        <v>0</v>
      </c>
      <c r="O14" s="11"/>
      <c r="P14" s="5" t="e">
        <f t="shared" si="5"/>
        <v>#DIV/0!</v>
      </c>
      <c r="Q14" s="5" t="e">
        <f t="shared" si="6"/>
        <v>#DIV/0!</v>
      </c>
      <c r="R14" s="87" t="e">
        <f t="shared" si="7"/>
        <v>#DIV/0!</v>
      </c>
    </row>
    <row r="15" spans="1:20" x14ac:dyDescent="0.25">
      <c r="A15" s="71" t="s">
        <v>216</v>
      </c>
      <c r="D15" t="s">
        <v>333</v>
      </c>
      <c r="E15" t="s">
        <v>334</v>
      </c>
      <c r="G15">
        <v>0.25</v>
      </c>
      <c r="H15">
        <f t="shared" si="0"/>
        <v>275</v>
      </c>
      <c r="I15" s="14">
        <f t="shared" si="1"/>
        <v>0</v>
      </c>
      <c r="J15" s="5"/>
      <c r="K15" s="5"/>
      <c r="L15" s="5">
        <f t="shared" si="2"/>
        <v>0</v>
      </c>
      <c r="M15" s="87">
        <f t="shared" si="3"/>
        <v>0</v>
      </c>
      <c r="N15" s="18">
        <f t="shared" si="4"/>
        <v>0</v>
      </c>
      <c r="O15" s="11"/>
      <c r="P15" s="5" t="e">
        <f t="shared" si="5"/>
        <v>#DIV/0!</v>
      </c>
      <c r="Q15" s="5" t="e">
        <f t="shared" si="6"/>
        <v>#DIV/0!</v>
      </c>
      <c r="R15" s="87" t="e">
        <f t="shared" si="7"/>
        <v>#DIV/0!</v>
      </c>
    </row>
    <row r="16" spans="1:20" x14ac:dyDescent="0.25">
      <c r="A16" s="71" t="s">
        <v>217</v>
      </c>
      <c r="D16" t="s">
        <v>335</v>
      </c>
      <c r="E16" t="s">
        <v>336</v>
      </c>
      <c r="G16">
        <v>0.3</v>
      </c>
      <c r="H16">
        <f t="shared" si="0"/>
        <v>330</v>
      </c>
      <c r="I16" s="14">
        <f t="shared" si="1"/>
        <v>0</v>
      </c>
      <c r="J16" s="5"/>
      <c r="K16" s="5"/>
      <c r="L16" s="5">
        <f t="shared" si="2"/>
        <v>0</v>
      </c>
      <c r="M16" s="87">
        <f t="shared" si="3"/>
        <v>0</v>
      </c>
      <c r="N16" s="18">
        <f t="shared" si="4"/>
        <v>0</v>
      </c>
      <c r="O16" s="11"/>
      <c r="P16" s="5" t="e">
        <f t="shared" si="5"/>
        <v>#DIV/0!</v>
      </c>
      <c r="Q16" s="5" t="e">
        <f t="shared" si="6"/>
        <v>#DIV/0!</v>
      </c>
      <c r="R16" s="87" t="e">
        <f t="shared" si="7"/>
        <v>#DIV/0!</v>
      </c>
    </row>
    <row r="17" spans="1:18" x14ac:dyDescent="0.25">
      <c r="A17" s="71" t="s">
        <v>218</v>
      </c>
      <c r="D17" t="s">
        <v>337</v>
      </c>
      <c r="E17" t="s">
        <v>338</v>
      </c>
      <c r="G17">
        <v>0.35</v>
      </c>
      <c r="H17">
        <f t="shared" si="0"/>
        <v>385</v>
      </c>
      <c r="I17" s="14">
        <f t="shared" si="1"/>
        <v>0</v>
      </c>
      <c r="J17" s="5"/>
      <c r="K17" s="5"/>
      <c r="L17" s="5">
        <f t="shared" si="2"/>
        <v>0</v>
      </c>
      <c r="M17" s="87">
        <f t="shared" si="3"/>
        <v>0</v>
      </c>
      <c r="N17" s="18">
        <f t="shared" si="4"/>
        <v>0</v>
      </c>
      <c r="O17" s="11"/>
      <c r="P17" s="5" t="e">
        <f t="shared" si="5"/>
        <v>#DIV/0!</v>
      </c>
      <c r="Q17" s="5" t="e">
        <f t="shared" si="6"/>
        <v>#DIV/0!</v>
      </c>
      <c r="R17" s="87" t="e">
        <f t="shared" si="7"/>
        <v>#DIV/0!</v>
      </c>
    </row>
    <row r="18" spans="1:18" x14ac:dyDescent="0.25">
      <c r="A18" s="71" t="s">
        <v>219</v>
      </c>
      <c r="D18" t="s">
        <v>339</v>
      </c>
      <c r="E18" t="s">
        <v>340</v>
      </c>
      <c r="G18">
        <v>0.4</v>
      </c>
      <c r="H18">
        <f t="shared" si="0"/>
        <v>440</v>
      </c>
      <c r="I18" s="14">
        <f t="shared" si="1"/>
        <v>0</v>
      </c>
      <c r="J18" s="5"/>
      <c r="K18" s="5"/>
      <c r="L18" s="5">
        <f t="shared" si="2"/>
        <v>0</v>
      </c>
      <c r="M18" s="87">
        <f t="shared" si="3"/>
        <v>0</v>
      </c>
      <c r="N18" s="18">
        <f t="shared" si="4"/>
        <v>0</v>
      </c>
      <c r="O18" s="11"/>
      <c r="P18" s="5" t="e">
        <f t="shared" si="5"/>
        <v>#DIV/0!</v>
      </c>
      <c r="Q18" s="5" t="e">
        <f t="shared" si="6"/>
        <v>#DIV/0!</v>
      </c>
      <c r="R18" s="87" t="e">
        <f t="shared" si="7"/>
        <v>#DIV/0!</v>
      </c>
    </row>
    <row r="19" spans="1:18" x14ac:dyDescent="0.25">
      <c r="A19" s="71" t="s">
        <v>220</v>
      </c>
      <c r="D19" t="s">
        <v>341</v>
      </c>
      <c r="E19" t="s">
        <v>342</v>
      </c>
      <c r="G19">
        <v>0.45</v>
      </c>
      <c r="H19">
        <f t="shared" si="0"/>
        <v>495</v>
      </c>
      <c r="I19" s="14">
        <f t="shared" si="1"/>
        <v>0</v>
      </c>
      <c r="J19" s="5"/>
      <c r="K19" s="5"/>
      <c r="L19" s="5">
        <f t="shared" si="2"/>
        <v>0</v>
      </c>
      <c r="M19" s="87">
        <f t="shared" si="3"/>
        <v>0</v>
      </c>
      <c r="N19" s="18">
        <f t="shared" si="4"/>
        <v>0</v>
      </c>
      <c r="O19" s="11"/>
      <c r="P19" s="5" t="e">
        <f t="shared" si="5"/>
        <v>#DIV/0!</v>
      </c>
      <c r="Q19" s="5" t="e">
        <f t="shared" si="6"/>
        <v>#DIV/0!</v>
      </c>
      <c r="R19" s="87" t="e">
        <f t="shared" si="7"/>
        <v>#DIV/0!</v>
      </c>
    </row>
    <row r="20" spans="1:18" x14ac:dyDescent="0.25">
      <c r="A20" s="71" t="s">
        <v>153</v>
      </c>
      <c r="B20">
        <f>B9</f>
        <v>0</v>
      </c>
      <c r="D20" t="s">
        <v>233</v>
      </c>
      <c r="E20" t="s">
        <v>343</v>
      </c>
      <c r="G20">
        <v>0.5</v>
      </c>
      <c r="H20">
        <f t="shared" si="0"/>
        <v>550</v>
      </c>
      <c r="I20" s="14">
        <f t="shared" si="1"/>
        <v>0</v>
      </c>
      <c r="J20" s="5"/>
      <c r="K20" s="5"/>
      <c r="L20" s="5">
        <f t="shared" si="2"/>
        <v>0</v>
      </c>
      <c r="M20" s="87">
        <f t="shared" si="3"/>
        <v>0</v>
      </c>
      <c r="N20" s="18">
        <f t="shared" si="4"/>
        <v>0</v>
      </c>
      <c r="O20" s="11"/>
      <c r="P20" s="5" t="e">
        <f t="shared" si="5"/>
        <v>#DIV/0!</v>
      </c>
      <c r="Q20" s="5" t="e">
        <f t="shared" si="6"/>
        <v>#DIV/0!</v>
      </c>
      <c r="R20" s="87" t="e">
        <f t="shared" si="7"/>
        <v>#DIV/0!</v>
      </c>
    </row>
    <row r="21" spans="1:18" x14ac:dyDescent="0.25">
      <c r="A21" s="70" t="s">
        <v>211</v>
      </c>
      <c r="D21" t="s">
        <v>214</v>
      </c>
      <c r="E21" t="s">
        <v>344</v>
      </c>
      <c r="G21">
        <v>0.55000000000000004</v>
      </c>
      <c r="H21">
        <f t="shared" si="0"/>
        <v>605</v>
      </c>
      <c r="I21" s="14">
        <f t="shared" si="1"/>
        <v>0</v>
      </c>
      <c r="J21" s="5"/>
      <c r="K21" s="5"/>
      <c r="L21" s="5">
        <f t="shared" si="2"/>
        <v>0</v>
      </c>
      <c r="M21" s="87">
        <f t="shared" si="3"/>
        <v>0</v>
      </c>
      <c r="N21" s="18">
        <f t="shared" si="4"/>
        <v>0</v>
      </c>
      <c r="O21" s="11"/>
      <c r="P21" s="5" t="e">
        <f t="shared" si="5"/>
        <v>#DIV/0!</v>
      </c>
      <c r="Q21" s="5" t="e">
        <f t="shared" si="6"/>
        <v>#DIV/0!</v>
      </c>
      <c r="R21" s="87" t="e">
        <f t="shared" si="7"/>
        <v>#DIV/0!</v>
      </c>
    </row>
    <row r="22" spans="1:18" x14ac:dyDescent="0.25">
      <c r="A22" s="71" t="s">
        <v>221</v>
      </c>
      <c r="B22" t="e">
        <f>1.05*B23</f>
        <v>#DIV/0!</v>
      </c>
      <c r="D22" t="s">
        <v>345</v>
      </c>
      <c r="E22" t="s">
        <v>346</v>
      </c>
      <c r="G22">
        <v>0.6</v>
      </c>
      <c r="H22">
        <f t="shared" si="0"/>
        <v>660</v>
      </c>
      <c r="I22" s="14">
        <f t="shared" si="1"/>
        <v>0</v>
      </c>
      <c r="J22" s="5"/>
      <c r="K22" s="5"/>
      <c r="L22" s="5">
        <f t="shared" si="2"/>
        <v>0</v>
      </c>
      <c r="M22" s="87">
        <f t="shared" si="3"/>
        <v>0</v>
      </c>
      <c r="N22" s="18">
        <f t="shared" si="4"/>
        <v>0</v>
      </c>
      <c r="O22" s="11"/>
      <c r="P22" s="5" t="e">
        <f t="shared" si="5"/>
        <v>#DIV/0!</v>
      </c>
      <c r="Q22" s="5" t="e">
        <f t="shared" si="6"/>
        <v>#DIV/0!</v>
      </c>
      <c r="R22" s="87" t="e">
        <f t="shared" si="7"/>
        <v>#DIV/0!</v>
      </c>
    </row>
    <row r="23" spans="1:18" x14ac:dyDescent="0.25">
      <c r="A23" s="84" t="s">
        <v>244</v>
      </c>
      <c r="B23" t="e">
        <f>B24/(B25*B26)</f>
        <v>#DIV/0!</v>
      </c>
      <c r="G23">
        <v>0.65</v>
      </c>
      <c r="H23">
        <f t="shared" si="0"/>
        <v>715</v>
      </c>
      <c r="I23" s="14">
        <f t="shared" si="1"/>
        <v>0</v>
      </c>
      <c r="J23" s="5"/>
      <c r="K23" s="5"/>
      <c r="L23" s="5">
        <f t="shared" si="2"/>
        <v>0</v>
      </c>
      <c r="M23" s="87">
        <f t="shared" si="3"/>
        <v>0</v>
      </c>
      <c r="N23" s="18">
        <f t="shared" si="4"/>
        <v>0</v>
      </c>
      <c r="O23" s="11"/>
      <c r="P23" s="5" t="e">
        <f t="shared" si="5"/>
        <v>#DIV/0!</v>
      </c>
      <c r="Q23" s="5" t="e">
        <f t="shared" si="6"/>
        <v>#DIV/0!</v>
      </c>
      <c r="R23" s="87" t="e">
        <f t="shared" si="7"/>
        <v>#DIV/0!</v>
      </c>
    </row>
    <row r="24" spans="1:18" x14ac:dyDescent="0.25">
      <c r="A24" s="85" t="s">
        <v>347</v>
      </c>
      <c r="G24">
        <v>0.7</v>
      </c>
      <c r="H24">
        <f t="shared" si="0"/>
        <v>770</v>
      </c>
      <c r="I24" s="14">
        <f t="shared" si="1"/>
        <v>0</v>
      </c>
      <c r="J24" s="5"/>
      <c r="K24" s="5"/>
      <c r="L24" s="5">
        <f t="shared" si="2"/>
        <v>0</v>
      </c>
      <c r="M24" s="87">
        <f t="shared" si="3"/>
        <v>0</v>
      </c>
      <c r="N24" s="18">
        <f t="shared" si="4"/>
        <v>0</v>
      </c>
      <c r="O24" s="11"/>
      <c r="P24" s="5" t="e">
        <f t="shared" si="5"/>
        <v>#DIV/0!</v>
      </c>
      <c r="Q24" s="5" t="e">
        <f t="shared" si="6"/>
        <v>#DIV/0!</v>
      </c>
      <c r="R24" s="87" t="e">
        <f t="shared" si="7"/>
        <v>#DIV/0!</v>
      </c>
    </row>
    <row r="25" spans="1:18" x14ac:dyDescent="0.25">
      <c r="A25" s="85" t="s">
        <v>184</v>
      </c>
      <c r="G25">
        <v>0.75</v>
      </c>
      <c r="H25">
        <f t="shared" si="0"/>
        <v>825</v>
      </c>
      <c r="I25" s="14">
        <f t="shared" si="1"/>
        <v>0</v>
      </c>
      <c r="J25" s="5"/>
      <c r="K25" s="5"/>
      <c r="L25" s="5">
        <f t="shared" si="2"/>
        <v>0</v>
      </c>
      <c r="M25" s="87">
        <f t="shared" si="3"/>
        <v>0</v>
      </c>
      <c r="N25" s="18">
        <f t="shared" si="4"/>
        <v>0</v>
      </c>
      <c r="O25" s="11"/>
      <c r="P25" s="5" t="e">
        <f t="shared" si="5"/>
        <v>#DIV/0!</v>
      </c>
      <c r="Q25" s="5" t="e">
        <f t="shared" si="6"/>
        <v>#DIV/0!</v>
      </c>
      <c r="R25" s="87" t="e">
        <f t="shared" si="7"/>
        <v>#DIV/0!</v>
      </c>
    </row>
    <row r="26" spans="1:18" x14ac:dyDescent="0.25">
      <c r="A26" s="85" t="s">
        <v>153</v>
      </c>
      <c r="B26">
        <f>B9</f>
        <v>0</v>
      </c>
      <c r="G26">
        <v>0.8</v>
      </c>
      <c r="H26">
        <f t="shared" si="0"/>
        <v>880</v>
      </c>
      <c r="I26" s="14">
        <f t="shared" si="1"/>
        <v>0</v>
      </c>
      <c r="J26" s="5"/>
      <c r="K26" s="5"/>
      <c r="L26" s="5">
        <f t="shared" si="2"/>
        <v>0</v>
      </c>
      <c r="M26" s="87">
        <f t="shared" si="3"/>
        <v>0</v>
      </c>
      <c r="N26" s="18">
        <f t="shared" si="4"/>
        <v>0</v>
      </c>
      <c r="O26" s="11"/>
      <c r="P26" s="5" t="e">
        <f t="shared" si="5"/>
        <v>#DIV/0!</v>
      </c>
      <c r="Q26" s="5" t="e">
        <f t="shared" si="6"/>
        <v>#DIV/0!</v>
      </c>
      <c r="R26" s="87" t="e">
        <f t="shared" si="7"/>
        <v>#DIV/0!</v>
      </c>
    </row>
    <row r="27" spans="1:18" x14ac:dyDescent="0.25">
      <c r="A27" s="66" t="s">
        <v>189</v>
      </c>
      <c r="G27">
        <v>0.85</v>
      </c>
      <c r="H27">
        <f t="shared" si="0"/>
        <v>935</v>
      </c>
      <c r="I27" s="14">
        <f t="shared" si="1"/>
        <v>0</v>
      </c>
      <c r="J27" s="5"/>
      <c r="K27" s="5"/>
      <c r="L27" s="5">
        <f t="shared" si="2"/>
        <v>0</v>
      </c>
      <c r="M27" s="87">
        <f t="shared" si="3"/>
        <v>0</v>
      </c>
      <c r="N27" s="18">
        <f t="shared" si="4"/>
        <v>0</v>
      </c>
      <c r="O27" s="11"/>
      <c r="P27" s="5" t="e">
        <f t="shared" si="5"/>
        <v>#DIV/0!</v>
      </c>
      <c r="Q27" s="5" t="e">
        <f t="shared" si="6"/>
        <v>#DIV/0!</v>
      </c>
      <c r="R27" s="87" t="e">
        <f t="shared" si="7"/>
        <v>#DIV/0!</v>
      </c>
    </row>
    <row r="28" spans="1:18" x14ac:dyDescent="0.25">
      <c r="A28" s="72" t="s">
        <v>87</v>
      </c>
      <c r="G28">
        <v>0.9</v>
      </c>
      <c r="H28">
        <f t="shared" si="0"/>
        <v>990</v>
      </c>
      <c r="I28" s="14">
        <f t="shared" si="1"/>
        <v>0</v>
      </c>
      <c r="J28" s="5"/>
      <c r="K28" s="5"/>
      <c r="L28" s="5">
        <f t="shared" si="2"/>
        <v>0</v>
      </c>
      <c r="M28" s="87">
        <f t="shared" si="3"/>
        <v>0</v>
      </c>
      <c r="N28" s="18">
        <f t="shared" si="4"/>
        <v>0</v>
      </c>
      <c r="O28" s="11"/>
      <c r="P28" s="5" t="e">
        <f t="shared" si="5"/>
        <v>#DIV/0!</v>
      </c>
      <c r="Q28" s="5" t="e">
        <f t="shared" si="6"/>
        <v>#DIV/0!</v>
      </c>
      <c r="R28" s="87" t="e">
        <f t="shared" si="7"/>
        <v>#DIV/0!</v>
      </c>
    </row>
    <row r="29" spans="1:18" x14ac:dyDescent="0.25">
      <c r="A29" s="72" t="s">
        <v>155</v>
      </c>
      <c r="G29">
        <v>0.95</v>
      </c>
      <c r="H29">
        <f>G29*$H$5</f>
        <v>1045</v>
      </c>
      <c r="I29" s="10">
        <f t="shared" si="1"/>
        <v>0</v>
      </c>
      <c r="J29" s="8"/>
      <c r="K29" s="8"/>
      <c r="L29" s="8">
        <f t="shared" si="2"/>
        <v>0</v>
      </c>
      <c r="M29" s="88">
        <f t="shared" si="3"/>
        <v>0</v>
      </c>
      <c r="N29" s="19">
        <f t="shared" si="4"/>
        <v>0</v>
      </c>
      <c r="O29" s="20"/>
      <c r="P29" s="8" t="e">
        <f t="shared" si="5"/>
        <v>#DIV/0!</v>
      </c>
      <c r="Q29" s="8" t="e">
        <f t="shared" si="6"/>
        <v>#DIV/0!</v>
      </c>
      <c r="R29" s="88" t="e">
        <f t="shared" si="7"/>
        <v>#DIV/0!</v>
      </c>
    </row>
    <row r="30" spans="1:18" x14ac:dyDescent="0.25">
      <c r="A30" s="73" t="s">
        <v>222</v>
      </c>
    </row>
    <row r="31" spans="1:18" x14ac:dyDescent="0.25">
      <c r="A31" s="73" t="s">
        <v>223</v>
      </c>
    </row>
    <row r="32" spans="1:18" x14ac:dyDescent="0.25">
      <c r="A32" s="73" t="s">
        <v>224</v>
      </c>
    </row>
    <row r="47" spans="19:19" x14ac:dyDescent="0.25">
      <c r="S47" t="s">
        <v>361</v>
      </c>
    </row>
    <row r="94" spans="12:13" x14ac:dyDescent="0.25">
      <c r="L94" t="s">
        <v>411</v>
      </c>
      <c r="M94" t="s">
        <v>412</v>
      </c>
    </row>
  </sheetData>
  <mergeCells count="1">
    <mergeCell ref="A11:D1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8193-7E53-43C8-966B-54155958B9C0}">
  <dimension ref="B1:R24"/>
  <sheetViews>
    <sheetView topLeftCell="G1" zoomScale="210" zoomScaleNormal="210" workbookViewId="0">
      <selection activeCell="N18" sqref="N18"/>
    </sheetView>
  </sheetViews>
  <sheetFormatPr defaultRowHeight="15" x14ac:dyDescent="0.25"/>
  <cols>
    <col min="1" max="1" width="30.140625" customWidth="1"/>
    <col min="2" max="2" width="32.7109375" customWidth="1"/>
    <col min="8" max="8" width="30.42578125" customWidth="1"/>
    <col min="9" max="12" width="10.140625" bestFit="1" customWidth="1"/>
    <col min="16" max="16" width="11.42578125" customWidth="1"/>
    <col min="17" max="17" width="21" customWidth="1"/>
    <col min="18" max="18" width="36.28515625" customWidth="1"/>
  </cols>
  <sheetData>
    <row r="1" spans="2:18" x14ac:dyDescent="0.25">
      <c r="H1" t="s">
        <v>1253</v>
      </c>
      <c r="I1" t="s">
        <v>1252</v>
      </c>
      <c r="J1" t="s">
        <v>1251</v>
      </c>
    </row>
    <row r="2" spans="2:18" x14ac:dyDescent="0.25">
      <c r="B2" s="5" t="s">
        <v>1087</v>
      </c>
      <c r="C2" s="5" t="s">
        <v>522</v>
      </c>
      <c r="D2" s="5" t="s">
        <v>287</v>
      </c>
      <c r="E2" s="5" t="s">
        <v>290</v>
      </c>
      <c r="F2" s="5" t="s">
        <v>294</v>
      </c>
      <c r="H2" s="5" t="s">
        <v>1087</v>
      </c>
      <c r="I2" s="5" t="s">
        <v>522</v>
      </c>
      <c r="J2" s="5" t="s">
        <v>287</v>
      </c>
      <c r="K2" s="5" t="s">
        <v>290</v>
      </c>
      <c r="L2" s="5" t="s">
        <v>294</v>
      </c>
      <c r="N2" s="121"/>
      <c r="O2" s="121" t="s">
        <v>94</v>
      </c>
      <c r="P2" s="121" t="s">
        <v>644</v>
      </c>
      <c r="Q2" s="142" t="s">
        <v>1265</v>
      </c>
      <c r="R2" s="142" t="s">
        <v>1268</v>
      </c>
    </row>
    <row r="3" spans="2:18" x14ac:dyDescent="0.25">
      <c r="B3" s="5" t="s">
        <v>207</v>
      </c>
      <c r="C3" s="40">
        <v>773</v>
      </c>
      <c r="D3" s="40">
        <v>773</v>
      </c>
      <c r="E3" s="40">
        <v>773</v>
      </c>
      <c r="F3" s="40">
        <v>773</v>
      </c>
      <c r="H3" s="5" t="s">
        <v>207</v>
      </c>
      <c r="I3" s="289">
        <v>4.9241383831667568E-3</v>
      </c>
      <c r="J3" s="289">
        <v>4.9241383831667568E-3</v>
      </c>
      <c r="K3" s="289">
        <v>4.9241383831667568E-3</v>
      </c>
      <c r="L3" s="289">
        <v>4.9241383831667568E-3</v>
      </c>
      <c r="N3" s="121" t="s">
        <v>1264</v>
      </c>
      <c r="O3" s="121">
        <f>'C_L vs. α'!AK338</f>
        <v>2.1553633099714564</v>
      </c>
      <c r="P3" s="121">
        <f>'C_L vs. α'!AJ338</f>
        <v>14</v>
      </c>
      <c r="Q3" s="121">
        <v>2.1553633099714564</v>
      </c>
      <c r="R3" s="121">
        <f>'CC L&amp;D'!K21+'C_L vs. α'!B370</f>
        <v>5.214407506686277E-3</v>
      </c>
    </row>
    <row r="4" spans="2:18" x14ac:dyDescent="0.25">
      <c r="B4" s="5" t="s">
        <v>1091</v>
      </c>
      <c r="C4" s="40">
        <v>213.68</v>
      </c>
      <c r="D4" s="40">
        <v>213.68</v>
      </c>
      <c r="E4" s="40">
        <v>213.68</v>
      </c>
      <c r="F4" s="40">
        <v>213.68</v>
      </c>
      <c r="H4" s="5" t="s">
        <v>1091</v>
      </c>
      <c r="I4" s="289">
        <v>1.4707157360918852E-3</v>
      </c>
      <c r="J4" s="289">
        <v>1.4707157360918852E-3</v>
      </c>
      <c r="K4" s="289">
        <v>1.4707157360918852E-3</v>
      </c>
      <c r="L4" s="289">
        <v>1.4707157360918852E-3</v>
      </c>
      <c r="N4" s="121" t="s">
        <v>246</v>
      </c>
      <c r="O4" s="121">
        <f>'C_L vs. α'!AM338</f>
        <v>2.4282756080709045</v>
      </c>
      <c r="P4" s="121">
        <f>'C_L vs. α'!AL338</f>
        <v>14</v>
      </c>
      <c r="Q4" s="121">
        <v>2.4282756080709045</v>
      </c>
      <c r="R4" s="121">
        <f>'CC L&amp;D'!K21+'C_L vs. α'!C370</f>
        <v>3.604478031457377E-3</v>
      </c>
    </row>
    <row r="5" spans="2:18" x14ac:dyDescent="0.25">
      <c r="B5" s="5" t="s">
        <v>1248</v>
      </c>
      <c r="C5" s="40">
        <v>856.18</v>
      </c>
      <c r="D5" s="40">
        <v>856.18</v>
      </c>
      <c r="E5" s="40">
        <v>856.18</v>
      </c>
      <c r="F5" s="40">
        <v>856.18</v>
      </c>
      <c r="H5" s="5" t="s">
        <v>1248</v>
      </c>
      <c r="I5" s="289">
        <v>8.4318075801983736E-2</v>
      </c>
      <c r="J5" s="289">
        <v>8.4318075801983736E-2</v>
      </c>
      <c r="K5" s="289">
        <v>8.4318075801983736E-2</v>
      </c>
      <c r="L5" s="289">
        <v>8.4318075801983736E-2</v>
      </c>
    </row>
    <row r="6" spans="2:18" x14ac:dyDescent="0.25">
      <c r="B6" s="5" t="s">
        <v>1249</v>
      </c>
      <c r="C6" s="283">
        <v>63.56</v>
      </c>
      <c r="D6" s="283">
        <v>63.56</v>
      </c>
      <c r="E6" s="283">
        <v>63.56</v>
      </c>
      <c r="F6" s="283">
        <v>63.56</v>
      </c>
      <c r="H6" s="27" t="s">
        <v>1246</v>
      </c>
      <c r="I6" s="291">
        <f>SUM(I3:I5)</f>
        <v>9.0712929921242372E-2</v>
      </c>
      <c r="J6" s="291">
        <f>SUM(J3:J5)</f>
        <v>9.0712929921242372E-2</v>
      </c>
      <c r="K6" s="291">
        <f>SUM(K3:K5)</f>
        <v>9.0712929921242372E-2</v>
      </c>
      <c r="L6" s="291">
        <f>SUM(L3:L5)</f>
        <v>9.0712929921242372E-2</v>
      </c>
    </row>
    <row r="7" spans="2:18" x14ac:dyDescent="0.25">
      <c r="B7" s="5" t="s">
        <v>1250</v>
      </c>
      <c r="C7" s="283">
        <v>11.28</v>
      </c>
      <c r="D7" s="283">
        <v>11.28</v>
      </c>
      <c r="E7" s="283">
        <v>11.28</v>
      </c>
      <c r="F7" s="283">
        <v>11.28</v>
      </c>
      <c r="H7" s="5"/>
      <c r="I7" s="289"/>
      <c r="J7" s="289"/>
      <c r="K7" s="289"/>
      <c r="L7" s="289"/>
    </row>
    <row r="8" spans="2:18" x14ac:dyDescent="0.25">
      <c r="B8" s="5" t="s">
        <v>1092</v>
      </c>
      <c r="C8" s="283">
        <v>5.32</v>
      </c>
      <c r="D8" s="283">
        <v>5.32</v>
      </c>
      <c r="E8" s="283">
        <v>5.32</v>
      </c>
      <c r="F8" s="283">
        <v>5.32</v>
      </c>
      <c r="H8" s="5" t="s">
        <v>1242</v>
      </c>
      <c r="I8" s="289"/>
      <c r="J8" s="289">
        <f>'Sub C_D_0'!AC43*('Sub C_D_0'!$AF$2/'Sub C_D_0'!$F$1)+'Sub C_D_0'!AG43*('Sub C_D_0'!AF4/'Sub C_D_0'!F1)+'Sub C_D_0'!AH43*('Sub C_D_0'!AK1/'Sub C_D_0'!F1)+'Sub C_D_0'!AI43*('Sub C_D_0'!AL3/'Sub C_D_0'!F1)</f>
        <v>1.6314854467889519E-2</v>
      </c>
      <c r="K8" s="289">
        <v>1.6314854467889519E-2</v>
      </c>
      <c r="L8" s="289">
        <v>1.6314854467889519E-2</v>
      </c>
    </row>
    <row r="9" spans="2:18" x14ac:dyDescent="0.25">
      <c r="B9" s="5" t="s">
        <v>514</v>
      </c>
      <c r="C9" s="283">
        <v>32.5</v>
      </c>
      <c r="D9" s="283">
        <v>32.5</v>
      </c>
      <c r="E9" s="283">
        <v>32.5</v>
      </c>
      <c r="F9" s="283">
        <v>32.5</v>
      </c>
      <c r="H9" s="27" t="s">
        <v>1246</v>
      </c>
      <c r="I9" s="290"/>
      <c r="J9" s="291">
        <f>SUM(J8:J8)</f>
        <v>1.6314854467889519E-2</v>
      </c>
      <c r="K9" s="291">
        <f>SUM(K8:K8)</f>
        <v>1.6314854467889519E-2</v>
      </c>
      <c r="L9" s="291">
        <f>SUM(L8:L8)</f>
        <v>1.6314854467889519E-2</v>
      </c>
    </row>
    <row r="10" spans="2:18" x14ac:dyDescent="0.25">
      <c r="B10" s="5" t="s">
        <v>1241</v>
      </c>
      <c r="C10" s="283">
        <v>2.68</v>
      </c>
      <c r="D10" s="283">
        <v>2.68</v>
      </c>
      <c r="E10" s="283">
        <v>2.68</v>
      </c>
      <c r="F10" s="283">
        <v>2.68</v>
      </c>
      <c r="H10" s="5"/>
      <c r="I10" s="289"/>
      <c r="J10" s="289"/>
      <c r="K10" s="289"/>
      <c r="L10" s="289"/>
    </row>
    <row r="11" spans="2:18" x14ac:dyDescent="0.25">
      <c r="B11" s="27" t="s">
        <v>1246</v>
      </c>
      <c r="C11" s="284">
        <f>SUM(C3:C10)</f>
        <v>1958.2</v>
      </c>
      <c r="D11" s="284">
        <f>SUM(D3:D10)</f>
        <v>1958.2</v>
      </c>
      <c r="E11" s="284">
        <f>SUM(E3:E10)</f>
        <v>1958.2</v>
      </c>
      <c r="F11" s="284">
        <f>SUM(F3:F10)</f>
        <v>1958.2</v>
      </c>
      <c r="H11" s="5" t="s">
        <v>163</v>
      </c>
      <c r="I11" s="289"/>
      <c r="J11" s="289"/>
      <c r="K11" s="289">
        <f>'Sub C_D_0'!U43</f>
        <v>1.4999999999999999E-2</v>
      </c>
      <c r="L11" s="289">
        <f>'Sub C_D_0'!V43</f>
        <v>1.4E-2</v>
      </c>
    </row>
    <row r="12" spans="2:18" x14ac:dyDescent="0.25">
      <c r="B12" s="5"/>
      <c r="C12" s="40"/>
      <c r="D12" s="40"/>
      <c r="E12" s="40"/>
      <c r="F12" s="40"/>
      <c r="H12" s="5" t="s">
        <v>1244</v>
      </c>
      <c r="I12" s="289"/>
      <c r="J12" s="289"/>
      <c r="K12" s="289"/>
      <c r="L12" s="289">
        <f>'Sub C_D_0'!BD36</f>
        <v>1.8870342510503462E-3</v>
      </c>
    </row>
    <row r="13" spans="2:18" x14ac:dyDescent="0.25">
      <c r="B13" s="5" t="s">
        <v>1242</v>
      </c>
      <c r="C13" s="40"/>
      <c r="D13" s="40">
        <v>736.56</v>
      </c>
      <c r="E13" s="40">
        <v>736.56</v>
      </c>
      <c r="F13" s="40">
        <v>736.56</v>
      </c>
      <c r="H13" s="5" t="s">
        <v>556</v>
      </c>
      <c r="I13" s="289"/>
      <c r="J13" s="289"/>
      <c r="K13" s="289">
        <f>'Sub C_D_0'!BD37</f>
        <v>3.0686525862822552E-2</v>
      </c>
      <c r="L13" s="289">
        <f>'Sub C_D_0'!BD37*1.1</f>
        <v>3.3755178449104813E-2</v>
      </c>
    </row>
    <row r="14" spans="2:18" x14ac:dyDescent="0.25">
      <c r="B14" s="5" t="s">
        <v>1243</v>
      </c>
      <c r="C14" s="40"/>
      <c r="D14" s="40">
        <v>128.80000000000001</v>
      </c>
      <c r="E14" s="40">
        <v>128.80000000000001</v>
      </c>
      <c r="F14" s="40">
        <v>128.80000000000001</v>
      </c>
      <c r="H14" s="27" t="s">
        <v>1246</v>
      </c>
      <c r="I14" s="290"/>
      <c r="J14" s="290"/>
      <c r="K14" s="291">
        <f t="shared" ref="K14:L14" si="0">SUM(K11:K13)</f>
        <v>4.5686525862822555E-2</v>
      </c>
      <c r="L14" s="291">
        <f t="shared" si="0"/>
        <v>4.9642212700155161E-2</v>
      </c>
    </row>
    <row r="15" spans="2:18" x14ac:dyDescent="0.25">
      <c r="B15" s="27" t="s">
        <v>1246</v>
      </c>
      <c r="C15" s="283"/>
      <c r="D15" s="284">
        <f t="shared" ref="D15:F15" si="1">SUM(D13:D14)</f>
        <v>865.3599999999999</v>
      </c>
      <c r="E15" s="284">
        <f t="shared" si="1"/>
        <v>865.3599999999999</v>
      </c>
      <c r="F15" s="284">
        <f t="shared" si="1"/>
        <v>865.3599999999999</v>
      </c>
      <c r="H15" s="5"/>
      <c r="I15" s="290"/>
      <c r="J15" s="290"/>
      <c r="K15" s="289"/>
      <c r="L15" s="289"/>
    </row>
    <row r="16" spans="2:18" x14ac:dyDescent="0.25">
      <c r="B16" s="5"/>
      <c r="C16" s="40"/>
      <c r="D16" s="40"/>
      <c r="E16" s="40"/>
      <c r="F16" s="40"/>
      <c r="H16" s="5" t="s">
        <v>1247</v>
      </c>
      <c r="I16" s="289">
        <f>SUM(I6)</f>
        <v>9.0712929921242372E-2</v>
      </c>
      <c r="J16" s="289">
        <f>SUM(J6,J9)</f>
        <v>0.10702778438913189</v>
      </c>
      <c r="K16" s="289">
        <f>SUM(K6,K9,K14)</f>
        <v>0.15271431025195445</v>
      </c>
      <c r="L16" s="289">
        <f>SUM(L6,L9,L14)</f>
        <v>0.15666999708928706</v>
      </c>
    </row>
    <row r="17" spans="2:6" x14ac:dyDescent="0.25">
      <c r="B17" s="5" t="s">
        <v>163</v>
      </c>
      <c r="C17" s="40"/>
      <c r="D17" s="40"/>
      <c r="E17" s="40">
        <v>55.27</v>
      </c>
      <c r="F17" s="40">
        <v>55.27</v>
      </c>
    </row>
    <row r="18" spans="2:6" x14ac:dyDescent="0.25">
      <c r="B18" s="5" t="s">
        <v>1244</v>
      </c>
      <c r="C18" s="40"/>
      <c r="D18" s="40"/>
      <c r="E18" s="40">
        <v>0</v>
      </c>
      <c r="F18" s="40">
        <v>132.80000000000001</v>
      </c>
    </row>
    <row r="19" spans="2:6" x14ac:dyDescent="0.25">
      <c r="B19" s="5" t="s">
        <v>556</v>
      </c>
      <c r="C19" s="40"/>
      <c r="D19" s="40"/>
      <c r="E19" s="40">
        <v>133.32</v>
      </c>
      <c r="F19" s="40">
        <v>133.32</v>
      </c>
    </row>
    <row r="20" spans="2:6" x14ac:dyDescent="0.25">
      <c r="B20" s="27" t="s">
        <v>1246</v>
      </c>
      <c r="C20" s="283"/>
      <c r="D20" s="283"/>
      <c r="E20" s="284">
        <f t="shared" ref="E20:F20" si="2">SUM(E17:E19)</f>
        <v>188.59</v>
      </c>
      <c r="F20" s="284">
        <f t="shared" si="2"/>
        <v>321.39</v>
      </c>
    </row>
    <row r="21" spans="2:6" x14ac:dyDescent="0.25">
      <c r="B21" s="5"/>
      <c r="C21" s="283"/>
      <c r="D21" s="283"/>
      <c r="E21" s="40"/>
      <c r="F21" s="40"/>
    </row>
    <row r="22" spans="2:6" x14ac:dyDescent="0.25">
      <c r="B22" s="27" t="s">
        <v>1245</v>
      </c>
      <c r="C22" s="283"/>
      <c r="D22" s="283"/>
      <c r="E22" s="284">
        <v>9.6300000000000008</v>
      </c>
      <c r="F22" s="284">
        <v>9.6300000000000008</v>
      </c>
    </row>
    <row r="23" spans="2:6" x14ac:dyDescent="0.25">
      <c r="B23" s="5"/>
      <c r="C23" s="5"/>
      <c r="D23" s="5"/>
      <c r="E23" s="5"/>
      <c r="F23" s="5"/>
    </row>
    <row r="24" spans="2:6" x14ac:dyDescent="0.25">
      <c r="B24" s="5" t="s">
        <v>1247</v>
      </c>
      <c r="C24" s="40">
        <f>SUM(C11,C15,C20,C22)</f>
        <v>1958.2</v>
      </c>
      <c r="D24" s="5">
        <f t="shared" ref="D24:F24" si="3">SUM(D11,D15,D20,D22)</f>
        <v>2823.56</v>
      </c>
      <c r="E24" s="5">
        <f t="shared" si="3"/>
        <v>3021.78</v>
      </c>
      <c r="F24" s="5">
        <f t="shared" si="3"/>
        <v>3154.58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90868-3B96-423B-BB9B-7986C19A6F9B}">
  <dimension ref="A1:BK54"/>
  <sheetViews>
    <sheetView topLeftCell="S1" zoomScaleNormal="100" workbookViewId="0">
      <selection activeCell="AM139" sqref="AM139"/>
    </sheetView>
  </sheetViews>
  <sheetFormatPr defaultRowHeight="15" x14ac:dyDescent="0.25"/>
  <cols>
    <col min="10" max="10" width="29" customWidth="1"/>
    <col min="11" max="11" width="10.42578125" customWidth="1"/>
  </cols>
  <sheetData>
    <row r="1" spans="1:63" x14ac:dyDescent="0.25">
      <c r="A1">
        <v>7.1</v>
      </c>
      <c r="J1">
        <v>7.2</v>
      </c>
      <c r="S1">
        <v>7.3</v>
      </c>
      <c r="AB1">
        <v>7.4</v>
      </c>
      <c r="AK1">
        <v>7.5</v>
      </c>
      <c r="AT1">
        <v>7.6</v>
      </c>
      <c r="BC1">
        <v>7.7</v>
      </c>
      <c r="BK1">
        <v>7.8</v>
      </c>
    </row>
    <row r="47" spans="10:11" x14ac:dyDescent="0.25">
      <c r="J47" t="s">
        <v>1234</v>
      </c>
      <c r="K47" t="s">
        <v>1236</v>
      </c>
    </row>
    <row r="48" spans="10:11" x14ac:dyDescent="0.25">
      <c r="J48" t="s">
        <v>1235</v>
      </c>
      <c r="K48" s="132">
        <f>'Sub C_D_0'!B3*'Sub C_D_0'!B13*'Sub C_D_0'!C8/'Sub C_D_0'!B4</f>
        <v>11901835.589270541</v>
      </c>
    </row>
    <row r="49" spans="10:11" ht="17.25" x14ac:dyDescent="0.25">
      <c r="J49" t="s">
        <v>1240</v>
      </c>
      <c r="K49">
        <v>542</v>
      </c>
    </row>
    <row r="50" spans="10:11" x14ac:dyDescent="0.25">
      <c r="J50" t="s">
        <v>268</v>
      </c>
      <c r="K50">
        <v>4</v>
      </c>
    </row>
    <row r="51" spans="10:11" x14ac:dyDescent="0.25">
      <c r="J51" t="s">
        <v>203</v>
      </c>
      <c r="K51">
        <v>0.15</v>
      </c>
    </row>
    <row r="52" spans="10:11" x14ac:dyDescent="0.25">
      <c r="J52" t="s">
        <v>1237</v>
      </c>
      <c r="K52">
        <f>'C_L vs. α'!H274</f>
        <v>24.1</v>
      </c>
    </row>
    <row r="53" spans="10:11" x14ac:dyDescent="0.25">
      <c r="J53" t="s">
        <v>1238</v>
      </c>
      <c r="K53">
        <v>0</v>
      </c>
    </row>
    <row r="54" spans="10:11" x14ac:dyDescent="0.25">
      <c r="J54" t="s">
        <v>1239</v>
      </c>
      <c r="K54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47686-F044-464F-B6AF-38CB9F10DE7A}">
  <dimension ref="A1:AQ231"/>
  <sheetViews>
    <sheetView topLeftCell="A172" zoomScale="115" zoomScaleNormal="115" workbookViewId="0">
      <selection activeCell="AK191" sqref="AK191"/>
    </sheetView>
  </sheetViews>
  <sheetFormatPr defaultRowHeight="15" x14ac:dyDescent="0.25"/>
  <cols>
    <col min="2" max="2" width="11.85546875" bestFit="1" customWidth="1"/>
    <col min="3" max="3" width="9.7109375" bestFit="1" customWidth="1"/>
    <col min="7" max="7" width="9.85546875" customWidth="1"/>
  </cols>
  <sheetData>
    <row r="1" spans="1:43" x14ac:dyDescent="0.25">
      <c r="A1" t="s">
        <v>524</v>
      </c>
      <c r="E1" s="1" t="s">
        <v>542</v>
      </c>
      <c r="F1" s="2"/>
      <c r="G1" s="3"/>
      <c r="H1" s="1" t="s">
        <v>541</v>
      </c>
      <c r="I1" s="3">
        <v>0</v>
      </c>
      <c r="K1" s="1" t="s">
        <v>631</v>
      </c>
      <c r="L1" s="3"/>
    </row>
    <row r="2" spans="1:43" x14ac:dyDescent="0.25">
      <c r="A2" t="s">
        <v>525</v>
      </c>
      <c r="B2" s="28">
        <v>0.98499999999999999</v>
      </c>
      <c r="C2" t="s">
        <v>529</v>
      </c>
      <c r="E2" s="14" t="s">
        <v>525</v>
      </c>
      <c r="F2" s="27"/>
      <c r="G2" s="6" t="s">
        <v>529</v>
      </c>
      <c r="H2" s="14"/>
      <c r="I2" s="6">
        <v>15</v>
      </c>
      <c r="K2" s="14" t="s">
        <v>182</v>
      </c>
      <c r="L2" s="6" t="s">
        <v>632</v>
      </c>
    </row>
    <row r="3" spans="1:43" x14ac:dyDescent="0.25">
      <c r="A3" t="s">
        <v>519</v>
      </c>
      <c r="B3">
        <f>B4/B5</f>
        <v>0.12855913978494624</v>
      </c>
      <c r="E3" s="14" t="s">
        <v>519</v>
      </c>
      <c r="F3" s="5">
        <f>F4/F5</f>
        <v>0.27093397849462364</v>
      </c>
      <c r="G3" s="6"/>
      <c r="H3" s="14"/>
      <c r="I3" s="6">
        <v>30</v>
      </c>
      <c r="K3" s="14">
        <v>0.65</v>
      </c>
      <c r="L3" s="6"/>
    </row>
    <row r="4" spans="1:43" x14ac:dyDescent="0.25">
      <c r="A4" s="70" t="s">
        <v>144</v>
      </c>
      <c r="B4">
        <v>5.9779999999999998</v>
      </c>
      <c r="E4" s="4" t="s">
        <v>144</v>
      </c>
      <c r="F4" s="5">
        <v>12.59843</v>
      </c>
      <c r="G4" s="6"/>
      <c r="H4" s="14"/>
      <c r="I4" s="6">
        <v>36</v>
      </c>
      <c r="K4" s="14">
        <v>0.7</v>
      </c>
      <c r="L4" s="6"/>
    </row>
    <row r="5" spans="1:43" x14ac:dyDescent="0.25">
      <c r="A5" s="70" t="s">
        <v>143</v>
      </c>
      <c r="B5">
        <v>46.5</v>
      </c>
      <c r="E5" s="4" t="s">
        <v>143</v>
      </c>
      <c r="F5" s="5">
        <v>46.5</v>
      </c>
      <c r="G5" s="6"/>
      <c r="H5" s="14"/>
      <c r="I5" s="6">
        <v>40</v>
      </c>
      <c r="K5" s="14">
        <v>0.75</v>
      </c>
      <c r="L5" s="6"/>
    </row>
    <row r="6" spans="1:43" x14ac:dyDescent="0.25">
      <c r="A6" t="s">
        <v>155</v>
      </c>
      <c r="B6" s="292">
        <f>B2*(1-B3^2)</f>
        <v>0.96872045936408824</v>
      </c>
      <c r="C6" t="s">
        <v>530</v>
      </c>
      <c r="E6" s="14" t="s">
        <v>155</v>
      </c>
      <c r="F6" s="5">
        <f>F2*(1-F3^2)</f>
        <v>0</v>
      </c>
      <c r="G6" s="6" t="s">
        <v>530</v>
      </c>
      <c r="H6" s="10"/>
      <c r="I6" s="9">
        <v>45</v>
      </c>
      <c r="K6" s="14">
        <v>0.8</v>
      </c>
      <c r="L6" s="6"/>
    </row>
    <row r="7" spans="1:43" x14ac:dyDescent="0.25">
      <c r="A7" t="s">
        <v>526</v>
      </c>
      <c r="B7" s="292">
        <f>1/(PI()*4*B6)</f>
        <v>8.2146991711299161E-2</v>
      </c>
      <c r="C7" t="s">
        <v>531</v>
      </c>
      <c r="E7" s="14" t="s">
        <v>526</v>
      </c>
      <c r="F7" s="5" t="e">
        <f>1/(PI()*4*F6)</f>
        <v>#DIV/0!</v>
      </c>
      <c r="G7" s="6" t="s">
        <v>531</v>
      </c>
      <c r="K7" s="14">
        <v>0.85</v>
      </c>
      <c r="L7" s="6"/>
    </row>
    <row r="8" spans="1:43" x14ac:dyDescent="0.25">
      <c r="A8" t="s">
        <v>527</v>
      </c>
      <c r="B8" s="293">
        <v>0.02</v>
      </c>
      <c r="C8" t="s">
        <v>532</v>
      </c>
      <c r="E8" s="14" t="s">
        <v>527</v>
      </c>
      <c r="F8" s="27">
        <v>9.5000000000000001E-2</v>
      </c>
      <c r="G8" s="6" t="s">
        <v>532</v>
      </c>
      <c r="K8" s="14">
        <v>0.9</v>
      </c>
      <c r="L8" s="6"/>
    </row>
    <row r="9" spans="1:43" x14ac:dyDescent="0.25">
      <c r="A9" t="s">
        <v>528</v>
      </c>
      <c r="B9" s="292">
        <f>B7+B8</f>
        <v>0.10214699171129916</v>
      </c>
      <c r="E9" s="14" t="s">
        <v>528</v>
      </c>
      <c r="F9" s="8" t="e">
        <f>F7+F8</f>
        <v>#DIV/0!</v>
      </c>
      <c r="G9" s="9"/>
      <c r="K9" s="10">
        <v>0.95</v>
      </c>
      <c r="L9" s="9"/>
    </row>
    <row r="10" spans="1:43" x14ac:dyDescent="0.25">
      <c r="A10" s="1" t="s">
        <v>268</v>
      </c>
      <c r="B10" s="2">
        <v>4</v>
      </c>
      <c r="C10" s="2"/>
      <c r="D10" s="2" t="s">
        <v>416</v>
      </c>
      <c r="E10" s="3">
        <v>0.8</v>
      </c>
    </row>
    <row r="11" spans="1:43" x14ac:dyDescent="0.25">
      <c r="A11" s="14" t="s">
        <v>410</v>
      </c>
      <c r="B11" s="11">
        <v>24.1</v>
      </c>
      <c r="C11" s="5"/>
      <c r="D11" s="5" t="s">
        <v>144</v>
      </c>
      <c r="E11" s="124">
        <v>12.5984</v>
      </c>
    </row>
    <row r="12" spans="1:43" x14ac:dyDescent="0.25">
      <c r="A12" s="14" t="s">
        <v>422</v>
      </c>
      <c r="B12" s="11">
        <v>-1</v>
      </c>
      <c r="C12" s="5"/>
      <c r="D12" s="5" t="s">
        <v>143</v>
      </c>
      <c r="E12" s="6">
        <v>46.5</v>
      </c>
    </row>
    <row r="13" spans="1:43" x14ac:dyDescent="0.25">
      <c r="A13" s="10" t="s">
        <v>191</v>
      </c>
      <c r="B13" s="8">
        <v>100</v>
      </c>
      <c r="C13" s="8" t="s">
        <v>414</v>
      </c>
      <c r="D13" s="8" t="s">
        <v>519</v>
      </c>
      <c r="E13" s="9">
        <f>E11/E12</f>
        <v>0.2709333333333333</v>
      </c>
    </row>
    <row r="15" spans="1:43" x14ac:dyDescent="0.25">
      <c r="A15" s="122" t="s">
        <v>537</v>
      </c>
      <c r="B15" s="122" t="s">
        <v>522</v>
      </c>
    </row>
    <row r="16" spans="1:43" x14ac:dyDescent="0.25">
      <c r="A16" s="122" t="s">
        <v>202</v>
      </c>
      <c r="B16" s="143" t="s">
        <v>533</v>
      </c>
      <c r="C16" s="122" t="s">
        <v>538</v>
      </c>
      <c r="D16" s="122"/>
      <c r="E16" s="122" t="s">
        <v>540</v>
      </c>
      <c r="F16" s="1" t="s">
        <v>536</v>
      </c>
      <c r="G16" s="140">
        <v>0.05</v>
      </c>
      <c r="H16" s="1" t="s">
        <v>536</v>
      </c>
      <c r="I16" s="140">
        <v>0.1</v>
      </c>
      <c r="J16" s="1" t="s">
        <v>536</v>
      </c>
      <c r="K16" s="140">
        <v>0.15</v>
      </c>
      <c r="L16" s="1" t="s">
        <v>536</v>
      </c>
      <c r="M16" s="140">
        <v>0.2</v>
      </c>
      <c r="N16" s="2" t="s">
        <v>536</v>
      </c>
      <c r="O16" s="163">
        <v>0.25</v>
      </c>
      <c r="P16" s="2" t="s">
        <v>536</v>
      </c>
      <c r="Q16" s="163">
        <v>0.3</v>
      </c>
      <c r="R16" s="2" t="s">
        <v>536</v>
      </c>
      <c r="S16" s="163">
        <v>0.35</v>
      </c>
      <c r="T16" s="2" t="s">
        <v>536</v>
      </c>
      <c r="U16" s="163">
        <v>0.4</v>
      </c>
      <c r="V16" s="2" t="s">
        <v>536</v>
      </c>
      <c r="W16" s="163">
        <v>0.45</v>
      </c>
      <c r="X16" s="2" t="s">
        <v>536</v>
      </c>
      <c r="Y16" s="163">
        <v>0.5</v>
      </c>
      <c r="Z16" s="2" t="s">
        <v>536</v>
      </c>
      <c r="AA16" s="163">
        <v>0.55000000000000004</v>
      </c>
      <c r="AB16" s="2" t="s">
        <v>536</v>
      </c>
      <c r="AC16" s="163">
        <v>0.6</v>
      </c>
      <c r="AD16" s="2" t="s">
        <v>536</v>
      </c>
      <c r="AE16" s="163">
        <v>0.65</v>
      </c>
      <c r="AF16" s="2" t="s">
        <v>536</v>
      </c>
      <c r="AG16" s="163">
        <v>0.7</v>
      </c>
      <c r="AH16" s="2" t="s">
        <v>536</v>
      </c>
      <c r="AI16" s="163">
        <v>0.75</v>
      </c>
      <c r="AJ16" s="2" t="s">
        <v>536</v>
      </c>
      <c r="AK16" s="163">
        <v>0.8</v>
      </c>
      <c r="AL16" s="2" t="s">
        <v>536</v>
      </c>
      <c r="AM16" s="163">
        <v>0.85</v>
      </c>
      <c r="AN16" s="2" t="s">
        <v>536</v>
      </c>
      <c r="AO16" s="163">
        <v>0.9</v>
      </c>
      <c r="AP16" s="2" t="s">
        <v>536</v>
      </c>
      <c r="AQ16" s="140">
        <v>0.95</v>
      </c>
    </row>
    <row r="17" spans="1:43" x14ac:dyDescent="0.25">
      <c r="A17" s="121" t="s">
        <v>182</v>
      </c>
      <c r="B17" s="121" t="s">
        <v>534</v>
      </c>
      <c r="C17" s="121" t="s">
        <v>535</v>
      </c>
      <c r="D17" s="121" t="s">
        <v>632</v>
      </c>
      <c r="E17" s="121" t="s">
        <v>421</v>
      </c>
      <c r="F17" s="14" t="s">
        <v>244</v>
      </c>
      <c r="G17" s="6" t="s">
        <v>245</v>
      </c>
      <c r="H17" s="14" t="s">
        <v>244</v>
      </c>
      <c r="I17" s="6" t="s">
        <v>245</v>
      </c>
      <c r="J17" s="14" t="s">
        <v>244</v>
      </c>
      <c r="K17" s="6" t="s">
        <v>245</v>
      </c>
      <c r="L17" s="14" t="s">
        <v>244</v>
      </c>
      <c r="M17" s="6" t="s">
        <v>245</v>
      </c>
      <c r="N17" s="5" t="s">
        <v>244</v>
      </c>
      <c r="O17" s="5" t="s">
        <v>245</v>
      </c>
      <c r="P17" s="5" t="s">
        <v>244</v>
      </c>
      <c r="Q17" s="5" t="s">
        <v>245</v>
      </c>
      <c r="R17" s="5" t="s">
        <v>244</v>
      </c>
      <c r="S17" s="5" t="s">
        <v>245</v>
      </c>
      <c r="T17" s="5" t="s">
        <v>244</v>
      </c>
      <c r="U17" s="5" t="s">
        <v>245</v>
      </c>
      <c r="V17" s="5" t="s">
        <v>244</v>
      </c>
      <c r="W17" s="5" t="s">
        <v>245</v>
      </c>
      <c r="X17" s="5" t="s">
        <v>244</v>
      </c>
      <c r="Y17" s="5" t="s">
        <v>245</v>
      </c>
      <c r="Z17" s="5" t="s">
        <v>244</v>
      </c>
      <c r="AA17" s="5" t="s">
        <v>245</v>
      </c>
      <c r="AB17" s="5" t="s">
        <v>244</v>
      </c>
      <c r="AC17" s="5" t="s">
        <v>245</v>
      </c>
      <c r="AD17" s="5" t="s">
        <v>244</v>
      </c>
      <c r="AE17" s="5" t="s">
        <v>245</v>
      </c>
      <c r="AF17" s="5" t="s">
        <v>244</v>
      </c>
      <c r="AG17" s="5" t="s">
        <v>245</v>
      </c>
      <c r="AH17" s="5" t="s">
        <v>244</v>
      </c>
      <c r="AI17" s="5" t="s">
        <v>245</v>
      </c>
      <c r="AJ17" s="5" t="s">
        <v>244</v>
      </c>
      <c r="AK17" s="5" t="s">
        <v>245</v>
      </c>
      <c r="AL17" s="5" t="s">
        <v>244</v>
      </c>
      <c r="AM17" s="5" t="s">
        <v>245</v>
      </c>
      <c r="AN17" s="5" t="s">
        <v>244</v>
      </c>
      <c r="AO17" s="5" t="s">
        <v>245</v>
      </c>
      <c r="AP17" s="5" t="s">
        <v>244</v>
      </c>
      <c r="AQ17" s="6" t="s">
        <v>245</v>
      </c>
    </row>
    <row r="18" spans="1:43" x14ac:dyDescent="0.25">
      <c r="A18" s="129">
        <v>0</v>
      </c>
      <c r="B18" s="129" t="e">
        <f>'Sub C_D_0'!AV10</f>
        <v>#DIV/0!</v>
      </c>
      <c r="C18" s="129" t="e">
        <f>'C_L vs. α'!Y316</f>
        <v>#NUM!</v>
      </c>
      <c r="D18">
        <v>0.18131319766155801</v>
      </c>
      <c r="E18" s="144">
        <v>-6</v>
      </c>
      <c r="F18" s="14">
        <f>(E18-$B$12)*$C$19</f>
        <v>-0.53088149414883845</v>
      </c>
      <c r="G18" s="6">
        <f>B19+$B$7*F18^2+$B$8*(F18-$F$21)^2</f>
        <v>4.3974391600050899E-2</v>
      </c>
      <c r="H18" s="14">
        <f>(E18-$B$12)*$C$20</f>
        <v>-0.53513095678736722</v>
      </c>
      <c r="I18" s="6">
        <f>B20+$B$7*H18^2+$B$8*(H18-$H$21)^2</f>
        <v>4.3138215083532855E-2</v>
      </c>
      <c r="J18" s="14">
        <f>(E18-$B$12)*C21</f>
        <v>-0.54137983016242686</v>
      </c>
      <c r="K18" s="6">
        <f>B21+$B$7*J18^2+$B$8*(J18-$J$21)^2</f>
        <v>4.3365902278529385E-2</v>
      </c>
      <c r="L18" s="14">
        <f>(E18-$B$12)*$C$22</f>
        <v>-0.54997377359954247</v>
      </c>
      <c r="M18" s="6">
        <f>B22+$B$7*L18^2+$B$8*(L18-$L$21)^2</f>
        <v>4.3774653664598574E-2</v>
      </c>
      <c r="N18" s="14">
        <f>(E18-$B$12)*$C$23</f>
        <v>-0.56120404544573077</v>
      </c>
      <c r="O18" s="5">
        <f>$B$23+$B$7*N18^2+$B$8*(N18-$N$21)^2</f>
        <v>4.4823260251611458E-2</v>
      </c>
      <c r="P18" s="14">
        <f>(E18-$B$12)*$C$24</f>
        <v>-0.57486478821676545</v>
      </c>
      <c r="Q18" s="5">
        <f>$B$24+$B$7*P18^2+$B$8*(P18-$P$21)^2</f>
        <v>4.6771928063860393E-2</v>
      </c>
      <c r="R18" s="14">
        <f>(E18-$B$12)*$C$25</f>
        <v>-0.59252488664670011</v>
      </c>
      <c r="S18" s="5">
        <f>$B$25+$B$7*R18^2+$B$8*(R18-$R$21)^2</f>
        <v>4.8832996203829998E-2</v>
      </c>
      <c r="T18" s="14">
        <f>(E18-$B$12)*$C$26</f>
        <v>-0.61418333278706749</v>
      </c>
      <c r="U18" s="5">
        <f>$B$26+$B$7*T18^2+$B$8*(T18-$T$21)^2</f>
        <v>5.1542314454346275E-2</v>
      </c>
      <c r="V18" s="14">
        <f>(E18-$B$12)*$C$27</f>
        <v>-0.64060594681620064</v>
      </c>
      <c r="W18" s="5">
        <f>$B$27+$B$7*V18^2+$B$8*(V18-$V$21)^2</f>
        <v>5.5057062057312672E-2</v>
      </c>
      <c r="X18" s="14">
        <f>(E18-$B$12)*$C$28</f>
        <v>-0.67282240725830456</v>
      </c>
      <c r="Y18" s="5">
        <f>$B$28+$B$7*X18^2+$B$8*(X18-$X$21)^2</f>
        <v>5.9608495649213139E-2</v>
      </c>
      <c r="Z18" s="14">
        <f>(E18-$B$12)*$C$29</f>
        <v>-0.71223599214894739</v>
      </c>
      <c r="AA18" s="5">
        <f>$B$29+$B$7*Z18^2+$B$8*(Z18-$Z$21)^2</f>
        <v>6.5538146737577407E-2</v>
      </c>
      <c r="AB18" s="14">
        <f>(E18-$B$12)*$C$30</f>
        <v>-0.7607900058537177</v>
      </c>
      <c r="AC18" s="5">
        <f>$B$30+$B$7*AB18^2+$B$8*(AB18-$AB$21)^2</f>
        <v>7.3359393315580543E-2</v>
      </c>
      <c r="AD18" s="14">
        <f>(E18-$B$12)*$C$31</f>
        <v>-0.82143257677186066</v>
      </c>
      <c r="AE18" s="5">
        <f>$B$31+$B$7*AD18^2+$B$8*(AD18-$AD$21)^2</f>
        <v>8.4387101772236559E-2</v>
      </c>
      <c r="AF18" s="14">
        <f>(E18-$B$12)*$C$32</f>
        <v>-0.8980837458900971</v>
      </c>
      <c r="AG18" s="5">
        <f>$B$32+$B$7*AF18^2+$B$8*(AF18-$AF$21)^2</f>
        <v>9.8911120804343569E-2</v>
      </c>
      <c r="AH18" s="14">
        <f>(E18-$B$12)*$C$33</f>
        <v>-0.99643664382792685</v>
      </c>
      <c r="AI18" s="5">
        <f>$B$33+$B$7*AH18^2+$B$8*(AH18-$AH$21)^2</f>
        <v>0.11949305269337435</v>
      </c>
      <c r="AJ18" s="14">
        <f>(E18-$B$12)*$C$34</f>
        <v>-1.1244509116668151</v>
      </c>
      <c r="AK18" s="5">
        <f>$B$34+$B$7*AJ18^2+$B$8*(AJ18-$AJ$21)^2</f>
        <v>0.1495315706500108</v>
      </c>
      <c r="AL18" s="14">
        <f>(E18-$B$12)*$C$35</f>
        <v>-1.2955252960785928</v>
      </c>
      <c r="AM18" s="5">
        <f>$B$35+$B$7*AL18^2+$B$8*(AL18-$AL$21)^2</f>
        <v>0.19585213092320231</v>
      </c>
      <c r="AN18" s="14">
        <f>(E18-$B$12)*$C$36</f>
        <v>-1.4890688188613526</v>
      </c>
      <c r="AO18" s="5">
        <f>$B$36+$B$9*AN18^2</f>
        <v>0.23605697478641458</v>
      </c>
      <c r="AP18" s="14">
        <f>(E18-$B$12)*$C$37</f>
        <v>-1.3653184641024034</v>
      </c>
      <c r="AQ18" s="6">
        <f>$B$37+$B$9*AP18^2</f>
        <v>0.19990387875161209</v>
      </c>
    </row>
    <row r="19" spans="1:43" x14ac:dyDescent="0.25">
      <c r="A19" s="139">
        <v>0.05</v>
      </c>
      <c r="B19" s="255">
        <f>'Sub C_D_0'!AV11</f>
        <v>1.2705628347525156E-2</v>
      </c>
      <c r="C19" s="258">
        <f>'C_L vs. α'!Y317</f>
        <v>0.10617629882976769</v>
      </c>
      <c r="D19">
        <v>0.18131319766155771</v>
      </c>
      <c r="E19" s="144">
        <v>-4</v>
      </c>
      <c r="F19" s="14">
        <f t="shared" ref="F19:F29" si="0">(E19-$B$12)*$C$19</f>
        <v>-0.31852889648930305</v>
      </c>
      <c r="G19" s="6">
        <f t="shared" ref="G19:G29" si="1">B20+$B$7*F19^2+$B$8*(F19-$F$21)^2</f>
        <v>2.3309042050393181E-2</v>
      </c>
      <c r="H19" s="14">
        <f t="shared" ref="H19:H29" si="2">(E19-$B$12)*$C$20</f>
        <v>-0.3210785740724203</v>
      </c>
      <c r="I19" s="6">
        <f t="shared" ref="I19:I29" si="3">B21+$B$7*H19^2+$B$8*(H19-$H$21)^2</f>
        <v>2.2807412995575784E-2</v>
      </c>
      <c r="J19" s="14">
        <f t="shared" ref="J19:J29" si="4">(E19-$B$12)*C22</f>
        <v>-0.32998426415972548</v>
      </c>
      <c r="K19" s="6">
        <f t="shared" ref="K19:K29" si="5">B22+$B$7*J19^2+$B$8*(J19-$J$21)^2</f>
        <v>2.3121082161991088E-2</v>
      </c>
      <c r="L19" s="14">
        <f t="shared" ref="L19:L29" si="6">(E19-$B$12)*$C$22</f>
        <v>-0.32998426415972548</v>
      </c>
      <c r="M19" s="6">
        <f t="shared" ref="M19:M29" si="7">B23+$B$7*L19^2+$B$8*(L19-$L$21)^2</f>
        <v>2.2697092370280503E-2</v>
      </c>
      <c r="N19" s="14">
        <f t="shared" ref="N19:N29" si="8">(E19-$B$12)*$C$23</f>
        <v>-0.33672242726743851</v>
      </c>
      <c r="O19" s="5">
        <f t="shared" ref="O19:O29" si="9">$B$23+$B$9*N19^2</f>
        <v>2.1462136863496677E-2</v>
      </c>
      <c r="P19" s="14">
        <f t="shared" ref="P19:P29" si="10">(E19-$B$12)*$C$24</f>
        <v>-0.34491887293005924</v>
      </c>
      <c r="Q19" s="5">
        <f t="shared" ref="Q19:Q29" si="11">$B$24+$B$7*P19^2+$B$8*(P19-$P$21)^2</f>
        <v>2.4110286190424414E-2</v>
      </c>
      <c r="R19" s="14">
        <f t="shared" ref="R19:R29" si="12">(E19-$B$12)*$C$25</f>
        <v>-0.35551493198802003</v>
      </c>
      <c r="S19" s="5">
        <f t="shared" ref="S19:S29" si="13">$B$25+$B$7*R19^2+$B$8*(R19-$R$21)^2</f>
        <v>2.4757616355788999E-2</v>
      </c>
      <c r="T19" s="14">
        <f t="shared" ref="T19:T29" si="14">(E19-$B$12)*$C$26</f>
        <v>-0.36850999967224052</v>
      </c>
      <c r="U19" s="5">
        <f t="shared" ref="U19:U29" si="15">$B$26+$B$7*T19^2+$B$8*(T19-$T$21)^2</f>
        <v>2.5674722021689775E-2</v>
      </c>
      <c r="V19" s="14">
        <f t="shared" ref="V19:V29" si="16">(E19-$B$12)*$C$27</f>
        <v>-0.38436356808972039</v>
      </c>
      <c r="W19" s="5">
        <f t="shared" ref="W19:W29" si="17">$B$27+$B$7*V19^2+$B$8*(V19-$V$21)^2</f>
        <v>2.6915909013635567E-2</v>
      </c>
      <c r="X19" s="14">
        <f t="shared" ref="X19:X29" si="18">(E19-$B$12)*$C$28</f>
        <v>-0.40369344435498278</v>
      </c>
      <c r="Y19" s="5">
        <f t="shared" ref="Y19:Y29" si="19">$B$28+$B$7*X19^2+$B$8*(X19-$X$21)^2</f>
        <v>2.8565698343986083E-2</v>
      </c>
      <c r="Z19" s="14">
        <f t="shared" ref="Z19:Z29" si="20">(E19-$B$12)*$C$29</f>
        <v>-0.42734159528936844</v>
      </c>
      <c r="AA19" s="5">
        <f t="shared" ref="AA19:AA29" si="21">$B$29+$B$7*Z19^2+$B$8*(Z19-$Z$21)^2</f>
        <v>3.0751882685043287E-2</v>
      </c>
      <c r="AB19" s="14">
        <f t="shared" ref="AB19:AB29" si="22">(E19-$B$12)*$C$30</f>
        <v>-0.45647400351223066</v>
      </c>
      <c r="AC19" s="5">
        <f t="shared" ref="AC19:AC29" si="23">$B$30+$B$7*AB19^2+$B$8*(AB19-$AB$21)^2</f>
        <v>3.3668620614858397E-2</v>
      </c>
      <c r="AD19" s="14">
        <f t="shared" ref="AD19:AD29" si="24">(E19-$B$12)*$C$31</f>
        <v>-0.49285954606311644</v>
      </c>
      <c r="AE19" s="5">
        <f t="shared" ref="AE19:AE29" si="25">$B$31+$B$7*AD19^2+$B$8*(AD19-$AD$21)^2</f>
        <v>3.8116643506662218E-2</v>
      </c>
      <c r="AF19" s="14">
        <f t="shared" ref="AF19:AF29" si="26">(E19-$B$12)*$C$32</f>
        <v>-0.5388502475340583</v>
      </c>
      <c r="AG19" s="5">
        <f t="shared" ref="AG19:AG29" si="27">$B$32+$B$7*AF19^2+$B$8*(AF19-$AF$21)^2</f>
        <v>4.3602398129600907E-2</v>
      </c>
      <c r="AH19" s="14">
        <f t="shared" ref="AH19:AH29" si="28">(E19-$B$12)*$C$33</f>
        <v>-0.59786198629675602</v>
      </c>
      <c r="AI19" s="5">
        <f t="shared" ref="AI19:AI29" si="29">$B$33+$B$7*AH19^2+$B$8*(AH19-$AH$21)^2</f>
        <v>5.1406814982953984E-2</v>
      </c>
      <c r="AJ19" s="14">
        <f t="shared" ref="AJ19:AJ29" si="30">(E19-$B$12)*$C$34</f>
        <v>-0.6746705470000891</v>
      </c>
      <c r="AK19" s="5">
        <f t="shared" ref="AK19:AK29" si="31">$B$34+$B$7*AJ19^2+$B$8*(AJ19-$AJ$21)^2</f>
        <v>6.2827206443754002E-2</v>
      </c>
      <c r="AL19" s="14">
        <f t="shared" ref="AL19:AL29" si="32">(E19-$B$12)*$C$35</f>
        <v>-0.77731517764715574</v>
      </c>
      <c r="AM19" s="5">
        <f t="shared" ref="AM19:AM29" si="33">$B$35+$B$7*AL19^2+$B$8*(AL19-$AL$21)^2</f>
        <v>8.0758378201723852E-2</v>
      </c>
      <c r="AN19" s="14">
        <f t="shared" ref="AN19:AN29" si="34">(E19-$B$12)*$C$36</f>
        <v>-0.8934412913168116</v>
      </c>
      <c r="AO19" s="5">
        <f t="shared" ref="AO19:AO29" si="35">$B$36+$B$9*AN19^2</f>
        <v>9.1101342683613251E-2</v>
      </c>
      <c r="AP19" s="14">
        <f t="shared" ref="AP19:AP29" si="36">(E19-$B$12)*$C$37</f>
        <v>-0.81919107846144212</v>
      </c>
      <c r="AQ19" s="6">
        <f t="shared" ref="AQ19:AQ29" si="37">$B$37+$B$9*AP19^2</f>
        <v>7.8040425119261153E-2</v>
      </c>
    </row>
    <row r="20" spans="1:43" x14ac:dyDescent="0.25">
      <c r="A20" s="129">
        <v>0.1</v>
      </c>
      <c r="B20" s="256">
        <f>'Sub C_D_0'!AV12</f>
        <v>1.1366864168346077E-2</v>
      </c>
      <c r="C20" s="257">
        <f>'C_L vs. α'!Y318</f>
        <v>0.10702619135747343</v>
      </c>
      <c r="D20">
        <v>0.18131319766155771</v>
      </c>
      <c r="E20" s="144">
        <v>-2</v>
      </c>
      <c r="F20" s="14">
        <f t="shared" si="0"/>
        <v>-0.10617629882976769</v>
      </c>
      <c r="G20" s="6">
        <f t="shared" si="1"/>
        <v>1.250123558289043E-2</v>
      </c>
      <c r="H20" s="14">
        <f t="shared" si="2"/>
        <v>-0.10702619135747343</v>
      </c>
      <c r="I20" s="6">
        <f t="shared" si="3"/>
        <v>1.2073719155071739E-2</v>
      </c>
      <c r="J20" s="14">
        <f t="shared" si="4"/>
        <v>-0.11224080908914616</v>
      </c>
      <c r="K20" s="6">
        <f t="shared" si="5"/>
        <v>1.1947917015543453E-2</v>
      </c>
      <c r="L20" s="14">
        <f t="shared" si="6"/>
        <v>-0.10999475471990849</v>
      </c>
      <c r="M20" s="6">
        <f t="shared" si="7"/>
        <v>1.2069119935399565E-2</v>
      </c>
      <c r="N20" s="14">
        <f t="shared" si="8"/>
        <v>-0.11224080908914616</v>
      </c>
      <c r="O20" s="5">
        <f t="shared" si="9"/>
        <v>1.1167355084187763E-2</v>
      </c>
      <c r="P20" s="14">
        <f t="shared" si="10"/>
        <v>-0.11497295764335308</v>
      </c>
      <c r="Q20" s="5">
        <f t="shared" si="11"/>
        <v>1.2250714014136018E-2</v>
      </c>
      <c r="R20" s="14">
        <f t="shared" si="12"/>
        <v>-0.11850497732934001</v>
      </c>
      <c r="S20" s="5">
        <f t="shared" si="13"/>
        <v>1.2158189245695405E-2</v>
      </c>
      <c r="T20" s="14">
        <f t="shared" si="14"/>
        <v>-0.1228366665574135</v>
      </c>
      <c r="U20" s="5">
        <f t="shared" si="15"/>
        <v>1.213737193932404E-2</v>
      </c>
      <c r="V20" s="14">
        <f t="shared" si="16"/>
        <v>-0.12812118936324013</v>
      </c>
      <c r="W20" s="5">
        <f t="shared" si="17"/>
        <v>1.2188730925242959E-2</v>
      </c>
      <c r="X20" s="14">
        <f t="shared" si="18"/>
        <v>-0.13456448145166092</v>
      </c>
      <c r="Y20" s="5">
        <f t="shared" si="19"/>
        <v>1.2319995704638367E-2</v>
      </c>
      <c r="Z20" s="14">
        <f t="shared" si="20"/>
        <v>-0.14244719842978948</v>
      </c>
      <c r="AA20" s="5">
        <f t="shared" si="21"/>
        <v>1.254710248515639E-2</v>
      </c>
      <c r="AB20" s="14">
        <f t="shared" si="22"/>
        <v>-0.15215800117074355</v>
      </c>
      <c r="AC20" s="5">
        <f t="shared" si="23"/>
        <v>1.2897151971686274E-2</v>
      </c>
      <c r="AD20" s="14">
        <f t="shared" si="24"/>
        <v>-0.16428651535437214</v>
      </c>
      <c r="AE20" s="5">
        <f t="shared" si="25"/>
        <v>1.3901812008783751E-2</v>
      </c>
      <c r="AF20" s="14">
        <f t="shared" si="26"/>
        <v>-0.17961674917801942</v>
      </c>
      <c r="AG20" s="5">
        <f t="shared" si="27"/>
        <v>1.4657549728818381E-2</v>
      </c>
      <c r="AH20" s="14">
        <f t="shared" si="28"/>
        <v>-0.19928732876558536</v>
      </c>
      <c r="AI20" s="5">
        <f t="shared" si="29"/>
        <v>1.5775078551482923E-2</v>
      </c>
      <c r="AJ20" s="14">
        <f t="shared" si="30"/>
        <v>-0.22489018233336303</v>
      </c>
      <c r="AK20" s="5">
        <f t="shared" si="31"/>
        <v>1.7452000576228255E-2</v>
      </c>
      <c r="AL20" s="14">
        <f t="shared" si="32"/>
        <v>-0.25910505921571858</v>
      </c>
      <c r="AM20" s="5">
        <f t="shared" si="33"/>
        <v>2.0526084572537379E-2</v>
      </c>
      <c r="AN20" s="14">
        <f t="shared" si="34"/>
        <v>-0.29781376377227053</v>
      </c>
      <c r="AO20" s="5">
        <f t="shared" si="35"/>
        <v>1.8623526632212589E-2</v>
      </c>
      <c r="AP20" s="14">
        <f t="shared" si="36"/>
        <v>-0.27306369282048071</v>
      </c>
      <c r="AQ20" s="6">
        <f t="shared" si="37"/>
        <v>1.7108698303085673E-2</v>
      </c>
    </row>
    <row r="21" spans="1:43" s="29" customFormat="1" x14ac:dyDescent="0.25">
      <c r="A21" s="139">
        <v>0.15</v>
      </c>
      <c r="B21" s="255">
        <f>'Sub C_D_0'!AV13</f>
        <v>1.0673286643410168E-2</v>
      </c>
      <c r="C21" s="258">
        <f>'C_L vs. α'!Y319</f>
        <v>0.10827596603248536</v>
      </c>
      <c r="D21">
        <v>0.18131319766155771</v>
      </c>
      <c r="E21" s="143">
        <v>0</v>
      </c>
      <c r="F21" s="83">
        <f t="shared" si="0"/>
        <v>0.10617629882976769</v>
      </c>
      <c r="G21" s="21">
        <f>B22+$B$7*F21^2+$B$8*(F21-$F$21)^2</f>
        <v>1.114246573470137E-2</v>
      </c>
      <c r="H21" s="83">
        <f t="shared" si="2"/>
        <v>0.10702619135747343</v>
      </c>
      <c r="I21" s="21">
        <f t="shared" si="3"/>
        <v>1.0821468756050808E-2</v>
      </c>
      <c r="J21" s="83">
        <f t="shared" si="4"/>
        <v>0.11497295764335308</v>
      </c>
      <c r="K21" s="21">
        <f>B24+$B$7*J21^2+$B$8*(J21-$J$21)^2</f>
        <v>1.1193211534995197E-2</v>
      </c>
      <c r="L21" s="83">
        <f t="shared" si="6"/>
        <v>0.10999475471990849</v>
      </c>
      <c r="M21" s="21">
        <f>B25+$B$7*L21^2+$B$8*(L21-$L$21)^2</f>
        <v>1.0874973181833518E-2</v>
      </c>
      <c r="N21" s="83">
        <f t="shared" si="8"/>
        <v>0.11224080908914616</v>
      </c>
      <c r="O21" s="58">
        <f t="shared" si="9"/>
        <v>1.1167355084187763E-2</v>
      </c>
      <c r="P21" s="83">
        <f t="shared" si="10"/>
        <v>0.11497295764335308</v>
      </c>
      <c r="Q21" s="58">
        <f t="shared" si="11"/>
        <v>1.1193211534995197E-2</v>
      </c>
      <c r="R21" s="83">
        <f t="shared" si="12"/>
        <v>0.11850497732934001</v>
      </c>
      <c r="S21" s="58">
        <f t="shared" si="13"/>
        <v>1.1034714873549213E-2</v>
      </c>
      <c r="T21" s="83">
        <f t="shared" si="14"/>
        <v>0.1228366665574135</v>
      </c>
      <c r="U21" s="58">
        <f t="shared" si="15"/>
        <v>1.0930264207249064E-2</v>
      </c>
      <c r="V21" s="83">
        <f t="shared" si="16"/>
        <v>0.12812118936324013</v>
      </c>
      <c r="W21" s="58">
        <f t="shared" si="17"/>
        <v>1.0875527792134861E-2</v>
      </c>
      <c r="X21" s="83">
        <f t="shared" si="18"/>
        <v>0.13456448145166092</v>
      </c>
      <c r="Y21" s="58">
        <f t="shared" si="19"/>
        <v>1.0871387731170015E-2</v>
      </c>
      <c r="Z21" s="83">
        <f t="shared" si="20"/>
        <v>0.14244719842978948</v>
      </c>
      <c r="AA21" s="58">
        <f t="shared" si="21"/>
        <v>1.0923806137916724E-2</v>
      </c>
      <c r="AB21" s="83">
        <f t="shared" si="22"/>
        <v>0.15215800117074355</v>
      </c>
      <c r="AC21" s="58">
        <f t="shared" si="23"/>
        <v>1.1044987386064194E-2</v>
      </c>
      <c r="AD21" s="83">
        <f t="shared" si="24"/>
        <v>0.16428651535437214</v>
      </c>
      <c r="AE21" s="58">
        <f t="shared" si="25"/>
        <v>1.1742607278601163E-2</v>
      </c>
      <c r="AF21" s="83">
        <f t="shared" si="26"/>
        <v>0.17961674917801942</v>
      </c>
      <c r="AG21" s="58">
        <f>$B$32+$B$7*AF21^2+$B$8*(AF21-$AF$21)^2</f>
        <v>1.2076575601996018E-2</v>
      </c>
      <c r="AH21" s="83">
        <f t="shared" si="28"/>
        <v>0.19928732876558536</v>
      </c>
      <c r="AI21" s="58">
        <f t="shared" si="29"/>
        <v>1.2597843398961122E-2</v>
      </c>
      <c r="AJ21" s="83">
        <f t="shared" si="30"/>
        <v>0.22489018233336303</v>
      </c>
      <c r="AK21" s="58">
        <f t="shared" si="31"/>
        <v>1.3405953047433593E-2</v>
      </c>
      <c r="AL21" s="83">
        <f t="shared" si="32"/>
        <v>0.25910505921571858</v>
      </c>
      <c r="AM21" s="58">
        <f t="shared" si="33"/>
        <v>1.5155250035642897E-2</v>
      </c>
      <c r="AN21" s="83">
        <f t="shared" si="34"/>
        <v>0.29781376377227053</v>
      </c>
      <c r="AO21" s="58">
        <f t="shared" si="35"/>
        <v>1.8623526632212589E-2</v>
      </c>
      <c r="AP21" s="83">
        <f t="shared" si="36"/>
        <v>0.27306369282048071</v>
      </c>
      <c r="AQ21" s="21">
        <f t="shared" si="37"/>
        <v>1.7108698303085673E-2</v>
      </c>
    </row>
    <row r="22" spans="1:43" x14ac:dyDescent="0.25">
      <c r="A22" s="129">
        <v>0.2</v>
      </c>
      <c r="B22" s="256">
        <f>'Sub C_D_0'!AV14</f>
        <v>1.0216389309876159E-2</v>
      </c>
      <c r="C22" s="257">
        <f>'C_L vs. α'!Y320</f>
        <v>0.10999475471990849</v>
      </c>
      <c r="D22">
        <v>0.18131319766155771</v>
      </c>
      <c r="E22" s="144">
        <v>2</v>
      </c>
      <c r="F22" s="14">
        <f t="shared" si="0"/>
        <v>0.31852889648930305</v>
      </c>
      <c r="G22" s="6">
        <f t="shared" si="1"/>
        <v>1.9117067699856102E-2</v>
      </c>
      <c r="H22" s="14">
        <f t="shared" si="2"/>
        <v>0.3210785740724203</v>
      </c>
      <c r="I22" s="6">
        <f t="shared" si="3"/>
        <v>1.9492349442045809E-2</v>
      </c>
      <c r="J22" s="14">
        <f t="shared" si="4"/>
        <v>0.35551493198802003</v>
      </c>
      <c r="K22" s="6">
        <f>B25+$B$7*J22^2+$B$8*(J22-$J$21)^2</f>
        <v>2.1420927695636839E-2</v>
      </c>
      <c r="L22" s="14">
        <f t="shared" si="6"/>
        <v>0.32998426415972548</v>
      </c>
      <c r="M22" s="6">
        <f>B26+$B$7*L22^2+$B$8*(L22-$L$21)^2</f>
        <v>1.9603622799173534E-2</v>
      </c>
      <c r="N22" s="14">
        <f t="shared" si="8"/>
        <v>0.33672242726743851</v>
      </c>
      <c r="O22" s="5">
        <f t="shared" si="9"/>
        <v>2.1462136863496677E-2</v>
      </c>
      <c r="P22" s="14">
        <f t="shared" si="10"/>
        <v>0.34491887293005924</v>
      </c>
      <c r="Q22" s="5">
        <f t="shared" si="11"/>
        <v>2.093777875300195E-2</v>
      </c>
      <c r="R22" s="14">
        <f t="shared" si="12"/>
        <v>0.35551493198802003</v>
      </c>
      <c r="S22" s="5">
        <f t="shared" si="13"/>
        <v>2.1387193239350424E-2</v>
      </c>
      <c r="T22" s="14">
        <f t="shared" si="14"/>
        <v>0.36850999967224052</v>
      </c>
      <c r="U22" s="5">
        <f t="shared" si="15"/>
        <v>2.2053398825464851E-2</v>
      </c>
      <c r="V22" s="14">
        <f t="shared" si="16"/>
        <v>0.38436356808972039</v>
      </c>
      <c r="W22" s="5">
        <f t="shared" si="17"/>
        <v>2.2976299614311271E-2</v>
      </c>
      <c r="X22" s="14">
        <f t="shared" si="18"/>
        <v>0.40369344435498278</v>
      </c>
      <c r="Y22" s="5">
        <f t="shared" si="19"/>
        <v>2.4219874423581027E-2</v>
      </c>
      <c r="Z22" s="14">
        <f t="shared" si="20"/>
        <v>0.42734159528936844</v>
      </c>
      <c r="AA22" s="5">
        <f t="shared" si="21"/>
        <v>2.5881993643324289E-2</v>
      </c>
      <c r="AB22" s="14">
        <f t="shared" si="22"/>
        <v>0.45647400351223066</v>
      </c>
      <c r="AC22" s="5">
        <f t="shared" si="23"/>
        <v>2.8112126857992158E-2</v>
      </c>
      <c r="AD22" s="14">
        <f t="shared" si="24"/>
        <v>0.49285954606311644</v>
      </c>
      <c r="AE22" s="5">
        <f t="shared" si="25"/>
        <v>3.1639029316114453E-2</v>
      </c>
      <c r="AF22" s="14">
        <f t="shared" si="26"/>
        <v>0.5388502475340583</v>
      </c>
      <c r="AG22" s="5">
        <f t="shared" si="27"/>
        <v>3.5859475749133819E-2</v>
      </c>
      <c r="AH22" s="14">
        <f t="shared" si="28"/>
        <v>0.59786198629675602</v>
      </c>
      <c r="AI22" s="5">
        <f t="shared" si="29"/>
        <v>4.1875109525388581E-2</v>
      </c>
      <c r="AJ22" s="14">
        <f t="shared" si="30"/>
        <v>0.6746705470000891</v>
      </c>
      <c r="AK22" s="5">
        <f t="shared" si="31"/>
        <v>5.0689063857370015E-2</v>
      </c>
      <c r="AL22" s="14">
        <f t="shared" si="32"/>
        <v>0.77731517764715574</v>
      </c>
      <c r="AM22" s="5">
        <f t="shared" si="33"/>
        <v>6.4645874591040403E-2</v>
      </c>
      <c r="AN22" s="14">
        <f t="shared" si="34"/>
        <v>0.8934412913168116</v>
      </c>
      <c r="AO22" s="5">
        <f t="shared" si="35"/>
        <v>9.1101342683613251E-2</v>
      </c>
      <c r="AP22" s="14">
        <f t="shared" si="36"/>
        <v>0.81919107846144212</v>
      </c>
      <c r="AQ22" s="6">
        <f t="shared" si="37"/>
        <v>7.8040425119261153E-2</v>
      </c>
    </row>
    <row r="23" spans="1:43" x14ac:dyDescent="0.25">
      <c r="A23" s="139">
        <v>0.25</v>
      </c>
      <c r="B23" s="255">
        <f>'Sub C_D_0'!AV15</f>
        <v>9.880507361774149E-3</v>
      </c>
      <c r="C23" s="258">
        <f>'C_L vs. α'!Y321</f>
        <v>0.11224080908914616</v>
      </c>
      <c r="D23">
        <v>0.18131319766155771</v>
      </c>
      <c r="E23" s="144">
        <v>4</v>
      </c>
      <c r="F23" s="14">
        <f t="shared" si="0"/>
        <v>0.53088149414883845</v>
      </c>
      <c r="G23" s="6">
        <f t="shared" si="1"/>
        <v>3.6866729121887452E-2</v>
      </c>
      <c r="H23" s="14">
        <f t="shared" si="2"/>
        <v>0.53513095678736722</v>
      </c>
      <c r="I23" s="6">
        <f t="shared" si="3"/>
        <v>3.7070598034934503E-2</v>
      </c>
      <c r="J23" s="14">
        <f t="shared" si="4"/>
        <v>0.61418333278706749</v>
      </c>
      <c r="K23" s="6">
        <f t="shared" si="5"/>
        <v>4.5662564838694061E-2</v>
      </c>
      <c r="L23" s="14">
        <f t="shared" si="6"/>
        <v>0.54997377359954247</v>
      </c>
      <c r="M23" s="6">
        <f t="shared" si="7"/>
        <v>3.8245807634366608E-2</v>
      </c>
      <c r="N23" s="14">
        <f t="shared" si="8"/>
        <v>0.56120404544573077</v>
      </c>
      <c r="O23" s="5">
        <f t="shared" si="9"/>
        <v>4.20517004221145E-2</v>
      </c>
      <c r="P23" s="14">
        <f t="shared" si="10"/>
        <v>0.57486478821676545</v>
      </c>
      <c r="Q23" s="5">
        <f t="shared" si="11"/>
        <v>4.1484415668156284E-2</v>
      </c>
      <c r="R23" s="14">
        <f t="shared" si="12"/>
        <v>0.59252488664670011</v>
      </c>
      <c r="S23" s="5">
        <f t="shared" si="13"/>
        <v>4.3215624343099043E-2</v>
      </c>
      <c r="T23" s="14">
        <f t="shared" si="14"/>
        <v>0.61418333278706749</v>
      </c>
      <c r="U23" s="5">
        <f t="shared" si="15"/>
        <v>4.5506775793971402E-2</v>
      </c>
      <c r="V23" s="14">
        <f t="shared" si="16"/>
        <v>0.64060594681620064</v>
      </c>
      <c r="W23" s="5">
        <f t="shared" si="17"/>
        <v>4.8491046391772173E-2</v>
      </c>
      <c r="X23" s="14">
        <f t="shared" si="18"/>
        <v>0.67282240725830456</v>
      </c>
      <c r="Y23" s="5">
        <f t="shared" si="19"/>
        <v>5.2365455781871385E-2</v>
      </c>
      <c r="Z23" s="14">
        <f t="shared" si="20"/>
        <v>0.71223599214894739</v>
      </c>
      <c r="AA23" s="5">
        <f t="shared" si="21"/>
        <v>5.7421665001379088E-2</v>
      </c>
      <c r="AB23" s="14">
        <f t="shared" si="22"/>
        <v>0.7607900058537177</v>
      </c>
      <c r="AC23" s="5">
        <f t="shared" si="23"/>
        <v>6.4098570387470147E-2</v>
      </c>
      <c r="AD23" s="14">
        <f t="shared" si="24"/>
        <v>0.82143257677186066</v>
      </c>
      <c r="AE23" s="5">
        <f t="shared" si="25"/>
        <v>7.3591078121323622E-2</v>
      </c>
      <c r="AF23" s="14">
        <f t="shared" si="26"/>
        <v>0.8980837458900971</v>
      </c>
      <c r="AG23" s="5">
        <f t="shared" si="27"/>
        <v>8.6006250170231752E-2</v>
      </c>
      <c r="AH23" s="14">
        <f t="shared" si="28"/>
        <v>0.99643664382792685</v>
      </c>
      <c r="AI23" s="5">
        <f t="shared" si="29"/>
        <v>0.10360687693076534</v>
      </c>
      <c r="AJ23" s="14">
        <f t="shared" si="30"/>
        <v>1.1244509116668151</v>
      </c>
      <c r="AK23" s="5">
        <f t="shared" si="31"/>
        <v>0.12930133300603749</v>
      </c>
      <c r="AL23" s="14">
        <f t="shared" si="32"/>
        <v>1.2955252960785928</v>
      </c>
      <c r="AM23" s="5">
        <f t="shared" si="33"/>
        <v>0.16899795823872993</v>
      </c>
      <c r="AN23" s="14">
        <f t="shared" si="34"/>
        <v>1.4890688188613526</v>
      </c>
      <c r="AO23" s="5">
        <f t="shared" si="35"/>
        <v>0.23605697478641458</v>
      </c>
      <c r="AP23" s="14">
        <f t="shared" si="36"/>
        <v>1.3653184641024034</v>
      </c>
      <c r="AQ23" s="6">
        <f t="shared" si="37"/>
        <v>0.19990387875161209</v>
      </c>
    </row>
    <row r="24" spans="1:43" x14ac:dyDescent="0.25">
      <c r="A24" s="129">
        <v>0.3</v>
      </c>
      <c r="B24" s="256">
        <f>'Sub C_D_0'!AV16</f>
        <v>1.0107328442636955E-2</v>
      </c>
      <c r="C24" s="257">
        <f>'C_L vs. α'!Y322</f>
        <v>0.11497295764335308</v>
      </c>
      <c r="D24">
        <v>0.18131319766155771</v>
      </c>
      <c r="E24" s="144">
        <v>6</v>
      </c>
      <c r="F24" s="14">
        <f t="shared" si="0"/>
        <v>0.74323409180837385</v>
      </c>
      <c r="G24" s="6">
        <f t="shared" si="1"/>
        <v>6.3375686822673166E-2</v>
      </c>
      <c r="H24" s="14">
        <f t="shared" si="2"/>
        <v>0.74918333950231397</v>
      </c>
      <c r="I24" s="6">
        <f t="shared" si="3"/>
        <v>6.4045185224308035E-2</v>
      </c>
      <c r="J24" s="14">
        <f t="shared" si="4"/>
        <v>0.8968483255426809</v>
      </c>
      <c r="K24" s="6">
        <f t="shared" si="5"/>
        <v>8.7827521745098891E-2</v>
      </c>
      <c r="L24" s="14">
        <f t="shared" si="6"/>
        <v>0.76996328303935946</v>
      </c>
      <c r="M24" s="6">
        <f t="shared" si="7"/>
        <v>6.6795378625812987E-2</v>
      </c>
      <c r="N24" s="14">
        <f t="shared" si="8"/>
        <v>0.78568566362402315</v>
      </c>
      <c r="O24" s="5">
        <f t="shared" si="9"/>
        <v>7.2936045760041243E-2</v>
      </c>
      <c r="P24" s="14">
        <f t="shared" si="10"/>
        <v>0.8048107035034715</v>
      </c>
      <c r="Q24" s="5">
        <f t="shared" si="11"/>
        <v>7.2833122280458171E-2</v>
      </c>
      <c r="R24" s="14">
        <f t="shared" si="12"/>
        <v>0.82953484130538002</v>
      </c>
      <c r="S24" s="5">
        <f t="shared" si="13"/>
        <v>7.6520008184795041E-2</v>
      </c>
      <c r="T24" s="14">
        <f t="shared" si="14"/>
        <v>0.85985666590189447</v>
      </c>
      <c r="U24" s="5">
        <f t="shared" si="15"/>
        <v>8.1290395112768699E-2</v>
      </c>
      <c r="V24" s="14">
        <f t="shared" si="16"/>
        <v>0.8968483255426809</v>
      </c>
      <c r="W24" s="5">
        <f t="shared" si="17"/>
        <v>8.7419768124517599E-2</v>
      </c>
      <c r="X24" s="14">
        <f t="shared" si="18"/>
        <v>0.94195137016162644</v>
      </c>
      <c r="Y24" s="5">
        <f t="shared" si="19"/>
        <v>9.5308131806041127E-2</v>
      </c>
      <c r="Z24" s="14">
        <f t="shared" si="20"/>
        <v>0.99713038900852635</v>
      </c>
      <c r="AA24" s="5">
        <f t="shared" si="21"/>
        <v>0.10554282021208113</v>
      </c>
      <c r="AB24" s="14">
        <f t="shared" si="22"/>
        <v>1.0651060081952048</v>
      </c>
      <c r="AC24" s="5">
        <f t="shared" si="23"/>
        <v>0.1190043179744982</v>
      </c>
      <c r="AD24" s="14">
        <f t="shared" si="24"/>
        <v>1.1500056074806049</v>
      </c>
      <c r="AE24" s="5">
        <f t="shared" si="25"/>
        <v>0.13759875369422864</v>
      </c>
      <c r="AF24" s="14">
        <f t="shared" si="26"/>
        <v>1.257317244246136</v>
      </c>
      <c r="AG24" s="5">
        <f t="shared" si="27"/>
        <v>0.16251689886528986</v>
      </c>
      <c r="AH24" s="14">
        <f t="shared" si="28"/>
        <v>1.3950113013590975</v>
      </c>
      <c r="AI24" s="5">
        <f t="shared" si="29"/>
        <v>0.19779314561509126</v>
      </c>
      <c r="AJ24" s="14">
        <f t="shared" si="30"/>
        <v>1.5742312763335411</v>
      </c>
      <c r="AK24" s="5">
        <f t="shared" si="31"/>
        <v>0.24924276049343602</v>
      </c>
      <c r="AL24" s="14">
        <f t="shared" si="32"/>
        <v>1.8137354145100302</v>
      </c>
      <c r="AM24" s="5">
        <f t="shared" si="33"/>
        <v>0.32821150097871149</v>
      </c>
      <c r="AN24" s="14">
        <f t="shared" si="34"/>
        <v>2.0846963464058939</v>
      </c>
      <c r="AO24" s="5">
        <f>$B$36+$B$9*AN24^2</f>
        <v>0.4534904229406167</v>
      </c>
      <c r="AP24" s="14">
        <f t="shared" si="36"/>
        <v>1.9114458497433651</v>
      </c>
      <c r="AQ24" s="6">
        <f t="shared" si="37"/>
        <v>0.38269905920013864</v>
      </c>
    </row>
    <row r="25" spans="1:43" x14ac:dyDescent="0.25">
      <c r="A25" s="139">
        <v>0.35</v>
      </c>
      <c r="B25" s="255">
        <f>'Sub C_D_0'!AV17</f>
        <v>9.8810893743423358E-3</v>
      </c>
      <c r="C25" s="258">
        <f>'C_L vs. α'!Y323</f>
        <v>0.11850497732934001</v>
      </c>
      <c r="D25">
        <v>0.18131319766155771</v>
      </c>
      <c r="E25" s="144">
        <v>8</v>
      </c>
      <c r="F25" s="14">
        <f t="shared" si="0"/>
        <v>0.95558668946790915</v>
      </c>
      <c r="G25" s="6">
        <f t="shared" si="1"/>
        <v>9.9132911491804407E-2</v>
      </c>
      <c r="H25" s="14">
        <f t="shared" si="2"/>
        <v>0.96323572221726095</v>
      </c>
      <c r="I25" s="6">
        <f t="shared" si="3"/>
        <v>0.10040684985711344</v>
      </c>
      <c r="J25" s="14">
        <f t="shared" si="4"/>
        <v>1.2110803330649482</v>
      </c>
      <c r="K25" s="6">
        <f t="shared" si="5"/>
        <v>0.1538992024896689</v>
      </c>
      <c r="L25" s="14">
        <f t="shared" si="6"/>
        <v>0.98995279247917645</v>
      </c>
      <c r="M25" s="6">
        <f t="shared" si="7"/>
        <v>0.10524805611427439</v>
      </c>
      <c r="N25" s="14">
        <f t="shared" si="8"/>
        <v>1.0101672818023155</v>
      </c>
      <c r="O25" s="5">
        <f t="shared" si="9"/>
        <v>0.1141151728772769</v>
      </c>
      <c r="P25" s="14">
        <f t="shared" si="10"/>
        <v>1.0347566187901778</v>
      </c>
      <c r="Q25" s="5">
        <f t="shared" si="11"/>
        <v>0.11498389858990767</v>
      </c>
      <c r="R25" s="14">
        <f t="shared" si="12"/>
        <v>1.0665447959640602</v>
      </c>
      <c r="S25" s="5">
        <f t="shared" si="13"/>
        <v>0.12130034476443849</v>
      </c>
      <c r="T25" s="14">
        <f t="shared" si="14"/>
        <v>1.1055299990167216</v>
      </c>
      <c r="U25" s="5">
        <f t="shared" si="15"/>
        <v>0.1294042567818568</v>
      </c>
      <c r="V25" s="14">
        <f t="shared" si="16"/>
        <v>1.1530907042691612</v>
      </c>
      <c r="W25" s="5">
        <f t="shared" si="17"/>
        <v>0.1397624648125475</v>
      </c>
      <c r="X25" s="14">
        <f t="shared" si="18"/>
        <v>1.2110803330649482</v>
      </c>
      <c r="Y25" s="5">
        <f t="shared" si="19"/>
        <v>0.15304790249609018</v>
      </c>
      <c r="Z25" s="14">
        <f t="shared" si="20"/>
        <v>1.2820247858681053</v>
      </c>
      <c r="AA25" s="5">
        <f t="shared" si="21"/>
        <v>0.17024545927543036</v>
      </c>
      <c r="AB25" s="14">
        <f t="shared" si="22"/>
        <v>1.3694220105366919</v>
      </c>
      <c r="AC25" s="5">
        <f t="shared" si="23"/>
        <v>0.19282936961907629</v>
      </c>
      <c r="AD25" s="14">
        <f t="shared" si="24"/>
        <v>1.4785786381893493</v>
      </c>
      <c r="AE25" s="5">
        <f t="shared" si="25"/>
        <v>0.22366205603482958</v>
      </c>
      <c r="AF25" s="14">
        <f t="shared" si="26"/>
        <v>1.6165507426021748</v>
      </c>
      <c r="AG25" s="5">
        <f t="shared" si="27"/>
        <v>0.26539142183430808</v>
      </c>
      <c r="AH25" s="14">
        <f t="shared" si="28"/>
        <v>1.7935859588902683</v>
      </c>
      <c r="AI25" s="5">
        <f t="shared" si="29"/>
        <v>0.32443391557836665</v>
      </c>
      <c r="AJ25" s="14">
        <f t="shared" si="30"/>
        <v>2.0240116410002673</v>
      </c>
      <c r="AK25" s="5">
        <f t="shared" si="31"/>
        <v>0.41051334631956571</v>
      </c>
      <c r="AL25" s="14">
        <f t="shared" si="32"/>
        <v>2.3319455329414671</v>
      </c>
      <c r="AM25" s="5">
        <f t="shared" si="33"/>
        <v>0.54228650281098489</v>
      </c>
      <c r="AN25" s="14">
        <f t="shared" si="34"/>
        <v>2.6803238739504347</v>
      </c>
      <c r="AO25" s="5">
        <f t="shared" si="35"/>
        <v>0.74340168714621924</v>
      </c>
      <c r="AP25" s="14">
        <f t="shared" si="36"/>
        <v>2.4575732353843263</v>
      </c>
      <c r="AQ25" s="6">
        <f t="shared" si="37"/>
        <v>0.6264259664648405</v>
      </c>
    </row>
    <row r="26" spans="1:43" x14ac:dyDescent="0.25">
      <c r="A26" s="129">
        <v>0.4</v>
      </c>
      <c r="B26" s="256">
        <f>'Sub C_D_0'!AV18</f>
        <v>9.6907608464814627E-3</v>
      </c>
      <c r="C26" s="257">
        <f>'C_L vs. α'!Y324</f>
        <v>0.1228366665574135</v>
      </c>
      <c r="D26">
        <v>0.18131319766155771</v>
      </c>
      <c r="E26" s="144">
        <v>10</v>
      </c>
      <c r="F26" s="14">
        <f t="shared" si="0"/>
        <v>1.1679392871274445</v>
      </c>
      <c r="G26" s="6">
        <f t="shared" si="1"/>
        <v>0.1441291419762282</v>
      </c>
      <c r="H26" s="14">
        <f t="shared" si="2"/>
        <v>1.1772881049322077</v>
      </c>
      <c r="I26" s="6">
        <f t="shared" si="3"/>
        <v>0.14614944287175094</v>
      </c>
      <c r="J26" s="14">
        <f t="shared" si="4"/>
        <v>1.5669191827276843</v>
      </c>
      <c r="K26" s="6">
        <f t="shared" si="5"/>
        <v>0.25311013032116797</v>
      </c>
      <c r="L26" s="14">
        <f t="shared" si="6"/>
        <v>1.2099423019189934</v>
      </c>
      <c r="M26" s="6">
        <f t="shared" si="7"/>
        <v>0.15360074836349474</v>
      </c>
      <c r="N26" s="14">
        <f t="shared" si="8"/>
        <v>1.2346488999806078</v>
      </c>
      <c r="O26" s="5">
        <f t="shared" si="9"/>
        <v>0.16558908177382145</v>
      </c>
      <c r="P26" s="14">
        <f t="shared" si="10"/>
        <v>1.2647025340768838</v>
      </c>
      <c r="Q26" s="5">
        <f t="shared" si="11"/>
        <v>0.16793674459650468</v>
      </c>
      <c r="R26" s="14">
        <f t="shared" si="12"/>
        <v>1.3035547506227401</v>
      </c>
      <c r="S26" s="5">
        <f t="shared" si="13"/>
        <v>0.17755663408202929</v>
      </c>
      <c r="T26" s="14">
        <f t="shared" si="14"/>
        <v>1.3512033321315484</v>
      </c>
      <c r="U26" s="5">
        <f t="shared" si="15"/>
        <v>0.18984836080123557</v>
      </c>
      <c r="V26" s="14">
        <f t="shared" si="16"/>
        <v>1.4093330829956414</v>
      </c>
      <c r="W26" s="5">
        <f t="shared" si="17"/>
        <v>0.20551913645586195</v>
      </c>
      <c r="X26" s="14">
        <f t="shared" si="18"/>
        <v>1.48020929596827</v>
      </c>
      <c r="Y26" s="5">
        <f t="shared" si="19"/>
        <v>0.22558476785201859</v>
      </c>
      <c r="Z26" s="14">
        <f t="shared" si="20"/>
        <v>1.5669191827276843</v>
      </c>
      <c r="AA26" s="5">
        <f t="shared" si="21"/>
        <v>0.25152958219142685</v>
      </c>
      <c r="AB26" s="14">
        <f t="shared" si="22"/>
        <v>1.6737380128781789</v>
      </c>
      <c r="AC26" s="5">
        <f t="shared" si="23"/>
        <v>0.2855737253212044</v>
      </c>
      <c r="AD26" s="14">
        <f t="shared" si="24"/>
        <v>1.8071516688980935</v>
      </c>
      <c r="AE26" s="5">
        <f t="shared" si="25"/>
        <v>0.33178098514312637</v>
      </c>
      <c r="AF26" s="14">
        <f t="shared" si="26"/>
        <v>1.9757842409582136</v>
      </c>
      <c r="AG26" s="5">
        <f t="shared" si="27"/>
        <v>0.3946298190772865</v>
      </c>
      <c r="AH26" s="14">
        <f t="shared" si="28"/>
        <v>2.1921606164214391</v>
      </c>
      <c r="AI26" s="5">
        <f t="shared" si="29"/>
        <v>0.48352918682059115</v>
      </c>
      <c r="AJ26" s="14">
        <f t="shared" si="30"/>
        <v>2.4737920056669931</v>
      </c>
      <c r="AK26" s="5">
        <f t="shared" si="31"/>
        <v>0.61311309048442642</v>
      </c>
      <c r="AL26" s="14">
        <f t="shared" si="32"/>
        <v>2.8501556513729045</v>
      </c>
      <c r="AM26" s="5">
        <f t="shared" si="33"/>
        <v>0.81122296373555047</v>
      </c>
      <c r="AN26" s="14">
        <f t="shared" si="34"/>
        <v>3.275951401494976</v>
      </c>
      <c r="AO26" s="5">
        <f t="shared" si="35"/>
        <v>1.1057907674032228</v>
      </c>
      <c r="AP26" s="14">
        <f t="shared" si="36"/>
        <v>3.0037006210252879</v>
      </c>
      <c r="AQ26" s="6">
        <f t="shared" si="37"/>
        <v>0.93108460054571818</v>
      </c>
    </row>
    <row r="27" spans="1:43" x14ac:dyDescent="0.25">
      <c r="A27" s="139">
        <v>0.45</v>
      </c>
      <c r="B27" s="255">
        <f>'Sub C_D_0'!AV19</f>
        <v>9.5270817060013231E-3</v>
      </c>
      <c r="C27" s="258">
        <f>'C_L vs. α'!Y325</f>
        <v>0.12812118936324013</v>
      </c>
      <c r="D27">
        <v>0.18131319766155771</v>
      </c>
      <c r="E27" s="144">
        <v>12</v>
      </c>
      <c r="F27" s="14">
        <f t="shared" si="0"/>
        <v>1.3802918847869798</v>
      </c>
      <c r="G27" s="6">
        <f t="shared" si="1"/>
        <v>0.19835822921434471</v>
      </c>
      <c r="H27" s="14">
        <f t="shared" si="2"/>
        <v>1.3913404876471547</v>
      </c>
      <c r="I27" s="6">
        <f t="shared" si="3"/>
        <v>0.20126868460898226</v>
      </c>
      <c r="J27" s="14">
        <f t="shared" si="4"/>
        <v>1.9780540152196662</v>
      </c>
      <c r="K27" s="6">
        <f t="shared" si="5"/>
        <v>0.3999808805404812</v>
      </c>
      <c r="L27" s="14">
        <f t="shared" si="6"/>
        <v>1.4299318113588104</v>
      </c>
      <c r="M27" s="6">
        <f t="shared" si="7"/>
        <v>0.21233649525096612</v>
      </c>
      <c r="N27" s="14">
        <f t="shared" si="8"/>
        <v>1.4591305181589</v>
      </c>
      <c r="O27" s="5">
        <f t="shared" si="9"/>
        <v>0.22735777244967492</v>
      </c>
      <c r="P27" s="14">
        <f t="shared" si="10"/>
        <v>1.4946484493635901</v>
      </c>
      <c r="Q27" s="5">
        <f t="shared" si="11"/>
        <v>0.23169166030024932</v>
      </c>
      <c r="R27" s="14">
        <f t="shared" si="12"/>
        <v>1.5405647052814202</v>
      </c>
      <c r="S27" s="5">
        <f t="shared" si="13"/>
        <v>0.24528887613756753</v>
      </c>
      <c r="T27" s="14">
        <f t="shared" si="14"/>
        <v>1.5968766652463755</v>
      </c>
      <c r="U27" s="5">
        <f t="shared" si="15"/>
        <v>0.26262270717090519</v>
      </c>
      <c r="V27" s="14">
        <f t="shared" si="16"/>
        <v>1.6655754617221217</v>
      </c>
      <c r="W27" s="5">
        <f t="shared" si="17"/>
        <v>0.28468978305446091</v>
      </c>
      <c r="X27" s="14">
        <f t="shared" si="18"/>
        <v>1.749338258871592</v>
      </c>
      <c r="Y27" s="5">
        <f t="shared" si="19"/>
        <v>0.31291872787382652</v>
      </c>
      <c r="Z27" s="14">
        <f t="shared" si="20"/>
        <v>1.8518135795872632</v>
      </c>
      <c r="AA27" s="5">
        <f t="shared" si="21"/>
        <v>0.3493951889600706</v>
      </c>
      <c r="AB27" s="14">
        <f t="shared" si="22"/>
        <v>1.9780540152196662</v>
      </c>
      <c r="AC27" s="5">
        <f t="shared" si="23"/>
        <v>0.39723738508088258</v>
      </c>
      <c r="AD27" s="14">
        <f t="shared" si="24"/>
        <v>2.135724699606838</v>
      </c>
      <c r="AE27" s="5">
        <f t="shared" si="25"/>
        <v>0.46195554101911912</v>
      </c>
      <c r="AF27" s="14">
        <f t="shared" si="26"/>
        <v>2.3350177393142526</v>
      </c>
      <c r="AG27" s="5">
        <f t="shared" si="27"/>
        <v>0.55023209059422518</v>
      </c>
      <c r="AH27" s="14">
        <f t="shared" si="28"/>
        <v>2.5907352739526095</v>
      </c>
      <c r="AI27" s="5">
        <f t="shared" si="29"/>
        <v>0.67507895934176476</v>
      </c>
      <c r="AJ27" s="14">
        <f t="shared" si="30"/>
        <v>2.9235723703337193</v>
      </c>
      <c r="AK27" s="5">
        <f t="shared" si="31"/>
        <v>0.8570419929880182</v>
      </c>
      <c r="AL27" s="14">
        <f t="shared" si="32"/>
        <v>3.3683657698043414</v>
      </c>
      <c r="AM27" s="5">
        <f t="shared" si="33"/>
        <v>1.1350208837524078</v>
      </c>
      <c r="AN27" s="14">
        <f t="shared" si="34"/>
        <v>3.8715789290395168</v>
      </c>
      <c r="AO27" s="5">
        <f t="shared" si="35"/>
        <v>1.5406576637116267</v>
      </c>
      <c r="AP27" s="14">
        <f t="shared" si="36"/>
        <v>3.5498280066662491</v>
      </c>
      <c r="AQ27" s="6">
        <f t="shared" si="37"/>
        <v>1.2966749614427708</v>
      </c>
    </row>
    <row r="28" spans="1:43" x14ac:dyDescent="0.25">
      <c r="A28" s="129">
        <v>0.5</v>
      </c>
      <c r="B28" s="256">
        <f>'Sub C_D_0'!AV20</f>
        <v>9.3839028913021826E-3</v>
      </c>
      <c r="C28" s="257">
        <f>'C_L vs. α'!Y326</f>
        <v>0.13456448145166092</v>
      </c>
      <c r="D28">
        <v>0.18131319766155771</v>
      </c>
      <c r="E28" s="144">
        <v>14</v>
      </c>
      <c r="F28" s="14">
        <f t="shared" si="0"/>
        <v>1.5926444824465154</v>
      </c>
      <c r="G28" s="6">
        <f t="shared" si="1"/>
        <v>0.26181589354691587</v>
      </c>
      <c r="H28" s="14">
        <f t="shared" si="2"/>
        <v>1.6053928703621014</v>
      </c>
      <c r="I28" s="6">
        <f t="shared" si="3"/>
        <v>0.26576148333255134</v>
      </c>
      <c r="J28" s="14">
        <f t="shared" si="4"/>
        <v>2.464297730315582</v>
      </c>
      <c r="K28" s="6">
        <f t="shared" si="5"/>
        <v>0.61877122963368925</v>
      </c>
      <c r="L28" s="14">
        <f t="shared" si="6"/>
        <v>1.6499213207986274</v>
      </c>
      <c r="M28" s="6">
        <f t="shared" si="7"/>
        <v>0.28047766811327268</v>
      </c>
      <c r="N28" s="14">
        <f t="shared" si="8"/>
        <v>1.6836121363371923</v>
      </c>
      <c r="O28" s="5">
        <f t="shared" si="9"/>
        <v>0.29942124490483729</v>
      </c>
      <c r="P28" s="14">
        <f t="shared" si="10"/>
        <v>1.7245943646502961</v>
      </c>
      <c r="Q28" s="5">
        <f t="shared" si="11"/>
        <v>0.30624864570114152</v>
      </c>
      <c r="R28" s="14">
        <f t="shared" si="12"/>
        <v>1.7775746599401001</v>
      </c>
      <c r="S28" s="5">
        <f t="shared" si="13"/>
        <v>0.32449707093105312</v>
      </c>
      <c r="T28" s="14">
        <f t="shared" si="14"/>
        <v>1.8425499983612026</v>
      </c>
      <c r="U28" s="5">
        <f t="shared" si="15"/>
        <v>0.34772729589086554</v>
      </c>
      <c r="V28" s="14">
        <f t="shared" si="16"/>
        <v>1.9218178404486019</v>
      </c>
      <c r="W28" s="5">
        <f t="shared" si="17"/>
        <v>0.37727440460834433</v>
      </c>
      <c r="X28" s="14">
        <f t="shared" si="18"/>
        <v>2.0184672217749138</v>
      </c>
      <c r="Y28" s="5">
        <f t="shared" si="19"/>
        <v>0.41504978256151365</v>
      </c>
      <c r="Z28" s="14">
        <f t="shared" si="20"/>
        <v>2.136707976446842</v>
      </c>
      <c r="AA28" s="5">
        <f t="shared" si="21"/>
        <v>0.46384227958136148</v>
      </c>
      <c r="AB28" s="14">
        <f t="shared" si="22"/>
        <v>2.2823700175611532</v>
      </c>
      <c r="AC28" s="5">
        <f t="shared" si="23"/>
        <v>0.5278203488981108</v>
      </c>
      <c r="AD28" s="14">
        <f t="shared" si="24"/>
        <v>2.464297730315582</v>
      </c>
      <c r="AE28" s="5">
        <f t="shared" si="25"/>
        <v>0.61418572366280766</v>
      </c>
      <c r="AF28" s="14">
        <f t="shared" si="26"/>
        <v>2.6942512376702914</v>
      </c>
      <c r="AG28" s="5">
        <f t="shared" si="27"/>
        <v>0.7321982363851236</v>
      </c>
      <c r="AH28" s="14">
        <f t="shared" si="28"/>
        <v>2.9893099314837803</v>
      </c>
      <c r="AI28" s="5">
        <f t="shared" si="29"/>
        <v>0.89908323314188798</v>
      </c>
      <c r="AJ28" s="14">
        <f t="shared" si="30"/>
        <v>3.3733527350004455</v>
      </c>
      <c r="AK28" s="5">
        <f t="shared" si="31"/>
        <v>1.1423000538303412</v>
      </c>
      <c r="AL28" s="14">
        <f t="shared" si="32"/>
        <v>3.8865758882357788</v>
      </c>
      <c r="AM28" s="5">
        <f t="shared" si="33"/>
        <v>1.5136802628615578</v>
      </c>
      <c r="AN28" s="14">
        <f t="shared" si="34"/>
        <v>4.4672064565840577</v>
      </c>
      <c r="AO28" s="5">
        <f t="shared" si="35"/>
        <v>2.0480023760714312</v>
      </c>
      <c r="AP28" s="14">
        <f t="shared" si="36"/>
        <v>4.0959553923072107</v>
      </c>
      <c r="AQ28" s="6">
        <f t="shared" si="37"/>
        <v>1.7231970491559994</v>
      </c>
    </row>
    <row r="29" spans="1:43" x14ac:dyDescent="0.25">
      <c r="A29" s="139">
        <v>0.55000000000000004</v>
      </c>
      <c r="B29" s="255">
        <f>'Sub C_D_0'!AV21</f>
        <v>9.2569447431457372E-3</v>
      </c>
      <c r="C29" s="258">
        <f>'C_L vs. α'!Y327</f>
        <v>0.14244719842978948</v>
      </c>
      <c r="D29">
        <v>0.18131319766155771</v>
      </c>
      <c r="E29" s="144">
        <v>16</v>
      </c>
      <c r="F29" s="14">
        <f t="shared" si="0"/>
        <v>1.8049970801060506</v>
      </c>
      <c r="G29" s="6">
        <f t="shared" si="1"/>
        <v>0.33449904323768537</v>
      </c>
      <c r="H29" s="14">
        <f t="shared" si="2"/>
        <v>1.8194452530770484</v>
      </c>
      <c r="I29" s="6">
        <f t="shared" si="3"/>
        <v>0.34011087891995023</v>
      </c>
      <c r="J29" s="14">
        <f t="shared" si="4"/>
        <v>3.0534847360263302</v>
      </c>
      <c r="K29" s="6">
        <f t="shared" si="5"/>
        <v>0.948042941767261</v>
      </c>
      <c r="L29" s="14">
        <f t="shared" si="6"/>
        <v>1.8699108302384444</v>
      </c>
      <c r="M29" s="6">
        <f t="shared" si="7"/>
        <v>0.35851385174954614</v>
      </c>
      <c r="N29" s="14">
        <f t="shared" si="8"/>
        <v>1.9080937545154848</v>
      </c>
      <c r="O29" s="8">
        <f t="shared" si="9"/>
        <v>0.3817794991393087</v>
      </c>
      <c r="P29" s="14">
        <f t="shared" si="10"/>
        <v>1.9545402799370024</v>
      </c>
      <c r="Q29" s="5">
        <f t="shared" si="11"/>
        <v>0.39160770079918134</v>
      </c>
      <c r="R29" s="14">
        <f t="shared" si="12"/>
        <v>2.01458461459878</v>
      </c>
      <c r="S29" s="5">
        <f t="shared" si="13"/>
        <v>0.41518121846248607</v>
      </c>
      <c r="T29" s="14">
        <f t="shared" si="14"/>
        <v>2.0882233314760295</v>
      </c>
      <c r="U29" s="5">
        <f t="shared" si="15"/>
        <v>0.44516212696111668</v>
      </c>
      <c r="V29" s="14">
        <f t="shared" si="16"/>
        <v>2.178060219175082</v>
      </c>
      <c r="W29" s="5">
        <f t="shared" si="17"/>
        <v>0.4832730011175122</v>
      </c>
      <c r="X29" s="14">
        <f t="shared" si="18"/>
        <v>2.2875961846782356</v>
      </c>
      <c r="Y29" s="5">
        <f t="shared" si="19"/>
        <v>0.53197793191508014</v>
      </c>
      <c r="Z29" s="14">
        <f t="shared" si="20"/>
        <v>2.4216023733064214</v>
      </c>
      <c r="AA29" s="5">
        <f t="shared" si="21"/>
        <v>0.59487085405529982</v>
      </c>
      <c r="AB29" s="14">
        <f t="shared" si="22"/>
        <v>2.5866860199026402</v>
      </c>
      <c r="AC29" s="5">
        <f t="shared" si="23"/>
        <v>0.67732261677288907</v>
      </c>
      <c r="AD29" s="14">
        <f t="shared" si="24"/>
        <v>2.7928707610243264</v>
      </c>
      <c r="AE29" s="5">
        <f t="shared" si="25"/>
        <v>0.78847153307419204</v>
      </c>
      <c r="AF29" s="14">
        <f t="shared" si="26"/>
        <v>3.0534847360263302</v>
      </c>
      <c r="AG29" s="5">
        <f t="shared" si="27"/>
        <v>0.9405282564499825</v>
      </c>
      <c r="AH29" s="14">
        <f t="shared" si="28"/>
        <v>3.3878845890149512</v>
      </c>
      <c r="AI29" s="5">
        <f t="shared" si="29"/>
        <v>1.1555420082209604</v>
      </c>
      <c r="AJ29" s="14">
        <f t="shared" si="30"/>
        <v>3.8231330996671713</v>
      </c>
      <c r="AK29" s="5">
        <f t="shared" si="31"/>
        <v>1.4688872730113947</v>
      </c>
      <c r="AL29" s="14">
        <f t="shared" si="32"/>
        <v>4.4047860066672158</v>
      </c>
      <c r="AM29" s="5">
        <f t="shared" si="33"/>
        <v>1.9472011010629988</v>
      </c>
      <c r="AN29" s="14">
        <f t="shared" si="34"/>
        <v>5.0628339841285994</v>
      </c>
      <c r="AO29" s="8">
        <f t="shared" si="35"/>
        <v>2.6278249044826372</v>
      </c>
      <c r="AP29" s="14">
        <f t="shared" si="36"/>
        <v>4.6420827779481719</v>
      </c>
      <c r="AQ29" s="9">
        <f t="shared" si="37"/>
        <v>2.210650863685403</v>
      </c>
    </row>
    <row r="30" spans="1:43" x14ac:dyDescent="0.25">
      <c r="A30" s="129">
        <v>0.6</v>
      </c>
      <c r="B30" s="256">
        <f>'Sub C_D_0'!AV22</f>
        <v>9.1431155252759584E-3</v>
      </c>
      <c r="C30" s="257">
        <f>'C_L vs. α'!Y328</f>
        <v>0.15215800117074355</v>
      </c>
      <c r="D30">
        <v>0.18131319766155771</v>
      </c>
    </row>
    <row r="31" spans="1:43" x14ac:dyDescent="0.25">
      <c r="A31" s="139">
        <v>0.65</v>
      </c>
      <c r="B31" s="255">
        <f>'Sub C_D_0'!AV23</f>
        <v>9.5254551151848256E-3</v>
      </c>
      <c r="C31" s="258">
        <f>'C_L vs. α'!Y329</f>
        <v>0.16428651535437214</v>
      </c>
      <c r="D31">
        <v>0.18131319766155771</v>
      </c>
    </row>
    <row r="32" spans="1:43" x14ac:dyDescent="0.25">
      <c r="A32" s="129">
        <v>0.7</v>
      </c>
      <c r="B32" s="256">
        <f>'Sub C_D_0'!AV24</f>
        <v>9.4263348494565899E-3</v>
      </c>
      <c r="C32" s="257">
        <f>'C_L vs. α'!Y330</f>
        <v>0.17961674917801942</v>
      </c>
      <c r="D32">
        <v>0.18131319766155771</v>
      </c>
    </row>
    <row r="33" spans="1:42" x14ac:dyDescent="0.25">
      <c r="A33" s="139">
        <v>0.75</v>
      </c>
      <c r="B33" s="255">
        <f>'Sub C_D_0'!AV25</f>
        <v>9.3353395272229127E-3</v>
      </c>
      <c r="C33" s="258">
        <f>'C_L vs. α'!Y331</f>
        <v>0.19928732876558536</v>
      </c>
      <c r="D33">
        <v>0.18131319766155771</v>
      </c>
    </row>
    <row r="34" spans="1:42" x14ac:dyDescent="0.25">
      <c r="A34" s="129">
        <v>0.8</v>
      </c>
      <c r="B34" s="256">
        <f>'Sub C_D_0'!AV26</f>
        <v>9.2513201372908752E-3</v>
      </c>
      <c r="C34" s="257">
        <f>'C_L vs. α'!Y332</f>
        <v>0.22489018233336303</v>
      </c>
      <c r="D34">
        <v>0.17</v>
      </c>
    </row>
    <row r="35" spans="1:42" x14ac:dyDescent="0.25">
      <c r="A35" s="139">
        <v>0.85</v>
      </c>
      <c r="B35" s="255">
        <f>'Sub C_D_0'!AV27</f>
        <v>9.6402762833300171E-3</v>
      </c>
      <c r="C35" s="258">
        <f>'C_L vs. α'!Y333</f>
        <v>0.25910505921571858</v>
      </c>
      <c r="D35">
        <v>0.14000000000000001</v>
      </c>
    </row>
    <row r="36" spans="1:42" x14ac:dyDescent="0.25">
      <c r="A36" s="129">
        <v>0.9</v>
      </c>
      <c r="B36" s="256">
        <f>'Sub C_D_0'!AV28</f>
        <v>9.563799625787503E-3</v>
      </c>
      <c r="C36" s="257">
        <f>'C_L vs. α'!Y334</f>
        <v>0.29781376377227053</v>
      </c>
      <c r="D36">
        <v>0.11</v>
      </c>
    </row>
    <row r="37" spans="1:42" x14ac:dyDescent="0.25">
      <c r="A37" s="139">
        <v>0.95</v>
      </c>
      <c r="B37" s="255">
        <f>'Sub C_D_0'!AV29</f>
        <v>9.4922324510637365E-3</v>
      </c>
      <c r="C37" s="258">
        <f>'C_L vs. α'!Y335</f>
        <v>0.27306369282048071</v>
      </c>
      <c r="D37">
        <v>0.09</v>
      </c>
    </row>
    <row r="38" spans="1:42" x14ac:dyDescent="0.25">
      <c r="B38" s="11"/>
    </row>
    <row r="39" spans="1:42" x14ac:dyDescent="0.25">
      <c r="A39" s="122" t="s">
        <v>537</v>
      </c>
      <c r="B39" s="122" t="s">
        <v>522</v>
      </c>
    </row>
    <row r="40" spans="1:42" x14ac:dyDescent="0.25">
      <c r="A40" s="122" t="s">
        <v>202</v>
      </c>
      <c r="B40" s="143" t="s">
        <v>533</v>
      </c>
      <c r="C40" s="122" t="s">
        <v>538</v>
      </c>
      <c r="D40" s="122" t="s">
        <v>539</v>
      </c>
      <c r="E40" s="1" t="s">
        <v>536</v>
      </c>
      <c r="F40" s="140">
        <v>0.05</v>
      </c>
      <c r="G40" s="1" t="s">
        <v>536</v>
      </c>
      <c r="H40" s="140">
        <v>0.1</v>
      </c>
      <c r="I40" s="1" t="s">
        <v>536</v>
      </c>
      <c r="J40" s="140">
        <v>0.15</v>
      </c>
      <c r="K40" s="1" t="s">
        <v>536</v>
      </c>
      <c r="L40" s="140">
        <v>0.2</v>
      </c>
      <c r="M40" s="2" t="s">
        <v>536</v>
      </c>
      <c r="N40" s="163">
        <v>0.25</v>
      </c>
      <c r="O40" s="2" t="s">
        <v>536</v>
      </c>
      <c r="P40" s="163">
        <v>0.3</v>
      </c>
      <c r="Q40" s="2" t="s">
        <v>536</v>
      </c>
      <c r="R40" s="163">
        <v>0.35</v>
      </c>
      <c r="S40" s="2" t="s">
        <v>536</v>
      </c>
      <c r="T40" s="163">
        <v>0.4</v>
      </c>
      <c r="U40" s="2" t="s">
        <v>536</v>
      </c>
      <c r="V40" s="163">
        <v>0.45</v>
      </c>
      <c r="W40" s="2" t="s">
        <v>536</v>
      </c>
      <c r="X40" s="163">
        <v>0.5</v>
      </c>
      <c r="Y40" s="2" t="s">
        <v>536</v>
      </c>
      <c r="Z40" s="163">
        <v>0.55000000000000004</v>
      </c>
      <c r="AA40" s="2" t="s">
        <v>536</v>
      </c>
      <c r="AB40" s="163">
        <v>0.6</v>
      </c>
      <c r="AC40" s="2" t="s">
        <v>536</v>
      </c>
      <c r="AD40" s="163">
        <v>0.65</v>
      </c>
      <c r="AE40" s="2" t="s">
        <v>536</v>
      </c>
      <c r="AF40" s="163">
        <v>0.7</v>
      </c>
      <c r="AG40" s="2" t="s">
        <v>536</v>
      </c>
      <c r="AH40" s="163">
        <v>0.75</v>
      </c>
      <c r="AI40" s="2" t="s">
        <v>536</v>
      </c>
      <c r="AJ40" s="163">
        <v>0.8</v>
      </c>
      <c r="AK40" s="2" t="s">
        <v>536</v>
      </c>
      <c r="AL40" s="163">
        <v>0.85</v>
      </c>
      <c r="AM40" s="2" t="s">
        <v>536</v>
      </c>
      <c r="AN40" s="163">
        <v>0.9</v>
      </c>
      <c r="AO40" s="2" t="s">
        <v>536</v>
      </c>
      <c r="AP40" s="140">
        <v>0.95</v>
      </c>
    </row>
    <row r="41" spans="1:42" x14ac:dyDescent="0.25">
      <c r="A41" s="121" t="s">
        <v>182</v>
      </c>
      <c r="B41" s="121" t="s">
        <v>534</v>
      </c>
      <c r="C41" s="121" t="s">
        <v>535</v>
      </c>
      <c r="D41" s="121" t="s">
        <v>421</v>
      </c>
      <c r="E41" s="14" t="s">
        <v>244</v>
      </c>
      <c r="F41" s="6" t="s">
        <v>245</v>
      </c>
      <c r="G41" s="14" t="s">
        <v>244</v>
      </c>
      <c r="H41" s="6" t="s">
        <v>245</v>
      </c>
      <c r="I41" s="14" t="s">
        <v>244</v>
      </c>
      <c r="J41" s="6" t="s">
        <v>245</v>
      </c>
      <c r="K41" s="14" t="s">
        <v>244</v>
      </c>
      <c r="L41" s="6" t="s">
        <v>245</v>
      </c>
      <c r="M41" s="5" t="s">
        <v>244</v>
      </c>
      <c r="N41" s="5" t="s">
        <v>245</v>
      </c>
      <c r="O41" s="5" t="s">
        <v>244</v>
      </c>
      <c r="P41" s="5" t="s">
        <v>245</v>
      </c>
      <c r="Q41" s="5" t="s">
        <v>244</v>
      </c>
      <c r="R41" s="5" t="s">
        <v>245</v>
      </c>
      <c r="S41" s="5" t="s">
        <v>244</v>
      </c>
      <c r="T41" s="5" t="s">
        <v>245</v>
      </c>
      <c r="U41" s="5" t="s">
        <v>244</v>
      </c>
      <c r="V41" s="5" t="s">
        <v>245</v>
      </c>
      <c r="W41" s="5" t="s">
        <v>244</v>
      </c>
      <c r="X41" s="5" t="s">
        <v>245</v>
      </c>
      <c r="Y41" s="5" t="s">
        <v>244</v>
      </c>
      <c r="Z41" s="5" t="s">
        <v>245</v>
      </c>
      <c r="AA41" s="5" t="s">
        <v>244</v>
      </c>
      <c r="AB41" s="5" t="s">
        <v>245</v>
      </c>
      <c r="AC41" s="5" t="s">
        <v>244</v>
      </c>
      <c r="AD41" s="5" t="s">
        <v>245</v>
      </c>
      <c r="AE41" s="5" t="s">
        <v>244</v>
      </c>
      <c r="AF41" s="5" t="s">
        <v>245</v>
      </c>
      <c r="AG41" s="5" t="s">
        <v>244</v>
      </c>
      <c r="AH41" s="5" t="s">
        <v>245</v>
      </c>
      <c r="AI41" s="5" t="s">
        <v>244</v>
      </c>
      <c r="AJ41" s="5" t="s">
        <v>245</v>
      </c>
      <c r="AK41" s="5" t="s">
        <v>244</v>
      </c>
      <c r="AL41" s="5" t="s">
        <v>245</v>
      </c>
      <c r="AM41" s="5" t="s">
        <v>244</v>
      </c>
      <c r="AN41" s="5" t="s">
        <v>245</v>
      </c>
      <c r="AO41" s="5" t="s">
        <v>244</v>
      </c>
      <c r="AP41" s="6" t="s">
        <v>245</v>
      </c>
    </row>
    <row r="42" spans="1:42" x14ac:dyDescent="0.25">
      <c r="A42" s="129">
        <v>0</v>
      </c>
      <c r="B42" s="129" t="e">
        <f>'Sub C_D_0'!AV40</f>
        <v>#DIV/0!</v>
      </c>
      <c r="C42" s="129" t="e">
        <f>'C_L vs. α'!X341</f>
        <v>#NUM!</v>
      </c>
      <c r="D42" s="144">
        <v>-6</v>
      </c>
      <c r="E42" s="14">
        <f>(D42-$B$12)*$C$43</f>
        <v>-0.53100334484536704</v>
      </c>
      <c r="F42" s="6">
        <f>$B$43+$B$7*E42^2+$B$8*(E42-E$45)^2</f>
        <v>4.3778932718222634E-2</v>
      </c>
      <c r="G42" s="14">
        <f>(D42-$B$12)*$C$44</f>
        <v>-0.53525635758510981</v>
      </c>
      <c r="H42" s="6">
        <f>$B$44+$B$7*G42^2+$B$8*(G42-G$45)^2</f>
        <v>4.2973288765950038E-2</v>
      </c>
      <c r="I42" s="14">
        <f>(D42-$B$12)*$C$45</f>
        <v>-0.54150010204152876</v>
      </c>
      <c r="J42" s="6">
        <f>$B$45+$B$7*I42^2+$B$8*(I42-I$45)^2</f>
        <v>4.304062870837648E-2</v>
      </c>
      <c r="K42" s="14">
        <f>(D42-$B$12)*$C$46</f>
        <v>-0.550087604438247</v>
      </c>
      <c r="L42" s="6">
        <f>$B$46+$B$7*K42^2+$B$8*(K42-K$45)^2</f>
        <v>4.3633443171432834E-2</v>
      </c>
      <c r="M42" s="5">
        <f>(D42-$B$12)*$C$47</f>
        <v>-0.56131101228311508</v>
      </c>
      <c r="N42" s="6">
        <f>$B$47+$B$7*M42^2+$B$8*(M42-M$45)^2</f>
        <v>4.4688498976651753E-2</v>
      </c>
      <c r="O42" s="5">
        <f>(D42-$B$12)*$C$48</f>
        <v>-0.57497046389781203</v>
      </c>
      <c r="P42" s="6">
        <f>$B$48+$B$7*O42^2+$B$8*(O42-O$45)^2</f>
        <v>4.6635270105940471E-2</v>
      </c>
      <c r="Q42" s="5">
        <f>(D42-$B$12)*$C$49</f>
        <v>-0.59262297425661759</v>
      </c>
      <c r="R42" s="6">
        <f>$B$49+$B$7*Q42^2+$B$8*(Q42-Q$45)^2</f>
        <v>4.8700390716699127E-2</v>
      </c>
      <c r="S42" s="5">
        <f>(D42-$B$12)*$C$50</f>
        <v>-0.61427207952508867</v>
      </c>
      <c r="T42" s="6">
        <f>$B$50+$B$7*S42^2+$B$8*(S42-S$45)^2</f>
        <v>5.141277593408132E-2</v>
      </c>
      <c r="U42" s="5">
        <f>(D42-$B$12)*$C$51</f>
        <v>-0.64068283409378879</v>
      </c>
      <c r="V42" s="6">
        <f>$B$51+$B$7*U42^2+$B$8*(U42-U$45)^2</f>
        <v>5.4929661610787321E-2</v>
      </c>
      <c r="W42" s="5">
        <f>(D42-$B$12)*$C$52</f>
        <v>-0.67288369325524622</v>
      </c>
      <c r="X42" s="6">
        <f>$B$52+$B$7*W42^2+$B$8*(W42-W$45)^2</f>
        <v>5.9482187497500096E-2</v>
      </c>
      <c r="Y42" s="5">
        <f>(D42-$B$12)*$C$53</f>
        <v>-0.71227596544857497</v>
      </c>
      <c r="Z42" s="6">
        <f>$B$53+$B$7*Y42^2+$B$8*(Y42-Y$45)^2</f>
        <v>6.5411538684118212E-2</v>
      </c>
      <c r="AA42" s="5">
        <f>(D42-$B$12)*$C$54</f>
        <v>-0.76079967024701778</v>
      </c>
      <c r="AB42" s="6">
        <f>$B$54+$B$7*AA42^2+$B$8*(AA42-AA$45)^2</f>
        <v>7.3230358548143443E-2</v>
      </c>
      <c r="AC42" s="5">
        <f>(D42-$B$12)*$C$55</f>
        <v>-0.8213944139156214</v>
      </c>
      <c r="AD42" s="6">
        <f>$B$55+$B$7*AC42^2+$B$8*(AC42-AC$45)^2</f>
        <v>8.424441280367663E-2</v>
      </c>
      <c r="AE42" s="5">
        <f>(D42-$B$12)*$C$56</f>
        <v>-0.89796892450603505</v>
      </c>
      <c r="AF42" s="6">
        <f>$B$56+$B$7*AE42^2+$B$8*(AE42-AE$45)^2</f>
        <v>9.8754460580745787E-2</v>
      </c>
      <c r="AG42" s="5">
        <f>(D42-$B$12)*$C$57</f>
        <v>-0.99619284210460901</v>
      </c>
      <c r="AH42" s="6">
        <f>$B$57+$B$7*AG42^2+$B$8*(AG42-AG$45)^2</f>
        <v>0.11930715972856823</v>
      </c>
      <c r="AI42" s="5">
        <f>(D42-$B$12)*$C$58</f>
        <v>-1.1239705058961678</v>
      </c>
      <c r="AJ42" s="5">
        <f>$B$58+$B$9*AI42^2</f>
        <v>0.13816425430191634</v>
      </c>
      <c r="AK42" s="5">
        <f>(D42-$B$12)*$C$59</f>
        <v>-1.2945003459690043</v>
      </c>
      <c r="AL42" s="5">
        <f>$B$59+$B$9*AK42^2</f>
        <v>0.18067560839589478</v>
      </c>
      <c r="AM42" s="5">
        <f>(D42-$B$12)*$C$60</f>
        <v>-1.4866977366038343</v>
      </c>
      <c r="AN42" s="5">
        <f>$B$60+$B$9*AM42^2</f>
        <v>0.23520217170692032</v>
      </c>
      <c r="AO42" s="5">
        <f>(D42-$B$12)*$C$61</f>
        <v>-1.3575580343821179</v>
      </c>
      <c r="AP42" s="6">
        <f>$B$61+$B$9*AO42^2</f>
        <v>0.19761275458204727</v>
      </c>
    </row>
    <row r="43" spans="1:42" x14ac:dyDescent="0.25">
      <c r="A43" s="139">
        <v>0.05</v>
      </c>
      <c r="B43" s="255">
        <f>'Sub C_D_0'!AV41</f>
        <v>1.249581387830759E-2</v>
      </c>
      <c r="C43" s="258">
        <f>'C_L vs. α'!X342</f>
        <v>0.10620066896907342</v>
      </c>
      <c r="D43" s="144">
        <v>-4</v>
      </c>
      <c r="E43" s="14">
        <f t="shared" ref="E43:E53" si="38">(D43-$B$12)*$C$43</f>
        <v>-0.31860200690722024</v>
      </c>
      <c r="F43" s="6">
        <f t="shared" ref="F43:F53" si="39">$B$43+$B$7*E43^2+$B$8*(E43-E$45)^2</f>
        <v>2.4443474451717313E-2</v>
      </c>
      <c r="G43" s="14">
        <f t="shared" ref="G43:G53" si="40">(D43-$B$12)*$C$44</f>
        <v>-0.3211538145510659</v>
      </c>
      <c r="H43" s="6">
        <f t="shared" ref="H43:H53" si="41">$B$44+$B$7*G43^2+$B$8*(G43-G$45)^2</f>
        <v>2.3326859681589991E-2</v>
      </c>
      <c r="I43" s="14">
        <f t="shared" ref="I43:I53" si="42">(D43-$B$12)*$C$45</f>
        <v>-0.32490006122491727</v>
      </c>
      <c r="J43" s="6">
        <f t="shared" ref="J43:J53" si="43">$B$45+$B$7*I43^2+$B$8*(I43-I$45)^2</f>
        <v>2.2933176656384033E-2</v>
      </c>
      <c r="K43" s="14">
        <f t="shared" ref="K43:K53" si="44">(D43-$B$12)*$C$46</f>
        <v>-0.33005256266294825</v>
      </c>
      <c r="L43" s="6">
        <f t="shared" ref="L43:L53" si="45">$B$46+$B$7*K43^2+$B$8*(K43-K$45)^2</f>
        <v>2.2883176917229825E-2</v>
      </c>
      <c r="M43" s="5">
        <f t="shared" ref="M43:M53" si="46">(D43-$B$12)*$C$47</f>
        <v>-0.33678660736986904</v>
      </c>
      <c r="N43" s="6">
        <f t="shared" ref="N43:N53" si="47">$B$47+$B$7*M43^2+$B$8*(M43-M$45)^2</f>
        <v>2.3082861661580259E-2</v>
      </c>
      <c r="O43" s="5">
        <f t="shared" ref="O43:O53" si="48">(D43-$B$12)*$C$48</f>
        <v>-0.34498227833868722</v>
      </c>
      <c r="P43" s="6">
        <f t="shared" ref="P43:P53" si="49">$B$48+$B$7*O43^2+$B$8*(O43-O$45)^2</f>
        <v>2.3965295822516115E-2</v>
      </c>
      <c r="Q43" s="5">
        <f t="shared" ref="Q43:Q53" si="50">(D43-$B$12)*$C$49</f>
        <v>-0.3555737845539706</v>
      </c>
      <c r="R43" s="6">
        <f t="shared" ref="R43:R53" si="51">$B$49+$B$7*Q43^2+$B$8*(Q43-Q$45)^2</f>
        <v>2.4617039247605547E-2</v>
      </c>
      <c r="S43" s="5">
        <f t="shared" ref="S43:S53" si="52">(D43-$B$12)*$C$50</f>
        <v>-0.36856324771505317</v>
      </c>
      <c r="T43" s="6">
        <f t="shared" ref="T43:T53" si="53">$B$50+$B$7*S43^2+$B$8*(S43-S$45)^2</f>
        <v>2.5537707459067725E-2</v>
      </c>
      <c r="U43" s="5">
        <f t="shared" ref="U43:U52" si="54">(D43-$B$12)*$C$51</f>
        <v>-0.38440970045627332</v>
      </c>
      <c r="V43" s="6">
        <f t="shared" ref="V43:V53" si="55">$B$51+$B$7*U43^2+$B$8*(U43-U$45)^2</f>
        <v>2.6781753005433433E-2</v>
      </c>
      <c r="W43" s="5">
        <f t="shared" ref="W43:W53" si="56">(D43-$B$12)*$C$52</f>
        <v>-0.40373021595314773</v>
      </c>
      <c r="X43" s="6">
        <f t="shared" ref="X43:X53" si="57">$B$52+$B$7*W43^2+$B$8*(W43-W$45)^2</f>
        <v>2.843373468672785E-2</v>
      </c>
      <c r="Y43" s="5">
        <f t="shared" ref="Y43:Y53" si="58">(D43-$B$12)*$C$53</f>
        <v>-0.42736557926914498</v>
      </c>
      <c r="Z43" s="6">
        <f t="shared" ref="Z43:Z53" si="59">$B$53+$B$7*Y43^2+$B$8*(Y43-Y$45)^2</f>
        <v>3.0621369856223608E-2</v>
      </c>
      <c r="AA43" s="5">
        <f t="shared" ref="AA43:AA53" si="60">(D43-$B$12)*$C$54</f>
        <v>-0.45647980214821071</v>
      </c>
      <c r="AB43" s="6">
        <f t="shared" ref="AB43:AB53" si="61">$B$54+$B$7*AA43^2+$B$8*(AA43-AA$45)^2</f>
        <v>3.3538577449121663E-2</v>
      </c>
      <c r="AC43" s="5">
        <f t="shared" ref="AC43:AC53" si="62">(D43-$B$12)*$C$55</f>
        <v>-0.4928366483493728</v>
      </c>
      <c r="AD43" s="6">
        <f t="shared" ref="AD43:AD53" si="63">$B$55+$B$7*AC43^2+$B$8*(AC43-AC$45)^2</f>
        <v>3.7978253787676698E-2</v>
      </c>
      <c r="AE43" s="5">
        <f t="shared" ref="AE43:AE53" si="64">(D43-$B$12)*$C$56</f>
        <v>-0.53878135470362098</v>
      </c>
      <c r="AF43" s="6">
        <f t="shared" ref="AF43:AF53" si="65">$B$56+$B$7*AE43^2+$B$8*(AE43-AE$45)^2</f>
        <v>4.3459879611938146E-2</v>
      </c>
      <c r="AG43" s="5">
        <f t="shared" ref="AG43:AG53" si="66">(D43-$B$12)*$C$57</f>
        <v>-0.59771570526276541</v>
      </c>
      <c r="AH43" s="6">
        <f t="shared" ref="AH43:AH53" si="67">$B$57+$B$7*AG43^2+$B$8*(AG43-AG$45)^2</f>
        <v>5.1254235749544907E-2</v>
      </c>
      <c r="AI43" s="5">
        <f t="shared" ref="AI43:AI53" si="68">(D43-$B$12)*$C$58</f>
        <v>-0.67438230353770057</v>
      </c>
      <c r="AJ43" s="5">
        <f t="shared" ref="AJ43:AJ53" si="69">$B$58+$B$9*AI43^2</f>
        <v>5.5576551733515785E-2</v>
      </c>
      <c r="AK43" s="5">
        <f t="shared" ref="AK43:AK53" si="70">(D43-$B$12)*$C$59</f>
        <v>-0.77670020758140268</v>
      </c>
      <c r="AL43" s="5">
        <f t="shared" ref="AL43:AL53" si="71">$B$59+$B$9*AK43^2</f>
        <v>7.1126235306870345E-2</v>
      </c>
      <c r="AM43" s="5">
        <f t="shared" ref="AM43:AM53" si="72">(D43-$B$12)*$C$60</f>
        <v>-0.89201864196230052</v>
      </c>
      <c r="AN43" s="5">
        <f t="shared" ref="AN43:AN53" si="73">$B$60+$B$9*AM43^2</f>
        <v>9.0707805168937894E-2</v>
      </c>
      <c r="AO43" s="5">
        <f t="shared" ref="AO43:AO53" si="74">(D43-$B$12)*$C$61</f>
        <v>-0.81453482062927063</v>
      </c>
      <c r="AP43" s="6">
        <f t="shared" ref="AP43:AP53" si="75">$B$61+$B$9*AO43^2</f>
        <v>7.7130700367483235E-2</v>
      </c>
    </row>
    <row r="44" spans="1:42" x14ac:dyDescent="0.25">
      <c r="A44" s="129">
        <v>0.1</v>
      </c>
      <c r="B44" s="256">
        <f>'Sub C_D_0'!AV42</f>
        <v>1.1187045721963398E-2</v>
      </c>
      <c r="C44" s="257">
        <f>'C_L vs. α'!X343</f>
        <v>0.10705127151702197</v>
      </c>
      <c r="D44" s="144">
        <v>-2</v>
      </c>
      <c r="E44" s="14">
        <f t="shared" si="38"/>
        <v>-0.10620066896907342</v>
      </c>
      <c r="F44" s="6">
        <f>$B$43+$B$7*E44^2+$B$8*(E44-E$45)^2</f>
        <v>1.4324602034885501E-2</v>
      </c>
      <c r="G44" s="14">
        <f t="shared" si="40"/>
        <v>-0.10705127151702197</v>
      </c>
      <c r="H44" s="6">
        <f t="shared" si="41"/>
        <v>1.3045246150073516E-2</v>
      </c>
      <c r="I44" s="14">
        <f t="shared" si="42"/>
        <v>-0.10830002040830576</v>
      </c>
      <c r="J44" s="6">
        <f t="shared" si="43"/>
        <v>1.2410294853570231E-2</v>
      </c>
      <c r="K44" s="14">
        <f t="shared" si="44"/>
        <v>-0.11001752088764941</v>
      </c>
      <c r="L44" s="6">
        <f t="shared" si="45"/>
        <v>1.2023889594037739E-2</v>
      </c>
      <c r="M44" s="5">
        <f t="shared" si="46"/>
        <v>-0.11226220245662301</v>
      </c>
      <c r="N44" s="6">
        <f t="shared" si="47"/>
        <v>1.1775930920028037E-2</v>
      </c>
      <c r="O44" s="5">
        <f t="shared" si="48"/>
        <v>-0.11499409277956241</v>
      </c>
      <c r="P44" s="6">
        <f t="shared" si="49"/>
        <v>1.2101363025836153E-2</v>
      </c>
      <c r="Q44" s="5">
        <f t="shared" si="50"/>
        <v>-0.11852459485132352</v>
      </c>
      <c r="R44" s="6">
        <f t="shared" si="51"/>
        <v>1.2013440329671939E-2</v>
      </c>
      <c r="S44" s="5">
        <f t="shared" si="52"/>
        <v>-0.12285441590501772</v>
      </c>
      <c r="T44" s="6">
        <f t="shared" si="53"/>
        <v>1.1996444921266407E-2</v>
      </c>
      <c r="U44" s="5">
        <f t="shared" si="54"/>
        <v>-0.12813656681875776</v>
      </c>
      <c r="V44" s="6">
        <f t="shared" si="55"/>
        <v>1.2051039512512567E-2</v>
      </c>
      <c r="W44" s="5">
        <f t="shared" si="56"/>
        <v>-0.13457673865104924</v>
      </c>
      <c r="X44" s="6">
        <f t="shared" si="57"/>
        <v>1.2185072337903611E-2</v>
      </c>
      <c r="Y44" s="5">
        <f t="shared" si="58"/>
        <v>-0.14245519308971499</v>
      </c>
      <c r="Z44" s="6">
        <f t="shared" si="59"/>
        <v>1.2414546160747197E-2</v>
      </c>
      <c r="AA44" s="5">
        <f t="shared" si="60"/>
        <v>-0.15215993404940356</v>
      </c>
      <c r="AB44" s="6">
        <f t="shared" si="61"/>
        <v>1.2766581078414016E-2</v>
      </c>
      <c r="AC44" s="5">
        <f t="shared" si="62"/>
        <v>-0.16427888278312427</v>
      </c>
      <c r="AD44" s="6">
        <f t="shared" si="63"/>
        <v>1.3765672226537885E-2</v>
      </c>
      <c r="AE44" s="5">
        <f t="shared" si="64"/>
        <v>-0.179593784901207</v>
      </c>
      <c r="AF44" s="6">
        <f t="shared" si="65"/>
        <v>1.452243202452869E-2</v>
      </c>
      <c r="AG44" s="5">
        <f t="shared" si="66"/>
        <v>-0.1992385684209218</v>
      </c>
      <c r="AH44" s="6">
        <f t="shared" si="67"/>
        <v>1.5639933474176505E-2</v>
      </c>
      <c r="AI44" s="5">
        <f t="shared" si="68"/>
        <v>-0.22479410117923354</v>
      </c>
      <c r="AJ44" s="5">
        <f t="shared" si="69"/>
        <v>1.4282700449315523E-2</v>
      </c>
      <c r="AK44" s="5">
        <f t="shared" si="70"/>
        <v>-0.25890006919380087</v>
      </c>
      <c r="AL44" s="5">
        <f t="shared" si="71"/>
        <v>1.6351548762358101E-2</v>
      </c>
      <c r="AM44" s="5">
        <f t="shared" si="72"/>
        <v>-0.29733954732076684</v>
      </c>
      <c r="AN44" s="5">
        <f t="shared" si="73"/>
        <v>1.8460621899946673E-2</v>
      </c>
      <c r="AO44" s="5">
        <f t="shared" si="74"/>
        <v>-0.27151160687642356</v>
      </c>
      <c r="AP44" s="6">
        <f t="shared" si="75"/>
        <v>1.6889673260201247E-2</v>
      </c>
    </row>
    <row r="45" spans="1:42" s="29" customFormat="1" x14ac:dyDescent="0.25">
      <c r="A45" s="139">
        <v>0.15</v>
      </c>
      <c r="B45" s="255">
        <f>'Sub C_D_0'!AV43</f>
        <v>1.0508489907196533E-2</v>
      </c>
      <c r="C45" s="258">
        <f>'C_L vs. α'!X344</f>
        <v>0.10830002040830576</v>
      </c>
      <c r="D45" s="143">
        <v>0</v>
      </c>
      <c r="E45" s="83">
        <f t="shared" si="38"/>
        <v>0.10620066896907342</v>
      </c>
      <c r="F45" s="21">
        <f t="shared" si="39"/>
        <v>1.3422315467727205E-2</v>
      </c>
      <c r="G45" s="83">
        <f t="shared" si="40"/>
        <v>0.10705127151702197</v>
      </c>
      <c r="H45" s="21">
        <f t="shared" si="41"/>
        <v>1.2128448171400623E-2</v>
      </c>
      <c r="I45" s="83">
        <f t="shared" si="42"/>
        <v>0.10830002040830576</v>
      </c>
      <c r="J45" s="21">
        <f t="shared" si="43"/>
        <v>1.1471983299935075E-2</v>
      </c>
      <c r="K45" s="83">
        <f t="shared" si="44"/>
        <v>0.11001752088764941</v>
      </c>
      <c r="L45" s="21">
        <f t="shared" si="45"/>
        <v>1.1055581201856589E-2</v>
      </c>
      <c r="M45" s="58">
        <f t="shared" si="46"/>
        <v>0.11226220245662301</v>
      </c>
      <c r="N45" s="21">
        <f t="shared" si="47"/>
        <v>1.0767706751995091E-2</v>
      </c>
      <c r="O45" s="58">
        <f t="shared" si="48"/>
        <v>0.11499409277956241</v>
      </c>
      <c r="P45" s="21">
        <f t="shared" si="49"/>
        <v>1.1043471715900584E-2</v>
      </c>
      <c r="Q45" s="58">
        <f t="shared" si="50"/>
        <v>0.11852459485132352</v>
      </c>
      <c r="R45" s="21">
        <f t="shared" si="51"/>
        <v>1.0889593962898307E-2</v>
      </c>
      <c r="S45" s="58">
        <f t="shared" si="52"/>
        <v>0.12285441590501772</v>
      </c>
      <c r="T45" s="21">
        <f t="shared" si="53"/>
        <v>1.0788988320677361E-2</v>
      </c>
      <c r="U45" s="58">
        <f t="shared" si="54"/>
        <v>0.12813656681875776</v>
      </c>
      <c r="V45" s="21">
        <f t="shared" si="55"/>
        <v>1.0737521132024728E-2</v>
      </c>
      <c r="W45" s="58">
        <f t="shared" si="56"/>
        <v>0.13457673865104924</v>
      </c>
      <c r="X45" s="21">
        <f t="shared" si="57"/>
        <v>1.0736200451027387E-2</v>
      </c>
      <c r="Y45" s="58">
        <f t="shared" si="58"/>
        <v>0.14245519308971499</v>
      </c>
      <c r="Z45" s="21">
        <f t="shared" si="59"/>
        <v>1.0791067597688959E-2</v>
      </c>
      <c r="AA45" s="58">
        <f t="shared" si="60"/>
        <v>0.15215993404940356</v>
      </c>
      <c r="AB45" s="21">
        <f t="shared" si="61"/>
        <v>1.0914369436020508E-2</v>
      </c>
      <c r="AC45" s="58">
        <f t="shared" si="62"/>
        <v>0.16427888278312427</v>
      </c>
      <c r="AD45" s="21">
        <f t="shared" si="63"/>
        <v>1.1606668120260167E-2</v>
      </c>
      <c r="AE45" s="58">
        <f t="shared" si="64"/>
        <v>0.179593784901207</v>
      </c>
      <c r="AF45" s="21">
        <f t="shared" si="65"/>
        <v>1.1942117818517409E-2</v>
      </c>
      <c r="AG45" s="58">
        <f t="shared" si="66"/>
        <v>0.1992385684209218</v>
      </c>
      <c r="AH45" s="21">
        <f t="shared" si="67"/>
        <v>1.2464252902463037E-2</v>
      </c>
      <c r="AI45" s="58">
        <f t="shared" si="68"/>
        <v>0.22479410117923354</v>
      </c>
      <c r="AJ45" s="58">
        <f t="shared" si="69"/>
        <v>1.4282700449315523E-2</v>
      </c>
      <c r="AK45" s="58">
        <f t="shared" si="70"/>
        <v>0.25890006919380087</v>
      </c>
      <c r="AL45" s="58">
        <f t="shared" si="71"/>
        <v>1.6351548762358101E-2</v>
      </c>
      <c r="AM45" s="58">
        <f t="shared" si="72"/>
        <v>0.29733954732076684</v>
      </c>
      <c r="AN45" s="58">
        <f t="shared" si="73"/>
        <v>1.8460621899946673E-2</v>
      </c>
      <c r="AO45" s="58">
        <f t="shared" si="74"/>
        <v>0.27151160687642356</v>
      </c>
      <c r="AP45" s="21">
        <f t="shared" si="75"/>
        <v>1.6889673260201247E-2</v>
      </c>
    </row>
    <row r="46" spans="1:42" x14ac:dyDescent="0.25">
      <c r="A46" s="129">
        <v>0.2</v>
      </c>
      <c r="B46" s="256">
        <f>'Sub C_D_0'!AV44</f>
        <v>1.006128593352551E-2</v>
      </c>
      <c r="C46" s="257">
        <f>'C_L vs. α'!X345</f>
        <v>0.11001752088764941</v>
      </c>
      <c r="D46" s="144">
        <v>2</v>
      </c>
      <c r="E46" s="14">
        <f t="shared" si="38"/>
        <v>0.31860200690722024</v>
      </c>
      <c r="F46" s="6">
        <f t="shared" si="39"/>
        <v>2.1736614750242422E-2</v>
      </c>
      <c r="G46" s="14">
        <f t="shared" si="40"/>
        <v>0.3211538145510659</v>
      </c>
      <c r="H46" s="6">
        <f t="shared" si="41"/>
        <v>2.0576465745571312E-2</v>
      </c>
      <c r="I46" s="14">
        <f t="shared" si="42"/>
        <v>0.32490006122491727</v>
      </c>
      <c r="J46" s="6">
        <f t="shared" si="43"/>
        <v>2.0118241995478566E-2</v>
      </c>
      <c r="K46" s="14">
        <f t="shared" si="44"/>
        <v>0.33005256266294825</v>
      </c>
      <c r="L46" s="6">
        <f t="shared" si="45"/>
        <v>1.9978251740686376E-2</v>
      </c>
      <c r="M46" s="5">
        <f t="shared" si="46"/>
        <v>0.33678660736986904</v>
      </c>
      <c r="N46" s="6">
        <f t="shared" si="47"/>
        <v>2.0058189157481421E-2</v>
      </c>
      <c r="O46" s="5">
        <f t="shared" si="48"/>
        <v>0.34498227833868722</v>
      </c>
      <c r="P46" s="6">
        <f t="shared" si="49"/>
        <v>2.079162189270941E-2</v>
      </c>
      <c r="Q46" s="5">
        <f t="shared" si="50"/>
        <v>0.3555737845539706</v>
      </c>
      <c r="R46" s="6">
        <f t="shared" si="51"/>
        <v>2.1245500147284654E-2</v>
      </c>
      <c r="S46" s="5">
        <f t="shared" si="52"/>
        <v>0.36856324771505317</v>
      </c>
      <c r="T46" s="6">
        <f t="shared" si="53"/>
        <v>2.1915337657300589E-2</v>
      </c>
      <c r="U46" s="5">
        <f t="shared" si="54"/>
        <v>0.38440970045627332</v>
      </c>
      <c r="V46" s="6">
        <f t="shared" si="55"/>
        <v>2.284119786396992E-2</v>
      </c>
      <c r="W46" s="5">
        <f t="shared" si="56"/>
        <v>0.40373021595314773</v>
      </c>
      <c r="X46" s="6">
        <f t="shared" si="57"/>
        <v>2.4087119026099175E-2</v>
      </c>
      <c r="Y46" s="5">
        <f t="shared" si="58"/>
        <v>0.42736557926914498</v>
      </c>
      <c r="Z46" s="6">
        <f t="shared" si="59"/>
        <v>2.5750934167048895E-2</v>
      </c>
      <c r="AA46" s="5">
        <f t="shared" si="60"/>
        <v>0.45647980214821071</v>
      </c>
      <c r="AB46" s="6">
        <f t="shared" si="61"/>
        <v>2.7981942521941142E-2</v>
      </c>
      <c r="AC46" s="5">
        <f t="shared" si="62"/>
        <v>0.4928366483493728</v>
      </c>
      <c r="AD46" s="6">
        <f t="shared" si="63"/>
        <v>3.1501241468843547E-2</v>
      </c>
      <c r="AE46" s="5">
        <f t="shared" si="64"/>
        <v>0.53878135470362098</v>
      </c>
      <c r="AF46" s="6">
        <f t="shared" si="65"/>
        <v>3.5718936993904299E-2</v>
      </c>
      <c r="AG46" s="5">
        <f t="shared" si="66"/>
        <v>0.59771570526276541</v>
      </c>
      <c r="AH46" s="6">
        <f t="shared" si="67"/>
        <v>4.1727194034404502E-2</v>
      </c>
      <c r="AI46" s="5">
        <f t="shared" si="68"/>
        <v>0.67438230353770057</v>
      </c>
      <c r="AJ46" s="5">
        <f t="shared" si="69"/>
        <v>5.5576551733515785E-2</v>
      </c>
      <c r="AK46" s="5">
        <f t="shared" si="70"/>
        <v>0.77670020758140268</v>
      </c>
      <c r="AL46" s="5">
        <f t="shared" si="71"/>
        <v>7.1126235306870345E-2</v>
      </c>
      <c r="AM46" s="5">
        <f t="shared" si="72"/>
        <v>0.89201864196230052</v>
      </c>
      <c r="AN46" s="5">
        <f t="shared" si="73"/>
        <v>9.0707805168937894E-2</v>
      </c>
      <c r="AO46" s="5">
        <f t="shared" si="74"/>
        <v>0.81453482062927063</v>
      </c>
      <c r="AP46" s="6">
        <f t="shared" si="75"/>
        <v>7.7130700367483235E-2</v>
      </c>
    </row>
    <row r="47" spans="1:42" x14ac:dyDescent="0.25">
      <c r="A47" s="139">
        <v>0.25</v>
      </c>
      <c r="B47" s="255">
        <f>'Sub C_D_0'!AV45</f>
        <v>9.7324244723134192E-3</v>
      </c>
      <c r="C47" s="258">
        <f>'C_L vs. α'!X346</f>
        <v>0.11226220245662301</v>
      </c>
      <c r="D47" s="144">
        <v>4</v>
      </c>
      <c r="E47" s="14">
        <f t="shared" si="38"/>
        <v>0.53100334484536704</v>
      </c>
      <c r="F47" s="6">
        <f t="shared" si="39"/>
        <v>3.9267499882431146E-2</v>
      </c>
      <c r="G47" s="14">
        <f t="shared" si="40"/>
        <v>0.53525635758510981</v>
      </c>
      <c r="H47" s="6">
        <f t="shared" si="41"/>
        <v>3.8389298872585575E-2</v>
      </c>
      <c r="I47" s="14">
        <f t="shared" si="42"/>
        <v>0.54150010204152876</v>
      </c>
      <c r="J47" s="6">
        <f t="shared" si="43"/>
        <v>3.8349070940200701E-2</v>
      </c>
      <c r="K47" s="14">
        <f t="shared" si="44"/>
        <v>0.550087604438247</v>
      </c>
      <c r="L47" s="6">
        <f t="shared" si="45"/>
        <v>3.8791901210527086E-2</v>
      </c>
      <c r="M47" s="5">
        <f t="shared" si="46"/>
        <v>0.56131101228311508</v>
      </c>
      <c r="N47" s="6">
        <f t="shared" si="47"/>
        <v>3.9647378136487027E-2</v>
      </c>
      <c r="O47" s="5">
        <f t="shared" si="48"/>
        <v>0.57497046389781203</v>
      </c>
      <c r="P47" s="6">
        <f t="shared" si="49"/>
        <v>4.1345813556262628E-2</v>
      </c>
      <c r="Q47" s="5">
        <f t="shared" si="50"/>
        <v>0.59262297425661759</v>
      </c>
      <c r="R47" s="6">
        <f t="shared" si="51"/>
        <v>4.3081158882830969E-2</v>
      </c>
      <c r="S47" s="5">
        <f t="shared" si="52"/>
        <v>0.61427207952508867</v>
      </c>
      <c r="T47" s="6">
        <f t="shared" si="53"/>
        <v>4.5375492931136088E-2</v>
      </c>
      <c r="U47" s="5">
        <f t="shared" si="54"/>
        <v>0.64068283409378879</v>
      </c>
      <c r="V47" s="6">
        <f t="shared" si="55"/>
        <v>4.8362069708348138E-2</v>
      </c>
      <c r="W47" s="5">
        <f t="shared" si="56"/>
        <v>0.67288369325524622</v>
      </c>
      <c r="X47" s="6">
        <f t="shared" si="57"/>
        <v>5.2237828063118968E-2</v>
      </c>
      <c r="Y47" s="5">
        <f t="shared" si="58"/>
        <v>0.71227596544857497</v>
      </c>
      <c r="Z47" s="6">
        <f t="shared" si="59"/>
        <v>5.7294145868827015E-2</v>
      </c>
      <c r="AA47" s="5">
        <f t="shared" si="60"/>
        <v>0.76079967024701778</v>
      </c>
      <c r="AB47" s="6">
        <f t="shared" si="61"/>
        <v>6.3969300336175899E-2</v>
      </c>
      <c r="AC47" s="5">
        <f t="shared" si="62"/>
        <v>0.8213944139156214</v>
      </c>
      <c r="AD47" s="6">
        <f t="shared" si="63"/>
        <v>7.3449392272288028E-2</v>
      </c>
      <c r="AE47" s="5">
        <f t="shared" si="64"/>
        <v>0.89796892450603505</v>
      </c>
      <c r="AF47" s="6">
        <f t="shared" si="65"/>
        <v>8.5852889550689385E-2</v>
      </c>
      <c r="AG47" s="5">
        <f t="shared" si="66"/>
        <v>0.99619284210460901</v>
      </c>
      <c r="AH47" s="6">
        <f t="shared" si="67"/>
        <v>0.1034287568700009</v>
      </c>
      <c r="AI47" s="5">
        <f t="shared" si="68"/>
        <v>1.1239705058961678</v>
      </c>
      <c r="AJ47" s="5">
        <f t="shared" si="69"/>
        <v>0.13816425430191634</v>
      </c>
      <c r="AK47" s="5">
        <f t="shared" si="70"/>
        <v>1.2945003459690043</v>
      </c>
      <c r="AL47" s="5">
        <f t="shared" si="71"/>
        <v>0.18067560839589478</v>
      </c>
      <c r="AM47" s="5">
        <f t="shared" si="72"/>
        <v>1.4866977366038343</v>
      </c>
      <c r="AN47" s="5">
        <f t="shared" si="73"/>
        <v>0.23520217170692032</v>
      </c>
      <c r="AO47" s="5">
        <f t="shared" si="74"/>
        <v>1.3575580343821179</v>
      </c>
      <c r="AP47" s="6">
        <f t="shared" si="75"/>
        <v>0.19761275458204727</v>
      </c>
    </row>
    <row r="48" spans="1:42" x14ac:dyDescent="0.25">
      <c r="A48" s="129">
        <v>0.3</v>
      </c>
      <c r="B48" s="256">
        <f>'Sub C_D_0'!AV46</f>
        <v>9.957189357541427E-3</v>
      </c>
      <c r="C48" s="257">
        <f>'C_L vs. α'!X347</f>
        <v>0.11499409277956241</v>
      </c>
      <c r="D48" s="144">
        <v>6</v>
      </c>
      <c r="E48" s="14">
        <f t="shared" si="38"/>
        <v>0.7434046827835139</v>
      </c>
      <c r="F48" s="6">
        <f t="shared" si="39"/>
        <v>6.6014970864293393E-2</v>
      </c>
      <c r="G48" s="14">
        <f t="shared" si="40"/>
        <v>0.74935890061915378</v>
      </c>
      <c r="H48" s="6">
        <f t="shared" si="41"/>
        <v>6.5566947552443425E-2</v>
      </c>
      <c r="I48" s="14">
        <f t="shared" si="42"/>
        <v>0.75810014285814031</v>
      </c>
      <c r="J48" s="6">
        <f t="shared" si="43"/>
        <v>6.6164470134101483E-2</v>
      </c>
      <c r="K48" s="14">
        <f t="shared" si="44"/>
        <v>0.77012264621354587</v>
      </c>
      <c r="L48" s="6">
        <f t="shared" si="45"/>
        <v>6.7496529611378739E-2</v>
      </c>
      <c r="M48" s="5">
        <f t="shared" si="46"/>
        <v>0.78583541719636107</v>
      </c>
      <c r="N48" s="6">
        <f t="shared" si="47"/>
        <v>6.9535273689011898E-2</v>
      </c>
      <c r="O48" s="5">
        <f t="shared" si="48"/>
        <v>0.80495864945693685</v>
      </c>
      <c r="P48" s="6">
        <f t="shared" si="49"/>
        <v>7.2706046706560237E-2</v>
      </c>
      <c r="Q48" s="5">
        <f t="shared" si="50"/>
        <v>0.82967216395926469</v>
      </c>
      <c r="R48" s="6">
        <f t="shared" si="51"/>
        <v>7.639657016953727E-2</v>
      </c>
      <c r="S48" s="5">
        <f t="shared" si="52"/>
        <v>0.859980911335124</v>
      </c>
      <c r="T48" s="6">
        <f t="shared" si="53"/>
        <v>8.1169454142183836E-2</v>
      </c>
      <c r="U48" s="5">
        <f t="shared" si="54"/>
        <v>0.89695596773130437</v>
      </c>
      <c r="V48" s="6">
        <f t="shared" si="55"/>
        <v>8.7300136665159372E-2</v>
      </c>
      <c r="W48" s="5">
        <f t="shared" si="56"/>
        <v>0.94203717055734471</v>
      </c>
      <c r="X48" s="6">
        <f t="shared" si="57"/>
        <v>9.5188327562086797E-2</v>
      </c>
      <c r="Y48" s="5">
        <f t="shared" si="58"/>
        <v>0.99718635162800495</v>
      </c>
      <c r="Z48" s="6">
        <f t="shared" si="59"/>
        <v>0.10542070270302331</v>
      </c>
      <c r="AA48" s="5">
        <f t="shared" si="60"/>
        <v>1.065119538345825</v>
      </c>
      <c r="AB48" s="6">
        <f t="shared" si="61"/>
        <v>0.11887644287872483</v>
      </c>
      <c r="AC48" s="5">
        <f t="shared" si="62"/>
        <v>1.1499521794818699</v>
      </c>
      <c r="AD48" s="6">
        <f t="shared" si="63"/>
        <v>0.13745112053059361</v>
      </c>
      <c r="AE48" s="5">
        <f t="shared" si="64"/>
        <v>1.257156494308449</v>
      </c>
      <c r="AF48" s="6">
        <f t="shared" si="65"/>
        <v>0.16234397548887261</v>
      </c>
      <c r="AG48" s="5">
        <f t="shared" si="66"/>
        <v>1.3946699789464527</v>
      </c>
      <c r="AH48" s="6">
        <f t="shared" si="67"/>
        <v>0.19756894140925224</v>
      </c>
      <c r="AI48" s="5">
        <f t="shared" si="68"/>
        <v>1.5735587082546347</v>
      </c>
      <c r="AJ48" s="5">
        <f t="shared" si="69"/>
        <v>0.26204580815451711</v>
      </c>
      <c r="AK48" s="5">
        <f t="shared" si="70"/>
        <v>1.8123004843566062</v>
      </c>
      <c r="AL48" s="5">
        <f t="shared" si="71"/>
        <v>0.34499966802943149</v>
      </c>
      <c r="AM48" s="5">
        <f t="shared" si="72"/>
        <v>2.0813768312453678</v>
      </c>
      <c r="AN48" s="5">
        <f t="shared" si="73"/>
        <v>0.45194372151389389</v>
      </c>
      <c r="AO48" s="5">
        <f t="shared" si="74"/>
        <v>1.9005812481349649</v>
      </c>
      <c r="AP48" s="6">
        <f t="shared" si="75"/>
        <v>0.37833583590389319</v>
      </c>
    </row>
    <row r="49" spans="1:42" x14ac:dyDescent="0.25">
      <c r="A49" s="139">
        <v>0.35</v>
      </c>
      <c r="B49" s="255">
        <f>'Sub C_D_0'!AV47</f>
        <v>9.7355864856967182E-3</v>
      </c>
      <c r="C49" s="258">
        <f>'C_L vs. α'!X348</f>
        <v>0.11852459485132352</v>
      </c>
      <c r="D49" s="144">
        <v>8</v>
      </c>
      <c r="E49" s="14">
        <f t="shared" si="38"/>
        <v>0.95580602072166077</v>
      </c>
      <c r="F49" s="6">
        <f t="shared" si="39"/>
        <v>0.10197902769582916</v>
      </c>
      <c r="G49" s="14">
        <f t="shared" si="40"/>
        <v>0.96346144365319775</v>
      </c>
      <c r="H49" s="6">
        <f t="shared" si="41"/>
        <v>0.10210941178514485</v>
      </c>
      <c r="I49" s="14">
        <f t="shared" si="42"/>
        <v>0.97470018367475186</v>
      </c>
      <c r="J49" s="6">
        <f t="shared" si="43"/>
        <v>0.10356443957718094</v>
      </c>
      <c r="K49" s="14">
        <f t="shared" si="44"/>
        <v>0.99015768798884463</v>
      </c>
      <c r="L49" s="6">
        <f t="shared" si="45"/>
        <v>0.10609213694324132</v>
      </c>
      <c r="M49" s="5">
        <f t="shared" si="46"/>
        <v>1.0103598221096071</v>
      </c>
      <c r="N49" s="6">
        <f t="shared" si="47"/>
        <v>0.10972187581505602</v>
      </c>
      <c r="O49" s="5">
        <f t="shared" si="48"/>
        <v>1.0349468350160618</v>
      </c>
      <c r="P49" s="6">
        <f t="shared" si="49"/>
        <v>0.11487232134360226</v>
      </c>
      <c r="Q49" s="5">
        <f t="shared" si="50"/>
        <v>1.0667213536619118</v>
      </c>
      <c r="R49" s="6">
        <f t="shared" si="51"/>
        <v>0.12119173400740355</v>
      </c>
      <c r="S49" s="5">
        <f t="shared" si="52"/>
        <v>1.1056897431451596</v>
      </c>
      <c r="T49" s="6">
        <f t="shared" si="53"/>
        <v>0.12929722129044391</v>
      </c>
      <c r="U49" s="5">
        <f t="shared" si="54"/>
        <v>1.1532291013688198</v>
      </c>
      <c r="V49" s="6">
        <f t="shared" si="55"/>
        <v>0.13965539873440364</v>
      </c>
      <c r="W49" s="5">
        <f t="shared" si="56"/>
        <v>1.2111906478594432</v>
      </c>
      <c r="X49" s="6">
        <f t="shared" si="57"/>
        <v>0.15293861752300261</v>
      </c>
      <c r="Y49" s="5">
        <f t="shared" si="58"/>
        <v>1.2820967378074348</v>
      </c>
      <c r="Z49" s="6">
        <f t="shared" si="59"/>
        <v>0.17013060466963775</v>
      </c>
      <c r="AA49" s="5">
        <f t="shared" si="60"/>
        <v>1.369439406444632</v>
      </c>
      <c r="AB49" s="6">
        <f t="shared" si="61"/>
        <v>0.19270337014958788</v>
      </c>
      <c r="AC49" s="5">
        <f t="shared" si="62"/>
        <v>1.4785099450481185</v>
      </c>
      <c r="AD49" s="6">
        <f t="shared" si="63"/>
        <v>0.22350642624376027</v>
      </c>
      <c r="AE49" s="5">
        <f t="shared" si="64"/>
        <v>1.6163440641108631</v>
      </c>
      <c r="AF49" s="6">
        <f t="shared" si="65"/>
        <v>0.26519219480845407</v>
      </c>
      <c r="AG49" s="5">
        <f t="shared" si="66"/>
        <v>1.7931471157882961</v>
      </c>
      <c r="AH49" s="6">
        <f t="shared" si="67"/>
        <v>0.32414774765215848</v>
      </c>
      <c r="AI49" s="5">
        <f t="shared" si="68"/>
        <v>2.0231469106131019</v>
      </c>
      <c r="AJ49" s="5">
        <f t="shared" si="69"/>
        <v>0.42722121329131824</v>
      </c>
      <c r="AK49" s="5">
        <f t="shared" si="70"/>
        <v>2.330100622744208</v>
      </c>
      <c r="AL49" s="5">
        <f t="shared" si="71"/>
        <v>0.56409841420748064</v>
      </c>
      <c r="AM49" s="5">
        <f t="shared" si="72"/>
        <v>2.6760559258869017</v>
      </c>
      <c r="AN49" s="5">
        <f t="shared" si="73"/>
        <v>0.7409324545898589</v>
      </c>
      <c r="AO49" s="5">
        <f t="shared" si="74"/>
        <v>2.4436044618878121</v>
      </c>
      <c r="AP49" s="6">
        <f t="shared" si="75"/>
        <v>0.61929994433302138</v>
      </c>
    </row>
    <row r="50" spans="1:42" x14ac:dyDescent="0.25">
      <c r="A50" s="129">
        <v>0.4</v>
      </c>
      <c r="B50" s="256">
        <f>'Sub C_D_0'!AV48</f>
        <v>9.5491267286730887E-3</v>
      </c>
      <c r="C50" s="257">
        <f>'C_L vs. α'!X349</f>
        <v>0.12285441590501772</v>
      </c>
      <c r="D50" s="144">
        <v>10</v>
      </c>
      <c r="E50" s="14">
        <f t="shared" si="38"/>
        <v>1.1682073586598076</v>
      </c>
      <c r="F50" s="6">
        <f t="shared" si="39"/>
        <v>0.14715967037703845</v>
      </c>
      <c r="G50" s="14">
        <f t="shared" si="40"/>
        <v>1.1775639866872416</v>
      </c>
      <c r="H50" s="6">
        <f t="shared" si="41"/>
        <v>0.14801669157068986</v>
      </c>
      <c r="I50" s="14">
        <f t="shared" si="42"/>
        <v>1.1913002244913633</v>
      </c>
      <c r="J50" s="6">
        <f t="shared" si="43"/>
        <v>0.15054897926943897</v>
      </c>
      <c r="K50" s="14">
        <f t="shared" si="44"/>
        <v>1.2101927297641435</v>
      </c>
      <c r="L50" s="6">
        <f t="shared" si="45"/>
        <v>0.15457872320611485</v>
      </c>
      <c r="M50" s="5">
        <f t="shared" si="46"/>
        <v>1.2348842270228531</v>
      </c>
      <c r="N50" s="6">
        <f t="shared" si="47"/>
        <v>0.16020718451461946</v>
      </c>
      <c r="O50" s="5">
        <f t="shared" si="48"/>
        <v>1.2649350205751864</v>
      </c>
      <c r="P50" s="6">
        <f t="shared" si="49"/>
        <v>0.16784463746738859</v>
      </c>
      <c r="Q50" s="5">
        <f t="shared" si="50"/>
        <v>1.3037705433645588</v>
      </c>
      <c r="R50" s="6">
        <f t="shared" si="51"/>
        <v>0.17746665039642981</v>
      </c>
      <c r="S50" s="5">
        <f t="shared" si="52"/>
        <v>1.3513985749551949</v>
      </c>
      <c r="T50" s="6">
        <f t="shared" si="53"/>
        <v>0.18975879437591617</v>
      </c>
      <c r="U50" s="5">
        <f t="shared" si="54"/>
        <v>1.4095022350063353</v>
      </c>
      <c r="V50" s="6">
        <f t="shared" si="55"/>
        <v>0.20542785591608093</v>
      </c>
      <c r="W50" s="5">
        <f t="shared" si="56"/>
        <v>1.4803441251615417</v>
      </c>
      <c r="X50" s="6">
        <f t="shared" si="57"/>
        <v>0.22548869794586643</v>
      </c>
      <c r="Y50" s="5">
        <f t="shared" si="58"/>
        <v>1.567007123986865</v>
      </c>
      <c r="Z50" s="6">
        <f t="shared" si="59"/>
        <v>0.25142385176867044</v>
      </c>
      <c r="AA50" s="5">
        <f t="shared" si="60"/>
        <v>1.6737592745434391</v>
      </c>
      <c r="AB50" s="6">
        <f t="shared" si="61"/>
        <v>0.28545008214876505</v>
      </c>
      <c r="AC50" s="5">
        <f t="shared" si="62"/>
        <v>1.8070677106143671</v>
      </c>
      <c r="AD50" s="6">
        <f t="shared" si="63"/>
        <v>0.33161530941178813</v>
      </c>
      <c r="AE50" s="5">
        <f t="shared" si="64"/>
        <v>1.9755316339132771</v>
      </c>
      <c r="AF50" s="6">
        <f t="shared" si="65"/>
        <v>0.39439754750943368</v>
      </c>
      <c r="AG50" s="5">
        <f t="shared" si="66"/>
        <v>2.1916242526301399</v>
      </c>
      <c r="AH50" s="6">
        <f t="shared" si="67"/>
        <v>0.48316517559871974</v>
      </c>
      <c r="AI50" s="5">
        <f t="shared" si="68"/>
        <v>2.4727351129715691</v>
      </c>
      <c r="AJ50" s="5">
        <f t="shared" si="69"/>
        <v>0.63369046971231968</v>
      </c>
      <c r="AK50" s="5">
        <f t="shared" si="70"/>
        <v>2.8479007611318097</v>
      </c>
      <c r="AL50" s="5">
        <f t="shared" si="71"/>
        <v>0.83797184693004179</v>
      </c>
      <c r="AM50" s="5">
        <f t="shared" si="72"/>
        <v>3.2707350205284351</v>
      </c>
      <c r="AN50" s="5">
        <f t="shared" si="73"/>
        <v>1.1021683709348147</v>
      </c>
      <c r="AO50" s="5">
        <f t="shared" si="74"/>
        <v>2.9866276756406593</v>
      </c>
      <c r="AP50" s="6">
        <f t="shared" si="75"/>
        <v>0.92050507986943142</v>
      </c>
    </row>
    <row r="51" spans="1:42" x14ac:dyDescent="0.25">
      <c r="A51" s="139">
        <v>0.45</v>
      </c>
      <c r="B51" s="255">
        <f>'Sub C_D_0'!AV49</f>
        <v>9.3887513380925599E-3</v>
      </c>
      <c r="C51" s="258">
        <f>'C_L vs. α'!X350</f>
        <v>0.12813656681875776</v>
      </c>
      <c r="D51" s="144">
        <v>12</v>
      </c>
      <c r="E51" s="14">
        <f t="shared" si="38"/>
        <v>1.3806086965979545</v>
      </c>
      <c r="F51" s="6">
        <f t="shared" si="39"/>
        <v>0.20155689890792122</v>
      </c>
      <c r="G51" s="14">
        <f t="shared" si="40"/>
        <v>1.3916665297212856</v>
      </c>
      <c r="H51" s="6">
        <f t="shared" si="41"/>
        <v>0.20328878690907842</v>
      </c>
      <c r="I51" s="14">
        <f t="shared" si="42"/>
        <v>1.4079002653079749</v>
      </c>
      <c r="J51" s="6">
        <f t="shared" si="43"/>
        <v>0.20711808921087571</v>
      </c>
      <c r="K51" s="14">
        <f t="shared" si="44"/>
        <v>1.4302277715394422</v>
      </c>
      <c r="L51" s="6">
        <f t="shared" si="45"/>
        <v>0.21295628839999928</v>
      </c>
      <c r="M51" s="5">
        <f t="shared" si="46"/>
        <v>1.459408631936099</v>
      </c>
      <c r="N51" s="6">
        <f t="shared" si="47"/>
        <v>0.22099119978770215</v>
      </c>
      <c r="O51" s="5">
        <f t="shared" si="48"/>
        <v>1.4949232061343114</v>
      </c>
      <c r="P51" s="6">
        <f t="shared" si="49"/>
        <v>0.23162299507791945</v>
      </c>
      <c r="Q51" s="5">
        <f t="shared" si="50"/>
        <v>1.5408197330672058</v>
      </c>
      <c r="R51" s="6">
        <f t="shared" si="51"/>
        <v>0.24522131933661601</v>
      </c>
      <c r="S51" s="5">
        <f t="shared" si="52"/>
        <v>1.5971074067652304</v>
      </c>
      <c r="T51" s="6">
        <f t="shared" si="53"/>
        <v>0.26255417339860082</v>
      </c>
      <c r="U51" s="5">
        <f t="shared" si="54"/>
        <v>1.665775368643851</v>
      </c>
      <c r="V51" s="6">
        <f t="shared" si="55"/>
        <v>0.28461750821019127</v>
      </c>
      <c r="W51" s="5">
        <f t="shared" si="56"/>
        <v>1.7494976024636402</v>
      </c>
      <c r="X51" s="6">
        <f t="shared" si="57"/>
        <v>0.31283856883067834</v>
      </c>
      <c r="Y51" s="5">
        <f t="shared" si="58"/>
        <v>1.8519175101662948</v>
      </c>
      <c r="Z51" s="6">
        <f t="shared" si="59"/>
        <v>0.34930044400012117</v>
      </c>
      <c r="AA51" s="5">
        <f t="shared" si="60"/>
        <v>1.9780791426422464</v>
      </c>
      <c r="AB51" s="6">
        <f t="shared" si="61"/>
        <v>0.3971165788762564</v>
      </c>
      <c r="AC51" s="5">
        <f t="shared" si="62"/>
        <v>2.1356254761806155</v>
      </c>
      <c r="AD51" s="6">
        <f t="shared" si="63"/>
        <v>0.4617777700346769</v>
      </c>
      <c r="AE51" s="5">
        <f t="shared" si="64"/>
        <v>2.3347192037156912</v>
      </c>
      <c r="AF51" s="6">
        <f t="shared" si="65"/>
        <v>0.54996003359181156</v>
      </c>
      <c r="AG51" s="5">
        <f t="shared" si="66"/>
        <v>2.5901013894719833</v>
      </c>
      <c r="AH51" s="6">
        <f t="shared" si="67"/>
        <v>0.67462122524893564</v>
      </c>
      <c r="AI51" s="5">
        <f t="shared" si="68"/>
        <v>2.9223233153300359</v>
      </c>
      <c r="AJ51" s="5">
        <f t="shared" si="69"/>
        <v>0.88145357741752106</v>
      </c>
      <c r="AK51" s="5">
        <f t="shared" si="70"/>
        <v>3.3657008995194113</v>
      </c>
      <c r="AL51" s="5">
        <f t="shared" si="71"/>
        <v>1.1666199661971148</v>
      </c>
      <c r="AM51" s="5">
        <f t="shared" si="72"/>
        <v>3.865414115169969</v>
      </c>
      <c r="AN51" s="5">
        <f t="shared" si="73"/>
        <v>1.5356514705487623</v>
      </c>
      <c r="AO51" s="5">
        <f t="shared" si="74"/>
        <v>3.5296508893935061</v>
      </c>
      <c r="AP51" s="6">
        <f t="shared" si="75"/>
        <v>1.281951242513123</v>
      </c>
    </row>
    <row r="52" spans="1:42" x14ac:dyDescent="0.25">
      <c r="A52" s="129">
        <v>0.5</v>
      </c>
      <c r="B52" s="256">
        <f>'Sub C_D_0'!AV50</f>
        <v>9.2484446150029407E-3</v>
      </c>
      <c r="C52" s="257">
        <f>'C_L vs. α'!X351</f>
        <v>0.13457673865104924</v>
      </c>
      <c r="D52" s="144">
        <v>14</v>
      </c>
      <c r="E52" s="14">
        <f t="shared" si="38"/>
        <v>1.5930100345361013</v>
      </c>
      <c r="F52" s="6">
        <f t="shared" si="39"/>
        <v>0.26517071328847758</v>
      </c>
      <c r="G52" s="14">
        <f t="shared" si="40"/>
        <v>1.6057690727553295</v>
      </c>
      <c r="H52" s="6">
        <f t="shared" si="41"/>
        <v>0.26792569780031061</v>
      </c>
      <c r="I52" s="14">
        <f t="shared" si="42"/>
        <v>1.6245003061245864</v>
      </c>
      <c r="J52" s="6">
        <f t="shared" si="43"/>
        <v>0.27327176940149112</v>
      </c>
      <c r="K52" s="14">
        <f t="shared" si="44"/>
        <v>1.650262813314741</v>
      </c>
      <c r="L52" s="6">
        <f t="shared" si="45"/>
        <v>0.28122483252489461</v>
      </c>
      <c r="M52" s="5">
        <f t="shared" si="46"/>
        <v>1.683933036849345</v>
      </c>
      <c r="N52" s="6">
        <f t="shared" si="47"/>
        <v>0.29207392163430407</v>
      </c>
      <c r="O52" s="5">
        <f t="shared" si="48"/>
        <v>1.724911391693436</v>
      </c>
      <c r="P52" s="6">
        <f t="shared" si="49"/>
        <v>0.30620739417519455</v>
      </c>
      <c r="Q52" s="5">
        <f t="shared" si="50"/>
        <v>1.7778689227698528</v>
      </c>
      <c r="R52" s="6">
        <f t="shared" si="51"/>
        <v>0.32445574082796219</v>
      </c>
      <c r="S52" s="5">
        <f t="shared" si="52"/>
        <v>1.8428162385752658</v>
      </c>
      <c r="T52" s="6">
        <f t="shared" si="53"/>
        <v>0.34768335835849762</v>
      </c>
      <c r="U52" s="5">
        <f t="shared" si="54"/>
        <v>1.9220485022813665</v>
      </c>
      <c r="V52" s="6">
        <f t="shared" si="55"/>
        <v>0.37722435561673462</v>
      </c>
      <c r="W52" s="5">
        <f t="shared" si="56"/>
        <v>2.0186510797657387</v>
      </c>
      <c r="X52" s="6">
        <f t="shared" si="57"/>
        <v>0.41498823017743813</v>
      </c>
      <c r="Y52" s="5">
        <f t="shared" si="58"/>
        <v>2.136827896345725</v>
      </c>
      <c r="Z52" s="6">
        <f t="shared" si="59"/>
        <v>0.46376038136399034</v>
      </c>
      <c r="AA52" s="5">
        <f t="shared" si="60"/>
        <v>2.2823990107410532</v>
      </c>
      <c r="AB52" s="6">
        <f t="shared" si="61"/>
        <v>0.52770286033206182</v>
      </c>
      <c r="AC52" s="5">
        <f t="shared" si="62"/>
        <v>2.4641832417468641</v>
      </c>
      <c r="AD52" s="6">
        <f t="shared" si="63"/>
        <v>0.61399380811242688</v>
      </c>
      <c r="AE52" s="5">
        <f t="shared" si="64"/>
        <v>2.6939067735181053</v>
      </c>
      <c r="AF52" s="6">
        <f t="shared" si="65"/>
        <v>0.73187965305558755</v>
      </c>
      <c r="AG52" s="5">
        <f t="shared" si="66"/>
        <v>2.9885785263138271</v>
      </c>
      <c r="AH52" s="6">
        <f t="shared" si="67"/>
        <v>0.89851589660280695</v>
      </c>
      <c r="AI52" s="5">
        <f t="shared" si="68"/>
        <v>3.3719115176885031</v>
      </c>
      <c r="AJ52" s="5">
        <f t="shared" si="69"/>
        <v>1.170510536406923</v>
      </c>
      <c r="AK52" s="5">
        <f t="shared" si="70"/>
        <v>3.883501037907013</v>
      </c>
      <c r="AL52" s="5">
        <f t="shared" si="71"/>
        <v>1.5500427720087007</v>
      </c>
      <c r="AM52" s="5">
        <f t="shared" si="72"/>
        <v>4.4600932098115029</v>
      </c>
      <c r="AN52" s="5">
        <f t="shared" si="73"/>
        <v>2.0413817534317009</v>
      </c>
      <c r="AO52" s="5">
        <f t="shared" si="74"/>
        <v>4.0726741031463538</v>
      </c>
      <c r="AP52" s="6">
        <f t="shared" si="75"/>
        <v>1.7036384322640976</v>
      </c>
    </row>
    <row r="53" spans="1:42" x14ac:dyDescent="0.25">
      <c r="A53" s="139">
        <v>0.55000000000000004</v>
      </c>
      <c r="B53" s="255">
        <f>'Sub C_D_0'!AV51</f>
        <v>9.1240190969012463E-3</v>
      </c>
      <c r="C53" s="258">
        <f>'C_L vs. α'!X352</f>
        <v>0.14245519308971499</v>
      </c>
      <c r="D53" s="144">
        <v>16</v>
      </c>
      <c r="E53" s="14">
        <f t="shared" si="38"/>
        <v>1.805411372474248</v>
      </c>
      <c r="F53" s="6">
        <f t="shared" si="39"/>
        <v>0.33800111351870732</v>
      </c>
      <c r="G53" s="14">
        <f t="shared" si="40"/>
        <v>1.8198716157893735</v>
      </c>
      <c r="H53" s="6">
        <f t="shared" si="41"/>
        <v>0.34192742424438638</v>
      </c>
      <c r="I53" s="14">
        <f t="shared" si="42"/>
        <v>1.841100346941198</v>
      </c>
      <c r="J53" s="6">
        <f t="shared" si="43"/>
        <v>0.34901001984128516</v>
      </c>
      <c r="K53" s="14">
        <f t="shared" si="44"/>
        <v>1.87029785509004</v>
      </c>
      <c r="L53" s="6">
        <f t="shared" si="45"/>
        <v>0.35938435558080101</v>
      </c>
      <c r="M53" s="5">
        <f t="shared" si="46"/>
        <v>1.9084574417625912</v>
      </c>
      <c r="N53" s="6">
        <f t="shared" si="47"/>
        <v>0.37345535005442543</v>
      </c>
      <c r="O53" s="5">
        <f t="shared" si="48"/>
        <v>1.954899577252561</v>
      </c>
      <c r="P53" s="6">
        <f t="shared" si="49"/>
        <v>0.39159783475921423</v>
      </c>
      <c r="Q53" s="5">
        <f t="shared" si="50"/>
        <v>2.0149181124725</v>
      </c>
      <c r="R53" s="6">
        <f t="shared" si="51"/>
        <v>0.41516991487046845</v>
      </c>
      <c r="S53" s="5">
        <f t="shared" si="52"/>
        <v>2.0885250703853013</v>
      </c>
      <c r="T53" s="6">
        <f t="shared" si="53"/>
        <v>0.44514634925560681</v>
      </c>
      <c r="U53" s="5">
        <f>(D53-$B$12)*$C$51</f>
        <v>2.1783216359188819</v>
      </c>
      <c r="V53" s="6">
        <f t="shared" si="55"/>
        <v>0.48324839813571102</v>
      </c>
      <c r="W53" s="5">
        <f t="shared" si="56"/>
        <v>2.2878045570678371</v>
      </c>
      <c r="X53" s="6">
        <f t="shared" si="57"/>
        <v>0.53193768198614599</v>
      </c>
      <c r="Y53" s="5">
        <f t="shared" si="58"/>
        <v>2.4217382825251548</v>
      </c>
      <c r="Z53" s="6">
        <f t="shared" si="59"/>
        <v>0.59480366386027739</v>
      </c>
      <c r="AA53" s="5">
        <f t="shared" si="60"/>
        <v>2.5867188788398607</v>
      </c>
      <c r="AB53" s="6">
        <f t="shared" si="61"/>
        <v>0.67720892651618159</v>
      </c>
      <c r="AC53" s="5">
        <f t="shared" si="62"/>
        <v>2.7927410073131127</v>
      </c>
      <c r="AD53" s="6">
        <f t="shared" si="63"/>
        <v>0.78826342364503799</v>
      </c>
      <c r="AE53" s="5">
        <f t="shared" si="64"/>
        <v>3.0530943433205189</v>
      </c>
      <c r="AF53" s="6">
        <f t="shared" si="65"/>
        <v>0.94015640590076144</v>
      </c>
      <c r="AG53" s="5">
        <f t="shared" si="66"/>
        <v>3.3870556631556705</v>
      </c>
      <c r="AH53" s="6">
        <f t="shared" si="67"/>
        <v>1.1548491896603328</v>
      </c>
      <c r="AI53" s="5">
        <f t="shared" si="68"/>
        <v>3.8214997200469702</v>
      </c>
      <c r="AJ53" s="8">
        <f t="shared" si="69"/>
        <v>1.5008613466805254</v>
      </c>
      <c r="AK53" s="5">
        <f t="shared" si="70"/>
        <v>4.4013011762946146</v>
      </c>
      <c r="AL53" s="8">
        <f t="shared" si="71"/>
        <v>1.9882402643647983</v>
      </c>
      <c r="AM53" s="5">
        <f t="shared" si="72"/>
        <v>5.0547723044530359</v>
      </c>
      <c r="AN53" s="8">
        <f t="shared" si="73"/>
        <v>2.6193592195836302</v>
      </c>
      <c r="AO53" s="5">
        <f t="shared" si="74"/>
        <v>4.6156973168992002</v>
      </c>
      <c r="AP53" s="9">
        <f t="shared" si="75"/>
        <v>2.1855666491223529</v>
      </c>
    </row>
    <row r="54" spans="1:42" x14ac:dyDescent="0.25">
      <c r="A54" s="129">
        <v>0.6</v>
      </c>
      <c r="B54" s="256">
        <f>'Sub C_D_0'!AV52</f>
        <v>9.012449255579617E-3</v>
      </c>
      <c r="C54" s="257">
        <f>'C_L vs. α'!X353</f>
        <v>0.15215993404940356</v>
      </c>
    </row>
    <row r="55" spans="1:42" x14ac:dyDescent="0.25">
      <c r="A55" s="139">
        <v>0.65</v>
      </c>
      <c r="B55" s="255">
        <f>'Sub C_D_0'!AV53</f>
        <v>9.3897219649719584E-3</v>
      </c>
      <c r="C55" s="258">
        <f>'C_L vs. α'!X354</f>
        <v>0.16427888278312427</v>
      </c>
    </row>
    <row r="56" spans="1:42" x14ac:dyDescent="0.25">
      <c r="A56" s="129">
        <v>0.7</v>
      </c>
      <c r="B56" s="256">
        <f>'Sub C_D_0'!AV54</f>
        <v>9.2925546973454572E-3</v>
      </c>
      <c r="C56" s="257">
        <f>'C_L vs. α'!X355</f>
        <v>0.179593784901207</v>
      </c>
    </row>
    <row r="57" spans="1:42" x14ac:dyDescent="0.25">
      <c r="A57" s="139">
        <v>0.75</v>
      </c>
      <c r="B57" s="255">
        <f>'Sub C_D_0'!AV55</f>
        <v>9.2033453324345364E-3</v>
      </c>
      <c r="C57" s="258">
        <f>'C_L vs. α'!X356</f>
        <v>0.1992385684209218</v>
      </c>
    </row>
    <row r="58" spans="1:42" x14ac:dyDescent="0.25">
      <c r="A58" s="129">
        <v>0.8</v>
      </c>
      <c r="B58" s="256">
        <f>'Sub C_D_0'!AV56</f>
        <v>9.1209690387904895E-3</v>
      </c>
      <c r="C58" s="257">
        <f>'C_L vs. α'!X357</f>
        <v>0.22479410117923354</v>
      </c>
    </row>
    <row r="59" spans="1:42" x14ac:dyDescent="0.25">
      <c r="A59" s="139">
        <v>0.85</v>
      </c>
      <c r="B59" s="255">
        <f>'Sub C_D_0'!AV57</f>
        <v>9.5047129442940703E-3</v>
      </c>
      <c r="C59" s="258">
        <f>'C_L vs. α'!X358</f>
        <v>0.25890006919380087</v>
      </c>
    </row>
    <row r="60" spans="1:42" x14ac:dyDescent="0.25">
      <c r="A60" s="129">
        <v>0.9</v>
      </c>
      <c r="B60" s="256">
        <f>'Sub C_D_0'!AV58</f>
        <v>9.4297239913227714E-3</v>
      </c>
      <c r="C60" s="257">
        <f>'C_L vs. α'!X359</f>
        <v>0.29733954732076684</v>
      </c>
    </row>
    <row r="61" spans="1:42" x14ac:dyDescent="0.25">
      <c r="A61" s="139">
        <v>0.95</v>
      </c>
      <c r="B61" s="255">
        <f>'Sub C_D_0'!AV59</f>
        <v>9.3595448717909979E-3</v>
      </c>
      <c r="C61" s="258">
        <f>'C_L vs. α'!X360</f>
        <v>0.27151160687642356</v>
      </c>
    </row>
    <row r="63" spans="1:42" x14ac:dyDescent="0.25">
      <c r="A63" s="122" t="s">
        <v>537</v>
      </c>
      <c r="B63" s="122" t="s">
        <v>522</v>
      </c>
    </row>
    <row r="64" spans="1:42" x14ac:dyDescent="0.25">
      <c r="A64" s="122" t="s">
        <v>202</v>
      </c>
      <c r="B64" s="145">
        <v>5000</v>
      </c>
      <c r="C64" s="122" t="s">
        <v>538</v>
      </c>
      <c r="D64" s="122" t="s">
        <v>539</v>
      </c>
      <c r="E64" s="1" t="s">
        <v>536</v>
      </c>
      <c r="F64" s="140">
        <v>0.05</v>
      </c>
      <c r="G64" s="1" t="s">
        <v>536</v>
      </c>
      <c r="H64" s="140">
        <v>0.1</v>
      </c>
      <c r="I64" s="1" t="s">
        <v>536</v>
      </c>
      <c r="J64" s="140">
        <v>0.15</v>
      </c>
      <c r="K64" s="1" t="s">
        <v>536</v>
      </c>
      <c r="L64" s="140">
        <v>0.2</v>
      </c>
      <c r="M64" s="2" t="s">
        <v>536</v>
      </c>
      <c r="N64" s="163">
        <v>0.25</v>
      </c>
      <c r="O64" s="2" t="s">
        <v>536</v>
      </c>
      <c r="P64" s="163">
        <v>0.3</v>
      </c>
      <c r="Q64" s="2" t="s">
        <v>536</v>
      </c>
      <c r="R64" s="163">
        <v>0.35</v>
      </c>
      <c r="S64" s="2" t="s">
        <v>536</v>
      </c>
      <c r="T64" s="163">
        <v>0.4</v>
      </c>
      <c r="U64" s="2" t="s">
        <v>536</v>
      </c>
      <c r="V64" s="163">
        <v>0.45</v>
      </c>
      <c r="W64" s="2" t="s">
        <v>536</v>
      </c>
      <c r="X64" s="163">
        <v>0.5</v>
      </c>
      <c r="Y64" s="2" t="s">
        <v>536</v>
      </c>
      <c r="Z64" s="163">
        <v>0.55000000000000004</v>
      </c>
      <c r="AA64" s="2" t="s">
        <v>536</v>
      </c>
      <c r="AB64" s="163">
        <v>0.6</v>
      </c>
      <c r="AC64" s="2" t="s">
        <v>536</v>
      </c>
      <c r="AD64" s="163">
        <v>0.65</v>
      </c>
      <c r="AE64" s="2" t="s">
        <v>536</v>
      </c>
      <c r="AF64" s="163">
        <v>0.7</v>
      </c>
      <c r="AG64" s="2" t="s">
        <v>536</v>
      </c>
      <c r="AH64" s="163">
        <v>0.75</v>
      </c>
      <c r="AI64" s="2" t="s">
        <v>536</v>
      </c>
      <c r="AJ64" s="163">
        <v>0.8</v>
      </c>
      <c r="AK64" s="2" t="s">
        <v>536</v>
      </c>
      <c r="AL64" s="163">
        <v>0.85</v>
      </c>
      <c r="AM64" s="2" t="s">
        <v>536</v>
      </c>
      <c r="AN64" s="163">
        <v>0.9</v>
      </c>
      <c r="AO64" s="2" t="s">
        <v>536</v>
      </c>
      <c r="AP64" s="140">
        <v>0.95</v>
      </c>
    </row>
    <row r="65" spans="1:42" x14ac:dyDescent="0.25">
      <c r="A65" s="121" t="s">
        <v>182</v>
      </c>
      <c r="B65" s="121" t="s">
        <v>534</v>
      </c>
      <c r="C65" s="121" t="s">
        <v>535</v>
      </c>
      <c r="D65" s="121" t="s">
        <v>421</v>
      </c>
      <c r="E65" s="14" t="s">
        <v>244</v>
      </c>
      <c r="F65" s="6" t="s">
        <v>245</v>
      </c>
      <c r="G65" s="14" t="s">
        <v>244</v>
      </c>
      <c r="H65" s="6" t="s">
        <v>245</v>
      </c>
      <c r="I65" s="14" t="s">
        <v>244</v>
      </c>
      <c r="J65" s="6" t="s">
        <v>245</v>
      </c>
      <c r="K65" s="14" t="s">
        <v>244</v>
      </c>
      <c r="L65" s="6" t="s">
        <v>245</v>
      </c>
      <c r="M65" s="5" t="s">
        <v>244</v>
      </c>
      <c r="N65" s="5" t="s">
        <v>245</v>
      </c>
      <c r="O65" s="5" t="s">
        <v>244</v>
      </c>
      <c r="P65" s="5" t="s">
        <v>245</v>
      </c>
      <c r="Q65" s="5" t="s">
        <v>244</v>
      </c>
      <c r="R65" s="5" t="s">
        <v>245</v>
      </c>
      <c r="S65" s="5" t="s">
        <v>244</v>
      </c>
      <c r="T65" s="5" t="s">
        <v>245</v>
      </c>
      <c r="U65" s="5" t="s">
        <v>244</v>
      </c>
      <c r="V65" s="5" t="s">
        <v>245</v>
      </c>
      <c r="W65" s="5" t="s">
        <v>244</v>
      </c>
      <c r="X65" s="5" t="s">
        <v>245</v>
      </c>
      <c r="Y65" s="5" t="s">
        <v>244</v>
      </c>
      <c r="Z65" s="5" t="s">
        <v>245</v>
      </c>
      <c r="AA65" s="5" t="s">
        <v>244</v>
      </c>
      <c r="AB65" s="5" t="s">
        <v>245</v>
      </c>
      <c r="AC65" s="5" t="s">
        <v>244</v>
      </c>
      <c r="AD65" s="5" t="s">
        <v>245</v>
      </c>
      <c r="AE65" s="5" t="s">
        <v>244</v>
      </c>
      <c r="AF65" s="5" t="s">
        <v>245</v>
      </c>
      <c r="AG65" s="5" t="s">
        <v>244</v>
      </c>
      <c r="AH65" s="5" t="s">
        <v>245</v>
      </c>
      <c r="AI65" s="5" t="s">
        <v>244</v>
      </c>
      <c r="AJ65" s="5" t="s">
        <v>245</v>
      </c>
      <c r="AK65" s="5" t="s">
        <v>244</v>
      </c>
      <c r="AL65" s="5" t="s">
        <v>245</v>
      </c>
      <c r="AM65" s="5" t="s">
        <v>244</v>
      </c>
      <c r="AN65" s="5" t="s">
        <v>245</v>
      </c>
      <c r="AO65" s="5" t="s">
        <v>244</v>
      </c>
      <c r="AP65" s="6" t="s">
        <v>245</v>
      </c>
    </row>
    <row r="66" spans="1:42" x14ac:dyDescent="0.25">
      <c r="A66" s="129">
        <v>0</v>
      </c>
      <c r="B66" s="129" t="e">
        <f>'Sub C_D_0'!AV70</f>
        <v>#DIV/0!</v>
      </c>
      <c r="C66" s="129" t="e">
        <f>'C_L vs. α'!X366</f>
        <v>#NUM!</v>
      </c>
      <c r="D66" s="144">
        <v>-6</v>
      </c>
      <c r="E66" s="14">
        <f>(D66-$B$12)*$C$67</f>
        <v>-0.53109344563783467</v>
      </c>
      <c r="F66" s="6">
        <f>$B$43+$B$7*E66^2+$B$8*(E66-E$45)^2</f>
        <v>4.3789090503058903E-2</v>
      </c>
      <c r="G66" s="14">
        <f>(D66-$B$12)*$C$68</f>
        <v>-0.53534755393543543</v>
      </c>
      <c r="H66" s="6">
        <f>$B$44+$B$7*G66^2+$B$8*(G66-G$45)^2</f>
        <v>4.2983652412197322E-2</v>
      </c>
      <c r="I66" s="14">
        <f>(D66-$B$12)*$C$69</f>
        <v>-0.54158701877589221</v>
      </c>
      <c r="J66" s="6">
        <f>$B$45+$B$7*I66^2+$B$8*(I66-I$45)^2</f>
        <v>4.3050621185652962E-2</v>
      </c>
      <c r="K66" s="14">
        <f>(D66-$B$12)*$C$70</f>
        <v>-0.55016957028858915</v>
      </c>
      <c r="L66" s="6">
        <f>$B$46+$B$7*K66^2+$B$8*(K66-K$45)^2</f>
        <v>4.3643015853370104E-2</v>
      </c>
      <c r="M66" s="5">
        <f>(D66-$B$12)*$C$71</f>
        <v>-0.5613878479933897</v>
      </c>
      <c r="N66" s="6">
        <f>$B$47+$B$7*M66^2+$B$8*(M66-M$45)^2</f>
        <v>4.4697655549657898E-2</v>
      </c>
      <c r="O66" s="5">
        <f>(D66-$B$12)*$C$72</f>
        <v>-0.57504670145380987</v>
      </c>
      <c r="P66" s="6">
        <f>$B$48+$B$7*O66^2+$B$8*(O66-O$45)^2</f>
        <v>4.6644576466908755E-2</v>
      </c>
      <c r="Q66" s="5">
        <f>(D66-$B$12)*$C$73</f>
        <v>-0.59269361590903979</v>
      </c>
      <c r="R66" s="6">
        <f>$B$49+$B$7*Q66^2+$B$8*(Q66-Q$45)^2</f>
        <v>4.8709278673347046E-2</v>
      </c>
      <c r="S66" s="5">
        <f>(D66-$B$12)*$C$74</f>
        <v>-0.61433590552046735</v>
      </c>
      <c r="T66" s="6">
        <f>$B$50+$B$7*S66^2+$B$8*(S66-S$45)^2</f>
        <v>5.1421099659977099E-2</v>
      </c>
      <c r="U66" s="5">
        <f>(D66-$B$12)*$C$75</f>
        <v>-0.64073806728367422</v>
      </c>
      <c r="V66" s="6">
        <f>$B$51+$B$7*U66^2+$B$8*(U66-U$45)^2</f>
        <v>5.4937174360392263E-2</v>
      </c>
      <c r="W66" s="5">
        <f>(D66-$B$12)*$C$76</f>
        <v>-0.67292767597279368</v>
      </c>
      <c r="X66" s="6">
        <f>$B$52+$B$7*W66^2+$B$8*(W66-W$45)^2</f>
        <v>5.9488470589340869E-2</v>
      </c>
      <c r="Y66" s="5">
        <f>(D66-$B$12)*$C$77</f>
        <v>-0.71230462852029264</v>
      </c>
      <c r="Z66" s="6">
        <f>$B$53+$B$7*Y66^2+$B$8*(Y66-Y$45)^2</f>
        <v>6.5415872965630908E-2</v>
      </c>
      <c r="AA66" s="5">
        <f>(D66-$B$12)*$C$78</f>
        <v>-0.76080659498954106</v>
      </c>
      <c r="AB66" s="6">
        <f>$B$54+$B$7*AA66^2+$B$8*(AA66-AA$45)^2</f>
        <v>7.3231476990314348E-2</v>
      </c>
      <c r="AC66" s="5">
        <f>(D66-$B$12)*$C$79</f>
        <v>-0.82136693181287801</v>
      </c>
      <c r="AD66" s="6">
        <f>$B$55+$B$7*AC66^2+$B$8*(AC66-AC$45)^2</f>
        <v>8.4239620631663834E-2</v>
      </c>
      <c r="AE66" s="5">
        <f>(D66-$B$12)*$C$80</f>
        <v>-0.89788629747523374</v>
      </c>
      <c r="AF66" s="6">
        <f>$B$56+$B$7*AE66^2+$B$8*(AE66-AE$45)^2</f>
        <v>9.8738709806315064E-2</v>
      </c>
      <c r="AG66" s="5">
        <f>(D66-$B$12)*$C$81</f>
        <v>-0.99601751169927866</v>
      </c>
      <c r="AH66" s="6">
        <f>$B$57+$B$7*AG66^2+$B$8*(AG66-AG$45)^2</f>
        <v>0.11927008298695166</v>
      </c>
      <c r="AI66" s="5">
        <f>(D66-$B$12)*$C$82</f>
        <v>-1.1236252226385615</v>
      </c>
      <c r="AJ66" s="5">
        <f>$B$58+$B$9*AI66^2</f>
        <v>0.13808498239610123</v>
      </c>
      <c r="AK66" s="5">
        <f>(D66-$B$12)*$C$83</f>
        <v>-1.2937599647482783</v>
      </c>
      <c r="AL66" s="5">
        <f>$B$59+$B$9*AK66^2</f>
        <v>0.18047986418427978</v>
      </c>
      <c r="AM66" s="5">
        <f>(D66-$B$12)*$C$84</f>
        <v>-1.4849859833541401</v>
      </c>
      <c r="AN66" s="5">
        <f>$B$60+$B$9*AM66^2</f>
        <v>0.23468257148606178</v>
      </c>
      <c r="AO66" s="5">
        <f>(D66-$B$12)*$C$85</f>
        <v>-1.351958615286535</v>
      </c>
      <c r="AP66" s="6">
        <f>$B$61+$B$9*AO66^2</f>
        <v>0.1960630090997374</v>
      </c>
    </row>
    <row r="67" spans="1:42" x14ac:dyDescent="0.25">
      <c r="A67" s="139">
        <v>0.05</v>
      </c>
      <c r="B67" s="255">
        <f>'Sub C_D_0'!AV71</f>
        <v>1.2345635626691253E-2</v>
      </c>
      <c r="C67" s="258">
        <f>'C_L vs. α'!X367</f>
        <v>0.10621868912756693</v>
      </c>
      <c r="D67" s="144">
        <v>-4</v>
      </c>
      <c r="E67" s="14">
        <f t="shared" ref="E67:E76" si="76">(D67-$B$12)*$C$67</f>
        <v>-0.3186560673827008</v>
      </c>
      <c r="F67" s="6">
        <f t="shared" ref="F67:F77" si="77">$B$43+$B$7*E67^2+$B$8*(E67-E$45)^2</f>
        <v>2.444722311439694E-2</v>
      </c>
      <c r="G67" s="14">
        <f t="shared" ref="G67:G77" si="78">(D67-$B$12)*$C$68</f>
        <v>-0.32120853236126123</v>
      </c>
      <c r="H67" s="6">
        <f t="shared" ref="H67:H77" si="79">$B$44+$B$7*G67^2+$B$8*(G67-G$45)^2</f>
        <v>2.3330684316017505E-2</v>
      </c>
      <c r="I67" s="14">
        <f t="shared" ref="I67:I77" si="80">(D67-$B$12)*$C$69</f>
        <v>-0.32495221126553531</v>
      </c>
      <c r="J67" s="6">
        <f t="shared" ref="J67:J77" si="81">$B$45+$B$7*I67^2+$B$8*(I67-I$45)^2</f>
        <v>2.2936864313810975E-2</v>
      </c>
      <c r="K67" s="14">
        <f t="shared" ref="K67:K77" si="82">(D67-$B$12)*$C$70</f>
        <v>-0.33010174217315352</v>
      </c>
      <c r="L67" s="6">
        <f t="shared" ref="L67:L77" si="83">$B$46+$B$7*K67^2+$B$8*(K67-K$45)^2</f>
        <v>2.28867096524519E-2</v>
      </c>
      <c r="M67" s="5">
        <f t="shared" ref="M67:M77" si="84">(D67-$B$12)*$C$71</f>
        <v>-0.33683270879603378</v>
      </c>
      <c r="N67" s="6">
        <f t="shared" ref="N67:N77" si="85">$B$47+$B$7*M67^2+$B$8*(M67-M$45)^2</f>
        <v>2.3086240835024668E-2</v>
      </c>
      <c r="O67" s="5">
        <f t="shared" ref="O67:O77" si="86">(D67-$B$12)*$C$72</f>
        <v>-0.34502802087228596</v>
      </c>
      <c r="P67" s="6">
        <f t="shared" ref="P67:P77" si="87">$B$48+$B$7*O67^2+$B$8*(O67-O$45)^2</f>
        <v>2.3968730274403147E-2</v>
      </c>
      <c r="Q67" s="5">
        <f t="shared" ref="Q67:Q77" si="88">(D67-$B$12)*$C$73</f>
        <v>-0.35561616954542385</v>
      </c>
      <c r="R67" s="6">
        <f t="shared" ref="R67:R77" si="89">$B$49+$B$7*Q67^2+$B$8*(Q67-Q$45)^2</f>
        <v>2.4620319290621834E-2</v>
      </c>
      <c r="S67" s="5">
        <f t="shared" ref="S67:S77" si="90">(D67-$B$12)*$C$74</f>
        <v>-0.36860154331228046</v>
      </c>
      <c r="T67" s="6">
        <f t="shared" ref="T67:T77" si="91">$B$50+$B$7*S67^2+$B$8*(S67-S$45)^2</f>
        <v>2.5540779276921874E-2</v>
      </c>
      <c r="U67" s="5">
        <f t="shared" ref="U67:U77" si="92">(D67-$B$12)*$C$75</f>
        <v>-0.38444284037020449</v>
      </c>
      <c r="V67" s="6">
        <f t="shared" ref="V67:V77" si="93">$B$51+$B$7*U67^2+$B$8*(U67-U$45)^2</f>
        <v>2.6784525538247936E-2</v>
      </c>
      <c r="W67" s="5">
        <f t="shared" ref="W67:W77" si="94">(D67-$B$12)*$C$76</f>
        <v>-0.40375660558367621</v>
      </c>
      <c r="X67" s="6">
        <f t="shared" ref="X67:X77" si="95">$B$52+$B$7*W67^2+$B$8*(W67-W$45)^2</f>
        <v>2.8436053422677098E-2</v>
      </c>
      <c r="Y67" s="5">
        <f t="shared" ref="Y67:Y77" si="96">(D67-$B$12)*$C$77</f>
        <v>-0.42738277711217554</v>
      </c>
      <c r="Z67" s="6">
        <f t="shared" ref="Z67:Z77" si="97">$B$53+$B$7*Y67^2+$B$8*(Y67-Y$45)^2</f>
        <v>3.0622969396320976E-2</v>
      </c>
      <c r="AA67" s="5">
        <f t="shared" ref="AA67:AA77" si="98">(D67-$B$12)*$C$78</f>
        <v>-0.45648395699372468</v>
      </c>
      <c r="AB67" s="6">
        <f t="shared" ref="AB67:AB77" si="99">$B$54+$B$7*AA67^2+$B$8*(AA67-AA$45)^2</f>
        <v>3.3538990203519504E-2</v>
      </c>
      <c r="AC67" s="5">
        <f t="shared" ref="AC67:AC77" si="100">(D67-$B$12)*$C$79</f>
        <v>-0.49282015908772681</v>
      </c>
      <c r="AD67" s="6">
        <f t="shared" ref="AD67:AD77" si="101">$B$55+$B$7*AC67^2+$B$8*(AC67-AC$45)^2</f>
        <v>3.7976485264352398E-2</v>
      </c>
      <c r="AE67" s="5">
        <f t="shared" ref="AE67:AE77" si="102">(D67-$B$12)*$C$80</f>
        <v>-0.5387317784851402</v>
      </c>
      <c r="AF67" s="6">
        <f t="shared" ref="AF67:AF77" si="103">$B$56+$B$7*AE67^2+$B$8*(AE67-AE$45)^2</f>
        <v>4.3454066875851592E-2</v>
      </c>
      <c r="AG67" s="5">
        <f t="shared" ref="AG67:AG77" si="104">(D67-$B$12)*$C$81</f>
        <v>-0.59761050701956719</v>
      </c>
      <c r="AH67" s="6">
        <f t="shared" ref="AH67:AH77" si="105">$B$57+$B$7*AG67^2+$B$8*(AG67-AG$45)^2</f>
        <v>5.124055276980493E-2</v>
      </c>
      <c r="AI67" s="5">
        <f t="shared" ref="AI67:AI77" si="106">(D67-$B$12)*$C$82</f>
        <v>-0.67417513358313697</v>
      </c>
      <c r="AJ67" s="5">
        <f t="shared" ref="AJ67:AJ77" si="107">$B$58+$B$9*AI67^2</f>
        <v>5.5548013847422369E-2</v>
      </c>
      <c r="AK67" s="5">
        <f t="shared" ref="AK67:AK77" si="108">(D67-$B$12)*$C$83</f>
        <v>-0.77625597884896702</v>
      </c>
      <c r="AL67" s="5">
        <f t="shared" ref="AL67:AL77" si="109">$B$59+$B$9*AK67^2</f>
        <v>7.1055767390688931E-2</v>
      </c>
      <c r="AM67" s="5">
        <f t="shared" ref="AM67:AM77" si="110">(D67-$B$12)*$C$84</f>
        <v>-0.89099159001248407</v>
      </c>
      <c r="AN67" s="5">
        <f t="shared" ref="AN67:AN77" si="111">$B$60+$B$9*AM67^2</f>
        <v>9.0520749089428809E-2</v>
      </c>
      <c r="AO67" s="5">
        <f t="shared" ref="AO67:AO77" si="112">(D67-$B$12)*$C$85</f>
        <v>-0.81117516917192112</v>
      </c>
      <c r="AP67" s="6">
        <f t="shared" ref="AP67:AP77" si="113">$B$61+$B$9*AO67^2</f>
        <v>7.657279199385171E-2</v>
      </c>
    </row>
    <row r="68" spans="1:42" x14ac:dyDescent="0.25">
      <c r="A68" s="129">
        <v>0.1</v>
      </c>
      <c r="B68" s="256">
        <f>'Sub C_D_0'!AV72</f>
        <v>1.1058228516163275E-2</v>
      </c>
      <c r="C68" s="257">
        <f>'C_L vs. α'!X368</f>
        <v>0.10706951078708708</v>
      </c>
      <c r="D68" s="144">
        <v>-2</v>
      </c>
      <c r="E68" s="14">
        <f t="shared" si="76"/>
        <v>-0.10621868912756693</v>
      </c>
      <c r="F68" s="6">
        <f t="shared" si="77"/>
        <v>1.4325069586371334E-2</v>
      </c>
      <c r="G68" s="14">
        <f t="shared" si="78"/>
        <v>-0.10706951078708708</v>
      </c>
      <c r="H68" s="6">
        <f t="shared" si="79"/>
        <v>1.3045723177109071E-2</v>
      </c>
      <c r="I68" s="14">
        <f t="shared" si="80"/>
        <v>-0.10831740375517844</v>
      </c>
      <c r="J68" s="6">
        <f t="shared" si="81"/>
        <v>1.2410754796399564E-2</v>
      </c>
      <c r="K68" s="14">
        <f t="shared" si="82"/>
        <v>-0.11003391405771784</v>
      </c>
      <c r="L68" s="6">
        <f t="shared" si="83"/>
        <v>1.2024330214465003E-2</v>
      </c>
      <c r="M68" s="5">
        <f t="shared" si="84"/>
        <v>-0.11227756959867793</v>
      </c>
      <c r="N68" s="6">
        <f t="shared" si="85"/>
        <v>1.1776352387723085E-2</v>
      </c>
      <c r="O68" s="5">
        <f t="shared" si="86"/>
        <v>-0.11500934029076199</v>
      </c>
      <c r="P68" s="6">
        <f t="shared" si="87"/>
        <v>1.2101791388233847E-2</v>
      </c>
      <c r="Q68" s="5">
        <f t="shared" si="88"/>
        <v>-0.11853872318180796</v>
      </c>
      <c r="R68" s="6">
        <f t="shared" si="89"/>
        <v>1.2013849433686547E-2</v>
      </c>
      <c r="S68" s="5">
        <f t="shared" si="90"/>
        <v>-0.12286718110409348</v>
      </c>
      <c r="T68" s="6">
        <f t="shared" si="91"/>
        <v>1.1996828054656683E-2</v>
      </c>
      <c r="U68" s="5">
        <f t="shared" si="92"/>
        <v>-0.12814761345673484</v>
      </c>
      <c r="V68" s="6">
        <f t="shared" si="93"/>
        <v>1.2051385317801252E-2</v>
      </c>
      <c r="W68" s="5">
        <f t="shared" si="94"/>
        <v>-0.13458553519455874</v>
      </c>
      <c r="X68" s="6">
        <f t="shared" si="95"/>
        <v>1.2185361543501623E-2</v>
      </c>
      <c r="Y68" s="5">
        <f t="shared" si="96"/>
        <v>-0.14246092570405852</v>
      </c>
      <c r="Z68" s="6">
        <f t="shared" si="97"/>
        <v>1.2414745664509568E-2</v>
      </c>
      <c r="AA68" s="5">
        <f t="shared" si="98"/>
        <v>-0.15216131899790822</v>
      </c>
      <c r="AB68" s="6">
        <f t="shared" si="99"/>
        <v>1.2766632559578392E-2</v>
      </c>
      <c r="AC68" s="5">
        <f t="shared" si="100"/>
        <v>-0.1642733863625756</v>
      </c>
      <c r="AD68" s="6">
        <f t="shared" si="101"/>
        <v>1.3765451645390909E-2</v>
      </c>
      <c r="AE68" s="5">
        <f t="shared" si="102"/>
        <v>-0.17957725949504674</v>
      </c>
      <c r="AF68" s="6">
        <f t="shared" si="103"/>
        <v>1.4521707022023801E-2</v>
      </c>
      <c r="AG68" s="5">
        <f t="shared" si="104"/>
        <v>-0.19920350233985573</v>
      </c>
      <c r="AH68" s="6">
        <f t="shared" si="105"/>
        <v>1.5638226836006505E-2</v>
      </c>
      <c r="AI68" s="5">
        <f t="shared" si="106"/>
        <v>-0.2247250445277123</v>
      </c>
      <c r="AJ68" s="5">
        <f t="shared" si="107"/>
        <v>1.4279529573082919E-2</v>
      </c>
      <c r="AK68" s="5">
        <f t="shared" si="108"/>
        <v>-0.25875199294965567</v>
      </c>
      <c r="AL68" s="5">
        <f t="shared" si="109"/>
        <v>1.6343718993893499E-2</v>
      </c>
      <c r="AM68" s="5">
        <f t="shared" si="110"/>
        <v>-0.29699719667082802</v>
      </c>
      <c r="AN68" s="5">
        <f t="shared" si="111"/>
        <v>1.843983789111233E-2</v>
      </c>
      <c r="AO68" s="5">
        <f t="shared" si="112"/>
        <v>-0.27039172305730702</v>
      </c>
      <c r="AP68" s="6">
        <f t="shared" si="113"/>
        <v>1.6827683440908854E-2</v>
      </c>
    </row>
    <row r="69" spans="1:42" x14ac:dyDescent="0.25">
      <c r="A69" s="139">
        <v>0.15</v>
      </c>
      <c r="B69" s="255">
        <f>'Sub C_D_0'!AV73</f>
        <v>1.0390379189496863E-2</v>
      </c>
      <c r="C69" s="258">
        <f>'C_L vs. α'!X369</f>
        <v>0.10831740375517844</v>
      </c>
      <c r="D69" s="143">
        <v>0</v>
      </c>
      <c r="E69" s="83">
        <f t="shared" si="76"/>
        <v>0.10621868912756693</v>
      </c>
      <c r="F69" s="21">
        <f t="shared" si="77"/>
        <v>1.3422629918982082E-2</v>
      </c>
      <c r="G69" s="83">
        <f t="shared" si="78"/>
        <v>0.10706951078708708</v>
      </c>
      <c r="H69" s="21">
        <f t="shared" si="79"/>
        <v>1.2128768995472017E-2</v>
      </c>
      <c r="I69" s="83">
        <f t="shared" si="80"/>
        <v>0.10831740375517844</v>
      </c>
      <c r="J69" s="21">
        <f t="shared" si="81"/>
        <v>1.1472292633418722E-2</v>
      </c>
      <c r="K69" s="83">
        <f t="shared" si="82"/>
        <v>0.11003391405771784</v>
      </c>
      <c r="L69" s="21">
        <f t="shared" si="83"/>
        <v>1.1055877539409419E-2</v>
      </c>
      <c r="M69" s="58">
        <f t="shared" si="84"/>
        <v>0.11227756959867793</v>
      </c>
      <c r="N69" s="21">
        <f t="shared" si="85"/>
        <v>1.0767990207753136E-2</v>
      </c>
      <c r="O69" s="58">
        <f t="shared" si="86"/>
        <v>0.11500934029076199</v>
      </c>
      <c r="P69" s="21">
        <f t="shared" si="87"/>
        <v>1.1043759808400874E-2</v>
      </c>
      <c r="Q69" s="58">
        <f t="shared" si="88"/>
        <v>0.11853872318180796</v>
      </c>
      <c r="R69" s="21">
        <f t="shared" si="89"/>
        <v>1.0889869102541187E-2</v>
      </c>
      <c r="S69" s="58">
        <f t="shared" si="90"/>
        <v>0.12286718110409348</v>
      </c>
      <c r="T69" s="21">
        <f t="shared" si="91"/>
        <v>1.0789245993181528E-2</v>
      </c>
      <c r="U69" s="58">
        <f t="shared" si="92"/>
        <v>0.12814761345673484</v>
      </c>
      <c r="V69" s="21">
        <f t="shared" si="93"/>
        <v>1.0737753699052192E-2</v>
      </c>
      <c r="W69" s="58">
        <f t="shared" si="94"/>
        <v>0.13458553519455874</v>
      </c>
      <c r="X69" s="21">
        <f t="shared" si="95"/>
        <v>1.0736394951814445E-2</v>
      </c>
      <c r="Y69" s="58">
        <f t="shared" si="96"/>
        <v>0.14246092570405852</v>
      </c>
      <c r="Z69" s="21">
        <f t="shared" si="97"/>
        <v>1.0791201770196672E-2</v>
      </c>
      <c r="AA69" s="58">
        <f t="shared" si="98"/>
        <v>0.15216131899790822</v>
      </c>
      <c r="AB69" s="21">
        <f t="shared" si="99"/>
        <v>1.0914404058491034E-2</v>
      </c>
      <c r="AC69" s="58">
        <f t="shared" si="100"/>
        <v>0.1642733863625756</v>
      </c>
      <c r="AD69" s="21">
        <f t="shared" si="101"/>
        <v>1.1606519774779353E-2</v>
      </c>
      <c r="AE69" s="58">
        <f t="shared" si="102"/>
        <v>0.17957725949504674</v>
      </c>
      <c r="AF69" s="21">
        <f t="shared" si="103"/>
        <v>1.1941630244831669E-2</v>
      </c>
      <c r="AG69" s="58">
        <f t="shared" si="104"/>
        <v>0.19920350233985573</v>
      </c>
      <c r="AH69" s="21">
        <f t="shared" si="105"/>
        <v>1.2463105185556376E-2</v>
      </c>
      <c r="AI69" s="58">
        <f t="shared" si="106"/>
        <v>0.2247250445277123</v>
      </c>
      <c r="AJ69" s="58">
        <f t="shared" si="107"/>
        <v>1.4279529573082919E-2</v>
      </c>
      <c r="AK69" s="58">
        <f t="shared" si="108"/>
        <v>0.25875199294965567</v>
      </c>
      <c r="AL69" s="58">
        <f t="shared" si="109"/>
        <v>1.6343718993893499E-2</v>
      </c>
      <c r="AM69" s="58">
        <f t="shared" si="110"/>
        <v>0.29699719667082802</v>
      </c>
      <c r="AN69" s="58">
        <f t="shared" si="111"/>
        <v>1.843983789111233E-2</v>
      </c>
      <c r="AO69" s="58">
        <f t="shared" si="112"/>
        <v>0.27039172305730702</v>
      </c>
      <c r="AP69" s="21">
        <f t="shared" si="113"/>
        <v>1.6827683440908854E-2</v>
      </c>
    </row>
    <row r="70" spans="1:42" x14ac:dyDescent="0.25">
      <c r="A70" s="129">
        <v>0.2</v>
      </c>
      <c r="B70" s="256">
        <f>'Sub C_D_0'!AV74</f>
        <v>9.9500874725224411E-3</v>
      </c>
      <c r="C70" s="257">
        <f>'C_L vs. α'!X370</f>
        <v>0.11003391405771784</v>
      </c>
      <c r="D70" s="144">
        <v>2</v>
      </c>
      <c r="E70" s="14">
        <f t="shared" si="76"/>
        <v>0.3186560673827008</v>
      </c>
      <c r="F70" s="6">
        <f t="shared" si="77"/>
        <v>2.1739904112229182E-2</v>
      </c>
      <c r="G70" s="14">
        <f t="shared" si="78"/>
        <v>0.32120853236126123</v>
      </c>
      <c r="H70" s="6">
        <f t="shared" si="79"/>
        <v>2.0579821771106344E-2</v>
      </c>
      <c r="I70" s="14">
        <f t="shared" si="80"/>
        <v>0.32495221126553531</v>
      </c>
      <c r="J70" s="6">
        <f t="shared" si="81"/>
        <v>2.012147782486845E-2</v>
      </c>
      <c r="K70" s="14">
        <f t="shared" si="82"/>
        <v>0.33010174217315352</v>
      </c>
      <c r="L70" s="6">
        <f t="shared" si="83"/>
        <v>1.9981351627285149E-2</v>
      </c>
      <c r="M70" s="5">
        <f t="shared" si="84"/>
        <v>0.33683270879603378</v>
      </c>
      <c r="N70" s="6">
        <f t="shared" si="85"/>
        <v>2.0061154295114823E-2</v>
      </c>
      <c r="O70" s="5">
        <f t="shared" si="86"/>
        <v>0.34502802087228596</v>
      </c>
      <c r="P70" s="6">
        <f t="shared" si="87"/>
        <v>2.0794635534904231E-2</v>
      </c>
      <c r="Q70" s="5">
        <f t="shared" si="88"/>
        <v>0.35561616954542385</v>
      </c>
      <c r="R70" s="6">
        <f t="shared" si="89"/>
        <v>2.1248378297185757E-2</v>
      </c>
      <c r="S70" s="5">
        <f t="shared" si="90"/>
        <v>0.36860154331228046</v>
      </c>
      <c r="T70" s="6">
        <f t="shared" si="91"/>
        <v>2.191803309249641E-2</v>
      </c>
      <c r="U70" s="5">
        <f t="shared" si="92"/>
        <v>0.38444284037020449</v>
      </c>
      <c r="V70" s="6">
        <f t="shared" si="93"/>
        <v>2.2843630682000758E-2</v>
      </c>
      <c r="W70" s="5">
        <f t="shared" si="94"/>
        <v>0.40375660558367621</v>
      </c>
      <c r="X70" s="6">
        <f t="shared" si="95"/>
        <v>2.4089153647615564E-2</v>
      </c>
      <c r="Y70" s="5">
        <f t="shared" si="96"/>
        <v>0.42738277711217554</v>
      </c>
      <c r="Z70" s="6">
        <f t="shared" si="97"/>
        <v>2.5752337713382287E-2</v>
      </c>
      <c r="AA70" s="5">
        <f t="shared" si="98"/>
        <v>0.45648395699372468</v>
      </c>
      <c r="AB70" s="6">
        <f t="shared" si="99"/>
        <v>2.7982304700257431E-2</v>
      </c>
      <c r="AC70" s="5">
        <f t="shared" si="100"/>
        <v>0.49282015908772681</v>
      </c>
      <c r="AD70" s="6">
        <f t="shared" si="101"/>
        <v>3.1499689652517732E-2</v>
      </c>
      <c r="AE70" s="5">
        <f t="shared" si="102"/>
        <v>0.5387317784851402</v>
      </c>
      <c r="AF70" s="6">
        <f t="shared" si="103"/>
        <v>3.5713836544275193E-2</v>
      </c>
      <c r="AG70" s="5">
        <f t="shared" si="104"/>
        <v>0.59761050701956719</v>
      </c>
      <c r="AH70" s="6">
        <f t="shared" si="105"/>
        <v>4.1715187818454541E-2</v>
      </c>
      <c r="AI70" s="5">
        <f t="shared" si="106"/>
        <v>0.67417513358313697</v>
      </c>
      <c r="AJ70" s="5">
        <f t="shared" si="107"/>
        <v>5.5548013847422369E-2</v>
      </c>
      <c r="AK70" s="5">
        <f t="shared" si="108"/>
        <v>0.77625597884896702</v>
      </c>
      <c r="AL70" s="5">
        <f t="shared" si="109"/>
        <v>7.1055767390688931E-2</v>
      </c>
      <c r="AM70" s="5">
        <f t="shared" si="110"/>
        <v>0.89099159001248407</v>
      </c>
      <c r="AN70" s="5">
        <f t="shared" si="111"/>
        <v>9.0520749089428809E-2</v>
      </c>
      <c r="AO70" s="5">
        <f t="shared" si="112"/>
        <v>0.81117516917192112</v>
      </c>
      <c r="AP70" s="6">
        <f t="shared" si="113"/>
        <v>7.657279199385171E-2</v>
      </c>
    </row>
    <row r="71" spans="1:42" x14ac:dyDescent="0.25">
      <c r="A71" s="139">
        <v>0.25</v>
      </c>
      <c r="B71" s="255">
        <f>'Sub C_D_0'!AV75</f>
        <v>9.6262340434886493E-3</v>
      </c>
      <c r="C71" s="258">
        <f>'C_L vs. α'!X371</f>
        <v>0.11227756959867793</v>
      </c>
      <c r="D71" s="144">
        <v>4</v>
      </c>
      <c r="E71" s="14">
        <f t="shared" si="76"/>
        <v>0.53109344563783467</v>
      </c>
      <c r="F71" s="6">
        <f t="shared" si="77"/>
        <v>3.9276892166112638E-2</v>
      </c>
      <c r="G71" s="14">
        <f t="shared" si="78"/>
        <v>0.53534755393543543</v>
      </c>
      <c r="H71" s="6">
        <f t="shared" si="79"/>
        <v>3.839888150401205E-2</v>
      </c>
      <c r="I71" s="14">
        <f t="shared" si="80"/>
        <v>0.54158701877589221</v>
      </c>
      <c r="J71" s="6">
        <f t="shared" si="81"/>
        <v>3.8358310370748751E-2</v>
      </c>
      <c r="K71" s="14">
        <f t="shared" si="82"/>
        <v>0.55016957028858915</v>
      </c>
      <c r="L71" s="6">
        <f t="shared" si="83"/>
        <v>3.8800752478092185E-2</v>
      </c>
      <c r="M71" s="5">
        <f t="shared" si="84"/>
        <v>0.5613878479933897</v>
      </c>
      <c r="N71" s="6">
        <f t="shared" si="85"/>
        <v>3.9655844649808154E-2</v>
      </c>
      <c r="O71" s="5">
        <f t="shared" si="86"/>
        <v>0.57504670145380987</v>
      </c>
      <c r="P71" s="6">
        <f t="shared" si="87"/>
        <v>4.1354418567743897E-2</v>
      </c>
      <c r="Q71" s="5">
        <f t="shared" si="88"/>
        <v>0.59269361590903979</v>
      </c>
      <c r="R71" s="6">
        <f t="shared" si="89"/>
        <v>4.3089377017620258E-2</v>
      </c>
      <c r="S71" s="5">
        <f t="shared" si="90"/>
        <v>0.61433590552046735</v>
      </c>
      <c r="T71" s="6">
        <f t="shared" si="91"/>
        <v>4.5383189352601321E-2</v>
      </c>
      <c r="U71" s="5">
        <f t="shared" si="92"/>
        <v>0.64073806728367422</v>
      </c>
      <c r="V71" s="6">
        <f t="shared" si="93"/>
        <v>4.8369016266646962E-2</v>
      </c>
      <c r="W71" s="5">
        <f t="shared" si="94"/>
        <v>0.67292767597279368</v>
      </c>
      <c r="X71" s="6">
        <f t="shared" si="95"/>
        <v>5.2243637630904977E-2</v>
      </c>
      <c r="Y71" s="5">
        <f t="shared" si="96"/>
        <v>0.71230462852029264</v>
      </c>
      <c r="Z71" s="6">
        <f t="shared" si="97"/>
        <v>5.7298153494066431E-2</v>
      </c>
      <c r="AA71" s="5">
        <f t="shared" si="98"/>
        <v>0.76080659498954106</v>
      </c>
      <c r="AB71" s="6">
        <f t="shared" si="99"/>
        <v>6.3970334484877558E-2</v>
      </c>
      <c r="AC71" s="5">
        <f t="shared" si="100"/>
        <v>0.82136693181287801</v>
      </c>
      <c r="AD71" s="6">
        <f t="shared" si="101"/>
        <v>7.3444961278606058E-2</v>
      </c>
      <c r="AE71" s="5">
        <f t="shared" si="102"/>
        <v>0.89788629747523374</v>
      </c>
      <c r="AF71" s="6">
        <f t="shared" si="103"/>
        <v>8.5838325920354397E-2</v>
      </c>
      <c r="AG71" s="5">
        <f t="shared" si="104"/>
        <v>0.99601751169927866</v>
      </c>
      <c r="AH71" s="6">
        <f t="shared" si="105"/>
        <v>0.10339447473470102</v>
      </c>
      <c r="AI71" s="5">
        <f t="shared" si="106"/>
        <v>1.1236252226385615</v>
      </c>
      <c r="AJ71" s="5">
        <f t="shared" si="107"/>
        <v>0.13808498239610123</v>
      </c>
      <c r="AK71" s="5">
        <f t="shared" si="108"/>
        <v>1.2937599647482783</v>
      </c>
      <c r="AL71" s="5">
        <f t="shared" si="109"/>
        <v>0.18047986418427978</v>
      </c>
      <c r="AM71" s="5">
        <f t="shared" si="110"/>
        <v>1.4849859833541401</v>
      </c>
      <c r="AN71" s="5">
        <f t="shared" si="111"/>
        <v>0.23468257148606178</v>
      </c>
      <c r="AO71" s="5">
        <f t="shared" si="112"/>
        <v>1.351958615286535</v>
      </c>
      <c r="AP71" s="6">
        <f t="shared" si="113"/>
        <v>0.1960630090997374</v>
      </c>
    </row>
    <row r="72" spans="1:42" x14ac:dyDescent="0.25">
      <c r="A72" s="129">
        <v>0.3</v>
      </c>
      <c r="B72" s="256">
        <f>'Sub C_D_0'!AV76</f>
        <v>9.8495069173121265E-3</v>
      </c>
      <c r="C72" s="257">
        <f>'C_L vs. α'!X372</f>
        <v>0.11500934029076199</v>
      </c>
      <c r="D72" s="144">
        <v>6</v>
      </c>
      <c r="E72" s="14">
        <f t="shared" si="76"/>
        <v>0.74353082389296854</v>
      </c>
      <c r="F72" s="6">
        <f t="shared" si="77"/>
        <v>6.6033594080632446E-2</v>
      </c>
      <c r="G72" s="14">
        <f t="shared" si="78"/>
        <v>0.74948657550960962</v>
      </c>
      <c r="H72" s="6">
        <f t="shared" si="79"/>
        <v>6.5585948194189142E-2</v>
      </c>
      <c r="I72" s="14">
        <f t="shared" si="80"/>
        <v>0.75822182628624912</v>
      </c>
      <c r="J72" s="6">
        <f t="shared" si="81"/>
        <v>6.6182790271059624E-2</v>
      </c>
      <c r="K72" s="14">
        <f t="shared" si="82"/>
        <v>0.77023739840402494</v>
      </c>
      <c r="L72" s="6">
        <f t="shared" si="83"/>
        <v>6.7514080091830561E-2</v>
      </c>
      <c r="M72" s="5">
        <f t="shared" si="84"/>
        <v>0.78594298719074551</v>
      </c>
      <c r="N72" s="6">
        <f t="shared" si="85"/>
        <v>6.9552061271833124E-2</v>
      </c>
      <c r="O72" s="5">
        <f t="shared" si="86"/>
        <v>0.80506538203533395</v>
      </c>
      <c r="P72" s="6">
        <f t="shared" si="87"/>
        <v>7.2723108906919937E-2</v>
      </c>
      <c r="Q72" s="5">
        <f t="shared" si="88"/>
        <v>0.82977106227265574</v>
      </c>
      <c r="R72" s="6">
        <f t="shared" si="89"/>
        <v>7.6412865263844679E-2</v>
      </c>
      <c r="S72" s="5">
        <f t="shared" si="90"/>
        <v>0.86007026772865436</v>
      </c>
      <c r="T72" s="6">
        <f t="shared" si="91"/>
        <v>8.1184714773496272E-2</v>
      </c>
      <c r="U72" s="5">
        <f t="shared" si="92"/>
        <v>0.89703329419714384</v>
      </c>
      <c r="V72" s="6">
        <f t="shared" si="93"/>
        <v>8.7313910452990778E-2</v>
      </c>
      <c r="W72" s="5">
        <f t="shared" si="94"/>
        <v>0.94209874636191115</v>
      </c>
      <c r="X72" s="6">
        <f t="shared" si="95"/>
        <v>9.5199846901682691E-2</v>
      </c>
      <c r="Y72" s="5">
        <f t="shared" si="96"/>
        <v>0.99722647992840963</v>
      </c>
      <c r="Z72" s="6">
        <f t="shared" si="97"/>
        <v>0.10542864911224907</v>
      </c>
      <c r="AA72" s="5">
        <f t="shared" si="98"/>
        <v>1.0651292329853574</v>
      </c>
      <c r="AB72" s="6">
        <f t="shared" si="99"/>
        <v>0.11887849341235146</v>
      </c>
      <c r="AC72" s="5">
        <f t="shared" si="100"/>
        <v>1.1499137045380292</v>
      </c>
      <c r="AD72" s="6">
        <f t="shared" si="101"/>
        <v>0.13744233465304428</v>
      </c>
      <c r="AE72" s="5">
        <f t="shared" si="102"/>
        <v>1.2570408164653273</v>
      </c>
      <c r="AF72" s="6">
        <f t="shared" si="103"/>
        <v>0.16231509837306932</v>
      </c>
      <c r="AG72" s="5">
        <f t="shared" si="104"/>
        <v>1.3944245163789901</v>
      </c>
      <c r="AH72" s="6">
        <f t="shared" si="105"/>
        <v>0.19750096593429578</v>
      </c>
      <c r="AI72" s="5">
        <f t="shared" si="106"/>
        <v>1.5730753116939862</v>
      </c>
      <c r="AJ72" s="5">
        <f t="shared" si="107"/>
        <v>0.26189043521911959</v>
      </c>
      <c r="AK72" s="5">
        <f t="shared" si="108"/>
        <v>1.8112639506475898</v>
      </c>
      <c r="AL72" s="5">
        <f t="shared" si="109"/>
        <v>0.34461600937466613</v>
      </c>
      <c r="AM72" s="5">
        <f t="shared" si="110"/>
        <v>2.0789803766957959</v>
      </c>
      <c r="AN72" s="5">
        <f t="shared" si="111"/>
        <v>0.45092530508101103</v>
      </c>
      <c r="AO72" s="5">
        <f t="shared" si="112"/>
        <v>1.8927420614011492</v>
      </c>
      <c r="AP72" s="6">
        <f t="shared" si="113"/>
        <v>0.375298334758566</v>
      </c>
    </row>
    <row r="73" spans="1:42" x14ac:dyDescent="0.25">
      <c r="A73" s="139">
        <v>0.35</v>
      </c>
      <c r="B73" s="255">
        <f>'Sub C_D_0'!AV77</f>
        <v>9.6312127889113495E-3</v>
      </c>
      <c r="C73" s="258">
        <f>'C_L vs. α'!X373</f>
        <v>0.11853872318180796</v>
      </c>
      <c r="D73" s="144">
        <v>8</v>
      </c>
      <c r="E73" s="14">
        <f t="shared" si="76"/>
        <v>0.95596820214810241</v>
      </c>
      <c r="F73" s="6">
        <f t="shared" si="77"/>
        <v>0.10201000985578862</v>
      </c>
      <c r="G73" s="14">
        <f t="shared" si="78"/>
        <v>0.9636255970837837</v>
      </c>
      <c r="H73" s="6">
        <f t="shared" si="79"/>
        <v>0.10214102184163759</v>
      </c>
      <c r="I73" s="14">
        <f t="shared" si="80"/>
        <v>0.97485663379660592</v>
      </c>
      <c r="J73" s="6">
        <f t="shared" si="81"/>
        <v>0.10359491752580105</v>
      </c>
      <c r="K73" s="14">
        <f t="shared" si="82"/>
        <v>0.99030522651946051</v>
      </c>
      <c r="L73" s="6">
        <f t="shared" si="83"/>
        <v>0.10612133446850021</v>
      </c>
      <c r="M73" s="5">
        <f t="shared" si="84"/>
        <v>1.0104981263881014</v>
      </c>
      <c r="N73" s="6">
        <f t="shared" si="85"/>
        <v>0.10974980416118973</v>
      </c>
      <c r="O73" s="5">
        <f t="shared" si="86"/>
        <v>1.0350840626168578</v>
      </c>
      <c r="P73" s="6">
        <f t="shared" si="87"/>
        <v>0.11490070655243226</v>
      </c>
      <c r="Q73" s="5">
        <f t="shared" si="88"/>
        <v>1.0668485086362716</v>
      </c>
      <c r="R73" s="6">
        <f t="shared" si="89"/>
        <v>0.12121884303585902</v>
      </c>
      <c r="S73" s="5">
        <f t="shared" si="90"/>
        <v>1.1058046299368414</v>
      </c>
      <c r="T73" s="6">
        <f t="shared" si="91"/>
        <v>0.12932260935518128</v>
      </c>
      <c r="U73" s="5">
        <f t="shared" si="92"/>
        <v>1.1533285211106135</v>
      </c>
      <c r="V73" s="6">
        <f t="shared" si="93"/>
        <v>0.13967831324103219</v>
      </c>
      <c r="W73" s="5">
        <f t="shared" si="94"/>
        <v>1.2112698167510287</v>
      </c>
      <c r="X73" s="6">
        <f t="shared" si="95"/>
        <v>0.15295778145994873</v>
      </c>
      <c r="Y73" s="5">
        <f t="shared" si="96"/>
        <v>1.2821483313365267</v>
      </c>
      <c r="Z73" s="6">
        <f t="shared" si="97"/>
        <v>0.17014382456793023</v>
      </c>
      <c r="AA73" s="5">
        <f t="shared" si="98"/>
        <v>1.369451870981174</v>
      </c>
      <c r="AB73" s="6">
        <f t="shared" si="99"/>
        <v>0.19270678148267914</v>
      </c>
      <c r="AC73" s="5">
        <f t="shared" si="100"/>
        <v>1.4784604772631804</v>
      </c>
      <c r="AD73" s="6">
        <f t="shared" si="101"/>
        <v>0.22349180977583252</v>
      </c>
      <c r="AE73" s="5">
        <f t="shared" si="102"/>
        <v>1.6161953354554206</v>
      </c>
      <c r="AF73" s="6">
        <f t="shared" si="103"/>
        <v>0.2651441539024198</v>
      </c>
      <c r="AG73" s="5">
        <f t="shared" si="104"/>
        <v>1.7928315210587016</v>
      </c>
      <c r="AH73" s="6">
        <f t="shared" si="105"/>
        <v>0.32403466141723886</v>
      </c>
      <c r="AI73" s="5">
        <f t="shared" si="106"/>
        <v>2.0225254007494109</v>
      </c>
      <c r="AJ73" s="5">
        <f t="shared" si="107"/>
        <v>0.42696437231647738</v>
      </c>
      <c r="AK73" s="5">
        <f t="shared" si="108"/>
        <v>2.328767936546901</v>
      </c>
      <c r="AL73" s="5">
        <f t="shared" si="109"/>
        <v>0.56346420296184785</v>
      </c>
      <c r="AM73" s="5">
        <f t="shared" si="110"/>
        <v>2.6729747700374524</v>
      </c>
      <c r="AN73" s="5">
        <f t="shared" si="111"/>
        <v>0.73924894987427725</v>
      </c>
      <c r="AO73" s="5">
        <f t="shared" si="112"/>
        <v>2.4335255075157631</v>
      </c>
      <c r="AP73" s="6">
        <f t="shared" si="113"/>
        <v>0.6142787689703374</v>
      </c>
    </row>
    <row r="74" spans="1:42" x14ac:dyDescent="0.25">
      <c r="A74" s="129">
        <v>0.4</v>
      </c>
      <c r="B74" s="256">
        <f>'Sub C_D_0'!AV78</f>
        <v>9.4475145989928906E-3</v>
      </c>
      <c r="C74" s="257">
        <f>'C_L vs. α'!X374</f>
        <v>0.12286718110409348</v>
      </c>
      <c r="D74" s="144">
        <v>10</v>
      </c>
      <c r="E74" s="14">
        <f t="shared" si="76"/>
        <v>1.1684055804032363</v>
      </c>
      <c r="F74" s="6">
        <f t="shared" si="77"/>
        <v>0.14720613949158115</v>
      </c>
      <c r="G74" s="14">
        <f t="shared" si="78"/>
        <v>1.177764618657958</v>
      </c>
      <c r="H74" s="6">
        <f t="shared" si="79"/>
        <v>0.14806410244635745</v>
      </c>
      <c r="I74" s="14">
        <f t="shared" si="80"/>
        <v>1.1914914413069628</v>
      </c>
      <c r="J74" s="6">
        <f t="shared" si="81"/>
        <v>0.15059469213497306</v>
      </c>
      <c r="K74" s="14">
        <f t="shared" si="82"/>
        <v>1.2103730546348963</v>
      </c>
      <c r="L74" s="6">
        <f t="shared" si="83"/>
        <v>0.15462251560810122</v>
      </c>
      <c r="M74" s="5">
        <f t="shared" si="84"/>
        <v>1.2350532655854574</v>
      </c>
      <c r="N74" s="6">
        <f t="shared" si="85"/>
        <v>0.16024907331787799</v>
      </c>
      <c r="O74" s="5">
        <f t="shared" si="86"/>
        <v>1.2651027431983819</v>
      </c>
      <c r="P74" s="6">
        <f t="shared" si="87"/>
        <v>0.16788721150428093</v>
      </c>
      <c r="Q74" s="5">
        <f t="shared" si="88"/>
        <v>1.3039259549998876</v>
      </c>
      <c r="R74" s="6">
        <f t="shared" si="89"/>
        <v>0.17750731033366332</v>
      </c>
      <c r="S74" s="5">
        <f t="shared" si="90"/>
        <v>1.3515389921450283</v>
      </c>
      <c r="T74" s="6">
        <f t="shared" si="91"/>
        <v>0.18979687309765628</v>
      </c>
      <c r="U74" s="5">
        <f t="shared" si="92"/>
        <v>1.4096237480240832</v>
      </c>
      <c r="V74" s="6">
        <f t="shared" si="93"/>
        <v>0.2054622246307713</v>
      </c>
      <c r="W74" s="5">
        <f t="shared" si="94"/>
        <v>1.480440887140146</v>
      </c>
      <c r="X74" s="6">
        <f t="shared" si="95"/>
        <v>0.22551744130570295</v>
      </c>
      <c r="Y74" s="5">
        <f t="shared" si="96"/>
        <v>1.5670701827446438</v>
      </c>
      <c r="Z74" s="6">
        <f t="shared" si="97"/>
        <v>0.25144367986110994</v>
      </c>
      <c r="AA74" s="5">
        <f t="shared" si="98"/>
        <v>1.6737745089769904</v>
      </c>
      <c r="AB74" s="6">
        <f t="shared" si="99"/>
        <v>0.2854551986958605</v>
      </c>
      <c r="AC74" s="5">
        <f t="shared" si="100"/>
        <v>1.8070072499883316</v>
      </c>
      <c r="AD74" s="6">
        <f t="shared" si="101"/>
        <v>0.33159338664697063</v>
      </c>
      <c r="AE74" s="5">
        <f t="shared" si="102"/>
        <v>1.9753498544455141</v>
      </c>
      <c r="AF74" s="6">
        <f t="shared" si="103"/>
        <v>0.39432549250840598</v>
      </c>
      <c r="AG74" s="5">
        <f t="shared" si="104"/>
        <v>2.191238525738413</v>
      </c>
      <c r="AH74" s="6">
        <f t="shared" si="105"/>
        <v>0.48299556118353021</v>
      </c>
      <c r="AI74" s="5">
        <f t="shared" si="106"/>
        <v>2.4719754898048354</v>
      </c>
      <c r="AJ74" s="5">
        <f t="shared" si="107"/>
        <v>0.63330679368817455</v>
      </c>
      <c r="AK74" s="5">
        <f t="shared" si="108"/>
        <v>2.8462719224462125</v>
      </c>
      <c r="AL74" s="5">
        <f t="shared" si="109"/>
        <v>0.83702444494582517</v>
      </c>
      <c r="AM74" s="5">
        <f t="shared" si="110"/>
        <v>3.266969163379108</v>
      </c>
      <c r="AN74" s="5">
        <f t="shared" si="111"/>
        <v>1.0996535058658594</v>
      </c>
      <c r="AO74" s="5">
        <f t="shared" si="112"/>
        <v>2.9743089536303771</v>
      </c>
      <c r="AP74" s="6">
        <f t="shared" si="113"/>
        <v>0.91300431173505148</v>
      </c>
    </row>
    <row r="75" spans="1:42" x14ac:dyDescent="0.25">
      <c r="A75" s="139">
        <v>0.45</v>
      </c>
      <c r="B75" s="255">
        <f>'Sub C_D_0'!AV79</f>
        <v>9.2894978377811594E-3</v>
      </c>
      <c r="C75" s="258">
        <f>'C_L vs. α'!X375</f>
        <v>0.12814761345673484</v>
      </c>
      <c r="D75" s="144">
        <v>12</v>
      </c>
      <c r="E75" s="14">
        <f t="shared" si="76"/>
        <v>1.3808429586583701</v>
      </c>
      <c r="F75" s="6">
        <f t="shared" si="77"/>
        <v>0.20162198298801004</v>
      </c>
      <c r="G75" s="14">
        <f t="shared" si="78"/>
        <v>1.3919036402321321</v>
      </c>
      <c r="H75" s="6">
        <f t="shared" si="79"/>
        <v>0.20335519000834867</v>
      </c>
      <c r="I75" s="14">
        <f t="shared" si="80"/>
        <v>1.4081262488173196</v>
      </c>
      <c r="J75" s="6">
        <f t="shared" si="81"/>
        <v>0.20718211409857559</v>
      </c>
      <c r="K75" s="14">
        <f t="shared" si="82"/>
        <v>1.4304408827503319</v>
      </c>
      <c r="L75" s="6">
        <f t="shared" si="83"/>
        <v>0.2130176235106335</v>
      </c>
      <c r="M75" s="5">
        <f t="shared" si="84"/>
        <v>1.4596084047828131</v>
      </c>
      <c r="N75" s="6">
        <f t="shared" si="85"/>
        <v>0.2210498687418978</v>
      </c>
      <c r="O75" s="5">
        <f t="shared" si="86"/>
        <v>1.4951214237799058</v>
      </c>
      <c r="P75" s="6">
        <f t="shared" si="87"/>
        <v>0.2316826237624659</v>
      </c>
      <c r="Q75" s="5">
        <f t="shared" si="88"/>
        <v>1.5410034013635034</v>
      </c>
      <c r="R75" s="6">
        <f t="shared" si="89"/>
        <v>0.24527826715725753</v>
      </c>
      <c r="S75" s="5">
        <f t="shared" si="90"/>
        <v>1.5972733543532152</v>
      </c>
      <c r="T75" s="6">
        <f t="shared" si="91"/>
        <v>0.26260750600092131</v>
      </c>
      <c r="U75" s="5">
        <f t="shared" si="92"/>
        <v>1.6659189749375529</v>
      </c>
      <c r="V75" s="6">
        <f t="shared" si="93"/>
        <v>0.284665644622208</v>
      </c>
      <c r="W75" s="5">
        <f t="shared" si="94"/>
        <v>1.7496119575292637</v>
      </c>
      <c r="X75" s="6">
        <f t="shared" si="95"/>
        <v>0.31287882643894566</v>
      </c>
      <c r="Y75" s="5">
        <f t="shared" si="96"/>
        <v>1.8519920341527607</v>
      </c>
      <c r="Z75" s="6">
        <f t="shared" si="97"/>
        <v>0.34932821499178807</v>
      </c>
      <c r="AA75" s="5">
        <f t="shared" si="98"/>
        <v>1.9780971469728068</v>
      </c>
      <c r="AB75" s="6">
        <f t="shared" si="99"/>
        <v>0.39712374505189563</v>
      </c>
      <c r="AC75" s="5">
        <f t="shared" si="100"/>
        <v>2.1355540227134826</v>
      </c>
      <c r="AD75" s="6">
        <f t="shared" si="101"/>
        <v>0.46174706526645859</v>
      </c>
      <c r="AE75" s="5">
        <f t="shared" si="102"/>
        <v>2.3345043734356077</v>
      </c>
      <c r="AF75" s="6">
        <f t="shared" si="103"/>
        <v>0.54985911419102795</v>
      </c>
      <c r="AG75" s="5">
        <f t="shared" si="104"/>
        <v>2.5896455304181245</v>
      </c>
      <c r="AH75" s="6">
        <f t="shared" si="105"/>
        <v>0.67438366523316984</v>
      </c>
      <c r="AI75" s="5">
        <f t="shared" si="106"/>
        <v>2.9214255788602599</v>
      </c>
      <c r="AJ75" s="5">
        <f t="shared" si="107"/>
        <v>0.88091769933421105</v>
      </c>
      <c r="AK75" s="5">
        <f t="shared" si="108"/>
        <v>3.3637759083455236</v>
      </c>
      <c r="AL75" s="5">
        <f t="shared" si="109"/>
        <v>1.1652967353265975</v>
      </c>
      <c r="AM75" s="5">
        <f t="shared" si="110"/>
        <v>3.8609635567207645</v>
      </c>
      <c r="AN75" s="5">
        <f t="shared" si="111"/>
        <v>1.5321389730557586</v>
      </c>
      <c r="AO75" s="5">
        <f t="shared" si="112"/>
        <v>3.5150923997449914</v>
      </c>
      <c r="AP75" s="6">
        <f t="shared" si="113"/>
        <v>1.2714749630527087</v>
      </c>
    </row>
    <row r="76" spans="1:42" x14ac:dyDescent="0.25">
      <c r="A76" s="129">
        <v>0.5</v>
      </c>
      <c r="B76" s="256">
        <f>'Sub C_D_0'!AV80</f>
        <v>9.1512418617063444E-3</v>
      </c>
      <c r="C76" s="257">
        <f>'C_L vs. α'!X376</f>
        <v>0.13458553519455874</v>
      </c>
      <c r="D76" s="144">
        <v>14</v>
      </c>
      <c r="E76" s="14">
        <f t="shared" si="76"/>
        <v>1.593280336913504</v>
      </c>
      <c r="F76" s="6">
        <f t="shared" si="77"/>
        <v>0.26525754034507526</v>
      </c>
      <c r="G76" s="14">
        <f t="shared" si="78"/>
        <v>1.6060426618063062</v>
      </c>
      <c r="H76" s="6">
        <f t="shared" si="79"/>
        <v>0.26801428452761122</v>
      </c>
      <c r="I76" s="14">
        <f t="shared" si="80"/>
        <v>1.6247610563276766</v>
      </c>
      <c r="J76" s="6">
        <f t="shared" si="81"/>
        <v>0.27335718341660881</v>
      </c>
      <c r="K76" s="14">
        <f t="shared" si="82"/>
        <v>1.6505087108657677</v>
      </c>
      <c r="L76" s="6">
        <f t="shared" si="83"/>
        <v>0.28130665817609712</v>
      </c>
      <c r="M76" s="5">
        <f t="shared" si="84"/>
        <v>1.684163543980169</v>
      </c>
      <c r="N76" s="6">
        <f t="shared" si="85"/>
        <v>0.29215219043324936</v>
      </c>
      <c r="O76" s="5">
        <f t="shared" si="86"/>
        <v>1.7251401043614298</v>
      </c>
      <c r="P76" s="6">
        <f t="shared" si="87"/>
        <v>0.30628694332698725</v>
      </c>
      <c r="Q76" s="5">
        <f t="shared" si="88"/>
        <v>1.7780808477271193</v>
      </c>
      <c r="R76" s="6">
        <f t="shared" si="89"/>
        <v>0.32453171350664162</v>
      </c>
      <c r="S76" s="5">
        <f t="shared" si="90"/>
        <v>1.8430077165614021</v>
      </c>
      <c r="T76" s="6">
        <f t="shared" si="91"/>
        <v>0.34775450806497638</v>
      </c>
      <c r="U76" s="5">
        <f t="shared" si="92"/>
        <v>1.9222142018510227</v>
      </c>
      <c r="V76" s="6">
        <f t="shared" si="93"/>
        <v>0.37728857321534243</v>
      </c>
      <c r="W76" s="5">
        <f t="shared" si="94"/>
        <v>2.0187830279183809</v>
      </c>
      <c r="X76" s="6">
        <f t="shared" si="95"/>
        <v>0.4150419368596765</v>
      </c>
      <c r="Y76" s="5">
        <f t="shared" si="96"/>
        <v>2.1369138855608778</v>
      </c>
      <c r="Z76" s="6">
        <f t="shared" si="97"/>
        <v>0.46379742995996476</v>
      </c>
      <c r="AA76" s="5">
        <f t="shared" si="98"/>
        <v>2.2824197849686234</v>
      </c>
      <c r="AB76" s="6">
        <f t="shared" si="99"/>
        <v>0.5277124205507846</v>
      </c>
      <c r="AC76" s="5">
        <f t="shared" si="100"/>
        <v>2.4641007954386343</v>
      </c>
      <c r="AD76" s="6">
        <f t="shared" si="101"/>
        <v>0.61395284563429686</v>
      </c>
      <c r="AE76" s="5">
        <f t="shared" si="102"/>
        <v>2.693658892425701</v>
      </c>
      <c r="AF76" s="6">
        <f t="shared" si="103"/>
        <v>0.73174501895028543</v>
      </c>
      <c r="AG76" s="5">
        <f t="shared" si="104"/>
        <v>2.988052535097836</v>
      </c>
      <c r="AH76" s="6">
        <f t="shared" si="105"/>
        <v>0.89819897356615774</v>
      </c>
      <c r="AI76" s="5">
        <f t="shared" si="106"/>
        <v>3.3708756679156844</v>
      </c>
      <c r="AJ76" s="5">
        <f t="shared" si="107"/>
        <v>1.1697970892545873</v>
      </c>
      <c r="AK76" s="5">
        <f t="shared" si="108"/>
        <v>3.8812798942448352</v>
      </c>
      <c r="AL76" s="5">
        <f t="shared" si="109"/>
        <v>1.5482810741041657</v>
      </c>
      <c r="AM76" s="5">
        <f t="shared" si="110"/>
        <v>4.4549579500624201</v>
      </c>
      <c r="AN76" s="5">
        <f t="shared" si="111"/>
        <v>2.0367053514439735</v>
      </c>
      <c r="AO76" s="5">
        <f t="shared" si="112"/>
        <v>4.0558758458596049</v>
      </c>
      <c r="AP76" s="6">
        <f t="shared" si="113"/>
        <v>1.6896907229233085</v>
      </c>
    </row>
    <row r="77" spans="1:42" x14ac:dyDescent="0.25">
      <c r="A77" s="139">
        <v>0.55000000000000004</v>
      </c>
      <c r="B77" s="255">
        <f>'Sub C_D_0'!AV81</f>
        <v>9.0286249330227795E-3</v>
      </c>
      <c r="C77" s="258">
        <f>'C_L vs. α'!X377</f>
        <v>0.14246092570405852</v>
      </c>
      <c r="D77" s="144">
        <v>16</v>
      </c>
      <c r="E77" s="14">
        <f>(D77-$B$12)*$C$67</f>
        <v>1.8057177151686379</v>
      </c>
      <c r="F77" s="6">
        <f t="shared" si="77"/>
        <v>0.33811281156277684</v>
      </c>
      <c r="G77" s="14">
        <f t="shared" si="78"/>
        <v>1.8201816833804805</v>
      </c>
      <c r="H77" s="6">
        <f t="shared" si="79"/>
        <v>0.34204138600414524</v>
      </c>
      <c r="I77" s="14">
        <f t="shared" si="80"/>
        <v>1.8413958638380334</v>
      </c>
      <c r="J77" s="6">
        <f t="shared" si="81"/>
        <v>0.34911990008907251</v>
      </c>
      <c r="K77" s="14">
        <f t="shared" si="82"/>
        <v>1.8705765389812032</v>
      </c>
      <c r="L77" s="6">
        <f t="shared" si="83"/>
        <v>0.35948961960449199</v>
      </c>
      <c r="M77" s="5">
        <f t="shared" si="84"/>
        <v>1.9087186831775249</v>
      </c>
      <c r="N77" s="6">
        <f t="shared" si="85"/>
        <v>0.37355603839193252</v>
      </c>
      <c r="O77" s="5">
        <f t="shared" si="86"/>
        <v>1.9551587849429537</v>
      </c>
      <c r="P77" s="6">
        <f t="shared" si="87"/>
        <v>0.39170017019784481</v>
      </c>
      <c r="Q77" s="5">
        <f t="shared" si="88"/>
        <v>2.0151582940907353</v>
      </c>
      <c r="R77" s="6">
        <f t="shared" si="89"/>
        <v>0.41526764938181576</v>
      </c>
      <c r="S77" s="5">
        <f t="shared" si="90"/>
        <v>2.088742078769589</v>
      </c>
      <c r="T77" s="6">
        <f t="shared" si="91"/>
        <v>0.44523787928982145</v>
      </c>
      <c r="U77" s="5">
        <f t="shared" si="92"/>
        <v>2.1785094287644924</v>
      </c>
      <c r="V77" s="6">
        <f t="shared" si="93"/>
        <v>0.4833310104101744</v>
      </c>
      <c r="W77" s="5">
        <f t="shared" si="94"/>
        <v>2.2879540983074986</v>
      </c>
      <c r="X77" s="6">
        <f t="shared" si="95"/>
        <v>0.53200677256789575</v>
      </c>
      <c r="Y77" s="5">
        <f t="shared" si="96"/>
        <v>2.4218357369689949</v>
      </c>
      <c r="Z77" s="6">
        <f t="shared" si="97"/>
        <v>0.59485132476564007</v>
      </c>
      <c r="AA77" s="5">
        <f t="shared" si="98"/>
        <v>2.5867424229644396</v>
      </c>
      <c r="AB77" s="6">
        <f t="shared" si="99"/>
        <v>0.67722122519252714</v>
      </c>
      <c r="AC77" s="5">
        <f t="shared" si="100"/>
        <v>2.792647568163785</v>
      </c>
      <c r="AD77" s="6">
        <f t="shared" si="101"/>
        <v>0.78821072775048451</v>
      </c>
      <c r="AE77" s="5">
        <f t="shared" si="102"/>
        <v>3.0528134114157948</v>
      </c>
      <c r="AF77" s="6">
        <f t="shared" si="103"/>
        <v>0.93998320678617875</v>
      </c>
      <c r="AG77" s="5">
        <f t="shared" si="104"/>
        <v>3.3864595397775474</v>
      </c>
      <c r="AH77" s="6">
        <f t="shared" si="105"/>
        <v>1.1544414861824941</v>
      </c>
      <c r="AI77" s="5">
        <f t="shared" si="106"/>
        <v>3.8203257569711093</v>
      </c>
      <c r="AJ77" s="8">
        <f t="shared" si="107"/>
        <v>1.4999449634493029</v>
      </c>
      <c r="AK77" s="5">
        <f t="shared" si="108"/>
        <v>4.3987838801441468</v>
      </c>
      <c r="AL77" s="8">
        <f t="shared" si="109"/>
        <v>1.9859774612785293</v>
      </c>
      <c r="AM77" s="5">
        <f t="shared" si="110"/>
        <v>5.0489523434040766</v>
      </c>
      <c r="AN77" s="8">
        <f t="shared" si="111"/>
        <v>2.6133526410305059</v>
      </c>
      <c r="AO77" s="5">
        <f t="shared" si="112"/>
        <v>4.5966592919742197</v>
      </c>
      <c r="AP77" s="9">
        <f t="shared" si="113"/>
        <v>2.1676515913468521</v>
      </c>
    </row>
    <row r="78" spans="1:42" x14ac:dyDescent="0.25">
      <c r="A78" s="129">
        <v>0.6</v>
      </c>
      <c r="B78" s="256">
        <f>'Sub C_D_0'!AV82</f>
        <v>8.9186687284098457E-3</v>
      </c>
      <c r="C78" s="257">
        <f>'C_L vs. α'!X378</f>
        <v>0.15216131899790822</v>
      </c>
    </row>
    <row r="79" spans="1:42" x14ac:dyDescent="0.25">
      <c r="A79" s="139">
        <v>0.65</v>
      </c>
      <c r="B79" s="255">
        <f>'Sub C_D_0'!AV83</f>
        <v>9.2922998794665659E-3</v>
      </c>
      <c r="C79" s="258">
        <f>'C_L vs. α'!X379</f>
        <v>0.1642733863625756</v>
      </c>
    </row>
    <row r="80" spans="1:42" x14ac:dyDescent="0.25">
      <c r="A80" s="129">
        <v>0.7</v>
      </c>
      <c r="B80" s="256">
        <f>'Sub C_D_0'!AV84</f>
        <v>9.1965276648121944E-3</v>
      </c>
      <c r="C80" s="257">
        <f>'C_L vs. α'!X380</f>
        <v>0.17957725949504674</v>
      </c>
    </row>
    <row r="81" spans="1:42" x14ac:dyDescent="0.25">
      <c r="A81" s="139">
        <v>0.75</v>
      </c>
      <c r="B81" s="255">
        <f>'Sub C_D_0'!AV85</f>
        <v>9.1085941434486967E-3</v>
      </c>
      <c r="C81" s="258">
        <f>'C_L vs. α'!X381</f>
        <v>0.19920350233985573</v>
      </c>
    </row>
    <row r="82" spans="1:42" x14ac:dyDescent="0.25">
      <c r="A82" s="129">
        <v>0.8</v>
      </c>
      <c r="B82" s="256">
        <f>'Sub C_D_0'!AV86</f>
        <v>9.0273917307530597E-3</v>
      </c>
      <c r="C82" s="257">
        <f>'C_L vs. α'!X382</f>
        <v>0.2247250445277123</v>
      </c>
    </row>
    <row r="83" spans="1:42" x14ac:dyDescent="0.25">
      <c r="A83" s="139">
        <v>0.85</v>
      </c>
      <c r="B83" s="255">
        <f>'Sub C_D_0'!AV87</f>
        <v>9.4073904873268888E-3</v>
      </c>
      <c r="C83" s="258">
        <f>'C_L vs. α'!X383</f>
        <v>0.25875199294965567</v>
      </c>
    </row>
    <row r="84" spans="1:42" x14ac:dyDescent="0.25">
      <c r="A84" s="129">
        <v>0.9</v>
      </c>
      <c r="B84" s="256">
        <f>'Sub C_D_0'!AV88</f>
        <v>9.3334645229867334E-3</v>
      </c>
      <c r="C84" s="257">
        <f>'C_L vs. α'!X384</f>
        <v>0.29699719667082802</v>
      </c>
    </row>
    <row r="85" spans="1:42" x14ac:dyDescent="0.25">
      <c r="A85" s="139">
        <v>0.95</v>
      </c>
      <c r="B85" s="255">
        <f>'Sub C_D_0'!AV89</f>
        <v>9.2642772558507464E-3</v>
      </c>
      <c r="C85" s="258">
        <f>'C_L vs. α'!X385</f>
        <v>0.27039172305730702</v>
      </c>
    </row>
    <row r="88" spans="1:42" x14ac:dyDescent="0.25">
      <c r="A88" s="122" t="s">
        <v>537</v>
      </c>
      <c r="B88" s="122" t="s">
        <v>522</v>
      </c>
    </row>
    <row r="89" spans="1:42" x14ac:dyDescent="0.25">
      <c r="A89" s="122" t="s">
        <v>202</v>
      </c>
      <c r="B89" s="145">
        <v>15000</v>
      </c>
      <c r="C89" s="122" t="s">
        <v>538</v>
      </c>
      <c r="D89" s="122" t="s">
        <v>539</v>
      </c>
      <c r="E89" s="1" t="s">
        <v>536</v>
      </c>
      <c r="F89" s="140">
        <v>0.05</v>
      </c>
      <c r="G89" s="1" t="s">
        <v>536</v>
      </c>
      <c r="H89" s="140">
        <v>0.1</v>
      </c>
      <c r="I89" s="1" t="s">
        <v>536</v>
      </c>
      <c r="J89" s="140">
        <v>0.15</v>
      </c>
      <c r="K89" s="1" t="s">
        <v>536</v>
      </c>
      <c r="L89" s="140">
        <v>0.2</v>
      </c>
      <c r="M89" s="2" t="s">
        <v>536</v>
      </c>
      <c r="N89" s="163">
        <v>0.25</v>
      </c>
      <c r="O89" s="2" t="s">
        <v>536</v>
      </c>
      <c r="P89" s="163">
        <v>0.3</v>
      </c>
      <c r="Q89" s="2" t="s">
        <v>536</v>
      </c>
      <c r="R89" s="163">
        <v>0.35</v>
      </c>
      <c r="S89" s="2" t="s">
        <v>536</v>
      </c>
      <c r="T89" s="163">
        <v>0.4</v>
      </c>
      <c r="U89" s="2" t="s">
        <v>536</v>
      </c>
      <c r="V89" s="163">
        <v>0.45</v>
      </c>
      <c r="W89" s="2" t="s">
        <v>536</v>
      </c>
      <c r="X89" s="163">
        <v>0.5</v>
      </c>
      <c r="Y89" s="2" t="s">
        <v>536</v>
      </c>
      <c r="Z89" s="163">
        <v>0.55000000000000004</v>
      </c>
      <c r="AA89" s="2" t="s">
        <v>536</v>
      </c>
      <c r="AB89" s="163">
        <v>0.6</v>
      </c>
      <c r="AC89" s="2" t="s">
        <v>536</v>
      </c>
      <c r="AD89" s="163">
        <v>0.65</v>
      </c>
      <c r="AE89" s="2" t="s">
        <v>536</v>
      </c>
      <c r="AF89" s="163">
        <v>0.7</v>
      </c>
      <c r="AG89" s="2" t="s">
        <v>536</v>
      </c>
      <c r="AH89" s="163">
        <v>0.75</v>
      </c>
      <c r="AI89" s="2" t="s">
        <v>536</v>
      </c>
      <c r="AJ89" s="163">
        <v>0.8</v>
      </c>
      <c r="AK89" s="2" t="s">
        <v>536</v>
      </c>
      <c r="AL89" s="163">
        <v>0.85</v>
      </c>
      <c r="AM89" s="2" t="s">
        <v>536</v>
      </c>
      <c r="AN89" s="163">
        <v>0.9</v>
      </c>
      <c r="AO89" s="2" t="s">
        <v>536</v>
      </c>
      <c r="AP89" s="140">
        <v>0.95</v>
      </c>
    </row>
    <row r="90" spans="1:42" x14ac:dyDescent="0.25">
      <c r="A90" s="121" t="s">
        <v>182</v>
      </c>
      <c r="B90" s="121" t="s">
        <v>534</v>
      </c>
      <c r="C90" s="121" t="s">
        <v>535</v>
      </c>
      <c r="D90" s="121" t="s">
        <v>421</v>
      </c>
      <c r="E90" s="14" t="s">
        <v>244</v>
      </c>
      <c r="F90" s="6" t="s">
        <v>245</v>
      </c>
      <c r="G90" s="14" t="s">
        <v>244</v>
      </c>
      <c r="H90" s="6" t="s">
        <v>245</v>
      </c>
      <c r="I90" s="14" t="s">
        <v>244</v>
      </c>
      <c r="J90" s="6" t="s">
        <v>245</v>
      </c>
      <c r="K90" s="14" t="s">
        <v>244</v>
      </c>
      <c r="L90" s="6" t="s">
        <v>245</v>
      </c>
      <c r="M90" s="5" t="s">
        <v>244</v>
      </c>
      <c r="N90" s="5" t="s">
        <v>245</v>
      </c>
      <c r="O90" s="5" t="s">
        <v>244</v>
      </c>
      <c r="P90" s="5" t="s">
        <v>245</v>
      </c>
      <c r="Q90" s="5" t="s">
        <v>244</v>
      </c>
      <c r="R90" s="5" t="s">
        <v>245</v>
      </c>
      <c r="S90" s="5" t="s">
        <v>244</v>
      </c>
      <c r="T90" s="5" t="s">
        <v>245</v>
      </c>
      <c r="U90" s="5" t="s">
        <v>244</v>
      </c>
      <c r="V90" s="5" t="s">
        <v>245</v>
      </c>
      <c r="W90" s="5" t="s">
        <v>244</v>
      </c>
      <c r="X90" s="5" t="s">
        <v>245</v>
      </c>
      <c r="Y90" s="5" t="s">
        <v>244</v>
      </c>
      <c r="Z90" s="5" t="s">
        <v>245</v>
      </c>
      <c r="AA90" s="5" t="s">
        <v>244</v>
      </c>
      <c r="AB90" s="5" t="s">
        <v>245</v>
      </c>
      <c r="AC90" s="5" t="s">
        <v>244</v>
      </c>
      <c r="AD90" s="5" t="s">
        <v>245</v>
      </c>
      <c r="AE90" s="5" t="s">
        <v>244</v>
      </c>
      <c r="AF90" s="5" t="s">
        <v>245</v>
      </c>
      <c r="AG90" s="5" t="s">
        <v>244</v>
      </c>
      <c r="AH90" s="5" t="s">
        <v>245</v>
      </c>
      <c r="AI90" s="5" t="s">
        <v>244</v>
      </c>
      <c r="AJ90" s="5" t="s">
        <v>245</v>
      </c>
      <c r="AK90" s="5" t="s">
        <v>244</v>
      </c>
      <c r="AL90" s="5" t="s">
        <v>245</v>
      </c>
      <c r="AM90" s="5" t="s">
        <v>244</v>
      </c>
      <c r="AN90" s="5" t="s">
        <v>245</v>
      </c>
      <c r="AO90" s="5" t="s">
        <v>244</v>
      </c>
      <c r="AP90" s="6" t="s">
        <v>245</v>
      </c>
    </row>
    <row r="91" spans="1:42" x14ac:dyDescent="0.25">
      <c r="A91" s="129">
        <v>0</v>
      </c>
      <c r="B91" s="129" t="e">
        <f>'Sub C_D_0'!AV100</f>
        <v>#DIV/0!</v>
      </c>
      <c r="C91" s="129" t="e">
        <f>'C_L vs. α'!X391</f>
        <v>#NUM!</v>
      </c>
      <c r="D91" s="144">
        <v>-6</v>
      </c>
      <c r="E91" s="14">
        <f>(D91-$B$12)*$C$92</f>
        <v>-0.5311171599679837</v>
      </c>
      <c r="F91" s="6">
        <f>$B$92+$B$7*E91^2+$B$8*(E91-E$94)^2</f>
        <v>4.3603274333526176E-2</v>
      </c>
      <c r="G91" s="14">
        <f>(D91-$B$12)*$C$93</f>
        <v>-0.53537135670082692</v>
      </c>
      <c r="H91" s="6">
        <f>$B$93+$B$7*G91^2+$B$8*(G91-G$94)^2</f>
        <v>4.2824756459321434E-2</v>
      </c>
      <c r="I91" s="14">
        <f>(D91-$B$12)*$C$94</f>
        <v>-0.54160963167359299</v>
      </c>
      <c r="J91" s="6">
        <f>$B$94+$B$7*I91^2+$B$8*(I91-I$94)^2</f>
        <v>4.2905071322985558E-2</v>
      </c>
      <c r="K91" s="14">
        <f>(D91-$B$12)*$C$95</f>
        <v>-0.55019085565702786</v>
      </c>
      <c r="L91" s="6">
        <f>$B$95+$B$7*K91^2+$B$8*(K91-K$94)^2</f>
        <v>4.3506026776104725E-2</v>
      </c>
      <c r="M91" s="5">
        <f>(D91-$B$12)*$C$96</f>
        <v>-0.56140777605092107</v>
      </c>
      <c r="N91" s="6">
        <f>$B$96+$B$7*M91^2+$B$8*(M91-M$94)^2</f>
        <v>4.4566834189662688E-2</v>
      </c>
      <c r="O91" s="5">
        <f>(D91-$B$12)*$C$97</f>
        <v>-0.57506651917949003</v>
      </c>
      <c r="P91" s="6">
        <f>$B$97+$B$7*O91^2+$B$8*(O91-O$94)^2</f>
        <v>4.6511927016517962E-2</v>
      </c>
      <c r="Q91" s="5">
        <f>(D91-$B$12)*$C$98</f>
        <v>-0.59271196272986859</v>
      </c>
      <c r="R91" s="6">
        <f>$B$98+$B$7*Q91^2+$B$8*(Q91-Q$94)^2</f>
        <v>4.8580658729959023E-2</v>
      </c>
      <c r="S91" s="5">
        <f>(D91-$B$12)*$C$99</f>
        <v>-0.61435247035322005</v>
      </c>
      <c r="T91" s="6">
        <f>$B$99+$B$7*S91^2+$B$8*(S91-S$94)^2</f>
        <v>5.1295775075645977E-2</v>
      </c>
      <c r="U91" s="5">
        <f>(D91-$B$12)*$C$100</f>
        <v>-0.6407523934904904</v>
      </c>
      <c r="V91" s="6">
        <f>$B$100+$B$7*U91^2+$B$8*(U91-U$94)^2</f>
        <v>5.481456046795536E-2</v>
      </c>
      <c r="W91" s="5">
        <f>(D91-$B$12)*$C$101</f>
        <v>-0.67293907828867594</v>
      </c>
      <c r="X91" s="6">
        <f>$B$101+$B$7*W91^2+$B$8*(W91-W$94)^2</f>
        <v>5.9368047958697052E-2</v>
      </c>
      <c r="Y91" s="5">
        <f>(D91-$B$12)*$C$102</f>
        <v>-0.71231205602249437</v>
      </c>
      <c r="Z91" s="6">
        <f>$B$102+$B$7*Y91^2+$B$8*(Y91-Y$94)^2</f>
        <v>6.5297109967313013E-2</v>
      </c>
      <c r="AA91" s="5">
        <f>(D91-$B$12)*$C$103</f>
        <v>-0.76080838871322909</v>
      </c>
      <c r="AB91" s="6">
        <f>$B$103+$B$7*AA91^2+$B$8*(AA91-AA$94)^2</f>
        <v>7.311372844708168E-2</v>
      </c>
      <c r="AC91" s="5">
        <f>(D91-$B$12)*$C$104</f>
        <v>-0.8213597943543266</v>
      </c>
      <c r="AD91" s="6">
        <f>$B$104+$B$7*AC91^2+$B$8*(AC91-AC$94)^2</f>
        <v>8.4115414494853269E-2</v>
      </c>
      <c r="AE91" s="5">
        <f>(D91-$B$12)*$C$105</f>
        <v>-0.89786484607251693</v>
      </c>
      <c r="AF91" s="6">
        <f>$B$105+$B$7*AE91^2+$B$8*(AE91-AE$94)^2</f>
        <v>9.8612791094786739E-2</v>
      </c>
      <c r="AG91" s="5">
        <f>(D91-$B$12)*$C$106</f>
        <v>-0.9959720080236133</v>
      </c>
      <c r="AH91" s="6">
        <f>$B$106+$B$7*AG91^2+$B$8*(AG91-AG$94)^2</f>
        <v>0.11913902319703455</v>
      </c>
      <c r="AI91" s="5">
        <f>(D91-$B$12)*$C$107</f>
        <v>-1.1235356379775607</v>
      </c>
      <c r="AJ91" s="5">
        <f>$B$107+$B$9*AI91^2</f>
        <v>0.13794656990303933</v>
      </c>
      <c r="AK91" s="5">
        <f>(D91-$B$12)*$C$108</f>
        <v>-1.2935673658282085</v>
      </c>
      <c r="AL91" s="5">
        <f>$B$108+$B$9*AK91^2</f>
        <v>0.18030639647617835</v>
      </c>
      <c r="AM91" s="5">
        <f>(D91-$B$12)*$C$109</f>
        <v>-1.4845408331353789</v>
      </c>
      <c r="AN91" s="5">
        <f>$B$109+$B$9*AM91^2</f>
        <v>0.23442631669148453</v>
      </c>
      <c r="AO91" s="5">
        <f>(D91-$B$12)*$C$110</f>
        <v>-1.3505028679667821</v>
      </c>
      <c r="AP91" s="6">
        <f>$B$110+$B$9*AO91^2</f>
        <v>0.19554117282839129</v>
      </c>
    </row>
    <row r="92" spans="1:42" x14ac:dyDescent="0.25">
      <c r="A92" s="139">
        <v>0.05</v>
      </c>
      <c r="B92" s="255">
        <f>'Sub C_D_0'!AV101</f>
        <v>1.2306743624858736E-2</v>
      </c>
      <c r="C92" s="258">
        <f>'C_L vs. α'!X392</f>
        <v>0.10622343199359674</v>
      </c>
      <c r="D92" s="144">
        <v>-4</v>
      </c>
      <c r="E92" s="14">
        <f t="shared" ref="E92:E102" si="114">(D92-$B$12)*$C$92</f>
        <v>-0.31867029598079022</v>
      </c>
      <c r="F92" s="6">
        <f t="shared" ref="F92:F102" si="115">$B$92+$B$7*E92^2+$B$8*(E92-E$94)^2</f>
        <v>2.4259526464252511E-2</v>
      </c>
      <c r="G92" s="14">
        <f t="shared" ref="G92:G102" si="116">(D92-$B$12)*$C$93</f>
        <v>-0.32122281402049613</v>
      </c>
      <c r="H92" s="6">
        <f t="shared" ref="H92:H102" si="117">$B$93+$B$7*G92^2+$B$8*(G92-G$94)^2</f>
        <v>2.3169884449825283E-2</v>
      </c>
      <c r="I92" s="14">
        <f t="shared" ref="I92:I102" si="118">(D92-$B$12)*$C$94</f>
        <v>-0.3249657790041558</v>
      </c>
      <c r="J92" s="6">
        <f t="shared" ref="J92:J102" si="119">$B$94+$B$7*I92^2+$B$8*(I92-I$94)^2</f>
        <v>2.2789484149491238E-2</v>
      </c>
      <c r="K92" s="14">
        <f t="shared" ref="K92:K102" si="120">(D92-$B$12)*$C$95</f>
        <v>-0.33011451339421671</v>
      </c>
      <c r="L92" s="6">
        <f t="shared" ref="L92:L102" si="121">$B$95+$B$7*K92^2+$B$8*(K92-K$94)^2</f>
        <v>2.2747970157836923E-2</v>
      </c>
      <c r="M92" s="5">
        <f t="shared" ref="M92:M102" si="122">(D92-$B$12)*$C$96</f>
        <v>-0.33684466563055265</v>
      </c>
      <c r="N92" s="6">
        <f t="shared" ref="N92:N102" si="123">$B$96+$B$7*M92^2+$B$8*(M92-M$94)^2</f>
        <v>2.2953747089967419E-2</v>
      </c>
      <c r="O92" s="5">
        <f t="shared" ref="O92:O102" si="124">(D92-$B$12)*$C$97</f>
        <v>-0.34503991150769397</v>
      </c>
      <c r="P92" s="6">
        <f t="shared" ref="P92:P102" si="125">$B$97+$B$7*O92^2+$B$8*(O92-O$94)^2</f>
        <v>2.3834377552119937E-2</v>
      </c>
      <c r="Q92" s="5">
        <f t="shared" ref="Q92:Q102" si="126">(D92-$B$12)*$C$98</f>
        <v>-0.35562717763792118</v>
      </c>
      <c r="R92" s="6">
        <f t="shared" ref="R92:R102" si="127">$B$98+$B$7*Q92^2+$B$8*(Q92-Q$94)^2</f>
        <v>2.4490073988857823E-2</v>
      </c>
      <c r="S92" s="5">
        <f t="shared" ref="S92:S102" si="128">(D92-$B$12)*$C$99</f>
        <v>-0.36861148221193207</v>
      </c>
      <c r="T92" s="6">
        <f t="shared" ref="T92:T102" si="129">$B$99+$B$7*S92^2+$B$8*(S92-S$94)^2</f>
        <v>2.5413933529329625E-2</v>
      </c>
      <c r="U92" s="5">
        <f t="shared" ref="U92:U102" si="130">(D92-$B$12)*$C$100</f>
        <v>-0.38445143609429427</v>
      </c>
      <c r="V92" s="6">
        <f t="shared" ref="V92:V102" si="131">$B$100+$B$7*U92^2+$B$8*(U92-U$94)^2</f>
        <v>2.6660539453387727E-2</v>
      </c>
      <c r="W92" s="5">
        <f t="shared" ref="W92:W102" si="132">(D92-$B$12)*$C$101</f>
        <v>-0.4037634469732056</v>
      </c>
      <c r="X92" s="6">
        <f t="shared" ref="X92:X102" si="133">$B$101+$B$7*W92^2+$B$8*(W92-W$94)^2</f>
        <v>2.8314483743427959E-2</v>
      </c>
      <c r="Y92" s="5">
        <f t="shared" ref="Y92:Y102" si="134">(D92-$B$12)*$C$102</f>
        <v>-0.42738723361349662</v>
      </c>
      <c r="Z92" s="6">
        <f t="shared" ref="Z92:Z102" si="135">$B$102+$B$7*Y92^2+$B$8*(Y92-Y$94)^2</f>
        <v>3.050341545827567E-2</v>
      </c>
      <c r="AA92" s="5">
        <f t="shared" ref="AA92:AA102" si="136">(D92-$B$12)*$C$103</f>
        <v>-0.45648503322793749</v>
      </c>
      <c r="AB92" s="6">
        <f t="shared" ref="AB92:AB102" si="137">$B$103+$B$7*AA92^2+$B$8*(AA92-AA$94)^2</f>
        <v>3.3421037638319689E-2</v>
      </c>
      <c r="AC92" s="5">
        <f t="shared" ref="AC92:AC102" si="138">(D92-$B$12)*$C$104</f>
        <v>-0.49281587661259596</v>
      </c>
      <c r="AD92" s="6">
        <f t="shared" ref="AD92:AD102" si="139">$B$104+$B$7*AC92^2+$B$8*(AC92-AC$94)^2</f>
        <v>3.7853155384542564E-2</v>
      </c>
      <c r="AE92" s="5">
        <f t="shared" ref="AE92:AE102" si="140">(D92-$B$12)*$C$105</f>
        <v>-0.53871890764351016</v>
      </c>
      <c r="AF92" s="6">
        <f t="shared" ref="AF92:AF102" si="141">$B$105+$B$7*AE92^2+$B$8*(AE92-AE$94)^2</f>
        <v>4.3331027139350567E-2</v>
      </c>
      <c r="AG92" s="5">
        <f t="shared" ref="AG92:AG102" si="142">(D92-$B$12)*$C$106</f>
        <v>-0.59758320481416793</v>
      </c>
      <c r="AH92" s="6">
        <f t="shared" ref="AH92:AH102" si="143">$B$106+$B$7*AG92^2+$B$8*(AG92-AG$94)^2</f>
        <v>5.1116267552006732E-2</v>
      </c>
      <c r="AI92" s="5">
        <f t="shared" ref="AI92:AI102" si="144">(D92-$B$12)*$C$107</f>
        <v>-0.67412138278653644</v>
      </c>
      <c r="AJ92" s="5">
        <f t="shared" ref="AJ92:AJ102" si="145">$B$107+$B$9*AI92^2</f>
        <v>5.5422761884119577E-2</v>
      </c>
      <c r="AK92" s="5">
        <f t="shared" ref="AK92:AK102" si="146">(D92-$B$12)*$C$108</f>
        <v>-0.77614041949692503</v>
      </c>
      <c r="AL92" s="5">
        <f t="shared" ref="AL92:AL102" si="147">$B$108+$B$9*AK92^2</f>
        <v>7.0914876659394402E-2</v>
      </c>
      <c r="AM92" s="5">
        <f t="shared" ref="AM92:AM102" si="148">(D92-$B$12)*$C$109</f>
        <v>-0.89072449988122726</v>
      </c>
      <c r="AN92" s="5">
        <f t="shared" ref="AN92:AN102" si="149">$B$109+$B$9*AM92^2</f>
        <v>9.0350911337050116E-2</v>
      </c>
      <c r="AO92" s="5">
        <f t="shared" ref="AO92:AO102" si="150">(D92-$B$12)*$C$110</f>
        <v>-0.81030172078006935</v>
      </c>
      <c r="AP92" s="6">
        <f t="shared" ref="AP92:AP102" si="151">$B$110+$B$9*AO92^2</f>
        <v>7.6308143939124828E-2</v>
      </c>
    </row>
    <row r="93" spans="1:42" x14ac:dyDescent="0.25">
      <c r="A93" s="129">
        <v>0.1</v>
      </c>
      <c r="B93" s="256">
        <f>'Sub C_D_0'!AV102</f>
        <v>1.1024853484096092E-2</v>
      </c>
      <c r="C93" s="257">
        <f>'C_L vs. α'!X393</f>
        <v>0.10707427134016538</v>
      </c>
      <c r="D93" s="144">
        <v>-2</v>
      </c>
      <c r="E93" s="14">
        <f t="shared" si="114"/>
        <v>-0.10622343199359674</v>
      </c>
      <c r="F93" s="6">
        <f t="shared" si="115"/>
        <v>1.4136315829435744E-2</v>
      </c>
      <c r="G93" s="14">
        <f t="shared" si="116"/>
        <v>-0.10707427134016538</v>
      </c>
      <c r="H93" s="6">
        <f t="shared" si="117"/>
        <v>1.2883852461756109E-2</v>
      </c>
      <c r="I93" s="14">
        <f t="shared" si="118"/>
        <v>-0.1083219263347186</v>
      </c>
      <c r="J93" s="6">
        <f t="shared" si="119"/>
        <v>1.2262344973749508E-2</v>
      </c>
      <c r="K93" s="14">
        <f t="shared" si="120"/>
        <v>-0.11003817113140557</v>
      </c>
      <c r="L93" s="6">
        <f t="shared" si="121"/>
        <v>1.1884605884465242E-2</v>
      </c>
      <c r="M93" s="5">
        <f t="shared" si="122"/>
        <v>-0.11228155521018422</v>
      </c>
      <c r="N93" s="6">
        <f t="shared" si="123"/>
        <v>1.1642917634503078E-2</v>
      </c>
      <c r="O93" s="5">
        <f t="shared" si="124"/>
        <v>-0.115013303835898</v>
      </c>
      <c r="P93" s="6">
        <f t="shared" si="125"/>
        <v>1.1966480417550983E-2</v>
      </c>
      <c r="Q93" s="5">
        <f t="shared" si="126"/>
        <v>-0.11854239254597372</v>
      </c>
      <c r="R93" s="6">
        <f t="shared" si="127"/>
        <v>1.1882689665086278E-2</v>
      </c>
      <c r="S93" s="5">
        <f t="shared" si="128"/>
        <v>-0.12287049407064402</v>
      </c>
      <c r="T93" s="6">
        <f t="shared" si="129"/>
        <v>1.186912642364488E-2</v>
      </c>
      <c r="U93" s="5">
        <f t="shared" si="130"/>
        <v>-0.12815047869809809</v>
      </c>
      <c r="V93" s="6">
        <f t="shared" si="131"/>
        <v>1.1926627138481832E-2</v>
      </c>
      <c r="W93" s="5">
        <f t="shared" si="132"/>
        <v>-0.1345878156577352</v>
      </c>
      <c r="X93" s="6">
        <f t="shared" si="133"/>
        <v>1.206314643085259E-2</v>
      </c>
      <c r="Y93" s="5">
        <f t="shared" si="134"/>
        <v>-0.14246241120449887</v>
      </c>
      <c r="Z93" s="6">
        <f t="shared" si="135"/>
        <v>1.2294746659509007E-2</v>
      </c>
      <c r="AA93" s="5">
        <f t="shared" si="136"/>
        <v>-0.15216167774264583</v>
      </c>
      <c r="AB93" s="6">
        <f t="shared" si="137"/>
        <v>1.2648565187000416E-2</v>
      </c>
      <c r="AC93" s="5">
        <f t="shared" si="138"/>
        <v>-0.16427195887086532</v>
      </c>
      <c r="AD93" s="6">
        <f t="shared" si="139"/>
        <v>1.3642614770536363E-2</v>
      </c>
      <c r="AE93" s="5">
        <f t="shared" si="140"/>
        <v>-0.17957296921450339</v>
      </c>
      <c r="AF93" s="6">
        <f t="shared" si="141"/>
        <v>1.4400287110731965E-2</v>
      </c>
      <c r="AG93" s="5">
        <f t="shared" si="142"/>
        <v>-0.19919440160472265</v>
      </c>
      <c r="AH93" s="6">
        <f t="shared" si="143"/>
        <v>1.5517753344266288E-2</v>
      </c>
      <c r="AI93" s="5">
        <f t="shared" si="144"/>
        <v>-0.22470712759551215</v>
      </c>
      <c r="AJ93" s="5">
        <f t="shared" si="145"/>
        <v>1.4160857874659698E-2</v>
      </c>
      <c r="AK93" s="5">
        <f t="shared" si="146"/>
        <v>-0.25871347316564169</v>
      </c>
      <c r="AL93" s="5">
        <f t="shared" si="147"/>
        <v>1.6219116751002446E-2</v>
      </c>
      <c r="AM93" s="5">
        <f t="shared" si="148"/>
        <v>-0.29690816662707575</v>
      </c>
      <c r="AN93" s="5">
        <f t="shared" si="149"/>
        <v>1.8313208659832953E-2</v>
      </c>
      <c r="AO93" s="5">
        <f t="shared" si="150"/>
        <v>-0.27010057359335643</v>
      </c>
      <c r="AP93" s="6">
        <f t="shared" si="151"/>
        <v>1.6691629494491555E-2</v>
      </c>
    </row>
    <row r="94" spans="1:42" s="29" customFormat="1" x14ac:dyDescent="0.25">
      <c r="A94" s="139">
        <v>0.15</v>
      </c>
      <c r="B94" s="255">
        <f>'Sub C_D_0'!AV103</f>
        <v>1.0359770590538582E-2</v>
      </c>
      <c r="C94" s="258">
        <f>'C_L vs. α'!X394</f>
        <v>0.1083219263347186</v>
      </c>
      <c r="D94" s="143">
        <v>0</v>
      </c>
      <c r="E94" s="83">
        <f t="shared" si="114"/>
        <v>0.10622343199359674</v>
      </c>
      <c r="F94" s="21">
        <f t="shared" si="115"/>
        <v>1.3233642429075883E-2</v>
      </c>
      <c r="G94" s="83">
        <f t="shared" si="116"/>
        <v>0.10707427134016538</v>
      </c>
      <c r="H94" s="21">
        <f t="shared" si="117"/>
        <v>1.1966660495113919E-2</v>
      </c>
      <c r="I94" s="83">
        <f t="shared" si="118"/>
        <v>0.1083219263347186</v>
      </c>
      <c r="J94" s="21">
        <f t="shared" si="119"/>
        <v>1.1323653795760372E-2</v>
      </c>
      <c r="K94" s="83">
        <f t="shared" si="120"/>
        <v>0.11003817113140557</v>
      </c>
      <c r="L94" s="21">
        <f t="shared" si="121"/>
        <v>1.0915933955989682E-2</v>
      </c>
      <c r="M94" s="58">
        <f t="shared" si="122"/>
        <v>0.11228155521018422</v>
      </c>
      <c r="N94" s="21">
        <f t="shared" si="123"/>
        <v>1.0634345823269666E-2</v>
      </c>
      <c r="O94" s="58">
        <f t="shared" si="124"/>
        <v>0.115013303835898</v>
      </c>
      <c r="P94" s="21">
        <f t="shared" si="125"/>
        <v>1.0908235612811096E-2</v>
      </c>
      <c r="Q94" s="58">
        <f t="shared" si="126"/>
        <v>0.11854239254597372</v>
      </c>
      <c r="R94" s="21">
        <f t="shared" si="127"/>
        <v>1.075850575864438E-2</v>
      </c>
      <c r="S94" s="58">
        <f t="shared" si="128"/>
        <v>0.12287049407064402</v>
      </c>
      <c r="T94" s="21">
        <f t="shared" si="129"/>
        <v>1.0661353758591747E-2</v>
      </c>
      <c r="U94" s="58">
        <f t="shared" si="130"/>
        <v>0.12815047869809809</v>
      </c>
      <c r="V94" s="21">
        <f t="shared" si="131"/>
        <v>1.0612823523237697E-2</v>
      </c>
      <c r="W94" s="58">
        <f t="shared" si="132"/>
        <v>0.1345878156577352</v>
      </c>
      <c r="X94" s="21">
        <f t="shared" si="133"/>
        <v>1.0614036020970949E-2</v>
      </c>
      <c r="Y94" s="58">
        <f t="shared" si="134"/>
        <v>0.14246241120449887</v>
      </c>
      <c r="Z94" s="21">
        <f t="shared" si="135"/>
        <v>1.0671103571013028E-2</v>
      </c>
      <c r="AA94" s="58">
        <f t="shared" si="136"/>
        <v>0.15216167774264583</v>
      </c>
      <c r="AB94" s="21">
        <f t="shared" si="137"/>
        <v>1.0796311093123871E-2</v>
      </c>
      <c r="AC94" s="58">
        <f t="shared" si="138"/>
        <v>0.16427195887086532</v>
      </c>
      <c r="AD94" s="21">
        <f t="shared" si="139"/>
        <v>1.1483792652834661E-2</v>
      </c>
      <c r="AE94" s="58">
        <f t="shared" si="140"/>
        <v>0.17957296921450339</v>
      </c>
      <c r="AF94" s="21">
        <f t="shared" si="141"/>
        <v>1.1820571008930926E-2</v>
      </c>
      <c r="AG94" s="58">
        <f t="shared" si="142"/>
        <v>0.19919440160472265</v>
      </c>
      <c r="AH94" s="21">
        <f t="shared" si="143"/>
        <v>1.2343480573813206E-2</v>
      </c>
      <c r="AI94" s="58">
        <f t="shared" si="144"/>
        <v>0.22470712759551215</v>
      </c>
      <c r="AJ94" s="58">
        <f t="shared" si="145"/>
        <v>1.4160857874659698E-2</v>
      </c>
      <c r="AK94" s="58">
        <f t="shared" si="146"/>
        <v>0.25871347316564169</v>
      </c>
      <c r="AL94" s="58">
        <f t="shared" si="147"/>
        <v>1.6219116751002446E-2</v>
      </c>
      <c r="AM94" s="58">
        <f t="shared" si="148"/>
        <v>0.29690816662707575</v>
      </c>
      <c r="AN94" s="58">
        <f t="shared" si="149"/>
        <v>1.8313208659832953E-2</v>
      </c>
      <c r="AO94" s="58">
        <f t="shared" si="150"/>
        <v>0.27010057359335643</v>
      </c>
      <c r="AP94" s="21">
        <f t="shared" si="151"/>
        <v>1.6691629494491555E-2</v>
      </c>
    </row>
    <row r="95" spans="1:42" x14ac:dyDescent="0.25">
      <c r="A95" s="129">
        <v>0.2</v>
      </c>
      <c r="B95" s="256">
        <f>'Sub C_D_0'!AV104</f>
        <v>9.9212653949965583E-3</v>
      </c>
      <c r="C95" s="257">
        <f>'C_L vs. α'!X395</f>
        <v>0.11003817113140557</v>
      </c>
      <c r="D95" s="144">
        <v>2</v>
      </c>
      <c r="E95" s="14">
        <f t="shared" si="114"/>
        <v>0.31867029598079022</v>
      </c>
      <c r="F95" s="6">
        <f t="shared" si="115"/>
        <v>2.1551506263172926E-2</v>
      </c>
      <c r="G95" s="14">
        <f t="shared" si="116"/>
        <v>0.32122281402049613</v>
      </c>
      <c r="H95" s="6">
        <f t="shared" si="117"/>
        <v>2.0418308549898713E-2</v>
      </c>
      <c r="I95" s="14">
        <f t="shared" si="118"/>
        <v>0.3249657790041558</v>
      </c>
      <c r="J95" s="6">
        <f t="shared" si="119"/>
        <v>1.997341061552383E-2</v>
      </c>
      <c r="K95" s="14">
        <f t="shared" si="120"/>
        <v>0.33011451339421671</v>
      </c>
      <c r="L95" s="6">
        <f t="shared" si="121"/>
        <v>1.9841954372410243E-2</v>
      </c>
      <c r="M95" s="5">
        <f t="shared" si="122"/>
        <v>0.33684466563055265</v>
      </c>
      <c r="N95" s="6">
        <f t="shared" si="123"/>
        <v>1.9928031656267182E-2</v>
      </c>
      <c r="O95" s="5">
        <f t="shared" si="124"/>
        <v>0.34503991150769397</v>
      </c>
      <c r="P95" s="6">
        <f t="shared" si="125"/>
        <v>2.0659643137900273E-2</v>
      </c>
      <c r="Q95" s="5">
        <f t="shared" si="126"/>
        <v>0.35562717763792118</v>
      </c>
      <c r="R95" s="6">
        <f t="shared" si="127"/>
        <v>2.1117522269532129E-2</v>
      </c>
      <c r="S95" s="5">
        <f t="shared" si="128"/>
        <v>0.36861148221193207</v>
      </c>
      <c r="T95" s="6">
        <f t="shared" si="129"/>
        <v>2.1790615534170225E-2</v>
      </c>
      <c r="U95" s="5">
        <f t="shared" si="130"/>
        <v>0.38445143609429427</v>
      </c>
      <c r="V95" s="6">
        <f t="shared" si="131"/>
        <v>2.271912860765532E-2</v>
      </c>
      <c r="W95" s="5">
        <f t="shared" si="132"/>
        <v>0.4037634469732056</v>
      </c>
      <c r="X95" s="6">
        <f t="shared" si="133"/>
        <v>2.3967152513783039E-2</v>
      </c>
      <c r="Y95" s="5">
        <f t="shared" si="134"/>
        <v>0.42738723361349662</v>
      </c>
      <c r="Z95" s="6">
        <f t="shared" si="135"/>
        <v>2.5632486192787737E-2</v>
      </c>
      <c r="AA95" s="5">
        <f t="shared" si="136"/>
        <v>0.45648503322793749</v>
      </c>
      <c r="AB95" s="6">
        <f t="shared" si="137"/>
        <v>2.7864275356690053E-2</v>
      </c>
      <c r="AC95" s="5">
        <f t="shared" si="138"/>
        <v>0.49281587661259596</v>
      </c>
      <c r="AD95" s="6">
        <f t="shared" si="139"/>
        <v>3.1376689031437463E-2</v>
      </c>
      <c r="AE95" s="5">
        <f t="shared" si="140"/>
        <v>0.53871890764351016</v>
      </c>
      <c r="AF95" s="6">
        <f t="shared" si="141"/>
        <v>3.5591878833947446E-2</v>
      </c>
      <c r="AG95" s="5">
        <f t="shared" si="142"/>
        <v>0.59758320481416793</v>
      </c>
      <c r="AH95" s="6">
        <f t="shared" si="143"/>
        <v>4.1593449240647486E-2</v>
      </c>
      <c r="AI95" s="5">
        <f t="shared" si="144"/>
        <v>0.67412138278653644</v>
      </c>
      <c r="AJ95" s="5">
        <f t="shared" si="145"/>
        <v>5.5422761884119577E-2</v>
      </c>
      <c r="AK95" s="5">
        <f t="shared" si="146"/>
        <v>0.77614041949692503</v>
      </c>
      <c r="AL95" s="5">
        <f t="shared" si="147"/>
        <v>7.0914876659394402E-2</v>
      </c>
      <c r="AM95" s="5">
        <f t="shared" si="148"/>
        <v>0.89072449988122726</v>
      </c>
      <c r="AN95" s="5">
        <f t="shared" si="149"/>
        <v>9.0350911337050116E-2</v>
      </c>
      <c r="AO95" s="5">
        <f t="shared" si="150"/>
        <v>0.81030172078006935</v>
      </c>
      <c r="AP95" s="6">
        <f t="shared" si="151"/>
        <v>7.6308143939124828E-2</v>
      </c>
    </row>
    <row r="96" spans="1:42" x14ac:dyDescent="0.25">
      <c r="A96" s="139">
        <v>0.25</v>
      </c>
      <c r="B96" s="255">
        <f>'Sub C_D_0'!AV105</f>
        <v>9.5987065705491533E-3</v>
      </c>
      <c r="C96" s="258">
        <f>'C_L vs. α'!X396</f>
        <v>0.11228155521018422</v>
      </c>
      <c r="D96" s="144">
        <v>4</v>
      </c>
      <c r="E96" s="14">
        <f t="shared" si="114"/>
        <v>0.5311171599679837</v>
      </c>
      <c r="F96" s="6">
        <f t="shared" si="115"/>
        <v>3.9089907331726868E-2</v>
      </c>
      <c r="G96" s="14">
        <f t="shared" si="116"/>
        <v>0.53537135670082692</v>
      </c>
      <c r="H96" s="6">
        <f t="shared" si="117"/>
        <v>3.8238796626110495E-2</v>
      </c>
      <c r="I96" s="14">
        <f t="shared" si="118"/>
        <v>0.54160963167359299</v>
      </c>
      <c r="J96" s="6">
        <f t="shared" si="119"/>
        <v>3.8211615433039879E-2</v>
      </c>
      <c r="K96" s="14">
        <f t="shared" si="120"/>
        <v>0.55019085565702786</v>
      </c>
      <c r="L96" s="6">
        <f t="shared" si="121"/>
        <v>3.8662667133726923E-2</v>
      </c>
      <c r="M96" s="5">
        <f t="shared" si="122"/>
        <v>0.56140777605092107</v>
      </c>
      <c r="N96" s="6">
        <f t="shared" si="123"/>
        <v>3.9523975133495627E-2</v>
      </c>
      <c r="O96" s="5">
        <f t="shared" si="124"/>
        <v>0.57506651917949003</v>
      </c>
      <c r="P96" s="6">
        <f t="shared" si="125"/>
        <v>4.1220702992818527E-2</v>
      </c>
      <c r="Q96" s="5">
        <f t="shared" si="126"/>
        <v>0.59271196272986859</v>
      </c>
      <c r="R96" s="6">
        <f t="shared" si="127"/>
        <v>4.2959739197749529E-2</v>
      </c>
      <c r="S96" s="5">
        <f t="shared" si="128"/>
        <v>0.61435247035322005</v>
      </c>
      <c r="T96" s="6">
        <f t="shared" si="129"/>
        <v>4.525691175038031E-2</v>
      </c>
      <c r="U96" s="5">
        <f t="shared" si="130"/>
        <v>0.6407523934904904</v>
      </c>
      <c r="V96" s="6">
        <f t="shared" si="131"/>
        <v>4.8245542391734689E-2</v>
      </c>
      <c r="W96" s="5">
        <f t="shared" si="132"/>
        <v>0.67293907828867594</v>
      </c>
      <c r="X96" s="6">
        <f t="shared" si="133"/>
        <v>5.212249590928885E-2</v>
      </c>
      <c r="Y96" s="5">
        <f t="shared" si="134"/>
        <v>0.71231205602249437</v>
      </c>
      <c r="Z96" s="6">
        <f t="shared" si="135"/>
        <v>5.7178894524833129E-2</v>
      </c>
      <c r="AA96" s="5">
        <f t="shared" si="136"/>
        <v>0.76080838871322909</v>
      </c>
      <c r="AB96" s="6">
        <f t="shared" si="137"/>
        <v>6.3852457977698965E-2</v>
      </c>
      <c r="AC96" s="5">
        <f t="shared" si="138"/>
        <v>0.8213597943543266</v>
      </c>
      <c r="AD96" s="6">
        <f t="shared" si="139"/>
        <v>7.3321303906344754E-2</v>
      </c>
      <c r="AE96" s="5">
        <f t="shared" si="140"/>
        <v>0.89786484607251693</v>
      </c>
      <c r="AF96" s="6">
        <f t="shared" si="141"/>
        <v>8.5714210585781547E-2</v>
      </c>
      <c r="AG96" s="5">
        <f t="shared" si="142"/>
        <v>0.9959720080236133</v>
      </c>
      <c r="AH96" s="6">
        <f t="shared" si="143"/>
        <v>0.10326765934476914</v>
      </c>
      <c r="AI96" s="5">
        <f t="shared" si="144"/>
        <v>1.1235356379775607</v>
      </c>
      <c r="AJ96" s="5">
        <f t="shared" si="145"/>
        <v>0.13794656990303933</v>
      </c>
      <c r="AK96" s="5">
        <f t="shared" si="146"/>
        <v>1.2935673658282085</v>
      </c>
      <c r="AL96" s="5">
        <f t="shared" si="147"/>
        <v>0.18030639647617835</v>
      </c>
      <c r="AM96" s="5">
        <f t="shared" si="148"/>
        <v>1.4845408331353789</v>
      </c>
      <c r="AN96" s="5">
        <f t="shared" si="149"/>
        <v>0.23442631669148453</v>
      </c>
      <c r="AO96" s="5">
        <f t="shared" si="150"/>
        <v>1.3505028679667821</v>
      </c>
      <c r="AP96" s="6">
        <f t="shared" si="151"/>
        <v>0.19554117282839129</v>
      </c>
    </row>
    <row r="97" spans="1:42" x14ac:dyDescent="0.25">
      <c r="A97" s="129">
        <v>0.3</v>
      </c>
      <c r="B97" s="256">
        <f>'Sub C_D_0'!AV106</f>
        <v>9.8215902727674352E-3</v>
      </c>
      <c r="C97" s="257">
        <f>'C_L vs. α'!X397</f>
        <v>0.115013303835898</v>
      </c>
      <c r="D97" s="144">
        <v>6</v>
      </c>
      <c r="E97" s="14">
        <f t="shared" si="114"/>
        <v>0.74356402395517718</v>
      </c>
      <c r="F97" s="6">
        <f t="shared" si="115"/>
        <v>6.584884563473771E-2</v>
      </c>
      <c r="G97" s="14">
        <f t="shared" si="116"/>
        <v>0.74951989938115771</v>
      </c>
      <c r="H97" s="6">
        <f t="shared" si="117"/>
        <v>6.5428124723749259E-2</v>
      </c>
      <c r="I97" s="14">
        <f t="shared" si="118"/>
        <v>0.75825348434303019</v>
      </c>
      <c r="J97" s="6">
        <f t="shared" si="119"/>
        <v>6.6038268248308524E-2</v>
      </c>
      <c r="K97" s="14">
        <f t="shared" si="120"/>
        <v>0.770267197919839</v>
      </c>
      <c r="L97" s="6">
        <f t="shared" si="121"/>
        <v>6.7378072239939718E-2</v>
      </c>
      <c r="M97" s="5">
        <f t="shared" si="122"/>
        <v>0.78597088647128954</v>
      </c>
      <c r="N97" s="6">
        <f t="shared" si="123"/>
        <v>6.9422176254955004E-2</v>
      </c>
      <c r="O97" s="5">
        <f t="shared" si="124"/>
        <v>0.80509312685128598</v>
      </c>
      <c r="P97" s="6">
        <f t="shared" si="125"/>
        <v>7.259141517756583E-2</v>
      </c>
      <c r="Q97" s="5">
        <f t="shared" si="126"/>
        <v>0.82979674782181601</v>
      </c>
      <c r="R97" s="6">
        <f t="shared" si="127"/>
        <v>7.6285156543296553E-2</v>
      </c>
      <c r="S97" s="5">
        <f t="shared" si="128"/>
        <v>0.86009345849450813</v>
      </c>
      <c r="T97" s="6">
        <f t="shared" si="129"/>
        <v>8.1060242407222025E-2</v>
      </c>
      <c r="U97" s="5">
        <f t="shared" si="130"/>
        <v>0.8970533508866867</v>
      </c>
      <c r="V97" s="6">
        <f t="shared" si="131"/>
        <v>8.7192064875475844E-2</v>
      </c>
      <c r="W97" s="5">
        <f t="shared" si="132"/>
        <v>0.94211470960414645</v>
      </c>
      <c r="X97" s="6">
        <f t="shared" si="133"/>
        <v>9.508006620748842E-2</v>
      </c>
      <c r="Y97" s="5">
        <f t="shared" si="134"/>
        <v>0.99723687843149211</v>
      </c>
      <c r="Z97" s="6">
        <f t="shared" si="135"/>
        <v>0.1053103285671492</v>
      </c>
      <c r="AA97" s="5">
        <f t="shared" si="136"/>
        <v>1.0651317441985209</v>
      </c>
      <c r="AB97" s="6">
        <f t="shared" si="137"/>
        <v>0.1187608589561506</v>
      </c>
      <c r="AC97" s="5">
        <f t="shared" si="138"/>
        <v>1.1499037120960574</v>
      </c>
      <c r="AD97" s="6">
        <f t="shared" si="139"/>
        <v>0.13731763727755658</v>
      </c>
      <c r="AE97" s="5">
        <f t="shared" si="140"/>
        <v>1.2570107845015237</v>
      </c>
      <c r="AF97" s="6">
        <f t="shared" si="141"/>
        <v>0.16218756626443323</v>
      </c>
      <c r="AG97" s="5">
        <f t="shared" si="142"/>
        <v>1.3943608112330586</v>
      </c>
      <c r="AH97" s="6">
        <f t="shared" si="143"/>
        <v>0.19736611088617814</v>
      </c>
      <c r="AI97" s="5">
        <f t="shared" si="144"/>
        <v>1.572949893168585</v>
      </c>
      <c r="AJ97" s="5">
        <f t="shared" si="145"/>
        <v>0.26173228193141901</v>
      </c>
      <c r="AK97" s="5">
        <f t="shared" si="146"/>
        <v>1.8109943121594918</v>
      </c>
      <c r="AL97" s="5">
        <f t="shared" si="147"/>
        <v>0.34439367620135425</v>
      </c>
      <c r="AM97" s="5">
        <f t="shared" si="148"/>
        <v>2.0783571663895302</v>
      </c>
      <c r="AN97" s="5">
        <f t="shared" si="149"/>
        <v>0.45053942472313596</v>
      </c>
      <c r="AO97" s="5">
        <f t="shared" si="150"/>
        <v>1.8907040151534951</v>
      </c>
      <c r="AP97" s="6">
        <f t="shared" si="151"/>
        <v>0.37439071616229108</v>
      </c>
    </row>
    <row r="98" spans="1:42" x14ac:dyDescent="0.25">
      <c r="A98" s="139">
        <v>0.35</v>
      </c>
      <c r="B98" s="255">
        <f>'Sub C_D_0'!AV107</f>
        <v>9.6041516830886482E-3</v>
      </c>
      <c r="C98" s="258">
        <f>'C_L vs. α'!X398</f>
        <v>0.11854239254597372</v>
      </c>
      <c r="D98" s="144">
        <v>8</v>
      </c>
      <c r="E98" s="14">
        <f t="shared" si="114"/>
        <v>0.95601088794237066</v>
      </c>
      <c r="F98" s="6">
        <f t="shared" si="115"/>
        <v>0.10182832117220546</v>
      </c>
      <c r="G98" s="14">
        <f t="shared" si="116"/>
        <v>0.96366844206148838</v>
      </c>
      <c r="H98" s="6">
        <f t="shared" si="117"/>
        <v>0.10198629284281502</v>
      </c>
      <c r="I98" s="14">
        <f t="shared" si="118"/>
        <v>0.97489733701246739</v>
      </c>
      <c r="J98" s="6">
        <f t="shared" si="119"/>
        <v>0.10345336906132976</v>
      </c>
      <c r="K98" s="14">
        <f t="shared" si="120"/>
        <v>0.99034354018265014</v>
      </c>
      <c r="L98" s="6">
        <f t="shared" si="121"/>
        <v>0.10598816969104864</v>
      </c>
      <c r="M98" s="5">
        <f t="shared" si="122"/>
        <v>1.010533996891658</v>
      </c>
      <c r="N98" s="6">
        <f t="shared" si="123"/>
        <v>0.10962263502064533</v>
      </c>
      <c r="O98" s="5">
        <f t="shared" si="124"/>
        <v>1.035119734523082</v>
      </c>
      <c r="P98" s="6">
        <f t="shared" si="125"/>
        <v>0.11477177969214221</v>
      </c>
      <c r="Q98" s="5">
        <f t="shared" si="126"/>
        <v>1.0668815329137635</v>
      </c>
      <c r="R98" s="6">
        <f t="shared" si="127"/>
        <v>0.12109377430617327</v>
      </c>
      <c r="S98" s="5">
        <f t="shared" si="128"/>
        <v>1.1058344466357961</v>
      </c>
      <c r="T98" s="6">
        <f t="shared" si="129"/>
        <v>0.12920060750469531</v>
      </c>
      <c r="U98" s="5">
        <f t="shared" si="130"/>
        <v>1.1533543082828828</v>
      </c>
      <c r="V98" s="6">
        <f t="shared" si="131"/>
        <v>0.13955869605887872</v>
      </c>
      <c r="W98" s="5">
        <f t="shared" si="132"/>
        <v>1.2112903409196167</v>
      </c>
      <c r="X98" s="6">
        <f t="shared" si="133"/>
        <v>0.15283986340838168</v>
      </c>
      <c r="Y98" s="5">
        <f t="shared" si="134"/>
        <v>1.28216170084049</v>
      </c>
      <c r="Z98" s="6">
        <f t="shared" si="135"/>
        <v>0.170026788319736</v>
      </c>
      <c r="AA98" s="5">
        <f t="shared" si="136"/>
        <v>1.3694550996838124</v>
      </c>
      <c r="AB98" s="6">
        <f t="shared" si="137"/>
        <v>0.19258947829204492</v>
      </c>
      <c r="AC98" s="5">
        <f t="shared" si="138"/>
        <v>1.4784476298377878</v>
      </c>
      <c r="AD98" s="6">
        <f t="shared" si="139"/>
        <v>0.22336568914507285</v>
      </c>
      <c r="AE98" s="5">
        <f t="shared" si="140"/>
        <v>1.6161567229305305</v>
      </c>
      <c r="AF98" s="6">
        <f t="shared" si="141"/>
        <v>0.26501194586990245</v>
      </c>
      <c r="AG98" s="5">
        <f t="shared" si="142"/>
        <v>1.7927496144425039</v>
      </c>
      <c r="AH98" s="6">
        <f t="shared" si="143"/>
        <v>0.32388880386487451</v>
      </c>
      <c r="AI98" s="5">
        <f t="shared" si="144"/>
        <v>2.0223641483596095</v>
      </c>
      <c r="AJ98" s="5">
        <f t="shared" si="145"/>
        <v>0.42677989796925858</v>
      </c>
      <c r="AK98" s="5">
        <f t="shared" si="146"/>
        <v>2.3284212584907751</v>
      </c>
      <c r="AL98" s="5">
        <f t="shared" si="147"/>
        <v>0.56317671583492201</v>
      </c>
      <c r="AM98" s="5">
        <f t="shared" si="148"/>
        <v>2.6721734996436819</v>
      </c>
      <c r="AN98" s="5">
        <f t="shared" si="149"/>
        <v>0.73869023543200485</v>
      </c>
      <c r="AO98" s="5">
        <f t="shared" si="150"/>
        <v>2.430905162340208</v>
      </c>
      <c r="AP98" s="6">
        <f t="shared" si="151"/>
        <v>0.61285677394082416</v>
      </c>
    </row>
    <row r="99" spans="1:42" x14ac:dyDescent="0.25">
      <c r="A99" s="129">
        <v>0.4</v>
      </c>
      <c r="B99" s="256">
        <f>'Sub C_D_0'!AV108</f>
        <v>9.4211676197760788E-3</v>
      </c>
      <c r="C99" s="257">
        <f>'C_L vs. α'!X399</f>
        <v>0.12287049407064402</v>
      </c>
      <c r="D99" s="144">
        <v>10</v>
      </c>
      <c r="E99" s="14">
        <f t="shared" si="114"/>
        <v>1.168457751929564</v>
      </c>
      <c r="F99" s="6">
        <f t="shared" si="115"/>
        <v>0.14702833394413009</v>
      </c>
      <c r="G99" s="14">
        <f t="shared" si="116"/>
        <v>1.1778169847418192</v>
      </c>
      <c r="H99" s="6">
        <f t="shared" si="117"/>
        <v>0.14791330098330774</v>
      </c>
      <c r="I99" s="14">
        <f t="shared" si="118"/>
        <v>1.1915411896819046</v>
      </c>
      <c r="J99" s="6">
        <f t="shared" si="119"/>
        <v>0.15045691787210361</v>
      </c>
      <c r="K99" s="14">
        <f t="shared" si="120"/>
        <v>1.2104198824454613</v>
      </c>
      <c r="L99" s="6">
        <f t="shared" si="121"/>
        <v>0.15449295948705366</v>
      </c>
      <c r="M99" s="5">
        <f t="shared" si="122"/>
        <v>1.2350971073120265</v>
      </c>
      <c r="N99" s="6">
        <f t="shared" si="123"/>
        <v>0.16012535143056655</v>
      </c>
      <c r="O99" s="5">
        <f t="shared" si="124"/>
        <v>1.2651463421948781</v>
      </c>
      <c r="P99" s="6">
        <f t="shared" si="125"/>
        <v>0.16776179653654766</v>
      </c>
      <c r="Q99" s="5">
        <f t="shared" si="126"/>
        <v>1.3039663180057108</v>
      </c>
      <c r="R99" s="6">
        <f t="shared" si="127"/>
        <v>0.17738559248637956</v>
      </c>
      <c r="S99" s="5">
        <f t="shared" si="128"/>
        <v>1.3515754347770841</v>
      </c>
      <c r="T99" s="6">
        <f t="shared" si="129"/>
        <v>0.18967800704280019</v>
      </c>
      <c r="U99" s="5">
        <f t="shared" si="130"/>
        <v>1.4096552656790791</v>
      </c>
      <c r="V99" s="6">
        <f t="shared" si="131"/>
        <v>0.2053454359419434</v>
      </c>
      <c r="W99" s="5">
        <f t="shared" si="132"/>
        <v>1.4804659722350872</v>
      </c>
      <c r="X99" s="6">
        <f t="shared" si="133"/>
        <v>0.22540188751196874</v>
      </c>
      <c r="Y99" s="5">
        <f t="shared" si="134"/>
        <v>1.5670865232494875</v>
      </c>
      <c r="Z99" s="6">
        <f t="shared" si="135"/>
        <v>0.25132827378259337</v>
      </c>
      <c r="AA99" s="5">
        <f t="shared" si="136"/>
        <v>1.6737784551691042</v>
      </c>
      <c r="AB99" s="6">
        <f t="shared" si="137"/>
        <v>0.28533831598538206</v>
      </c>
      <c r="AC99" s="5">
        <f t="shared" si="138"/>
        <v>1.8069915475795186</v>
      </c>
      <c r="AD99" s="6">
        <f t="shared" si="139"/>
        <v>0.33146545950889367</v>
      </c>
      <c r="AE99" s="5">
        <f t="shared" si="140"/>
        <v>1.9753026613595372</v>
      </c>
      <c r="AF99" s="6">
        <f t="shared" si="141"/>
        <v>0.39418734940218925</v>
      </c>
      <c r="AG99" s="5">
        <f t="shared" si="142"/>
        <v>2.1911384176519491</v>
      </c>
      <c r="AH99" s="6">
        <f t="shared" si="143"/>
        <v>0.48283573828085824</v>
      </c>
      <c r="AI99" s="5">
        <f t="shared" si="144"/>
        <v>2.4717784035506334</v>
      </c>
      <c r="AJ99" s="5">
        <f t="shared" si="145"/>
        <v>0.63308941801655783</v>
      </c>
      <c r="AK99" s="5">
        <f t="shared" si="146"/>
        <v>2.8458482048220586</v>
      </c>
      <c r="AL99" s="5">
        <f t="shared" si="147"/>
        <v>0.83665551537688188</v>
      </c>
      <c r="AM99" s="5">
        <f t="shared" si="148"/>
        <v>3.2659898328978332</v>
      </c>
      <c r="AN99" s="5">
        <f t="shared" si="149"/>
        <v>1.0988787488180904</v>
      </c>
      <c r="AO99" s="5">
        <f t="shared" si="150"/>
        <v>2.9711063095269208</v>
      </c>
      <c r="AP99" s="6">
        <f t="shared" si="151"/>
        <v>0.91093934616399042</v>
      </c>
    </row>
    <row r="100" spans="1:42" x14ac:dyDescent="0.25">
      <c r="A100" s="139">
        <v>0.45</v>
      </c>
      <c r="B100" s="255">
        <f>'Sub C_D_0'!AV109</f>
        <v>9.2637608395910107E-3</v>
      </c>
      <c r="C100" s="258">
        <f>'C_L vs. α'!X400</f>
        <v>0.12815047869809809</v>
      </c>
      <c r="D100" s="144">
        <v>12</v>
      </c>
      <c r="E100" s="14">
        <f t="shared" si="114"/>
        <v>1.3809046159167577</v>
      </c>
      <c r="F100" s="6">
        <f t="shared" si="115"/>
        <v>0.20144888395051166</v>
      </c>
      <c r="G100" s="14">
        <f t="shared" si="116"/>
        <v>1.3919655274221499</v>
      </c>
      <c r="H100" s="6">
        <f t="shared" si="117"/>
        <v>0.20320914914522742</v>
      </c>
      <c r="I100" s="14">
        <f t="shared" si="118"/>
        <v>1.4081850423513418</v>
      </c>
      <c r="J100" s="6">
        <f t="shared" si="119"/>
        <v>0.20704891468063003</v>
      </c>
      <c r="K100" s="14">
        <f t="shared" si="120"/>
        <v>1.4304962247082724</v>
      </c>
      <c r="L100" s="6">
        <f t="shared" si="121"/>
        <v>0.21289244162795481</v>
      </c>
      <c r="M100" s="5">
        <f t="shared" si="122"/>
        <v>1.459660217732395</v>
      </c>
      <c r="N100" s="6">
        <f t="shared" si="123"/>
        <v>0.22093032548471875</v>
      </c>
      <c r="O100" s="5">
        <f t="shared" si="124"/>
        <v>1.4951729498666739</v>
      </c>
      <c r="P100" s="6">
        <f t="shared" si="125"/>
        <v>0.23156146571078215</v>
      </c>
      <c r="Q100" s="5">
        <f t="shared" si="126"/>
        <v>1.5410511030976584</v>
      </c>
      <c r="R100" s="6">
        <f t="shared" si="127"/>
        <v>0.24516061108391557</v>
      </c>
      <c r="S100" s="5">
        <f t="shared" si="128"/>
        <v>1.5973164229183723</v>
      </c>
      <c r="T100" s="6">
        <f t="shared" si="129"/>
        <v>0.26249244102153679</v>
      </c>
      <c r="U100" s="5">
        <f t="shared" si="130"/>
        <v>1.6659562230752751</v>
      </c>
      <c r="V100" s="6">
        <f t="shared" si="131"/>
        <v>0.28455228452466974</v>
      </c>
      <c r="W100" s="5">
        <f t="shared" si="132"/>
        <v>1.7496416035505575</v>
      </c>
      <c r="X100" s="6">
        <f t="shared" si="133"/>
        <v>0.31276613851824941</v>
      </c>
      <c r="Y100" s="5">
        <f t="shared" si="134"/>
        <v>1.8520113456584855</v>
      </c>
      <c r="Z100" s="6">
        <f t="shared" si="135"/>
        <v>0.34921478495572156</v>
      </c>
      <c r="AA100" s="5">
        <f t="shared" si="136"/>
        <v>1.9781018106543957</v>
      </c>
      <c r="AB100" s="6">
        <f t="shared" si="137"/>
        <v>0.39700737203616188</v>
      </c>
      <c r="AC100" s="5">
        <f t="shared" si="138"/>
        <v>2.135535465321249</v>
      </c>
      <c r="AD100" s="6">
        <f t="shared" si="139"/>
        <v>0.4616169483690189</v>
      </c>
      <c r="AE100" s="5">
        <f t="shared" si="140"/>
        <v>2.3344485997885442</v>
      </c>
      <c r="AF100" s="6">
        <f t="shared" si="141"/>
        <v>0.54971377686129363</v>
      </c>
      <c r="AG100" s="5">
        <f t="shared" si="142"/>
        <v>2.5895272208613944</v>
      </c>
      <c r="AH100" s="6">
        <f t="shared" si="143"/>
        <v>0.67420691413412936</v>
      </c>
      <c r="AI100" s="5">
        <f t="shared" si="144"/>
        <v>2.9211926587416581</v>
      </c>
      <c r="AJ100" s="5">
        <f t="shared" si="145"/>
        <v>0.8806608420733173</v>
      </c>
      <c r="AK100" s="5">
        <f t="shared" si="146"/>
        <v>3.3632751511533421</v>
      </c>
      <c r="AL100" s="5">
        <f t="shared" si="147"/>
        <v>1.164830074827234</v>
      </c>
      <c r="AM100" s="5">
        <f t="shared" si="148"/>
        <v>3.8598061661519849</v>
      </c>
      <c r="AN100" s="5">
        <f t="shared" si="149"/>
        <v>1.5311049648813937</v>
      </c>
      <c r="AO100" s="5">
        <f t="shared" si="150"/>
        <v>3.5113074567136335</v>
      </c>
      <c r="AP100" s="6">
        <f t="shared" si="151"/>
        <v>1.2686384328317897</v>
      </c>
    </row>
    <row r="101" spans="1:42" x14ac:dyDescent="0.25">
      <c r="A101" s="129">
        <v>0.5</v>
      </c>
      <c r="B101" s="256">
        <f>'Sub C_D_0'!AV110</f>
        <v>9.1260352606046431E-3</v>
      </c>
      <c r="C101" s="257">
        <f>'C_L vs. α'!X401</f>
        <v>0.1345878156577352</v>
      </c>
      <c r="D101" s="144">
        <v>14</v>
      </c>
      <c r="E101" s="14">
        <f t="shared" si="114"/>
        <v>1.593351479903951</v>
      </c>
      <c r="F101" s="6">
        <f t="shared" si="115"/>
        <v>0.26508997119135008</v>
      </c>
      <c r="G101" s="14">
        <f t="shared" si="116"/>
        <v>1.6061140701024808</v>
      </c>
      <c r="H101" s="6">
        <f t="shared" si="117"/>
        <v>0.26787383732857417</v>
      </c>
      <c r="I101" s="14">
        <f t="shared" si="118"/>
        <v>1.624828895020779</v>
      </c>
      <c r="J101" s="6">
        <f t="shared" si="119"/>
        <v>0.27322935948690907</v>
      </c>
      <c r="K101" s="14">
        <f t="shared" si="120"/>
        <v>1.6505725669710836</v>
      </c>
      <c r="L101" s="6">
        <f t="shared" si="121"/>
        <v>0.28118661611375206</v>
      </c>
      <c r="M101" s="5">
        <f t="shared" si="122"/>
        <v>1.6842233281527634</v>
      </c>
      <c r="N101" s="6">
        <f t="shared" si="123"/>
        <v>0.29203755718310181</v>
      </c>
      <c r="O101" s="5">
        <f t="shared" si="124"/>
        <v>1.72519955753847</v>
      </c>
      <c r="P101" s="6">
        <f t="shared" si="125"/>
        <v>0.30617078721484575</v>
      </c>
      <c r="Q101" s="5">
        <f t="shared" si="126"/>
        <v>1.7781358881896059</v>
      </c>
      <c r="R101" s="6">
        <f t="shared" si="127"/>
        <v>0.32441883009878125</v>
      </c>
      <c r="S101" s="5">
        <f t="shared" si="128"/>
        <v>1.8430574110596603</v>
      </c>
      <c r="T101" s="6">
        <f t="shared" si="129"/>
        <v>0.3476439094409049</v>
      </c>
      <c r="U101" s="5">
        <f t="shared" si="130"/>
        <v>1.9222571804714714</v>
      </c>
      <c r="V101" s="6">
        <f t="shared" si="131"/>
        <v>0.37717924180705803</v>
      </c>
      <c r="W101" s="5">
        <f t="shared" si="132"/>
        <v>2.0188172348660278</v>
      </c>
      <c r="X101" s="6">
        <f t="shared" si="133"/>
        <v>0.41493261642722384</v>
      </c>
      <c r="Y101" s="5">
        <f t="shared" si="134"/>
        <v>2.136936168067483</v>
      </c>
      <c r="Z101" s="6">
        <f t="shared" si="135"/>
        <v>0.46368632183912029</v>
      </c>
      <c r="AA101" s="5">
        <f t="shared" si="136"/>
        <v>2.2824251661396873</v>
      </c>
      <c r="AB101" s="6">
        <f t="shared" si="137"/>
        <v>0.52759664644438431</v>
      </c>
      <c r="AC101" s="5">
        <f t="shared" si="138"/>
        <v>2.4640793830629799</v>
      </c>
      <c r="AD101" s="6">
        <f t="shared" si="139"/>
        <v>0.6138201557254489</v>
      </c>
      <c r="AE101" s="5">
        <f t="shared" si="140"/>
        <v>2.6935945382175506</v>
      </c>
      <c r="AF101" s="6">
        <f t="shared" si="141"/>
        <v>0.73159122824721523</v>
      </c>
      <c r="AG101" s="5">
        <f t="shared" si="142"/>
        <v>2.9879160240708398</v>
      </c>
      <c r="AH101" s="6">
        <f t="shared" si="143"/>
        <v>0.89800233142468788</v>
      </c>
      <c r="AI101" s="5">
        <f t="shared" si="144"/>
        <v>3.370606913932682</v>
      </c>
      <c r="AJ101" s="5">
        <f t="shared" si="145"/>
        <v>1.1694941701395363</v>
      </c>
      <c r="AK101" s="5">
        <f t="shared" si="146"/>
        <v>3.8807020974846256</v>
      </c>
      <c r="AL101" s="5">
        <f t="shared" si="147"/>
        <v>1.5477003941859777</v>
      </c>
      <c r="AM101" s="5">
        <f t="shared" si="148"/>
        <v>4.4536224994061362</v>
      </c>
      <c r="AN101" s="5">
        <f t="shared" si="149"/>
        <v>2.0353688836219139</v>
      </c>
      <c r="AO101" s="5">
        <f t="shared" si="150"/>
        <v>4.0515086039003467</v>
      </c>
      <c r="AP101" s="6">
        <f t="shared" si="151"/>
        <v>1.6859540339442229</v>
      </c>
    </row>
    <row r="102" spans="1:42" x14ac:dyDescent="0.25">
      <c r="A102" s="139">
        <v>0.55000000000000004</v>
      </c>
      <c r="B102" s="255">
        <f>'Sub C_D_0'!AV111</f>
        <v>9.003886129353187E-3</v>
      </c>
      <c r="C102" s="258">
        <f>'C_L vs. α'!X402</f>
        <v>0.14246241120449887</v>
      </c>
      <c r="D102" s="144">
        <v>16</v>
      </c>
      <c r="E102" s="14">
        <f t="shared" si="114"/>
        <v>1.8057983438911447</v>
      </c>
      <c r="F102" s="6">
        <f t="shared" si="115"/>
        <v>0.33795159566664551</v>
      </c>
      <c r="G102" s="14">
        <f t="shared" si="116"/>
        <v>1.8202626127828114</v>
      </c>
      <c r="H102" s="6">
        <f t="shared" si="117"/>
        <v>0.34190736553334788</v>
      </c>
      <c r="I102" s="14">
        <f t="shared" si="118"/>
        <v>1.8414727476902162</v>
      </c>
      <c r="J102" s="6">
        <f t="shared" si="119"/>
        <v>0.34899825229094072</v>
      </c>
      <c r="K102" s="14">
        <f t="shared" si="120"/>
        <v>1.8706489092338947</v>
      </c>
      <c r="L102" s="6">
        <f t="shared" si="121"/>
        <v>0.35937548294444549</v>
      </c>
      <c r="M102" s="5">
        <f t="shared" si="122"/>
        <v>1.9087864385731317</v>
      </c>
      <c r="N102" s="6">
        <f t="shared" si="123"/>
        <v>0.37344704652571581</v>
      </c>
      <c r="O102" s="5">
        <f t="shared" si="124"/>
        <v>1.955226165210266</v>
      </c>
      <c r="P102" s="6">
        <f t="shared" si="125"/>
        <v>0.39158976104873833</v>
      </c>
      <c r="Q102" s="5">
        <f t="shared" si="126"/>
        <v>2.0152206732815534</v>
      </c>
      <c r="R102" s="6">
        <f t="shared" si="127"/>
        <v>0.41516024953097658</v>
      </c>
      <c r="S102" s="5">
        <f t="shared" si="128"/>
        <v>2.0887983992009485</v>
      </c>
      <c r="T102" s="6">
        <f t="shared" si="129"/>
        <v>0.44513241230090478</v>
      </c>
      <c r="U102" s="5">
        <f t="shared" si="130"/>
        <v>2.1785581378676677</v>
      </c>
      <c r="V102" s="6">
        <f t="shared" si="131"/>
        <v>0.48322630778910797</v>
      </c>
      <c r="W102" s="5">
        <f t="shared" si="132"/>
        <v>2.2879928661814986</v>
      </c>
      <c r="X102" s="6">
        <f t="shared" si="133"/>
        <v>0.53190132123889222</v>
      </c>
      <c r="Y102" s="5">
        <f t="shared" si="134"/>
        <v>2.421860990476481</v>
      </c>
      <c r="Z102" s="6">
        <f t="shared" si="135"/>
        <v>0.59474288443278989</v>
      </c>
      <c r="AA102" s="5">
        <f t="shared" si="136"/>
        <v>2.5867485216249793</v>
      </c>
      <c r="AB102" s="6">
        <f t="shared" si="137"/>
        <v>0.6771061392100497</v>
      </c>
      <c r="AC102" s="5">
        <f t="shared" si="138"/>
        <v>2.7926233008047103</v>
      </c>
      <c r="AD102" s="6">
        <f t="shared" si="139"/>
        <v>0.78807508157818307</v>
      </c>
      <c r="AE102" s="5">
        <f t="shared" si="140"/>
        <v>3.0527404766465578</v>
      </c>
      <c r="AF102" s="6">
        <f t="shared" si="141"/>
        <v>0.93981970355995514</v>
      </c>
      <c r="AG102" s="5">
        <f t="shared" si="142"/>
        <v>3.3863048272802851</v>
      </c>
      <c r="AH102" s="6">
        <f t="shared" si="143"/>
        <v>1.1542219901525339</v>
      </c>
      <c r="AI102" s="5">
        <f t="shared" si="144"/>
        <v>3.8200211691237067</v>
      </c>
      <c r="AJ102" s="8">
        <f t="shared" si="145"/>
        <v>1.4995894022152156</v>
      </c>
      <c r="AK102" s="5">
        <f t="shared" si="146"/>
        <v>4.3981290438159091</v>
      </c>
      <c r="AL102" s="8">
        <f t="shared" si="147"/>
        <v>1.9852664734531136</v>
      </c>
      <c r="AM102" s="5">
        <f t="shared" si="148"/>
        <v>5.0474388326602879</v>
      </c>
      <c r="AN102" s="8">
        <f t="shared" si="149"/>
        <v>2.6116705050396516</v>
      </c>
      <c r="AO102" s="5">
        <f t="shared" si="150"/>
        <v>4.591709751087059</v>
      </c>
      <c r="AP102" s="9">
        <f t="shared" si="151"/>
        <v>2.1628861495012881</v>
      </c>
    </row>
    <row r="103" spans="1:42" x14ac:dyDescent="0.25">
      <c r="A103" s="129">
        <v>0.6</v>
      </c>
      <c r="B103" s="256">
        <f>'Sub C_D_0'!AV112</f>
        <v>8.8943473219126653E-3</v>
      </c>
      <c r="C103" s="257">
        <f>'C_L vs. α'!X403</f>
        <v>0.15216167774264583</v>
      </c>
    </row>
    <row r="104" spans="1:42" x14ac:dyDescent="0.25">
      <c r="A104" s="139">
        <v>0.65</v>
      </c>
      <c r="B104" s="255">
        <f>'Sub C_D_0'!AV113</f>
        <v>9.2670333702220241E-3</v>
      </c>
      <c r="C104" s="258">
        <f>'C_L vs. α'!X404</f>
        <v>0.16427195887086532</v>
      </c>
    </row>
    <row r="105" spans="1:42" x14ac:dyDescent="0.25">
      <c r="A105" s="129">
        <v>0.7</v>
      </c>
      <c r="B105" s="256">
        <f>'Sub C_D_0'!AV114</f>
        <v>9.1716220435289902E-3</v>
      </c>
      <c r="C105" s="257">
        <f>'C_L vs. α'!X405</f>
        <v>0.17957296921450339</v>
      </c>
    </row>
    <row r="106" spans="1:42" x14ac:dyDescent="0.25">
      <c r="A106" s="139">
        <v>0.75</v>
      </c>
      <c r="B106" s="255">
        <f>'Sub C_D_0'!AV115</f>
        <v>9.0840185867655555E-3</v>
      </c>
      <c r="C106" s="258">
        <f>'C_L vs. α'!X406</f>
        <v>0.19919440160472265</v>
      </c>
    </row>
    <row r="107" spans="1:42" x14ac:dyDescent="0.25">
      <c r="A107" s="129">
        <v>0.8</v>
      </c>
      <c r="B107" s="256">
        <f>'Sub C_D_0'!AV116</f>
        <v>9.0031198734772128E-3</v>
      </c>
      <c r="C107" s="257">
        <f>'C_L vs. α'!X407</f>
        <v>0.22470712759551215</v>
      </c>
    </row>
    <row r="108" spans="1:42" x14ac:dyDescent="0.25">
      <c r="A108" s="139">
        <v>0.85</v>
      </c>
      <c r="B108" s="255">
        <f>'Sub C_D_0'!AV117</f>
        <v>9.3821467624534503E-3</v>
      </c>
      <c r="C108" s="258">
        <f>'C_L vs. α'!X408</f>
        <v>0.25871347316564169</v>
      </c>
    </row>
    <row r="109" spans="1:42" x14ac:dyDescent="0.25">
      <c r="A109" s="129">
        <v>0.9</v>
      </c>
      <c r="B109" s="256">
        <f>'Sub C_D_0'!AV118</f>
        <v>9.3084958251808056E-3</v>
      </c>
      <c r="C109" s="257">
        <f>'C_L vs. α'!X409</f>
        <v>0.29690816662707575</v>
      </c>
    </row>
    <row r="110" spans="1:42" x14ac:dyDescent="0.25">
      <c r="A110" s="139">
        <v>0.95</v>
      </c>
      <c r="B110" s="255">
        <f>'Sub C_D_0'!AV119</f>
        <v>9.2395651889123995E-3</v>
      </c>
      <c r="C110" s="258">
        <f>'C_L vs. α'!X410</f>
        <v>0.27010057359335643</v>
      </c>
    </row>
    <row r="111" spans="1:42" x14ac:dyDescent="0.25">
      <c r="A111" s="11"/>
      <c r="B111" s="11"/>
      <c r="C111" s="5"/>
    </row>
    <row r="112" spans="1:42" x14ac:dyDescent="0.25">
      <c r="A112" s="122" t="s">
        <v>537</v>
      </c>
      <c r="B112" s="122" t="s">
        <v>522</v>
      </c>
    </row>
    <row r="113" spans="1:42" x14ac:dyDescent="0.25">
      <c r="A113" s="122" t="s">
        <v>202</v>
      </c>
      <c r="B113" s="145">
        <v>20000</v>
      </c>
      <c r="C113" s="122" t="s">
        <v>538</v>
      </c>
      <c r="D113" s="122" t="s">
        <v>539</v>
      </c>
      <c r="E113" s="1" t="s">
        <v>536</v>
      </c>
      <c r="F113" s="140">
        <v>0.05</v>
      </c>
      <c r="G113" s="1" t="s">
        <v>536</v>
      </c>
      <c r="H113" s="140">
        <v>0.1</v>
      </c>
      <c r="I113" s="1" t="s">
        <v>536</v>
      </c>
      <c r="J113" s="140">
        <v>0.15</v>
      </c>
      <c r="K113" s="1" t="s">
        <v>536</v>
      </c>
      <c r="L113" s="140">
        <v>0.2</v>
      </c>
      <c r="M113" s="2" t="s">
        <v>536</v>
      </c>
      <c r="N113" s="163">
        <v>0.25</v>
      </c>
      <c r="O113" s="2" t="s">
        <v>536</v>
      </c>
      <c r="P113" s="163">
        <v>0.3</v>
      </c>
      <c r="Q113" s="2" t="s">
        <v>536</v>
      </c>
      <c r="R113" s="163">
        <v>0.35</v>
      </c>
      <c r="S113" s="2" t="s">
        <v>536</v>
      </c>
      <c r="T113" s="163">
        <v>0.4</v>
      </c>
      <c r="U113" s="2" t="s">
        <v>536</v>
      </c>
      <c r="V113" s="163">
        <v>0.45</v>
      </c>
      <c r="W113" s="2" t="s">
        <v>536</v>
      </c>
      <c r="X113" s="163">
        <v>0.5</v>
      </c>
      <c r="Y113" s="2" t="s">
        <v>536</v>
      </c>
      <c r="Z113" s="163">
        <v>0.55000000000000004</v>
      </c>
      <c r="AA113" s="2" t="s">
        <v>536</v>
      </c>
      <c r="AB113" s="163">
        <v>0.6</v>
      </c>
      <c r="AC113" s="2" t="s">
        <v>536</v>
      </c>
      <c r="AD113" s="163">
        <v>0.65</v>
      </c>
      <c r="AE113" s="2" t="s">
        <v>536</v>
      </c>
      <c r="AF113" s="163">
        <v>0.7</v>
      </c>
      <c r="AG113" s="2" t="s">
        <v>536</v>
      </c>
      <c r="AH113" s="163">
        <v>0.75</v>
      </c>
      <c r="AI113" s="2" t="s">
        <v>536</v>
      </c>
      <c r="AJ113" s="163">
        <v>0.8</v>
      </c>
      <c r="AK113" s="2" t="s">
        <v>536</v>
      </c>
      <c r="AL113" s="163">
        <v>0.85</v>
      </c>
      <c r="AM113" s="2" t="s">
        <v>536</v>
      </c>
      <c r="AN113" s="163">
        <v>0.9</v>
      </c>
      <c r="AO113" s="2" t="s">
        <v>536</v>
      </c>
      <c r="AP113" s="140">
        <v>0.95</v>
      </c>
    </row>
    <row r="114" spans="1:42" x14ac:dyDescent="0.25">
      <c r="A114" s="121" t="s">
        <v>182</v>
      </c>
      <c r="B114" s="121" t="s">
        <v>534</v>
      </c>
      <c r="C114" s="121" t="s">
        <v>535</v>
      </c>
      <c r="D114" s="121" t="s">
        <v>421</v>
      </c>
      <c r="E114" s="14" t="s">
        <v>244</v>
      </c>
      <c r="F114" s="6" t="s">
        <v>245</v>
      </c>
      <c r="G114" s="14" t="s">
        <v>244</v>
      </c>
      <c r="H114" s="6" t="s">
        <v>245</v>
      </c>
      <c r="I114" s="14" t="s">
        <v>244</v>
      </c>
      <c r="J114" s="6" t="s">
        <v>245</v>
      </c>
      <c r="K114" s="14" t="s">
        <v>244</v>
      </c>
      <c r="L114" s="6" t="s">
        <v>245</v>
      </c>
      <c r="M114" s="5" t="s">
        <v>244</v>
      </c>
      <c r="N114" s="5" t="s">
        <v>245</v>
      </c>
      <c r="O114" s="5" t="s">
        <v>244</v>
      </c>
      <c r="P114" s="5" t="s">
        <v>245</v>
      </c>
      <c r="Q114" s="5" t="s">
        <v>244</v>
      </c>
      <c r="R114" s="5" t="s">
        <v>245</v>
      </c>
      <c r="S114" s="5" t="s">
        <v>244</v>
      </c>
      <c r="T114" s="5" t="s">
        <v>245</v>
      </c>
      <c r="U114" s="5" t="s">
        <v>244</v>
      </c>
      <c r="V114" s="5" t="s">
        <v>245</v>
      </c>
      <c r="W114" s="5" t="s">
        <v>244</v>
      </c>
      <c r="X114" s="5" t="s">
        <v>245</v>
      </c>
      <c r="Y114" s="5" t="s">
        <v>244</v>
      </c>
      <c r="Z114" s="5" t="s">
        <v>245</v>
      </c>
      <c r="AA114" s="5" t="s">
        <v>244</v>
      </c>
      <c r="AB114" s="5" t="s">
        <v>245</v>
      </c>
      <c r="AC114" s="5" t="s">
        <v>244</v>
      </c>
      <c r="AD114" s="5" t="s">
        <v>245</v>
      </c>
      <c r="AE114" s="5" t="s">
        <v>244</v>
      </c>
      <c r="AF114" s="5" t="s">
        <v>245</v>
      </c>
      <c r="AG114" s="5" t="s">
        <v>244</v>
      </c>
      <c r="AH114" s="5" t="s">
        <v>245</v>
      </c>
      <c r="AI114" s="5" t="s">
        <v>244</v>
      </c>
      <c r="AJ114" s="5" t="s">
        <v>245</v>
      </c>
      <c r="AK114" s="5" t="s">
        <v>244</v>
      </c>
      <c r="AL114" s="5" t="s">
        <v>245</v>
      </c>
      <c r="AM114" s="5" t="s">
        <v>244</v>
      </c>
      <c r="AN114" s="5" t="s">
        <v>245</v>
      </c>
      <c r="AO114" s="5" t="s">
        <v>244</v>
      </c>
      <c r="AP114" s="6" t="s">
        <v>245</v>
      </c>
    </row>
    <row r="115" spans="1:42" x14ac:dyDescent="0.25">
      <c r="A115" s="129">
        <v>0</v>
      </c>
      <c r="B115" s="129" t="e">
        <f>'Sub C_D_0'!AV130</f>
        <v>#DIV/0!</v>
      </c>
      <c r="C115" s="129" t="e">
        <f>'C_L vs. α'!X416</f>
        <v>#NUM!</v>
      </c>
      <c r="D115" s="144">
        <v>-6</v>
      </c>
      <c r="E115" s="14">
        <f>(D115-$B$12)*$C$116</f>
        <v>-0.53036156480613783</v>
      </c>
      <c r="F115" s="6">
        <f>$B$92+$B$7*E115^2+$B$8*(E115-E$94)^2</f>
        <v>4.3518137047376941E-2</v>
      </c>
      <c r="G115" s="14">
        <f>(D115-$B$12)*$C$117</f>
        <v>-0.53455971110627809</v>
      </c>
      <c r="H115" s="6">
        <f>$B$93+$B$7*G115^2+$B$8*(G115-G$94)^2</f>
        <v>4.2732575263142371E-2</v>
      </c>
      <c r="I115" s="14">
        <f>(D115-$B$12)*$C$118</f>
        <v>-0.5408188203815798</v>
      </c>
      <c r="J115" s="6">
        <f>$B$94+$B$7*I115^2+$B$8*(I115-I$94)^2</f>
        <v>4.2814207352919943E-2</v>
      </c>
      <c r="K115" s="14">
        <f>(D115-$B$12)*$C$119</f>
        <v>-0.54943570808744879</v>
      </c>
      <c r="L115" s="6">
        <f>$B$95+$B$7*K115^2+$B$8*(K115-K$94)^2</f>
        <v>4.3417882121420046E-2</v>
      </c>
      <c r="M115" s="5">
        <f>(D115-$B$12)*$C$120</f>
        <v>-0.56069392025683906</v>
      </c>
      <c r="N115" s="6">
        <f>$B$96+$B$7*M115^2+$B$8*(M115-M$94)^2</f>
        <v>4.448180641564789E-2</v>
      </c>
      <c r="O115" s="5">
        <f>(D115-$B$12)*$C$121</f>
        <v>-0.57436834237939349</v>
      </c>
      <c r="P115" s="6">
        <f>$B$97+$B$7*O115^2+$B$8*(O115-O$94)^2</f>
        <v>4.6426741176701924E-2</v>
      </c>
      <c r="Q115" s="5">
        <f>(D115-$B$12)*$C$122</f>
        <v>-0.59206118574642441</v>
      </c>
      <c r="R115" s="6">
        <f>$B$98+$B$7*Q115^2+$B$8*(Q115-Q$94)^2</f>
        <v>4.8498815253775113E-2</v>
      </c>
      <c r="S115" s="5">
        <f>(D115-$B$12)*$C$123</f>
        <v>-0.61376167773855217</v>
      </c>
      <c r="T115" s="6">
        <f>$B$99+$B$7*S115^2+$B$8*(S115-S$94)^2</f>
        <v>5.1218757586605136E-2</v>
      </c>
      <c r="U115" s="5">
        <f>(D115-$B$12)*$C$124</f>
        <v>-0.64023911999598104</v>
      </c>
      <c r="V115" s="6">
        <f>$B$100+$B$7*U115^2+$B$8*(U115-U$94)^2</f>
        <v>5.4744767874255064E-2</v>
      </c>
      <c r="W115" s="5">
        <f>(D115-$B$12)*$C$125</f>
        <v>-0.67252898508824444</v>
      </c>
      <c r="X115" s="6">
        <f>$B$101+$B$7*W115^2+$B$8*(W115-W$94)^2</f>
        <v>5.9309478846527042E-2</v>
      </c>
      <c r="Y115" s="5">
        <f>(D115-$B$12)*$C$126</f>
        <v>-0.71204402915096998</v>
      </c>
      <c r="Z115" s="6">
        <f>$B$102+$B$7*Y115^2+$B$8*(Y115-Y$94)^2</f>
        <v>6.5256586398787786E-2</v>
      </c>
      <c r="AA115" s="5">
        <f>(D115-$B$12)*$C$127</f>
        <v>-0.76074347135376252</v>
      </c>
      <c r="AB115" s="6">
        <f>$B$103+$B$7*AA115^2+$B$8*(AA115-AA$94)^2</f>
        <v>7.3103243747420388E-2</v>
      </c>
      <c r="AC115" s="5">
        <f>(D115-$B$12)*$C$128</f>
        <v>-0.82161316956188113</v>
      </c>
      <c r="AD115" s="6">
        <f>$B$104+$B$7*AC115^2+$B$8*(AC115-AC$94)^2</f>
        <v>8.4159602022301605E-2</v>
      </c>
      <c r="AE115" s="5">
        <f>(D115-$B$12)*$C$129</f>
        <v>-0.89862849913771381</v>
      </c>
      <c r="AF115" s="6">
        <f>$B$105+$B$7*AE115^2+$B$8*(AE115-AE$94)^2</f>
        <v>9.8758411570571594E-2</v>
      </c>
      <c r="AG115" s="5">
        <f>(D115-$B$12)*$C$130</f>
        <v>-0.99759600101138379</v>
      </c>
      <c r="AH115" s="6">
        <f>$B$106+$B$7*AG115^2+$B$8*(AG115-AG$94)^2</f>
        <v>0.1194826678287709</v>
      </c>
      <c r="AI115" s="5">
        <f>(D115-$B$12)*$C$131</f>
        <v>-1.1267401821825895</v>
      </c>
      <c r="AJ115" s="5">
        <f>$B$107+$B$9*AI115^2</f>
        <v>0.13868316292679397</v>
      </c>
      <c r="AK115" s="5">
        <f>(D115-$B$12)*$C$132</f>
        <v>-1.3003243638634014</v>
      </c>
      <c r="AL115" s="5">
        <f>$B$108+$B$9*AK115^2</f>
        <v>0.18209671876308214</v>
      </c>
      <c r="AM115" s="5">
        <f>(D115-$B$12)*$C$133</f>
        <v>-1.500194823498231</v>
      </c>
      <c r="AN115" s="5">
        <f>$B$109+$B$9*AM115^2</f>
        <v>0.23919893295549202</v>
      </c>
      <c r="AO115" s="5">
        <f>(D115-$B$12)*$C$134</f>
        <v>-1.4018055583044036</v>
      </c>
      <c r="AP115" s="6">
        <f>$B$110+$B$9*AO115^2</f>
        <v>0.20996441252405007</v>
      </c>
    </row>
    <row r="116" spans="1:42" x14ac:dyDescent="0.25">
      <c r="A116" s="139">
        <v>0.05</v>
      </c>
      <c r="B116" s="142">
        <f>'Sub C_D_0'!AV131</f>
        <v>1.3726617671101405E-2</v>
      </c>
      <c r="C116" s="142">
        <f>'C_L vs. α'!X417</f>
        <v>0.10607231296122756</v>
      </c>
      <c r="D116" s="144">
        <v>-4</v>
      </c>
      <c r="E116" s="14">
        <f t="shared" ref="E116:E126" si="152">(D116-$B$12)*$C$116</f>
        <v>-0.31821693888368269</v>
      </c>
      <c r="F116" s="6">
        <f t="shared" ref="F116:F126" si="153">$B$92+$B$7*E116^2+$B$8*(E116-E$94)^2</f>
        <v>2.4228106526890409E-2</v>
      </c>
      <c r="G116" s="14">
        <f t="shared" ref="G116:G126" si="154">(D116-$B$12)*$C$117</f>
        <v>-0.32073582666376682</v>
      </c>
      <c r="H116" s="6">
        <f t="shared" ref="H116:H126" si="155">$B$93+$B$7*G116^2+$B$8*(G116-G$94)^2</f>
        <v>2.3135864918138838E-2</v>
      </c>
      <c r="I116" s="14">
        <f t="shared" ref="I116:I126" si="156">(D116-$B$12)*$C$118</f>
        <v>-0.32449129222894785</v>
      </c>
      <c r="J116" s="6">
        <f t="shared" ref="J116:J126" si="157">$B$94+$B$7*I116^2+$B$8*(I116-I$94)^2</f>
        <v>2.275595076312344E-2</v>
      </c>
      <c r="K116" s="14">
        <f t="shared" ref="K116:K126" si="158">(D116-$B$12)*$C$119</f>
        <v>-0.3296614248524693</v>
      </c>
      <c r="L116" s="6">
        <f t="shared" ref="L116:L126" si="159">$B$95+$B$7*K116^2+$B$8*(K116-K$94)^2</f>
        <v>2.2715440369598529E-2</v>
      </c>
      <c r="M116" s="5">
        <f t="shared" ref="M116:M126" si="160">(D116-$B$12)*$C$120</f>
        <v>-0.33641635215410348</v>
      </c>
      <c r="N116" s="6">
        <f t="shared" ref="N116:N126" si="161">$B$96+$B$7*M116^2+$B$8*(M116-M$94)^2</f>
        <v>2.2922367624070041E-2</v>
      </c>
      <c r="O116" s="5">
        <f t="shared" ref="O116:O126" si="162">(D116-$B$12)*$C$121</f>
        <v>-0.34462100542763607</v>
      </c>
      <c r="P116" s="6">
        <f t="shared" ref="P116:P126" si="163">$B$97+$B$7*O116^2+$B$8*(O116-O$94)^2</f>
        <v>2.380293977342994E-2</v>
      </c>
      <c r="Q116" s="5">
        <f t="shared" ref="Q116:Q126" si="164">(D116-$B$12)*$C$122</f>
        <v>-0.35523671144785463</v>
      </c>
      <c r="R116" s="6">
        <f t="shared" ref="R116:R126" si="165">$B$98+$B$7*Q116^2+$B$8*(Q116-Q$94)^2</f>
        <v>2.4459869748689557E-2</v>
      </c>
      <c r="S116" s="5">
        <f t="shared" ref="S116:S126" si="166">(D116-$B$12)*$C$123</f>
        <v>-0.36825700664313127</v>
      </c>
      <c r="T116" s="6">
        <f t="shared" ref="T116:T126" si="167">$B$99+$B$7*S116^2+$B$8*(S116-S$94)^2</f>
        <v>2.5385510359862525E-2</v>
      </c>
      <c r="U116" s="5">
        <f t="shared" ref="U116:U126" si="168">(D116-$B$12)*$C$124</f>
        <v>-0.38414347199758858</v>
      </c>
      <c r="V116" s="6">
        <f t="shared" ref="V116:V126" si="169">$B$100+$B$7*U116^2+$B$8*(U116-U$94)^2</f>
        <v>2.6634782667712974E-2</v>
      </c>
      <c r="W116" s="5">
        <f t="shared" ref="W116:W126" si="170">(D116-$B$12)*$C$125</f>
        <v>-0.40351739105294671</v>
      </c>
      <c r="X116" s="6">
        <f t="shared" ref="X116:X126" si="171">$B$101+$B$7*W116^2+$B$8*(W116-W$94)^2</f>
        <v>2.8292869004985365E-2</v>
      </c>
      <c r="Y116" s="5">
        <f t="shared" ref="Y116:Y126" si="172">(D116-$B$12)*$C$126</f>
        <v>-0.42722641749058199</v>
      </c>
      <c r="Z116" s="6">
        <f t="shared" ref="Z116:Z126" si="173">$B$102+$B$7*Y116^2+$B$8*(Y116-Y$94)^2</f>
        <v>3.0488460409564492E-2</v>
      </c>
      <c r="AA116" s="5">
        <f t="shared" ref="AA116:AA126" si="174">(D116-$B$12)*$C$127</f>
        <v>-0.45644608281225751</v>
      </c>
      <c r="AB116" s="6">
        <f t="shared" ref="AB116:AB126" si="175">$B$103+$B$7*AA116^2+$B$8*(AA116-AA$94)^2</f>
        <v>3.3417168318272045E-2</v>
      </c>
      <c r="AC116" s="5">
        <f t="shared" ref="AC116:AC126" si="176">(D116-$B$12)*$C$128</f>
        <v>-0.49296790173712868</v>
      </c>
      <c r="AD116" s="6">
        <f t="shared" ref="AD116:AD126" si="177">$B$104+$B$7*AC116^2+$B$8*(AC116-AC$94)^2</f>
        <v>3.7869462469864043E-2</v>
      </c>
      <c r="AE116" s="5">
        <f t="shared" ref="AE116:AE126" si="178">(D116-$B$12)*$C$129</f>
        <v>-0.53917709948262837</v>
      </c>
      <c r="AF116" s="6">
        <f t="shared" ref="AF116:AF126" si="179">$B$105+$B$7*AE116^2+$B$8*(AE116-AE$94)^2</f>
        <v>4.3384766972537445E-2</v>
      </c>
      <c r="AG116" s="5">
        <f t="shared" ref="AG116:AG126" si="180">(D116-$B$12)*$C$130</f>
        <v>-0.59855760060683028</v>
      </c>
      <c r="AH116" s="6">
        <f t="shared" ref="AH116:AH126" si="181">$B$106+$B$7*AG116^2+$B$8*(AG116-AG$94)^2</f>
        <v>5.1243085126421346E-2</v>
      </c>
      <c r="AI116" s="5">
        <f t="shared" ref="AI116:AI126" si="182">(D116-$B$12)*$C$131</f>
        <v>-0.67604410930955372</v>
      </c>
      <c r="AJ116" s="5">
        <f t="shared" ref="AJ116:AJ126" si="183">$B$107+$B$9*AI116^2</f>
        <v>5.5687935372671242E-2</v>
      </c>
      <c r="AK116" s="5">
        <f t="shared" ref="AK116:AK126" si="184">(D116-$B$12)*$C$132</f>
        <v>-0.78019461831804093</v>
      </c>
      <c r="AL116" s="5">
        <f t="shared" ref="AL116:AL126" si="185">$B$108+$B$9*AK116^2</f>
        <v>7.1559392682679801E-2</v>
      </c>
      <c r="AM116" s="5">
        <f t="shared" ref="AM116:AM126" si="186">(D116-$B$12)*$C$133</f>
        <v>-0.90011689409893858</v>
      </c>
      <c r="AN116" s="5">
        <f t="shared" ref="AN116:AN126" si="187">$B$109+$B$9*AM116^2</f>
        <v>9.2069053192092826E-2</v>
      </c>
      <c r="AO116" s="5">
        <f t="shared" ref="AO116:AO126" si="188">(D116-$B$12)*$C$134</f>
        <v>-0.84108333498264221</v>
      </c>
      <c r="AP116" s="6">
        <f t="shared" ref="AP116:AP126" si="189">$B$110+$B$9*AO116^2</f>
        <v>8.1500510229561979E-2</v>
      </c>
    </row>
    <row r="117" spans="1:42" x14ac:dyDescent="0.25">
      <c r="A117" s="129">
        <v>0.1</v>
      </c>
      <c r="B117" s="129">
        <f>'Sub C_D_0'!AV132</f>
        <v>1.2239412825399235E-2</v>
      </c>
      <c r="C117" s="129">
        <f>'C_L vs. α'!X418</f>
        <v>0.10691194222125561</v>
      </c>
      <c r="D117" s="144">
        <v>-2</v>
      </c>
      <c r="E117" s="14">
        <f t="shared" si="152"/>
        <v>-0.10607231296122756</v>
      </c>
      <c r="F117" s="6">
        <f t="shared" si="153"/>
        <v>1.4132396661757526E-2</v>
      </c>
      <c r="G117" s="14">
        <f t="shared" si="154"/>
        <v>-0.10691194222125561</v>
      </c>
      <c r="H117" s="6">
        <f t="shared" si="155"/>
        <v>1.287960901320096E-2</v>
      </c>
      <c r="I117" s="14">
        <f t="shared" si="156"/>
        <v>-0.10816376407631595</v>
      </c>
      <c r="J117" s="6">
        <f t="shared" si="157"/>
        <v>1.2258162176850768E-2</v>
      </c>
      <c r="K117" s="14">
        <f t="shared" si="158"/>
        <v>-0.10988714161748976</v>
      </c>
      <c r="L117" s="6">
        <f t="shared" si="159"/>
        <v>1.1880548289909915E-2</v>
      </c>
      <c r="M117" s="5">
        <f t="shared" si="160"/>
        <v>-0.11213878405136782</v>
      </c>
      <c r="N117" s="6">
        <f t="shared" si="161"/>
        <v>1.1639003545374452E-2</v>
      </c>
      <c r="O117" s="5">
        <f t="shared" si="162"/>
        <v>-0.1148736684758787</v>
      </c>
      <c r="P117" s="6">
        <f t="shared" si="163"/>
        <v>1.1962559066387522E-2</v>
      </c>
      <c r="Q117" s="5">
        <f t="shared" si="164"/>
        <v>-0.11841223714928488</v>
      </c>
      <c r="R117" s="6">
        <f t="shared" si="165"/>
        <v>1.1878922200210883E-2</v>
      </c>
      <c r="S117" s="5">
        <f t="shared" si="166"/>
        <v>-0.12275233554771042</v>
      </c>
      <c r="T117" s="6">
        <f t="shared" si="167"/>
        <v>1.1865581141808317E-2</v>
      </c>
      <c r="U117" s="5">
        <f t="shared" si="168"/>
        <v>-0.1280478239991962</v>
      </c>
      <c r="V117" s="6">
        <f t="shared" si="169"/>
        <v>1.1923414466772062E-2</v>
      </c>
      <c r="W117" s="5">
        <f t="shared" si="170"/>
        <v>-0.13450579701764889</v>
      </c>
      <c r="X117" s="6">
        <f t="shared" si="171"/>
        <v>1.206045042765819E-2</v>
      </c>
      <c r="Y117" s="5">
        <f t="shared" si="172"/>
        <v>-0.142408805830194</v>
      </c>
      <c r="Z117" s="6">
        <f t="shared" si="173"/>
        <v>1.2292881340739935E-2</v>
      </c>
      <c r="AA117" s="5">
        <f t="shared" si="174"/>
        <v>-0.1521486942707525</v>
      </c>
      <c r="AB117" s="6">
        <f t="shared" si="175"/>
        <v>1.2648082580234244E-2</v>
      </c>
      <c r="AC117" s="5">
        <f t="shared" si="176"/>
        <v>-0.16432263391237623</v>
      </c>
      <c r="AD117" s="6">
        <f t="shared" si="177"/>
        <v>1.3644648655261011E-2</v>
      </c>
      <c r="AE117" s="5">
        <f t="shared" si="178"/>
        <v>-0.17972569982754277</v>
      </c>
      <c r="AF117" s="6">
        <f t="shared" si="179"/>
        <v>1.440698957103291E-2</v>
      </c>
      <c r="AG117" s="5">
        <f t="shared" si="180"/>
        <v>-0.19951920020227676</v>
      </c>
      <c r="AH117" s="6">
        <f t="shared" si="181"/>
        <v>1.5533569467528761E-2</v>
      </c>
      <c r="AI117" s="5">
        <f t="shared" si="182"/>
        <v>-0.22534803643651791</v>
      </c>
      <c r="AJ117" s="5">
        <f t="shared" si="183"/>
        <v>1.4190321595609883E-2</v>
      </c>
      <c r="AK117" s="5">
        <f t="shared" si="184"/>
        <v>-0.26006487277268031</v>
      </c>
      <c r="AL117" s="5">
        <f t="shared" si="185"/>
        <v>1.6290729642478598E-2</v>
      </c>
      <c r="AM117" s="5">
        <f t="shared" si="186"/>
        <v>-0.30003896469964619</v>
      </c>
      <c r="AN117" s="5">
        <f t="shared" si="187"/>
        <v>1.8504113310393255E-2</v>
      </c>
      <c r="AO117" s="5">
        <f t="shared" si="188"/>
        <v>-0.28036111166088074</v>
      </c>
      <c r="AP117" s="6">
        <f t="shared" si="189"/>
        <v>1.7268559082317909E-2</v>
      </c>
    </row>
    <row r="118" spans="1:42" x14ac:dyDescent="0.25">
      <c r="A118" s="139">
        <v>0.15</v>
      </c>
      <c r="B118" s="142">
        <f>'Sub C_D_0'!AV133</f>
        <v>1.1471709116599355E-2</v>
      </c>
      <c r="C118" s="142">
        <f>'C_L vs. α'!X419</f>
        <v>0.10816376407631595</v>
      </c>
      <c r="D118" s="143">
        <v>0</v>
      </c>
      <c r="E118" s="83">
        <f t="shared" si="152"/>
        <v>0.10607231296122756</v>
      </c>
      <c r="F118" s="21">
        <f t="shared" si="153"/>
        <v>1.3231007451978288E-2</v>
      </c>
      <c r="G118" s="83">
        <f t="shared" si="154"/>
        <v>0.10691194222125561</v>
      </c>
      <c r="H118" s="21">
        <f t="shared" si="155"/>
        <v>1.1963807548328735E-2</v>
      </c>
      <c r="I118" s="83">
        <f t="shared" si="156"/>
        <v>0.10816376407631595</v>
      </c>
      <c r="J118" s="21">
        <f t="shared" si="157"/>
        <v>1.1320841594101922E-2</v>
      </c>
      <c r="K118" s="83">
        <f t="shared" si="158"/>
        <v>0.10988714161748976</v>
      </c>
      <c r="L118" s="21">
        <f t="shared" si="159"/>
        <v>1.0913205882354209E-2</v>
      </c>
      <c r="M118" s="58">
        <f t="shared" si="160"/>
        <v>0.11213878405136782</v>
      </c>
      <c r="N118" s="21">
        <f t="shared" si="161"/>
        <v>1.0631714179561127E-2</v>
      </c>
      <c r="O118" s="58">
        <f t="shared" si="162"/>
        <v>0.1148736684758787</v>
      </c>
      <c r="P118" s="21">
        <f t="shared" si="163"/>
        <v>1.0905599055574686E-2</v>
      </c>
      <c r="Q118" s="58">
        <f t="shared" si="164"/>
        <v>0.11841223714928488</v>
      </c>
      <c r="R118" s="21">
        <f t="shared" si="165"/>
        <v>1.0755972608339085E-2</v>
      </c>
      <c r="S118" s="58">
        <f t="shared" si="166"/>
        <v>0.12275233554771042</v>
      </c>
      <c r="T118" s="21">
        <f t="shared" si="167"/>
        <v>1.0658969932442504E-2</v>
      </c>
      <c r="U118" s="58">
        <f t="shared" si="168"/>
        <v>0.1280478239991962</v>
      </c>
      <c r="V118" s="21">
        <f t="shared" si="169"/>
        <v>1.0610663271432319E-2</v>
      </c>
      <c r="W118" s="58">
        <f t="shared" si="170"/>
        <v>0.13450579701764889</v>
      </c>
      <c r="X118" s="21">
        <f t="shared" si="171"/>
        <v>1.0612223114545544E-2</v>
      </c>
      <c r="Y118" s="58">
        <f t="shared" si="172"/>
        <v>0.142408805830194</v>
      </c>
      <c r="Z118" s="21">
        <f t="shared" si="173"/>
        <v>1.0669849192314115E-2</v>
      </c>
      <c r="AA118" s="58">
        <f t="shared" si="174"/>
        <v>0.1521486942707525</v>
      </c>
      <c r="AB118" s="21">
        <f t="shared" si="175"/>
        <v>1.0795986533306996E-2</v>
      </c>
      <c r="AC118" s="58">
        <f t="shared" si="176"/>
        <v>0.16432263391237623</v>
      </c>
      <c r="AD118" s="21">
        <f t="shared" si="177"/>
        <v>1.1485160578492521E-2</v>
      </c>
      <c r="AE118" s="58">
        <f t="shared" si="178"/>
        <v>0.17972569982754277</v>
      </c>
      <c r="AF118" s="21">
        <f t="shared" si="179"/>
        <v>1.1825079366057997E-2</v>
      </c>
      <c r="AG118" s="58">
        <f t="shared" si="180"/>
        <v>0.19951920020227676</v>
      </c>
      <c r="AH118" s="21">
        <f t="shared" si="181"/>
        <v>1.235412085209313E-2</v>
      </c>
      <c r="AI118" s="58">
        <f t="shared" si="182"/>
        <v>0.22534803643651791</v>
      </c>
      <c r="AJ118" s="58">
        <f t="shared" si="183"/>
        <v>1.4190321595609883E-2</v>
      </c>
      <c r="AK118" s="58">
        <f t="shared" si="184"/>
        <v>0.26006487277268031</v>
      </c>
      <c r="AL118" s="58">
        <f t="shared" si="185"/>
        <v>1.6290729642478598E-2</v>
      </c>
      <c r="AM118" s="58">
        <f t="shared" si="186"/>
        <v>0.30003896469964619</v>
      </c>
      <c r="AN118" s="58">
        <f t="shared" si="187"/>
        <v>1.8504113310393255E-2</v>
      </c>
      <c r="AO118" s="58">
        <f t="shared" si="188"/>
        <v>0.28036111166088074</v>
      </c>
      <c r="AP118" s="21">
        <f t="shared" si="189"/>
        <v>1.7268559082317909E-2</v>
      </c>
    </row>
    <row r="119" spans="1:42" x14ac:dyDescent="0.25">
      <c r="A119" s="129">
        <v>0.2</v>
      </c>
      <c r="B119" s="129">
        <f>'Sub C_D_0'!AV134</f>
        <v>1.0967059191905231E-2</v>
      </c>
      <c r="C119" s="129">
        <f>'C_L vs. α'!X420</f>
        <v>0.10988714161748976</v>
      </c>
      <c r="D119" s="144">
        <v>2</v>
      </c>
      <c r="E119" s="14">
        <f t="shared" si="152"/>
        <v>0.31821693888368269</v>
      </c>
      <c r="F119" s="6">
        <f t="shared" si="153"/>
        <v>2.1523938897552698E-2</v>
      </c>
      <c r="G119" s="14">
        <f t="shared" si="154"/>
        <v>0.32073582666376682</v>
      </c>
      <c r="H119" s="6">
        <f t="shared" si="155"/>
        <v>2.0388460523522164E-2</v>
      </c>
      <c r="I119" s="14">
        <f t="shared" si="156"/>
        <v>0.32449129222894785</v>
      </c>
      <c r="J119" s="6">
        <f t="shared" si="157"/>
        <v>1.9943989014876901E-2</v>
      </c>
      <c r="K119" s="14">
        <f t="shared" si="158"/>
        <v>0.3296614248524693</v>
      </c>
      <c r="L119" s="6">
        <f t="shared" si="159"/>
        <v>1.981341314693141E-2</v>
      </c>
      <c r="M119" s="5">
        <f t="shared" si="160"/>
        <v>0.33641635215410348</v>
      </c>
      <c r="N119" s="6">
        <f t="shared" si="161"/>
        <v>1.9900499526630061E-2</v>
      </c>
      <c r="O119" s="5">
        <f t="shared" si="162"/>
        <v>0.34462100542763607</v>
      </c>
      <c r="P119" s="6">
        <f t="shared" si="163"/>
        <v>2.0632059740991429E-2</v>
      </c>
      <c r="Q119" s="5">
        <f t="shared" si="164"/>
        <v>0.35523671144785463</v>
      </c>
      <c r="R119" s="6">
        <f t="shared" si="165"/>
        <v>2.1091020973074168E-2</v>
      </c>
      <c r="S119" s="5">
        <f t="shared" si="166"/>
        <v>0.36825700664313127</v>
      </c>
      <c r="T119" s="6">
        <f t="shared" si="167"/>
        <v>2.1765676731765087E-2</v>
      </c>
      <c r="U119" s="5">
        <f t="shared" si="168"/>
        <v>0.38414347199758858</v>
      </c>
      <c r="V119" s="6">
        <f t="shared" si="169"/>
        <v>2.2696529081693739E-2</v>
      </c>
      <c r="W119" s="5">
        <f t="shared" si="170"/>
        <v>0.40351739105294671</v>
      </c>
      <c r="X119" s="6">
        <f t="shared" si="171"/>
        <v>2.3948187065647424E-2</v>
      </c>
      <c r="Y119" s="5">
        <f t="shared" si="172"/>
        <v>0.42722641749058199</v>
      </c>
      <c r="Z119" s="6">
        <f t="shared" si="173"/>
        <v>2.5619363964287035E-2</v>
      </c>
      <c r="AA119" s="5">
        <f t="shared" si="174"/>
        <v>0.45644608281225751</v>
      </c>
      <c r="AB119" s="6">
        <f t="shared" si="175"/>
        <v>2.7860880177490301E-2</v>
      </c>
      <c r="AC119" s="5">
        <f t="shared" si="176"/>
        <v>0.49296790173712868</v>
      </c>
      <c r="AD119" s="6">
        <f t="shared" si="177"/>
        <v>3.1390998239558571E-2</v>
      </c>
      <c r="AE119" s="5">
        <f t="shared" si="178"/>
        <v>0.53917709948262837</v>
      </c>
      <c r="AF119" s="6">
        <f t="shared" si="179"/>
        <v>3.5639036357612709E-2</v>
      </c>
      <c r="AG119" s="5">
        <f t="shared" si="180"/>
        <v>0.59855760060683028</v>
      </c>
      <c r="AH119" s="6">
        <f t="shared" si="181"/>
        <v>4.1704739280114457E-2</v>
      </c>
      <c r="AI119" s="5">
        <f t="shared" si="182"/>
        <v>0.67604410930955372</v>
      </c>
      <c r="AJ119" s="5">
        <f t="shared" si="183"/>
        <v>5.5687935372671242E-2</v>
      </c>
      <c r="AK119" s="5">
        <f t="shared" si="184"/>
        <v>0.78019461831804093</v>
      </c>
      <c r="AL119" s="5">
        <f t="shared" si="185"/>
        <v>7.1559392682679801E-2</v>
      </c>
      <c r="AM119" s="5">
        <f t="shared" si="186"/>
        <v>0.90011689409893858</v>
      </c>
      <c r="AN119" s="5">
        <f t="shared" si="187"/>
        <v>9.2069053192092826E-2</v>
      </c>
      <c r="AO119" s="5">
        <f t="shared" si="188"/>
        <v>0.84108333498264221</v>
      </c>
      <c r="AP119" s="6">
        <f t="shared" si="189"/>
        <v>8.1500510229561979E-2</v>
      </c>
    </row>
    <row r="120" spans="1:42" x14ac:dyDescent="0.25">
      <c r="A120" s="139">
        <v>0.25</v>
      </c>
      <c r="B120" s="142">
        <f>'Sub C_D_0'!AV135</f>
        <v>1.0596633190556985E-2</v>
      </c>
      <c r="C120" s="142">
        <f>'C_L vs. α'!X421</f>
        <v>0.11213878405136782</v>
      </c>
      <c r="D120" s="144">
        <v>4</v>
      </c>
      <c r="E120" s="14">
        <f t="shared" si="152"/>
        <v>0.53036156480613783</v>
      </c>
      <c r="F120" s="6">
        <f t="shared" si="153"/>
        <v>3.9011190998480758E-2</v>
      </c>
      <c r="G120" s="14">
        <f t="shared" si="154"/>
        <v>0.53455971110627809</v>
      </c>
      <c r="H120" s="6">
        <f t="shared" si="155"/>
        <v>3.8153567938781247E-2</v>
      </c>
      <c r="I120" s="14">
        <f t="shared" si="156"/>
        <v>0.5408188203815798</v>
      </c>
      <c r="J120" s="6">
        <f t="shared" si="157"/>
        <v>3.8127604439175712E-2</v>
      </c>
      <c r="K120" s="14">
        <f t="shared" si="158"/>
        <v>0.54943570808744879</v>
      </c>
      <c r="L120" s="6">
        <f t="shared" si="159"/>
        <v>3.8581170083641515E-2</v>
      </c>
      <c r="M120" s="5">
        <f t="shared" si="160"/>
        <v>0.56069392025683906</v>
      </c>
      <c r="N120" s="6">
        <f t="shared" si="161"/>
        <v>3.9445359586581255E-2</v>
      </c>
      <c r="O120" s="5">
        <f t="shared" si="162"/>
        <v>0.57436834237939349</v>
      </c>
      <c r="P120" s="6">
        <f t="shared" si="163"/>
        <v>4.1141941122637742E-2</v>
      </c>
      <c r="Q120" s="5">
        <f t="shared" si="164"/>
        <v>0.59206118574642441</v>
      </c>
      <c r="R120" s="6">
        <f t="shared" si="165"/>
        <v>4.2884067294416128E-2</v>
      </c>
      <c r="S120" s="5">
        <f t="shared" si="166"/>
        <v>0.61376167773855217</v>
      </c>
      <c r="T120" s="6">
        <f t="shared" si="167"/>
        <v>4.5185701539776073E-2</v>
      </c>
      <c r="U120" s="5">
        <f t="shared" si="168"/>
        <v>0.64023911999598104</v>
      </c>
      <c r="V120" s="6">
        <f t="shared" si="169"/>
        <v>4.8181011897556338E-2</v>
      </c>
      <c r="W120" s="5">
        <f t="shared" si="170"/>
        <v>0.67252898508824444</v>
      </c>
      <c r="X120" s="6">
        <f t="shared" si="171"/>
        <v>5.2068342280963811E-2</v>
      </c>
      <c r="Y120" s="5">
        <f t="shared" si="172"/>
        <v>0.71204402915096998</v>
      </c>
      <c r="Z120" s="6">
        <f t="shared" si="173"/>
        <v>5.7141425656658695E-2</v>
      </c>
      <c r="AA120" s="5">
        <f t="shared" si="174"/>
        <v>0.76074347135376252</v>
      </c>
      <c r="AB120" s="6">
        <f t="shared" si="175"/>
        <v>6.3842763512784159E-2</v>
      </c>
      <c r="AC120" s="5">
        <f t="shared" si="176"/>
        <v>0.82161316956188113</v>
      </c>
      <c r="AD120" s="6">
        <f t="shared" si="177"/>
        <v>7.3362161638459156E-2</v>
      </c>
      <c r="AE120" s="5">
        <f t="shared" si="178"/>
        <v>0.89862849913771381</v>
      </c>
      <c r="AF120" s="6">
        <f t="shared" si="179"/>
        <v>8.5848860545697028E-2</v>
      </c>
      <c r="AG120" s="5">
        <f t="shared" si="180"/>
        <v>0.99759600101138379</v>
      </c>
      <c r="AH120" s="6">
        <f t="shared" si="181"/>
        <v>0.10358542475159274</v>
      </c>
      <c r="AI120" s="5">
        <f t="shared" si="182"/>
        <v>1.1267401821825895</v>
      </c>
      <c r="AJ120" s="5">
        <f t="shared" si="183"/>
        <v>0.13868316292679397</v>
      </c>
      <c r="AK120" s="5">
        <f t="shared" si="184"/>
        <v>1.3003243638634014</v>
      </c>
      <c r="AL120" s="5">
        <f t="shared" si="185"/>
        <v>0.18209671876308214</v>
      </c>
      <c r="AM120" s="5">
        <f t="shared" si="186"/>
        <v>1.500194823498231</v>
      </c>
      <c r="AN120" s="5">
        <f t="shared" si="187"/>
        <v>0.23919893295549202</v>
      </c>
      <c r="AO120" s="5">
        <f t="shared" si="188"/>
        <v>1.4018055583044036</v>
      </c>
      <c r="AP120" s="6">
        <f t="shared" si="189"/>
        <v>0.20996441252405007</v>
      </c>
    </row>
    <row r="121" spans="1:42" x14ac:dyDescent="0.25">
      <c r="A121" s="129">
        <v>0.3</v>
      </c>
      <c r="B121" s="129">
        <f>'Sub C_D_0'!AV136</f>
        <v>1.0833004512808928E-2</v>
      </c>
      <c r="C121" s="129">
        <f>'C_L vs. α'!X422</f>
        <v>0.1148736684758787</v>
      </c>
      <c r="D121" s="144">
        <v>6</v>
      </c>
      <c r="E121" s="14">
        <f t="shared" si="152"/>
        <v>0.74250619072859292</v>
      </c>
      <c r="F121" s="6">
        <f t="shared" si="153"/>
        <v>6.5692763754762462E-2</v>
      </c>
      <c r="G121" s="14">
        <f t="shared" si="154"/>
        <v>0.74838359554878919</v>
      </c>
      <c r="H121" s="6">
        <f t="shared" si="155"/>
        <v>6.5259129794105974E-2</v>
      </c>
      <c r="I121" s="14">
        <f t="shared" si="156"/>
        <v>0.75714634853421159</v>
      </c>
      <c r="J121" s="6">
        <f t="shared" si="157"/>
        <v>6.5871687866998319E-2</v>
      </c>
      <c r="K121" s="14">
        <f t="shared" si="158"/>
        <v>0.76920999132242829</v>
      </c>
      <c r="L121" s="6">
        <f t="shared" si="159"/>
        <v>6.7216476692484525E-2</v>
      </c>
      <c r="M121" s="5">
        <f t="shared" si="160"/>
        <v>0.78497148835957475</v>
      </c>
      <c r="N121" s="6">
        <f t="shared" si="161"/>
        <v>6.9266294359414712E-2</v>
      </c>
      <c r="O121" s="5">
        <f t="shared" si="162"/>
        <v>0.80411567933115091</v>
      </c>
      <c r="P121" s="6">
        <f t="shared" si="163"/>
        <v>7.2435243200513644E-2</v>
      </c>
      <c r="Q121" s="5">
        <f t="shared" si="164"/>
        <v>0.8288856600449942</v>
      </c>
      <c r="R121" s="6">
        <f t="shared" si="165"/>
        <v>7.613511157236498E-2</v>
      </c>
      <c r="S121" s="5">
        <f t="shared" si="166"/>
        <v>0.8592663488339729</v>
      </c>
      <c r="T121" s="6">
        <f t="shared" si="167"/>
        <v>8.0919044356475428E-2</v>
      </c>
      <c r="U121" s="5">
        <f t="shared" si="168"/>
        <v>0.89633476799437339</v>
      </c>
      <c r="V121" s="6">
        <f t="shared" si="169"/>
        <v>8.7064111719020079E-2</v>
      </c>
      <c r="W121" s="5">
        <f t="shared" si="170"/>
        <v>0.94154057912354228</v>
      </c>
      <c r="X121" s="6">
        <f t="shared" si="171"/>
        <v>9.497268876049475E-2</v>
      </c>
      <c r="Y121" s="5">
        <f t="shared" si="172"/>
        <v>0.99686164081135797</v>
      </c>
      <c r="Z121" s="6">
        <f t="shared" si="173"/>
        <v>0.1052360342694291</v>
      </c>
      <c r="AA121" s="5">
        <f t="shared" si="174"/>
        <v>1.0650408598952676</v>
      </c>
      <c r="AB121" s="6">
        <f t="shared" si="175"/>
        <v>0.11874163653918858</v>
      </c>
      <c r="AC121" s="5">
        <f t="shared" si="176"/>
        <v>1.1502584373866336</v>
      </c>
      <c r="AD121" s="6">
        <f t="shared" si="177"/>
        <v>0.13739865077519431</v>
      </c>
      <c r="AE121" s="5">
        <f t="shared" si="178"/>
        <v>1.2580798987927995</v>
      </c>
      <c r="AF121" s="6">
        <f t="shared" si="179"/>
        <v>0.162454551930311</v>
      </c>
      <c r="AG121" s="5">
        <f t="shared" si="180"/>
        <v>1.3966344014159373</v>
      </c>
      <c r="AH121" s="6">
        <f t="shared" si="181"/>
        <v>0.19799617726652796</v>
      </c>
      <c r="AI121" s="5">
        <f t="shared" si="182"/>
        <v>1.5774362550556253</v>
      </c>
      <c r="AJ121" s="5">
        <f t="shared" si="183"/>
        <v>0.2631760042579781</v>
      </c>
      <c r="AK121" s="5">
        <f t="shared" si="184"/>
        <v>1.8204541094087623</v>
      </c>
      <c r="AL121" s="5">
        <f t="shared" si="185"/>
        <v>0.34790270788368582</v>
      </c>
      <c r="AM121" s="5">
        <f t="shared" si="186"/>
        <v>2.1002727528975234</v>
      </c>
      <c r="AN121" s="5">
        <f t="shared" si="187"/>
        <v>0.45989375260059079</v>
      </c>
      <c r="AO121" s="5">
        <f t="shared" si="188"/>
        <v>1.9625277816261653</v>
      </c>
      <c r="AP121" s="6">
        <f t="shared" si="189"/>
        <v>0.4026602659657823</v>
      </c>
    </row>
    <row r="122" spans="1:42" x14ac:dyDescent="0.25">
      <c r="A122" s="139">
        <v>0.35</v>
      </c>
      <c r="B122" s="142">
        <f>'Sub C_D_0'!AV137</f>
        <v>1.0583988556673142E-2</v>
      </c>
      <c r="C122" s="142">
        <f>'C_L vs. α'!X423</f>
        <v>0.11841223714928488</v>
      </c>
      <c r="D122" s="144">
        <v>8</v>
      </c>
      <c r="E122" s="14">
        <f t="shared" si="152"/>
        <v>0.95465081665104801</v>
      </c>
      <c r="F122" s="6">
        <f t="shared" si="153"/>
        <v>0.1015686571663978</v>
      </c>
      <c r="G122" s="14">
        <f t="shared" si="154"/>
        <v>0.96220747999130052</v>
      </c>
      <c r="H122" s="6">
        <f t="shared" si="155"/>
        <v>0.10170514608949638</v>
      </c>
      <c r="I122" s="14">
        <f t="shared" si="156"/>
        <v>0.9734738766868436</v>
      </c>
      <c r="J122" s="6">
        <f t="shared" si="157"/>
        <v>0.1031762392983448</v>
      </c>
      <c r="K122" s="14">
        <f t="shared" si="158"/>
        <v>0.98898427455740789</v>
      </c>
      <c r="L122" s="6">
        <f t="shared" si="159"/>
        <v>0.10571933297346046</v>
      </c>
      <c r="M122" s="5">
        <f t="shared" si="160"/>
        <v>1.0092490564623104</v>
      </c>
      <c r="N122" s="6">
        <f t="shared" si="161"/>
        <v>0.10936330384513043</v>
      </c>
      <c r="O122" s="5">
        <f t="shared" si="162"/>
        <v>1.0338630162829083</v>
      </c>
      <c r="P122" s="6">
        <f t="shared" si="163"/>
        <v>0.11451196597461913</v>
      </c>
      <c r="Q122" s="5">
        <f t="shared" si="164"/>
        <v>1.065710134343564</v>
      </c>
      <c r="R122" s="6">
        <f t="shared" si="165"/>
        <v>0.12084415380692069</v>
      </c>
      <c r="S122" s="5">
        <f t="shared" si="166"/>
        <v>1.1047710199293939</v>
      </c>
      <c r="T122" s="6">
        <f t="shared" si="167"/>
        <v>0.12896570518186323</v>
      </c>
      <c r="U122" s="5">
        <f t="shared" si="168"/>
        <v>1.1524304159927659</v>
      </c>
      <c r="V122" s="6">
        <f t="shared" si="169"/>
        <v>0.13934582854608504</v>
      </c>
      <c r="W122" s="5">
        <f t="shared" si="170"/>
        <v>1.21055217315884</v>
      </c>
      <c r="X122" s="6">
        <f t="shared" si="171"/>
        <v>0.15266122650424019</v>
      </c>
      <c r="Y122" s="5">
        <f t="shared" si="172"/>
        <v>1.281679252471746</v>
      </c>
      <c r="Z122" s="6">
        <f t="shared" si="173"/>
        <v>0.16990318980259822</v>
      </c>
      <c r="AA122" s="5">
        <f t="shared" si="174"/>
        <v>1.3693382484367724</v>
      </c>
      <c r="AB122" s="6">
        <f t="shared" si="175"/>
        <v>0.19255749925670348</v>
      </c>
      <c r="AC122" s="5">
        <f t="shared" si="176"/>
        <v>1.478903705211386</v>
      </c>
      <c r="AD122" s="6">
        <f t="shared" si="177"/>
        <v>0.22350046564976395</v>
      </c>
      <c r="AE122" s="5">
        <f t="shared" si="178"/>
        <v>1.6175312984478849</v>
      </c>
      <c r="AF122" s="6">
        <f t="shared" si="179"/>
        <v>0.26545611051145457</v>
      </c>
      <c r="AG122" s="5">
        <f t="shared" si="180"/>
        <v>1.7956728018204908</v>
      </c>
      <c r="AH122" s="6">
        <f t="shared" si="181"/>
        <v>0.32493699682492017</v>
      </c>
      <c r="AI122" s="5">
        <f t="shared" si="182"/>
        <v>2.0281323279286614</v>
      </c>
      <c r="AJ122" s="5">
        <f t="shared" si="183"/>
        <v>0.42916645936622361</v>
      </c>
      <c r="AK122" s="5">
        <f t="shared" si="184"/>
        <v>2.3405838549541227</v>
      </c>
      <c r="AL122" s="5">
        <f t="shared" si="185"/>
        <v>0.5689773600444904</v>
      </c>
      <c r="AM122" s="5">
        <f t="shared" si="186"/>
        <v>2.7003506822968157</v>
      </c>
      <c r="AN122" s="5">
        <f t="shared" si="187"/>
        <v>0.75415351212738913</v>
      </c>
      <c r="AO122" s="5">
        <f t="shared" si="188"/>
        <v>2.5232500049479265</v>
      </c>
      <c r="AP122" s="6">
        <f t="shared" si="189"/>
        <v>0.65958807055475854</v>
      </c>
    </row>
    <row r="123" spans="1:42" x14ac:dyDescent="0.25">
      <c r="A123" s="129">
        <v>0.4</v>
      </c>
      <c r="B123" s="129">
        <f>'Sub C_D_0'!AV138</f>
        <v>1.0374665271076829E-2</v>
      </c>
      <c r="C123" s="129">
        <f>'C_L vs. α'!X424</f>
        <v>0.12275233554771042</v>
      </c>
      <c r="D123" s="144">
        <v>10</v>
      </c>
      <c r="E123" s="14">
        <f t="shared" si="152"/>
        <v>1.1667954425735032</v>
      </c>
      <c r="F123" s="6">
        <f t="shared" si="153"/>
        <v>0.14663887123338681</v>
      </c>
      <c r="G123" s="14">
        <f t="shared" si="154"/>
        <v>1.1760313644338116</v>
      </c>
      <c r="H123" s="6">
        <f t="shared" si="155"/>
        <v>0.1474916168249524</v>
      </c>
      <c r="I123" s="14">
        <f t="shared" si="156"/>
        <v>1.1898014048394754</v>
      </c>
      <c r="J123" s="6">
        <f t="shared" si="157"/>
        <v>0.15004125873321505</v>
      </c>
      <c r="K123" s="14">
        <f t="shared" si="158"/>
        <v>1.2087585577923874</v>
      </c>
      <c r="L123" s="6">
        <f t="shared" si="159"/>
        <v>0.15408973892656927</v>
      </c>
      <c r="M123" s="5">
        <f t="shared" si="160"/>
        <v>1.233526624565046</v>
      </c>
      <c r="N123" s="6">
        <f t="shared" si="161"/>
        <v>0.15973638804372842</v>
      </c>
      <c r="O123" s="5">
        <f t="shared" si="162"/>
        <v>1.2636103532346656</v>
      </c>
      <c r="P123" s="6">
        <f t="shared" si="163"/>
        <v>0.16737210944495415</v>
      </c>
      <c r="Q123" s="5">
        <f t="shared" si="164"/>
        <v>1.3025346086421337</v>
      </c>
      <c r="R123" s="6">
        <f t="shared" si="165"/>
        <v>0.17701119399808329</v>
      </c>
      <c r="S123" s="5">
        <f t="shared" si="166"/>
        <v>1.3502756910248146</v>
      </c>
      <c r="T123" s="6">
        <f t="shared" si="167"/>
        <v>0.18932568401593938</v>
      </c>
      <c r="U123" s="5">
        <f t="shared" si="168"/>
        <v>1.4085260639911583</v>
      </c>
      <c r="V123" s="6">
        <f t="shared" si="169"/>
        <v>0.20502616237875113</v>
      </c>
      <c r="W123" s="5">
        <f t="shared" si="170"/>
        <v>1.4795637671941377</v>
      </c>
      <c r="X123" s="6">
        <f t="shared" si="171"/>
        <v>0.22513395551220017</v>
      </c>
      <c r="Y123" s="5">
        <f t="shared" si="172"/>
        <v>1.566496864132134</v>
      </c>
      <c r="Z123" s="6">
        <f t="shared" si="173"/>
        <v>0.25114289225616615</v>
      </c>
      <c r="AA123" s="5">
        <f t="shared" si="174"/>
        <v>1.6736356369782777</v>
      </c>
      <c r="AB123" s="6">
        <f t="shared" si="175"/>
        <v>0.28529035166532907</v>
      </c>
      <c r="AC123" s="5">
        <f t="shared" si="176"/>
        <v>1.8075489730361385</v>
      </c>
      <c r="AD123" s="6">
        <f t="shared" si="177"/>
        <v>0.33166760626216818</v>
      </c>
      <c r="AE123" s="5">
        <f t="shared" si="178"/>
        <v>1.9769826981029706</v>
      </c>
      <c r="AF123" s="6">
        <f t="shared" si="179"/>
        <v>0.39485353628912778</v>
      </c>
      <c r="AG123" s="5">
        <f t="shared" si="180"/>
        <v>2.1947112022250446</v>
      </c>
      <c r="AH123" s="6">
        <f t="shared" si="181"/>
        <v>0.48440788342676949</v>
      </c>
      <c r="AI123" s="5">
        <f t="shared" si="182"/>
        <v>2.4788284008016968</v>
      </c>
      <c r="AJ123" s="5">
        <f t="shared" si="183"/>
        <v>0.63665452825153024</v>
      </c>
      <c r="AK123" s="5">
        <f t="shared" si="184"/>
        <v>2.8607136004994835</v>
      </c>
      <c r="AL123" s="5">
        <f t="shared" si="185"/>
        <v>0.84532067524549659</v>
      </c>
      <c r="AM123" s="5">
        <f t="shared" si="186"/>
        <v>3.3004286116961081</v>
      </c>
      <c r="AN123" s="5">
        <f t="shared" si="187"/>
        <v>1.1219782115358869</v>
      </c>
      <c r="AO123" s="5">
        <f t="shared" si="188"/>
        <v>3.0839722282696882</v>
      </c>
      <c r="AP123" s="6">
        <f t="shared" si="189"/>
        <v>0.98074782629097901</v>
      </c>
    </row>
    <row r="124" spans="1:42" x14ac:dyDescent="0.25">
      <c r="A124" s="139">
        <v>0.45</v>
      </c>
      <c r="B124" s="142">
        <f>'Sub C_D_0'!AV139</f>
        <v>1.0194774218214348E-2</v>
      </c>
      <c r="C124" s="142">
        <f>'C_L vs. α'!X425</f>
        <v>0.1280478239991962</v>
      </c>
      <c r="D124" s="144">
        <v>12</v>
      </c>
      <c r="E124" s="14">
        <f t="shared" si="152"/>
        <v>1.3789400684959583</v>
      </c>
      <c r="F124" s="6">
        <f t="shared" si="153"/>
        <v>0.20090340595572945</v>
      </c>
      <c r="G124" s="14">
        <f t="shared" si="154"/>
        <v>1.3898552488763229</v>
      </c>
      <c r="H124" s="6">
        <f t="shared" si="155"/>
        <v>0.20261854200047411</v>
      </c>
      <c r="I124" s="14">
        <f t="shared" si="156"/>
        <v>1.4061289329921074</v>
      </c>
      <c r="J124" s="6">
        <f t="shared" si="157"/>
        <v>0.20646674617160918</v>
      </c>
      <c r="K124" s="14">
        <f t="shared" si="158"/>
        <v>1.428532841027367</v>
      </c>
      <c r="L124" s="6">
        <f t="shared" si="159"/>
        <v>0.21232769455181102</v>
      </c>
      <c r="M124" s="5">
        <f t="shared" si="160"/>
        <v>1.4578041926677816</v>
      </c>
      <c r="N124" s="6">
        <f t="shared" si="161"/>
        <v>0.22038554695520862</v>
      </c>
      <c r="O124" s="5">
        <f t="shared" si="162"/>
        <v>1.4933576901864229</v>
      </c>
      <c r="P124" s="6">
        <f t="shared" si="163"/>
        <v>0.23101567361151878</v>
      </c>
      <c r="Q124" s="5">
        <f t="shared" si="164"/>
        <v>1.5393590829407033</v>
      </c>
      <c r="R124" s="6">
        <f t="shared" si="165"/>
        <v>0.24463623214585273</v>
      </c>
      <c r="S124" s="5">
        <f t="shared" si="166"/>
        <v>1.5957803621202356</v>
      </c>
      <c r="T124" s="6">
        <f t="shared" si="167"/>
        <v>0.26199898085870393</v>
      </c>
      <c r="U124" s="5">
        <f t="shared" si="168"/>
        <v>1.6646217119895506</v>
      </c>
      <c r="V124" s="6">
        <f t="shared" si="169"/>
        <v>0.28410511321701837</v>
      </c>
      <c r="W124" s="5">
        <f t="shared" si="170"/>
        <v>1.7485753612294357</v>
      </c>
      <c r="X124" s="6">
        <f t="shared" si="171"/>
        <v>0.31239087578437463</v>
      </c>
      <c r="Y124" s="5">
        <f t="shared" si="172"/>
        <v>1.851314475792522</v>
      </c>
      <c r="Z124" s="6">
        <f t="shared" si="173"/>
        <v>0.34895514163013275</v>
      </c>
      <c r="AA124" s="5">
        <f t="shared" si="174"/>
        <v>1.9779330255197825</v>
      </c>
      <c r="AB124" s="6">
        <f t="shared" si="175"/>
        <v>0.39694019376506501</v>
      </c>
      <c r="AC124" s="5">
        <f t="shared" si="176"/>
        <v>2.1361942408608909</v>
      </c>
      <c r="AD124" s="6">
        <f t="shared" si="177"/>
        <v>0.46190007261240695</v>
      </c>
      <c r="AE124" s="5">
        <f t="shared" si="178"/>
        <v>2.336434097758056</v>
      </c>
      <c r="AF124" s="6">
        <f t="shared" si="179"/>
        <v>0.55064682926333053</v>
      </c>
      <c r="AG124" s="5">
        <f t="shared" si="180"/>
        <v>2.5937496026295976</v>
      </c>
      <c r="AH124" s="6">
        <f t="shared" si="181"/>
        <v>0.67640883707207533</v>
      </c>
      <c r="AI124" s="5">
        <f t="shared" si="182"/>
        <v>2.929524473674733</v>
      </c>
      <c r="AJ124" s="5">
        <f t="shared" si="183"/>
        <v>0.88564021091389866</v>
      </c>
      <c r="AK124" s="5">
        <f t="shared" si="184"/>
        <v>3.3808433460448439</v>
      </c>
      <c r="AL124" s="5">
        <f t="shared" si="185"/>
        <v>1.1769326534867037</v>
      </c>
      <c r="AM124" s="5">
        <f t="shared" si="186"/>
        <v>3.9005065410954005</v>
      </c>
      <c r="AN124" s="5">
        <f t="shared" si="187"/>
        <v>1.5633678508260844</v>
      </c>
      <c r="AO124" s="5">
        <f t="shared" si="188"/>
        <v>3.6446944515914494</v>
      </c>
      <c r="AP124" s="6">
        <f t="shared" si="189"/>
        <v>1.366139533174443</v>
      </c>
    </row>
    <row r="125" spans="1:42" x14ac:dyDescent="0.25">
      <c r="A125" s="129">
        <v>0.5</v>
      </c>
      <c r="B125" s="129">
        <f>'Sub C_D_0'!AV140</f>
        <v>1.0037508330418009E-2</v>
      </c>
      <c r="C125" s="129">
        <f>'C_L vs. α'!X426</f>
        <v>0.13450579701764889</v>
      </c>
      <c r="D125" s="144">
        <v>14</v>
      </c>
      <c r="E125" s="14">
        <f t="shared" si="152"/>
        <v>1.5910846944184134</v>
      </c>
      <c r="F125" s="6">
        <f t="shared" si="153"/>
        <v>0.26436226133342572</v>
      </c>
      <c r="G125" s="14">
        <f t="shared" si="154"/>
        <v>1.603679133318834</v>
      </c>
      <c r="H125" s="6">
        <f t="shared" si="155"/>
        <v>0.26708592161606143</v>
      </c>
      <c r="I125" s="14">
        <f t="shared" si="156"/>
        <v>1.6224564611447392</v>
      </c>
      <c r="J125" s="6">
        <f t="shared" si="157"/>
        <v>0.27245270161352708</v>
      </c>
      <c r="K125" s="14">
        <f t="shared" si="158"/>
        <v>1.6483071242623464</v>
      </c>
      <c r="L125" s="6">
        <f t="shared" si="159"/>
        <v>0.28043319984918563</v>
      </c>
      <c r="M125" s="5">
        <f t="shared" si="160"/>
        <v>1.6820817607705172</v>
      </c>
      <c r="N125" s="6">
        <f t="shared" si="161"/>
        <v>0.2913107805795711</v>
      </c>
      <c r="O125" s="5">
        <f t="shared" si="162"/>
        <v>1.7231050271381805</v>
      </c>
      <c r="P125" s="6">
        <f t="shared" si="163"/>
        <v>0.30544265847431301</v>
      </c>
      <c r="Q125" s="5">
        <f t="shared" si="164"/>
        <v>1.7761835572392732</v>
      </c>
      <c r="R125" s="6">
        <f t="shared" si="165"/>
        <v>0.32371926825022912</v>
      </c>
      <c r="S125" s="5">
        <f t="shared" si="166"/>
        <v>1.8412850332156563</v>
      </c>
      <c r="T125" s="6">
        <f t="shared" si="167"/>
        <v>0.34698559571015686</v>
      </c>
      <c r="U125" s="5">
        <f t="shared" si="168"/>
        <v>1.920717359987943</v>
      </c>
      <c r="V125" s="6">
        <f t="shared" si="169"/>
        <v>0.37658268106088677</v>
      </c>
      <c r="W125" s="5">
        <f t="shared" si="170"/>
        <v>2.0175869552647332</v>
      </c>
      <c r="X125" s="6">
        <f t="shared" si="171"/>
        <v>0.41443198732076353</v>
      </c>
      <c r="Y125" s="5">
        <f t="shared" si="172"/>
        <v>2.1361320874529097</v>
      </c>
      <c r="Z125" s="6">
        <f t="shared" si="173"/>
        <v>0.46333993792449801</v>
      </c>
      <c r="AA125" s="5">
        <f t="shared" si="174"/>
        <v>2.2822304140612877</v>
      </c>
      <c r="AB125" s="6">
        <f t="shared" si="175"/>
        <v>0.52750702555591167</v>
      </c>
      <c r="AC125" s="5">
        <f t="shared" si="176"/>
        <v>2.4648395086856434</v>
      </c>
      <c r="AD125" s="6">
        <f t="shared" si="177"/>
        <v>0.61419786470048021</v>
      </c>
      <c r="AE125" s="5">
        <f t="shared" si="178"/>
        <v>2.6958854974131414</v>
      </c>
      <c r="AF125" s="6">
        <f t="shared" si="179"/>
        <v>0.73283598943406281</v>
      </c>
      <c r="AG125" s="5">
        <f t="shared" si="180"/>
        <v>2.9927880030341516</v>
      </c>
      <c r="AH125" s="6">
        <f t="shared" si="181"/>
        <v>0.90093985776083874</v>
      </c>
      <c r="AI125" s="5">
        <f t="shared" si="182"/>
        <v>3.3802205465477684</v>
      </c>
      <c r="AJ125" s="5">
        <f t="shared" si="183"/>
        <v>1.1761235073533278</v>
      </c>
      <c r="AK125" s="5">
        <f t="shared" si="184"/>
        <v>3.9009730915902048</v>
      </c>
      <c r="AL125" s="5">
        <f t="shared" si="185"/>
        <v>1.563813294768112</v>
      </c>
      <c r="AM125" s="5">
        <f t="shared" si="186"/>
        <v>4.5005844704946929</v>
      </c>
      <c r="AN125" s="5">
        <f t="shared" si="187"/>
        <v>2.0783224299979817</v>
      </c>
      <c r="AO125" s="5">
        <f t="shared" si="188"/>
        <v>4.2054166749132111</v>
      </c>
      <c r="AP125" s="6">
        <f t="shared" si="189"/>
        <v>1.8157631912051519</v>
      </c>
    </row>
    <row r="126" spans="1:42" x14ac:dyDescent="0.25">
      <c r="A126" s="139">
        <v>0.55000000000000004</v>
      </c>
      <c r="B126" s="142">
        <f>'Sub C_D_0'!AV141</f>
        <v>9.8981333020552679E-3</v>
      </c>
      <c r="C126" s="142">
        <f>'C_L vs. α'!X427</f>
        <v>0.142408805830194</v>
      </c>
      <c r="D126" s="144">
        <v>16</v>
      </c>
      <c r="E126" s="14">
        <f t="shared" si="152"/>
        <v>1.8032293203408685</v>
      </c>
      <c r="F126" s="6">
        <f t="shared" si="153"/>
        <v>0.33701543736647566</v>
      </c>
      <c r="G126" s="14">
        <f t="shared" si="154"/>
        <v>1.8175030177613454</v>
      </c>
      <c r="H126" s="6">
        <f t="shared" si="155"/>
        <v>0.34089375567171443</v>
      </c>
      <c r="I126" s="14">
        <f t="shared" si="156"/>
        <v>1.8387839892973712</v>
      </c>
      <c r="J126" s="6">
        <f t="shared" si="157"/>
        <v>0.34799912505896891</v>
      </c>
      <c r="K126" s="14">
        <f t="shared" si="158"/>
        <v>1.868081407497326</v>
      </c>
      <c r="L126" s="6">
        <f t="shared" si="159"/>
        <v>0.35840625481869326</v>
      </c>
      <c r="M126" s="5">
        <f t="shared" si="160"/>
        <v>1.906359328873253</v>
      </c>
      <c r="N126" s="6">
        <f t="shared" si="161"/>
        <v>0.37251208891681586</v>
      </c>
      <c r="O126" s="5">
        <f t="shared" si="162"/>
        <v>1.9528523640899378</v>
      </c>
      <c r="P126" s="6">
        <f t="shared" si="163"/>
        <v>0.39065306403333672</v>
      </c>
      <c r="Q126" s="5">
        <f t="shared" si="164"/>
        <v>2.0130080315378431</v>
      </c>
      <c r="R126" s="6">
        <f t="shared" si="165"/>
        <v>0.41426030231121247</v>
      </c>
      <c r="S126" s="5">
        <f t="shared" si="166"/>
        <v>2.086789704311077</v>
      </c>
      <c r="T126" s="6">
        <f t="shared" si="167"/>
        <v>0.44428552857029818</v>
      </c>
      <c r="U126" s="5">
        <f t="shared" si="168"/>
        <v>2.1768130079863353</v>
      </c>
      <c r="V126" s="6">
        <f t="shared" si="169"/>
        <v>0.48245886591035636</v>
      </c>
      <c r="W126" s="5">
        <f t="shared" si="170"/>
        <v>2.2865985493000314</v>
      </c>
      <c r="X126" s="6">
        <f t="shared" si="171"/>
        <v>0.53125729012136724</v>
      </c>
      <c r="Y126" s="5">
        <f t="shared" si="172"/>
        <v>2.4209496991132982</v>
      </c>
      <c r="Z126" s="6">
        <f t="shared" si="173"/>
        <v>0.59429728113926228</v>
      </c>
      <c r="AA126" s="5">
        <f t="shared" si="174"/>
        <v>2.5865278026027925</v>
      </c>
      <c r="AB126" s="6">
        <f t="shared" si="175"/>
        <v>0.67699084703786871</v>
      </c>
      <c r="AC126" s="5">
        <f t="shared" si="176"/>
        <v>2.7934847765103958</v>
      </c>
      <c r="AD126" s="6">
        <f t="shared" si="177"/>
        <v>0.78856098252638795</v>
      </c>
      <c r="AE126" s="5">
        <f t="shared" si="178"/>
        <v>3.0553368970682273</v>
      </c>
      <c r="AF126" s="6">
        <f t="shared" si="179"/>
        <v>0.94142101680132506</v>
      </c>
      <c r="AG126" s="5">
        <f t="shared" si="180"/>
        <v>3.3918264034387047</v>
      </c>
      <c r="AH126" s="6">
        <f t="shared" si="181"/>
        <v>1.1580009454930584</v>
      </c>
      <c r="AI126" s="5">
        <f t="shared" si="182"/>
        <v>3.8309166194208046</v>
      </c>
      <c r="AJ126" s="8">
        <f t="shared" si="183"/>
        <v>1.5081044175698191</v>
      </c>
      <c r="AK126" s="5">
        <f t="shared" si="184"/>
        <v>4.4211028371355656</v>
      </c>
      <c r="AL126" s="8">
        <f t="shared" si="185"/>
        <v>2.0059625990897216</v>
      </c>
      <c r="AM126" s="5">
        <f t="shared" si="186"/>
        <v>5.1006623998939853</v>
      </c>
      <c r="AN126" s="8">
        <f t="shared" si="187"/>
        <v>2.6668419490515785</v>
      </c>
      <c r="AO126" s="5">
        <f t="shared" si="188"/>
        <v>4.7661388982349724</v>
      </c>
      <c r="AP126" s="9">
        <f t="shared" si="189"/>
        <v>2.3296188003831042</v>
      </c>
    </row>
    <row r="127" spans="1:42" x14ac:dyDescent="0.25">
      <c r="A127" s="129">
        <v>0.6</v>
      </c>
      <c r="B127" s="129">
        <f>'Sub C_D_0'!AV142</f>
        <v>9.7732310653222583E-3</v>
      </c>
      <c r="C127" s="129">
        <f>'C_L vs. α'!X428</f>
        <v>0.1521486942707525</v>
      </c>
      <c r="G127" s="14"/>
    </row>
    <row r="128" spans="1:42" x14ac:dyDescent="0.25">
      <c r="A128" s="139">
        <v>0.65</v>
      </c>
      <c r="B128" s="142">
        <f>'Sub C_D_0'!AV143</f>
        <v>1.0179892847044167E-2</v>
      </c>
      <c r="C128" s="142">
        <f>'C_L vs. α'!X429</f>
        <v>0.16432263391237623</v>
      </c>
    </row>
    <row r="129" spans="1:42" x14ac:dyDescent="0.25">
      <c r="A129" s="129">
        <v>0.7</v>
      </c>
      <c r="B129" s="129">
        <f>'Sub C_D_0'!AV144</f>
        <v>1.007120637463197E-2</v>
      </c>
      <c r="C129" s="129">
        <f>'C_L vs. α'!X430</f>
        <v>0.17972569982754277</v>
      </c>
    </row>
    <row r="130" spans="1:42" x14ac:dyDescent="0.25">
      <c r="A130" s="139">
        <v>0.75</v>
      </c>
      <c r="B130" s="142">
        <f>'Sub C_D_0'!AV145</f>
        <v>9.9714655654412759E-3</v>
      </c>
      <c r="C130" s="142">
        <f>'C_L vs. α'!X431</f>
        <v>0.19951920020227676</v>
      </c>
    </row>
    <row r="131" spans="1:42" x14ac:dyDescent="0.25">
      <c r="A131" s="129">
        <v>0.8</v>
      </c>
      <c r="B131" s="129">
        <f>'Sub C_D_0'!AV146</f>
        <v>9.8794023955359883E-3</v>
      </c>
      <c r="C131" s="129">
        <f>'C_L vs. α'!X432</f>
        <v>0.22534803643651791</v>
      </c>
    </row>
    <row r="132" spans="1:42" x14ac:dyDescent="0.25">
      <c r="A132" s="139">
        <v>0.85</v>
      </c>
      <c r="B132" s="142">
        <f>'Sub C_D_0'!AV147</f>
        <v>1.0293398282825602E-2</v>
      </c>
      <c r="C132" s="142">
        <f>'C_L vs. α'!X433</f>
        <v>0.26006487277268031</v>
      </c>
      <c r="E132" s="29"/>
    </row>
    <row r="133" spans="1:42" x14ac:dyDescent="0.25">
      <c r="A133" s="129">
        <v>0.9</v>
      </c>
      <c r="B133" s="129">
        <f>'Sub C_D_0'!AV148</f>
        <v>1.0209641412717565E-2</v>
      </c>
      <c r="C133" s="129">
        <f>'C_L vs. α'!X434</f>
        <v>0.30003896469964619</v>
      </c>
    </row>
    <row r="134" spans="1:42" x14ac:dyDescent="0.25">
      <c r="A134" s="139">
        <v>0.95</v>
      </c>
      <c r="B134" s="142">
        <f>'Sub C_D_0'!AV149</f>
        <v>1.0131283149094035E-2</v>
      </c>
      <c r="C134" s="142">
        <f>'C_L vs. α'!X435</f>
        <v>0.28036111166088074</v>
      </c>
    </row>
    <row r="135" spans="1:42" x14ac:dyDescent="0.25">
      <c r="A135" s="11"/>
      <c r="B135" s="11"/>
      <c r="C135" s="5"/>
    </row>
    <row r="137" spans="1:42" x14ac:dyDescent="0.25">
      <c r="A137" s="122" t="s">
        <v>537</v>
      </c>
      <c r="B137" s="122" t="s">
        <v>522</v>
      </c>
    </row>
    <row r="138" spans="1:42" x14ac:dyDescent="0.25">
      <c r="A138" s="122" t="s">
        <v>202</v>
      </c>
      <c r="B138" s="145">
        <v>30000</v>
      </c>
      <c r="C138" s="122" t="s">
        <v>538</v>
      </c>
      <c r="D138" s="122" t="s">
        <v>539</v>
      </c>
      <c r="E138" s="1" t="s">
        <v>536</v>
      </c>
      <c r="F138" s="140">
        <v>0.05</v>
      </c>
      <c r="G138" s="1" t="s">
        <v>536</v>
      </c>
      <c r="H138" s="140">
        <v>0.1</v>
      </c>
      <c r="I138" s="1" t="s">
        <v>536</v>
      </c>
      <c r="J138" s="140">
        <v>0.15</v>
      </c>
      <c r="K138" s="1" t="s">
        <v>536</v>
      </c>
      <c r="L138" s="140">
        <v>0.2</v>
      </c>
      <c r="M138" s="2" t="s">
        <v>536</v>
      </c>
      <c r="N138" s="163">
        <v>0.25</v>
      </c>
      <c r="O138" s="2" t="s">
        <v>536</v>
      </c>
      <c r="P138" s="163">
        <v>0.3</v>
      </c>
      <c r="Q138" s="2" t="s">
        <v>536</v>
      </c>
      <c r="R138" s="163">
        <v>0.35</v>
      </c>
      <c r="S138" s="2" t="s">
        <v>536</v>
      </c>
      <c r="T138" s="163">
        <v>0.4</v>
      </c>
      <c r="U138" s="2" t="s">
        <v>536</v>
      </c>
      <c r="V138" s="163">
        <v>0.45</v>
      </c>
      <c r="W138" s="2" t="s">
        <v>536</v>
      </c>
      <c r="X138" s="163">
        <v>0.5</v>
      </c>
      <c r="Y138" s="2" t="s">
        <v>536</v>
      </c>
      <c r="Z138" s="163">
        <v>0.55000000000000004</v>
      </c>
      <c r="AA138" s="2" t="s">
        <v>536</v>
      </c>
      <c r="AB138" s="163">
        <v>0.6</v>
      </c>
      <c r="AC138" s="2" t="s">
        <v>536</v>
      </c>
      <c r="AD138" s="163">
        <v>0.65</v>
      </c>
      <c r="AE138" s="2" t="s">
        <v>536</v>
      </c>
      <c r="AF138" s="163">
        <v>0.7</v>
      </c>
      <c r="AG138" s="2" t="s">
        <v>536</v>
      </c>
      <c r="AH138" s="163">
        <v>0.75</v>
      </c>
      <c r="AI138" s="2" t="s">
        <v>536</v>
      </c>
      <c r="AJ138" s="163">
        <v>0.8</v>
      </c>
      <c r="AK138" s="2" t="s">
        <v>536</v>
      </c>
      <c r="AL138" s="163">
        <v>0.85</v>
      </c>
      <c r="AM138" s="2" t="s">
        <v>536</v>
      </c>
      <c r="AN138" s="163">
        <v>0.9</v>
      </c>
      <c r="AO138" s="2" t="s">
        <v>536</v>
      </c>
      <c r="AP138" s="140">
        <v>0.95</v>
      </c>
    </row>
    <row r="139" spans="1:42" x14ac:dyDescent="0.25">
      <c r="A139" s="121" t="s">
        <v>182</v>
      </c>
      <c r="B139" s="121" t="s">
        <v>534</v>
      </c>
      <c r="C139" s="121" t="s">
        <v>535</v>
      </c>
      <c r="D139" s="121" t="s">
        <v>421</v>
      </c>
      <c r="E139" s="14" t="s">
        <v>244</v>
      </c>
      <c r="F139" s="6" t="s">
        <v>245</v>
      </c>
      <c r="G139" s="14" t="s">
        <v>244</v>
      </c>
      <c r="H139" s="6" t="s">
        <v>245</v>
      </c>
      <c r="I139" s="14" t="s">
        <v>244</v>
      </c>
      <c r="J139" s="6" t="s">
        <v>245</v>
      </c>
      <c r="K139" s="14" t="s">
        <v>244</v>
      </c>
      <c r="L139" s="6" t="s">
        <v>245</v>
      </c>
      <c r="M139" s="5" t="s">
        <v>244</v>
      </c>
      <c r="N139" s="5" t="s">
        <v>245</v>
      </c>
      <c r="O139" s="5" t="s">
        <v>244</v>
      </c>
      <c r="P139" s="5" t="s">
        <v>245</v>
      </c>
      <c r="Q139" s="5" t="s">
        <v>244</v>
      </c>
      <c r="R139" s="5" t="s">
        <v>245</v>
      </c>
      <c r="S139" s="5" t="s">
        <v>244</v>
      </c>
      <c r="T139" s="5" t="s">
        <v>245</v>
      </c>
      <c r="U139" s="5" t="s">
        <v>244</v>
      </c>
      <c r="V139" s="5" t="s">
        <v>245</v>
      </c>
      <c r="W139" s="5" t="s">
        <v>244</v>
      </c>
      <c r="X139" s="5" t="s">
        <v>245</v>
      </c>
      <c r="Y139" s="5" t="s">
        <v>244</v>
      </c>
      <c r="Z139" s="5" t="s">
        <v>245</v>
      </c>
      <c r="AA139" s="5" t="s">
        <v>244</v>
      </c>
      <c r="AB139" s="5" t="s">
        <v>245</v>
      </c>
      <c r="AC139" s="5" t="s">
        <v>244</v>
      </c>
      <c r="AD139" s="5" t="s">
        <v>245</v>
      </c>
      <c r="AE139" s="5" t="s">
        <v>244</v>
      </c>
      <c r="AF139" s="5" t="s">
        <v>245</v>
      </c>
      <c r="AG139" s="5" t="s">
        <v>244</v>
      </c>
      <c r="AH139" s="5" t="s">
        <v>245</v>
      </c>
      <c r="AI139" s="5" t="s">
        <v>244</v>
      </c>
      <c r="AJ139" s="5" t="s">
        <v>245</v>
      </c>
      <c r="AK139" s="5" t="s">
        <v>244</v>
      </c>
      <c r="AL139" s="5" t="s">
        <v>245</v>
      </c>
      <c r="AM139" s="5" t="s">
        <v>244</v>
      </c>
      <c r="AN139" s="5" t="s">
        <v>245</v>
      </c>
      <c r="AO139" s="5" t="s">
        <v>244</v>
      </c>
      <c r="AP139" s="6" t="s">
        <v>245</v>
      </c>
    </row>
    <row r="140" spans="1:42" x14ac:dyDescent="0.25">
      <c r="A140" s="129">
        <v>0</v>
      </c>
      <c r="B140" s="129" t="e">
        <f>'Sub C_D_0'!AV160</f>
        <v>#DIV/0!</v>
      </c>
      <c r="C140" s="129" t="e">
        <f>'C_L vs. α'!X441</f>
        <v>#NUM!</v>
      </c>
      <c r="D140" s="144">
        <v>-6</v>
      </c>
      <c r="E140" s="14">
        <f>(D140-$B$12)*$C$141</f>
        <v>-0.53126263485977143</v>
      </c>
      <c r="F140" s="6">
        <f>$B$141+$B$7*E140^2+$B$8*(E140-E$143)^2</f>
        <v>4.3387051247155486E-2</v>
      </c>
      <c r="G140" s="14">
        <f>(D140-$B$12)*$C$142</f>
        <v>-0.53551568935020843</v>
      </c>
      <c r="H140" s="6">
        <f>$B$142+$B$7*G140^2+$B$8*(G140-G$143)^2</f>
        <v>4.2641509152394994E-2</v>
      </c>
      <c r="I140" s="14">
        <f>(D140-$B$12)*$C$143</f>
        <v>-0.54174613167662611</v>
      </c>
      <c r="J140" s="6">
        <f>$B$143+$B$7*I140^2+$B$8*(I140-I$143)^2</f>
        <v>4.2737627591560905E-2</v>
      </c>
      <c r="K140" s="14">
        <f>(D140-$B$12)*$C$144</f>
        <v>-0.55031900679526591</v>
      </c>
      <c r="L140" s="6">
        <f>$B$144+$B$7*K140^2+$B$8*(K140-K$143)^2</f>
        <v>4.334851230329409E-2</v>
      </c>
      <c r="M140" s="5">
        <f>(D140-$B$12)*$C$145</f>
        <v>-0.56152754182081688</v>
      </c>
      <c r="N140" s="6">
        <f>$B$145+$B$7*M140^2+$B$8*(M140-M$143)^2</f>
        <v>4.4416341660048791E-2</v>
      </c>
      <c r="O140" s="5">
        <f>(D140-$B$12)*$C$146</f>
        <v>-0.57518600983374135</v>
      </c>
      <c r="P140" s="6">
        <f>$B$146+$B$7*O140^2+$B$8*(O140-O$143)^2</f>
        <v>4.6359402857811711E-2</v>
      </c>
      <c r="Q140" s="5">
        <f>(D140-$B$12)*$C$147</f>
        <v>-0.59282244600848555</v>
      </c>
      <c r="R140" s="6">
        <f>$B$147+$B$7*Q140^2+$B$8*(Q140-Q$143)^2</f>
        <v>4.8432539505312185E-2</v>
      </c>
      <c r="S140" s="5">
        <f>(D140-$B$12)*$C$148</f>
        <v>-0.61445212160883278</v>
      </c>
      <c r="T140" s="6">
        <f>$B$148+$B$7*S140^2+$B$8*(S140-S$143)^2</f>
        <v>5.1150985451938934E-2</v>
      </c>
      <c r="U140" s="5">
        <f>(D140-$B$12)*$C$149</f>
        <v>-0.64083850480831661</v>
      </c>
      <c r="V140" s="6">
        <f>$B$149+$B$7*U140^2+$B$8*(U140-U$143)^2</f>
        <v>5.4672082043616357E-2</v>
      </c>
      <c r="W140" s="5">
        <f>(D140-$B$12)*$C$150</f>
        <v>-0.67300756547032325</v>
      </c>
      <c r="X140" s="6">
        <f>$B$150+$B$7*W140^2+$B$8*(W140-W$143)^2</f>
        <v>5.9226729167306189E-2</v>
      </c>
      <c r="Y140" s="5">
        <f>(D140-$B$12)*$C$151</f>
        <v>-0.71235664087061346</v>
      </c>
      <c r="Z140" s="6">
        <f>$B$151+$B$7*Y140^2+$B$8*(Y140-Y$143)^2</f>
        <v>6.5155413211483687E-2</v>
      </c>
      <c r="AA140" s="5">
        <f>(D140-$B$12)*$C$152</f>
        <v>-0.7608191499083099</v>
      </c>
      <c r="AB140" s="6">
        <f>$B$152+$B$7*AA140^2+$B$8*(AA140-AA$143)^2</f>
        <v>7.2969301469045053E-2</v>
      </c>
      <c r="AC140" s="5">
        <f>(D140-$B$12)*$C$153</f>
        <v>-0.82131681196568496</v>
      </c>
      <c r="AD140" s="6">
        <f>$B$153+$B$7*AC140^2+$B$8*(AC140-AC$143)^2</f>
        <v>8.3955648404368921E-2</v>
      </c>
      <c r="AE140" s="5">
        <f>(D140-$B$12)*$C$154</f>
        <v>-0.89773573144003305</v>
      </c>
      <c r="AF140" s="6">
        <f>$B$154+$B$7*AE140^2+$B$8*(AE140-AE$143)^2</f>
        <v>9.8437298832595638E-2</v>
      </c>
      <c r="AG140" s="5">
        <f>(D140-$B$12)*$C$155</f>
        <v>-0.99569825350747698</v>
      </c>
      <c r="AH140" s="6">
        <f>$B$155+$B$7*AG140^2+$B$8*(AG140-AG$143)^2</f>
        <v>0.11893073873100392</v>
      </c>
      <c r="AI140" s="5">
        <f>(D140-$B$12)*$C$156</f>
        <v>-1.1229969191984597</v>
      </c>
      <c r="AJ140" s="5">
        <f>$B$156+$B$9*AI140^2</f>
        <v>0.13767697327146003</v>
      </c>
      <c r="AK140" s="5">
        <f>(D140-$B$12)*$C$157</f>
        <v>-1.2924047999753883</v>
      </c>
      <c r="AL140" s="5">
        <f>$B$157+$B$9*AK140^2</f>
        <v>0.1798474833133468</v>
      </c>
      <c r="AM140" s="5">
        <f>(D140-$B$12)*$C$158</f>
        <v>-1.481854981946771</v>
      </c>
      <c r="AN140" s="5">
        <f>$B$158+$B$9*AM140^2</f>
        <v>0.2334623069865765</v>
      </c>
      <c r="AO140" s="5">
        <f>(D140-$B$12)*$C$159</f>
        <v>-1.3417230013545796</v>
      </c>
      <c r="AP140" s="6">
        <f>$B$159+$B$9*AO140^2</f>
        <v>0.19297804881430231</v>
      </c>
    </row>
    <row r="141" spans="1:42" x14ac:dyDescent="0.25">
      <c r="A141" s="139">
        <v>0.05</v>
      </c>
      <c r="B141" s="142">
        <f>'Sub C_D_0'!AV161</f>
        <v>1.207337372688551E-2</v>
      </c>
      <c r="C141" s="258">
        <f>'C_L vs. α'!X442</f>
        <v>0.10625252697195428</v>
      </c>
      <c r="D141" s="144">
        <v>-4</v>
      </c>
      <c r="E141" s="14">
        <f t="shared" ref="E141:E151" si="190">(D141-$B$12)*$C$141</f>
        <v>-0.31875758091586281</v>
      </c>
      <c r="F141" s="6">
        <f t="shared" ref="F141:F151" si="191">$B$141+$B$7*E141^2+$B$8*(E141-E$143)^2</f>
        <v>2.4032705283048593E-2</v>
      </c>
      <c r="G141" s="14">
        <f t="shared" ref="G141:G151" si="192">(D141-$B$12)*$C$142</f>
        <v>-0.32130941361012511</v>
      </c>
      <c r="H141" s="6">
        <f t="shared" ref="H141:H151" si="193">$B$142+$B$7*G141^2+$B$8*(G141-G$143)^2</f>
        <v>2.2976038062048957E-2</v>
      </c>
      <c r="I141" s="14">
        <f t="shared" ref="I141:I151" si="194">(D141-$B$12)*$C$143</f>
        <v>-0.32504767900597564</v>
      </c>
      <c r="J141" s="6">
        <f t="shared" ref="J141:J151" si="195">$B$143+$B$7*I141^2+$B$8*(I141-I$143)^2</f>
        <v>2.2611899816592635E-2</v>
      </c>
      <c r="K141" s="14">
        <f t="shared" ref="K141:K151" si="196">(D141-$B$12)*$C$144</f>
        <v>-0.33019140407715952</v>
      </c>
      <c r="L141" s="6">
        <f t="shared" ref="L141:L151" si="197">$B$144+$B$7*K141^2+$B$8*(K141-K$143)^2</f>
        <v>2.2580784574135322E-2</v>
      </c>
      <c r="M141" s="5">
        <f t="shared" ref="M141:M151" si="198">(D141-$B$12)*$C$145</f>
        <v>-0.33691652509249015</v>
      </c>
      <c r="N141" s="6">
        <f t="shared" ref="N141:N151" si="199">$B$145+$B$7*M141^2+$B$8*(M141-M$143)^2</f>
        <v>2.2794032087023235E-2</v>
      </c>
      <c r="O141" s="5">
        <f t="shared" ref="O141:O151" si="200">(D141-$B$12)*$C$146</f>
        <v>-0.34511160590024481</v>
      </c>
      <c r="P141" s="6">
        <f t="shared" ref="P141:P151" si="201">$B$146+$B$7*O141^2+$B$8*(O141-O$143)^2</f>
        <v>2.3672428268993278E-2</v>
      </c>
      <c r="Q141" s="5">
        <f t="shared" ref="Q141:Q151" si="202">(D141-$B$12)*$C$147</f>
        <v>-0.35569346760509135</v>
      </c>
      <c r="R141" s="6">
        <f t="shared" ref="R141:R151" si="203">$B$147+$B$7*Q141^2+$B$8*(Q141-Q$143)^2</f>
        <v>2.4332972813384628E-2</v>
      </c>
      <c r="S141" s="5">
        <f t="shared" ref="S141:S151" si="204">(D141-$B$12)*$C$148</f>
        <v>-0.36867127296529967</v>
      </c>
      <c r="T141" s="6">
        <f t="shared" ref="T141:T151" si="205">$B$148+$B$7*S141^2+$B$8*(S141-S$143)^2</f>
        <v>2.5260746878480209E-2</v>
      </c>
      <c r="U141" s="5">
        <f t="shared" ref="U141:U151" si="206">(D141-$B$12)*$C$149</f>
        <v>-0.38450310288499001</v>
      </c>
      <c r="V141" s="6">
        <f t="shared" ref="V141:V151" si="207">$B$149+$B$7*U141^2+$B$8*(U141-U$143)^2</f>
        <v>2.6510493229743869E-2</v>
      </c>
      <c r="W141" s="5">
        <f t="shared" ref="W141:W151" si="208">(D141-$B$12)*$C$150</f>
        <v>-0.40380453928219395</v>
      </c>
      <c r="X141" s="6">
        <f t="shared" ref="X141:X151" si="209">$B$150+$B$7*W141^2+$B$8*(W141-W$143)^2</f>
        <v>2.8166843787503757E-2</v>
      </c>
      <c r="Y141" s="5">
        <f t="shared" ref="Y141:Y151" si="210">(D141-$B$12)*$C$151</f>
        <v>-0.42741398452236812</v>
      </c>
      <c r="Z141" s="6">
        <f t="shared" ref="Z141:Z151" si="211">$B$151+$B$7*Y141^2+$B$8*(Y141-Y$143)^2</f>
        <v>3.0357362970655877E-2</v>
      </c>
      <c r="AA141" s="5">
        <f t="shared" ref="AA141:AA151" si="212">(D141-$B$12)*$C$152</f>
        <v>-0.4564914899449859</v>
      </c>
      <c r="AB141" s="6">
        <f t="shared" ref="AB141:AB151" si="213">$B$152+$B$7*AA141^2+$B$8*(AA141-AA$143)^2</f>
        <v>3.3275487791986011E-2</v>
      </c>
      <c r="AC141" s="5">
        <f t="shared" ref="AC141:AC151" si="214">(D141-$B$12)*$C$153</f>
        <v>-0.49279008717941097</v>
      </c>
      <c r="AD141" s="6">
        <f t="shared" ref="AD141:AD151" si="215">$B$153+$B$7*AC141^2+$B$8*(AC141-AC$143)^2</f>
        <v>3.7698231046443237E-2</v>
      </c>
      <c r="AE141" s="5">
        <f t="shared" ref="AE141:AE151" si="216">(D141-$B$12)*$C$154</f>
        <v>-0.53864143886401983</v>
      </c>
      <c r="AF141" s="6">
        <f t="shared" ref="AF141:AF151" si="217">$B$154+$B$7*AE141^2+$B$8*(AE141-AE$143)^2</f>
        <v>4.3171432974654297E-2</v>
      </c>
      <c r="AG141" s="5">
        <f t="shared" ref="AG141:AG151" si="218">(D141-$B$12)*$C$155</f>
        <v>-0.59741895210448615</v>
      </c>
      <c r="AH141" s="6">
        <f t="shared" ref="AH141:AH151" si="219">$B$155+$B$7*AG141^2+$B$8*(AG141-AG$143)^2</f>
        <v>5.0945371641547277E-2</v>
      </c>
      <c r="AI141" s="5">
        <f t="shared" ref="AI141:AI151" si="220">(D141-$B$12)*$C$156</f>
        <v>-0.67379815151907585</v>
      </c>
      <c r="AJ141" s="5">
        <f t="shared" ref="AJ141:AJ151" si="221">$B$156+$B$9*AI141^2</f>
        <v>5.5232284179136323E-2</v>
      </c>
      <c r="AK141" s="5">
        <f t="shared" ref="AK141:AK151" si="222">(D141-$B$12)*$C$157</f>
        <v>-0.77544287998523287</v>
      </c>
      <c r="AL141" s="5">
        <f t="shared" ref="AL141:AL151" si="223">$B$157+$B$9*AK141^2</f>
        <v>7.0652501691721936E-2</v>
      </c>
      <c r="AM141" s="5">
        <f t="shared" ref="AM141:AM151" si="224">(D141-$B$12)*$C$158</f>
        <v>-0.8891129891680627</v>
      </c>
      <c r="AN141" s="5">
        <f t="shared" ref="AN141:AN151" si="225">$B$158+$B$9*AM141^2</f>
        <v>8.9907756348789031E-2</v>
      </c>
      <c r="AO141" s="5">
        <f t="shared" ref="AO141:AO151" si="226">(D141-$B$12)*$C$159</f>
        <v>-0.80503380081274767</v>
      </c>
      <c r="AP141" s="6">
        <f t="shared" ref="AP141:AP151" si="227">$B$159+$B$9*AO141^2</f>
        <v>7.5290292033726669E-2</v>
      </c>
    </row>
    <row r="142" spans="1:42" x14ac:dyDescent="0.25">
      <c r="A142" s="129">
        <v>0.1</v>
      </c>
      <c r="B142" s="129">
        <f>'Sub C_D_0'!AV162</f>
        <v>1.0824457770276429E-2</v>
      </c>
      <c r="C142" s="257">
        <f>'C_L vs. α'!X443</f>
        <v>0.10710313787004169</v>
      </c>
      <c r="D142" s="144">
        <v>-2</v>
      </c>
      <c r="E142" s="14">
        <f t="shared" si="190"/>
        <v>-0.10625252697195428</v>
      </c>
      <c r="F142" s="6">
        <f t="shared" si="191"/>
        <v>1.3903948321478113E-2</v>
      </c>
      <c r="G142" s="14">
        <f t="shared" si="192"/>
        <v>-0.10710313787004169</v>
      </c>
      <c r="H142" s="6">
        <f t="shared" si="193"/>
        <v>1.2684459231211561E-2</v>
      </c>
      <c r="I142" s="14">
        <f t="shared" si="194"/>
        <v>-0.10834922633532522</v>
      </c>
      <c r="J142" s="6">
        <f t="shared" si="195"/>
        <v>1.2079453735209956E-2</v>
      </c>
      <c r="K142" s="14">
        <f t="shared" si="196"/>
        <v>-0.11006380135905318</v>
      </c>
      <c r="L142" s="6">
        <f t="shared" si="197"/>
        <v>1.1712359094771736E-2</v>
      </c>
      <c r="M142" s="5">
        <f t="shared" si="198"/>
        <v>-0.11230550836416338</v>
      </c>
      <c r="N142" s="6">
        <f t="shared" si="199"/>
        <v>1.1478376212153129E-2</v>
      </c>
      <c r="O142" s="5">
        <f t="shared" si="200"/>
        <v>-0.11503720196674827</v>
      </c>
      <c r="P142" s="6">
        <f t="shared" si="201"/>
        <v>1.1799598661130527E-2</v>
      </c>
      <c r="Q142" s="5">
        <f t="shared" si="202"/>
        <v>-0.11856448920169711</v>
      </c>
      <c r="R142" s="6">
        <f t="shared" si="203"/>
        <v>1.1720887943434472E-2</v>
      </c>
      <c r="S142" s="5">
        <f t="shared" si="204"/>
        <v>-0.12289042432176656</v>
      </c>
      <c r="T142" s="6">
        <f t="shared" si="205"/>
        <v>1.1711545336151492E-2</v>
      </c>
      <c r="U142" s="5">
        <f t="shared" si="206"/>
        <v>-0.12816770096166333</v>
      </c>
      <c r="V142" s="6">
        <f t="shared" si="207"/>
        <v>1.1772620440015688E-2</v>
      </c>
      <c r="W142" s="5">
        <f t="shared" si="208"/>
        <v>-0.13460151309406465</v>
      </c>
      <c r="X142" s="6">
        <f t="shared" si="209"/>
        <v>1.1912198404514079E-2</v>
      </c>
      <c r="Y142" s="5">
        <f t="shared" si="210"/>
        <v>-0.1424713281741227</v>
      </c>
      <c r="Z142" s="6">
        <f t="shared" si="211"/>
        <v>1.2146414676174019E-2</v>
      </c>
      <c r="AA142" s="5">
        <f t="shared" si="212"/>
        <v>-0.15216382998166197</v>
      </c>
      <c r="AB142" s="6">
        <f t="shared" si="213"/>
        <v>1.2502427707268971E-2</v>
      </c>
      <c r="AC142" s="5">
        <f t="shared" si="214"/>
        <v>-0.16426336239313699</v>
      </c>
      <c r="AD142" s="6">
        <f t="shared" si="215"/>
        <v>1.3490224278492434E-2</v>
      </c>
      <c r="AE142" s="5">
        <f t="shared" si="216"/>
        <v>-0.17954714628800661</v>
      </c>
      <c r="AF142" s="6">
        <f t="shared" si="217"/>
        <v>1.424901293607694E-2</v>
      </c>
      <c r="AG142" s="5">
        <f t="shared" si="218"/>
        <v>-0.19913965070149539</v>
      </c>
      <c r="AH142" s="6">
        <f t="shared" si="219"/>
        <v>1.5366424077558425E-2</v>
      </c>
      <c r="AI142" s="5">
        <f t="shared" si="220"/>
        <v>-0.22459938383969194</v>
      </c>
      <c r="AJ142" s="5">
        <f t="shared" si="221"/>
        <v>1.4009939632974464E-2</v>
      </c>
      <c r="AK142" s="5">
        <f t="shared" si="222"/>
        <v>-0.25848095999507764</v>
      </c>
      <c r="AL142" s="5">
        <f t="shared" si="223"/>
        <v>1.605501088090952E-2</v>
      </c>
      <c r="AM142" s="5">
        <f t="shared" si="224"/>
        <v>-0.29637099638935421</v>
      </c>
      <c r="AN142" s="5">
        <f t="shared" si="225"/>
        <v>1.8130481029895271E-2</v>
      </c>
      <c r="AO142" s="5">
        <f t="shared" si="226"/>
        <v>-0.26834460027091589</v>
      </c>
      <c r="AP142" s="6">
        <f t="shared" si="227"/>
        <v>1.6446413643438861E-2</v>
      </c>
    </row>
    <row r="143" spans="1:42" s="29" customFormat="1" x14ac:dyDescent="0.25">
      <c r="A143" s="139">
        <v>0.15</v>
      </c>
      <c r="B143" s="142">
        <f>'Sub C_D_0'!AV163</f>
        <v>1.0175920232663945E-2</v>
      </c>
      <c r="C143" s="258">
        <f>'C_L vs. α'!X444</f>
        <v>0.10834922633532522</v>
      </c>
      <c r="D143" s="143">
        <v>0</v>
      </c>
      <c r="E143" s="83">
        <f t="shared" si="190"/>
        <v>0.10625252697195428</v>
      </c>
      <c r="F143" s="21">
        <f t="shared" si="191"/>
        <v>1.3000780362444044E-2</v>
      </c>
      <c r="G143" s="83">
        <f t="shared" si="192"/>
        <v>0.10710313787004169</v>
      </c>
      <c r="H143" s="21">
        <f t="shared" si="193"/>
        <v>1.1766772659882827E-2</v>
      </c>
      <c r="I143" s="83">
        <f t="shared" si="194"/>
        <v>0.10834922633532522</v>
      </c>
      <c r="J143" s="21">
        <f t="shared" si="195"/>
        <v>1.1140289347412874E-2</v>
      </c>
      <c r="K143" s="83">
        <f t="shared" si="196"/>
        <v>0.11006380135905318</v>
      </c>
      <c r="L143" s="21">
        <f t="shared" si="197"/>
        <v>1.0743235865203326E-2</v>
      </c>
      <c r="M143" s="58">
        <f t="shared" si="198"/>
        <v>0.11230550836416338</v>
      </c>
      <c r="N143" s="21">
        <f t="shared" si="199"/>
        <v>1.0469374035438475E-2</v>
      </c>
      <c r="O143" s="58">
        <f t="shared" si="200"/>
        <v>0.11503720196674827</v>
      </c>
      <c r="P143" s="21">
        <f t="shared" si="201"/>
        <v>1.0740914034223451E-2</v>
      </c>
      <c r="Q143" s="58">
        <f t="shared" si="202"/>
        <v>0.11856448920169711</v>
      </c>
      <c r="R143" s="21">
        <f t="shared" si="203"/>
        <v>1.0596284895461723E-2</v>
      </c>
      <c r="S143" s="58">
        <f t="shared" si="204"/>
        <v>0.12289042432176656</v>
      </c>
      <c r="T143" s="21">
        <f t="shared" si="205"/>
        <v>1.0503380824952786E-2</v>
      </c>
      <c r="U143" s="58">
        <f t="shared" si="206"/>
        <v>0.12816770096166333</v>
      </c>
      <c r="V143" s="21">
        <f t="shared" si="207"/>
        <v>1.0458463674431819E-2</v>
      </c>
      <c r="W143" s="58">
        <f t="shared" si="208"/>
        <v>0.13460151309406465</v>
      </c>
      <c r="X143" s="21">
        <f t="shared" si="209"/>
        <v>1.0462793018337146E-2</v>
      </c>
      <c r="Y143" s="58">
        <f t="shared" si="210"/>
        <v>0.1424713281741227</v>
      </c>
      <c r="Z143" s="21">
        <f t="shared" si="211"/>
        <v>1.0522568328038134E-2</v>
      </c>
      <c r="AA143" s="58">
        <f t="shared" si="212"/>
        <v>0.15216382998166197</v>
      </c>
      <c r="AB143" s="21">
        <f t="shared" si="213"/>
        <v>1.0650121214893921E-2</v>
      </c>
      <c r="AC143" s="58">
        <f t="shared" si="214"/>
        <v>0.16426336239313699</v>
      </c>
      <c r="AD143" s="21">
        <f t="shared" si="215"/>
        <v>1.133162810051651E-2</v>
      </c>
      <c r="AE143" s="58">
        <f t="shared" si="216"/>
        <v>0.17954714628800661</v>
      </c>
      <c r="AF143" s="21">
        <f t="shared" si="217"/>
        <v>1.1670038716863593E-2</v>
      </c>
      <c r="AG143" s="58">
        <f t="shared" si="218"/>
        <v>0.19913965070149539</v>
      </c>
      <c r="AH143" s="21">
        <f t="shared" si="219"/>
        <v>1.2193896039037337E-2</v>
      </c>
      <c r="AI143" s="58">
        <f t="shared" si="220"/>
        <v>0.22459938383969194</v>
      </c>
      <c r="AJ143" s="58">
        <f t="shared" si="221"/>
        <v>1.4009939632974464E-2</v>
      </c>
      <c r="AK143" s="58">
        <f t="shared" si="222"/>
        <v>0.25848095999507764</v>
      </c>
      <c r="AL143" s="58">
        <f t="shared" si="223"/>
        <v>1.605501088090952E-2</v>
      </c>
      <c r="AM143" s="58">
        <f t="shared" si="224"/>
        <v>0.29637099638935421</v>
      </c>
      <c r="AN143" s="58">
        <f t="shared" si="225"/>
        <v>1.8130481029895271E-2</v>
      </c>
      <c r="AO143" s="58">
        <f t="shared" si="226"/>
        <v>0.26834460027091589</v>
      </c>
      <c r="AP143" s="21">
        <f t="shared" si="227"/>
        <v>1.6446413643438861E-2</v>
      </c>
    </row>
    <row r="144" spans="1:42" x14ac:dyDescent="0.25">
      <c r="A144" s="129">
        <v>0.2</v>
      </c>
      <c r="B144" s="129">
        <f>'Sub C_D_0'!AV164</f>
        <v>9.7481038913710318E-3</v>
      </c>
      <c r="C144" s="257">
        <f>'C_L vs. α'!X445</f>
        <v>0.11006380135905318</v>
      </c>
      <c r="D144" s="144">
        <v>2</v>
      </c>
      <c r="E144" s="14">
        <f t="shared" si="190"/>
        <v>0.31875758091586281</v>
      </c>
      <c r="F144" s="6">
        <f t="shared" si="191"/>
        <v>2.1323201405946384E-2</v>
      </c>
      <c r="G144" s="14">
        <f t="shared" si="192"/>
        <v>0.32130941361012511</v>
      </c>
      <c r="H144" s="6">
        <f>$B$142+$B$7*G144^2+$B$8*(G144-G$143)^2</f>
        <v>2.0222978348062758E-2</v>
      </c>
      <c r="I144" s="14">
        <f t="shared" si="194"/>
        <v>0.32504767900597564</v>
      </c>
      <c r="J144" s="6">
        <f t="shared" si="195"/>
        <v>1.9794406653201386E-2</v>
      </c>
      <c r="K144" s="14">
        <f t="shared" si="196"/>
        <v>0.33019140407715952</v>
      </c>
      <c r="L144" s="6">
        <f t="shared" si="197"/>
        <v>1.9673414885430094E-2</v>
      </c>
      <c r="M144" s="5">
        <f t="shared" si="198"/>
        <v>0.33691652509249015</v>
      </c>
      <c r="N144" s="6">
        <f t="shared" si="199"/>
        <v>1.9767025556879276E-2</v>
      </c>
      <c r="O144" s="5">
        <f t="shared" si="200"/>
        <v>0.34511160590024481</v>
      </c>
      <c r="P144" s="6">
        <f t="shared" si="201"/>
        <v>2.0496374388272055E-2</v>
      </c>
      <c r="Q144" s="5">
        <f t="shared" si="202"/>
        <v>0.35569346760509135</v>
      </c>
      <c r="R144" s="6">
        <f t="shared" si="203"/>
        <v>2.0959163669466385E-2</v>
      </c>
      <c r="S144" s="5">
        <f t="shared" si="204"/>
        <v>0.36867127296529967</v>
      </c>
      <c r="T144" s="6">
        <f t="shared" si="205"/>
        <v>2.1636253344884088E-2</v>
      </c>
      <c r="U144" s="5">
        <f t="shared" si="206"/>
        <v>0.38450310288499001</v>
      </c>
      <c r="V144" s="6">
        <f t="shared" si="207"/>
        <v>2.2568022932992263E-2</v>
      </c>
      <c r="W144" s="5">
        <f t="shared" si="208"/>
        <v>0.40380453928219395</v>
      </c>
      <c r="X144" s="6">
        <f t="shared" si="209"/>
        <v>2.3818627628972959E-2</v>
      </c>
      <c r="Y144" s="5">
        <f t="shared" si="210"/>
        <v>0.42741398452236812</v>
      </c>
      <c r="Z144" s="6">
        <f t="shared" si="211"/>
        <v>2.5485823926248222E-2</v>
      </c>
      <c r="AA144" s="5">
        <f t="shared" si="212"/>
        <v>0.4564914899449859</v>
      </c>
      <c r="AB144" s="6">
        <f t="shared" si="213"/>
        <v>2.7718568314860859E-2</v>
      </c>
      <c r="AC144" s="5">
        <f t="shared" si="214"/>
        <v>0.49279008717941097</v>
      </c>
      <c r="AD144" s="6">
        <f t="shared" si="215"/>
        <v>3.1222442512515464E-2</v>
      </c>
      <c r="AE144" s="5">
        <f t="shared" si="216"/>
        <v>0.53864143886401983</v>
      </c>
      <c r="AF144" s="6">
        <f t="shared" si="217"/>
        <v>3.5434510317014251E-2</v>
      </c>
      <c r="AG144" s="5">
        <f t="shared" si="218"/>
        <v>0.59741895210448615</v>
      </c>
      <c r="AH144" s="6">
        <f t="shared" si="219"/>
        <v>4.1427787525984021E-2</v>
      </c>
      <c r="AI144" s="5">
        <f t="shared" si="220"/>
        <v>0.67379815151907585</v>
      </c>
      <c r="AJ144" s="5">
        <f t="shared" si="221"/>
        <v>5.5232284179136323E-2</v>
      </c>
      <c r="AK144" s="5">
        <f t="shared" si="222"/>
        <v>0.77544287998523287</v>
      </c>
      <c r="AL144" s="5">
        <f t="shared" si="223"/>
        <v>7.0652501691721936E-2</v>
      </c>
      <c r="AM144" s="5">
        <f t="shared" si="224"/>
        <v>0.8891129891680627</v>
      </c>
      <c r="AN144" s="5">
        <f t="shared" si="225"/>
        <v>8.9907756348789031E-2</v>
      </c>
      <c r="AO144" s="5">
        <f t="shared" si="226"/>
        <v>0.80503380081274767</v>
      </c>
      <c r="AP144" s="6">
        <f t="shared" si="227"/>
        <v>7.5290292033726669E-2</v>
      </c>
    </row>
    <row r="145" spans="1:42" x14ac:dyDescent="0.25">
      <c r="A145" s="139">
        <v>0.25</v>
      </c>
      <c r="B145" s="142">
        <f>'Sub C_D_0'!AV165</f>
        <v>9.4332928673477069E-3</v>
      </c>
      <c r="C145" s="258">
        <f>'C_L vs. α'!X446</f>
        <v>0.11230550836416338</v>
      </c>
      <c r="D145" s="144">
        <v>4</v>
      </c>
      <c r="E145" s="14">
        <f t="shared" si="190"/>
        <v>0.53126263485977143</v>
      </c>
      <c r="F145" s="6">
        <f t="shared" si="191"/>
        <v>3.8871211451985133E-2</v>
      </c>
      <c r="G145" s="14">
        <f t="shared" si="192"/>
        <v>0.53551568935020843</v>
      </c>
      <c r="H145" s="6">
        <f t="shared" si="193"/>
        <v>3.8053076295751338E-2</v>
      </c>
      <c r="I145" s="14">
        <f t="shared" si="194"/>
        <v>0.54174613167662611</v>
      </c>
      <c r="J145" s="6">
        <f t="shared" si="195"/>
        <v>3.8041805652575492E-2</v>
      </c>
      <c r="K145" s="14">
        <f t="shared" si="196"/>
        <v>0.55031900679526591</v>
      </c>
      <c r="L145" s="6">
        <f t="shared" si="197"/>
        <v>3.8502896155452049E-2</v>
      </c>
      <c r="M145" s="5">
        <f t="shared" si="198"/>
        <v>0.56152754182081688</v>
      </c>
      <c r="N145" s="6">
        <f t="shared" si="199"/>
        <v>3.9371330776475526E-2</v>
      </c>
      <c r="O145" s="5">
        <f t="shared" si="200"/>
        <v>0.57518600983374135</v>
      </c>
      <c r="P145" s="6">
        <f t="shared" si="201"/>
        <v>4.1065979723276344E-2</v>
      </c>
      <c r="Q145" s="5">
        <f t="shared" si="202"/>
        <v>0.59282244600848555</v>
      </c>
      <c r="R145" s="6">
        <f t="shared" si="203"/>
        <v>4.2809524265448443E-2</v>
      </c>
      <c r="S145" s="5">
        <f t="shared" si="204"/>
        <v>0.61445212160883278</v>
      </c>
      <c r="T145" s="6">
        <f t="shared" si="205"/>
        <v>4.5110162895945397E-2</v>
      </c>
      <c r="U145" s="5">
        <f t="shared" si="206"/>
        <v>0.64083850480831661</v>
      </c>
      <c r="V145" s="6">
        <f t="shared" si="207"/>
        <v>4.8101298215697016E-2</v>
      </c>
      <c r="W145" s="5">
        <f t="shared" si="208"/>
        <v>0.67300756547032325</v>
      </c>
      <c r="X145" s="6">
        <f t="shared" si="209"/>
        <v>5.1979702236421531E-2</v>
      </c>
      <c r="Y145" s="5">
        <f t="shared" si="210"/>
        <v>0.71235664087061346</v>
      </c>
      <c r="Z145" s="6">
        <f t="shared" si="211"/>
        <v>5.7036181470804262E-2</v>
      </c>
      <c r="AA145" s="5">
        <f t="shared" si="212"/>
        <v>0.7608191499083099</v>
      </c>
      <c r="AB145" s="6">
        <f t="shared" si="213"/>
        <v>6.3707769007169804E-2</v>
      </c>
      <c r="AC145" s="5">
        <f t="shared" si="214"/>
        <v>0.82131681196568496</v>
      </c>
      <c r="AD145" s="6">
        <f t="shared" si="215"/>
        <v>7.3162667514489299E-2</v>
      </c>
      <c r="AE145" s="5">
        <f t="shared" si="216"/>
        <v>0.89773573144003305</v>
      </c>
      <c r="AF145" s="6">
        <f t="shared" si="217"/>
        <v>8.5542427736528898E-2</v>
      </c>
      <c r="AG145" s="5">
        <f t="shared" si="218"/>
        <v>0.99569825350747698</v>
      </c>
      <c r="AH145" s="6">
        <f t="shared" si="219"/>
        <v>0.10306809853839848</v>
      </c>
      <c r="AI145" s="5">
        <f t="shared" si="220"/>
        <v>1.1229969191984597</v>
      </c>
      <c r="AJ145" s="5">
        <f t="shared" si="221"/>
        <v>0.13767697327146003</v>
      </c>
      <c r="AK145" s="5">
        <f t="shared" si="222"/>
        <v>1.2924047999753883</v>
      </c>
      <c r="AL145" s="5">
        <f t="shared" si="223"/>
        <v>0.1798474833133468</v>
      </c>
      <c r="AM145" s="5">
        <f t="shared" si="224"/>
        <v>1.481854981946771</v>
      </c>
      <c r="AN145" s="5">
        <f t="shared" si="225"/>
        <v>0.2334623069865765</v>
      </c>
      <c r="AO145" s="5">
        <f t="shared" si="226"/>
        <v>1.3417230013545796</v>
      </c>
      <c r="AP145" s="6">
        <f t="shared" si="227"/>
        <v>0.19297804881430231</v>
      </c>
    </row>
    <row r="146" spans="1:42" x14ac:dyDescent="0.25">
      <c r="A146" s="129">
        <v>0.3</v>
      </c>
      <c r="B146" s="129">
        <f>'Sub C_D_0'!AV166</f>
        <v>9.6538170683307598E-3</v>
      </c>
      <c r="C146" s="257">
        <f>'C_L vs. α'!X447</f>
        <v>0.11503720196674827</v>
      </c>
      <c r="D146" s="144">
        <v>6</v>
      </c>
      <c r="E146" s="14">
        <f t="shared" si="190"/>
        <v>0.74376768880367994</v>
      </c>
      <c r="F146" s="6">
        <f t="shared" si="191"/>
        <v>6.5644810500560286E-2</v>
      </c>
      <c r="G146" s="14">
        <f t="shared" si="192"/>
        <v>0.74972196509029188</v>
      </c>
      <c r="H146" s="6">
        <f t="shared" si="193"/>
        <v>6.5257066502948602E-2</v>
      </c>
      <c r="I146" s="14">
        <f t="shared" si="194"/>
        <v>0.75844458434727657</v>
      </c>
      <c r="J146" s="6">
        <f t="shared" si="195"/>
        <v>6.5882486345535202E-2</v>
      </c>
      <c r="K146" s="14">
        <f t="shared" si="196"/>
        <v>0.77044660951337229</v>
      </c>
      <c r="L146" s="6">
        <f t="shared" si="197"/>
        <v>6.7231679675269176E-2</v>
      </c>
      <c r="M146" s="5">
        <f t="shared" si="198"/>
        <v>0.78613855854914361</v>
      </c>
      <c r="N146" s="6">
        <f t="shared" si="199"/>
        <v>6.9282289694227228E-2</v>
      </c>
      <c r="O146" s="5">
        <f t="shared" si="200"/>
        <v>0.80526041376723789</v>
      </c>
      <c r="P146" s="6">
        <f t="shared" si="201"/>
        <v>7.2449730039236312E-2</v>
      </c>
      <c r="Q146" s="5">
        <f t="shared" si="202"/>
        <v>0.82995142441187975</v>
      </c>
      <c r="R146" s="6">
        <f t="shared" si="203"/>
        <v>7.6147366683407922E-2</v>
      </c>
      <c r="S146" s="5">
        <f t="shared" si="204"/>
        <v>0.86023297025236589</v>
      </c>
      <c r="T146" s="6">
        <f t="shared" si="205"/>
        <v>8.092510947813672E-2</v>
      </c>
      <c r="U146" s="5">
        <f t="shared" si="206"/>
        <v>0.89717390673164332</v>
      </c>
      <c r="V146" s="6">
        <f t="shared" si="207"/>
        <v>8.7058289522546101E-2</v>
      </c>
      <c r="W146" s="5">
        <f t="shared" si="208"/>
        <v>0.94221059165845256</v>
      </c>
      <c r="X146" s="6">
        <f t="shared" si="209"/>
        <v>9.4946016840682837E-2</v>
      </c>
      <c r="Y146" s="5">
        <f t="shared" si="210"/>
        <v>0.9972992972188589</v>
      </c>
      <c r="Z146" s="6">
        <f t="shared" si="211"/>
        <v>0.10517364096170631</v>
      </c>
      <c r="AA146" s="5">
        <f t="shared" si="212"/>
        <v>1.0651468098716339</v>
      </c>
      <c r="AB146" s="6">
        <f t="shared" si="213"/>
        <v>0.11861772329182071</v>
      </c>
      <c r="AC146" s="5">
        <f t="shared" si="214"/>
        <v>1.149843536751959</v>
      </c>
      <c r="AD146" s="6">
        <f t="shared" si="215"/>
        <v>0.13715230310643803</v>
      </c>
      <c r="AE146" s="5">
        <f t="shared" si="216"/>
        <v>1.2568300240160464</v>
      </c>
      <c r="AF146" s="6">
        <f t="shared" si="217"/>
        <v>0.16199379097540761</v>
      </c>
      <c r="AG146" s="5">
        <f t="shared" si="218"/>
        <v>1.3939775549104678</v>
      </c>
      <c r="AH146" s="6">
        <f t="shared" si="219"/>
        <v>0.19711482907628072</v>
      </c>
      <c r="AI146" s="5">
        <f t="shared" si="220"/>
        <v>1.5721956868778435</v>
      </c>
      <c r="AJ146" s="5">
        <f t="shared" si="221"/>
        <v>0.26134400690994553</v>
      </c>
      <c r="AK146" s="5">
        <f t="shared" si="222"/>
        <v>1.8093667199655434</v>
      </c>
      <c r="AL146" s="5">
        <f t="shared" si="223"/>
        <v>0.34363995574578399</v>
      </c>
      <c r="AM146" s="5">
        <f t="shared" si="224"/>
        <v>2.0745969747254795</v>
      </c>
      <c r="AN146" s="5">
        <f t="shared" si="225"/>
        <v>0.44879413294325782</v>
      </c>
      <c r="AO146" s="5">
        <f t="shared" si="226"/>
        <v>1.8784122018964111</v>
      </c>
      <c r="AP146" s="6">
        <f t="shared" si="227"/>
        <v>0.36950968398516559</v>
      </c>
    </row>
    <row r="147" spans="1:42" x14ac:dyDescent="0.25">
      <c r="A147" s="139">
        <v>0.35</v>
      </c>
      <c r="B147" s="142">
        <f>'Sub C_D_0'!AV167</f>
        <v>9.4415004297077349E-3</v>
      </c>
      <c r="C147" s="258">
        <f>'C_L vs. α'!X448</f>
        <v>0.11856448920169711</v>
      </c>
      <c r="D147" s="144">
        <v>8</v>
      </c>
      <c r="E147" s="14">
        <f t="shared" si="190"/>
        <v>0.95627274274758856</v>
      </c>
      <c r="F147" s="6">
        <f t="shared" si="191"/>
        <v>0.10164399855167187</v>
      </c>
      <c r="G147" s="14">
        <f t="shared" si="192"/>
        <v>0.9639282408303752</v>
      </c>
      <c r="H147" s="6">
        <f t="shared" si="193"/>
        <v>0.10183494896965449</v>
      </c>
      <c r="I147" s="14">
        <f t="shared" si="194"/>
        <v>0.97514303701792693</v>
      </c>
      <c r="J147" s="6">
        <f t="shared" si="195"/>
        <v>0.10331644873208048</v>
      </c>
      <c r="K147" s="14">
        <f t="shared" si="196"/>
        <v>0.99057421223147857</v>
      </c>
      <c r="L147" s="6">
        <f t="shared" si="197"/>
        <v>0.10585976544488145</v>
      </c>
      <c r="M147" s="5">
        <f t="shared" si="198"/>
        <v>1.0107495752774704</v>
      </c>
      <c r="N147" s="6">
        <f t="shared" si="199"/>
        <v>0.1094999023101344</v>
      </c>
      <c r="O147" s="5">
        <f t="shared" si="200"/>
        <v>1.0353348177007344</v>
      </c>
      <c r="P147" s="6">
        <f t="shared" si="201"/>
        <v>0.11464762533615193</v>
      </c>
      <c r="Q147" s="5">
        <f t="shared" si="202"/>
        <v>1.0670804028152741</v>
      </c>
      <c r="R147" s="6">
        <f t="shared" si="203"/>
        <v>0.12097269092334481</v>
      </c>
      <c r="S147" s="5">
        <f t="shared" si="204"/>
        <v>1.106013818895899</v>
      </c>
      <c r="T147" s="6">
        <f t="shared" si="205"/>
        <v>0.12908109309145804</v>
      </c>
      <c r="U147" s="5">
        <f t="shared" si="206"/>
        <v>1.1535093086549699</v>
      </c>
      <c r="V147" s="6">
        <f t="shared" si="207"/>
        <v>0.13943899685353947</v>
      </c>
      <c r="W147" s="5">
        <f t="shared" si="208"/>
        <v>1.2114136178465817</v>
      </c>
      <c r="X147" s="6">
        <f t="shared" si="209"/>
        <v>0.15271757144175691</v>
      </c>
      <c r="Y147" s="5">
        <f t="shared" si="210"/>
        <v>1.2822419535671044</v>
      </c>
      <c r="Z147" s="6">
        <f t="shared" si="211"/>
        <v>0.16989820239895428</v>
      </c>
      <c r="AA147" s="5">
        <f t="shared" si="212"/>
        <v>1.3694744698349577</v>
      </c>
      <c r="AB147" s="6">
        <f t="shared" si="213"/>
        <v>0.19244843116881361</v>
      </c>
      <c r="AC147" s="5">
        <f t="shared" si="214"/>
        <v>1.4783702615382328</v>
      </c>
      <c r="AD147" s="6">
        <f t="shared" si="215"/>
        <v>0.22319134928836157</v>
      </c>
      <c r="AE147" s="5">
        <f t="shared" si="216"/>
        <v>1.6159243165920594</v>
      </c>
      <c r="AF147" s="6">
        <f t="shared" si="217"/>
        <v>0.26478860003365018</v>
      </c>
      <c r="AG147" s="5">
        <f t="shared" si="218"/>
        <v>1.7922568563134584</v>
      </c>
      <c r="AH147" s="6">
        <f t="shared" si="219"/>
        <v>0.32356797913963065</v>
      </c>
      <c r="AI147" s="5">
        <f t="shared" si="220"/>
        <v>2.0213944545572273</v>
      </c>
      <c r="AJ147" s="5">
        <f t="shared" si="221"/>
        <v>0.42623338509459291</v>
      </c>
      <c r="AK147" s="5">
        <f t="shared" si="222"/>
        <v>2.3263286399556988</v>
      </c>
      <c r="AL147" s="5">
        <f t="shared" si="223"/>
        <v>0.56202991898903365</v>
      </c>
      <c r="AM147" s="5">
        <f t="shared" si="224"/>
        <v>2.6673389675041879</v>
      </c>
      <c r="AN147" s="5">
        <f t="shared" si="225"/>
        <v>0.73590323421883286</v>
      </c>
      <c r="AO147" s="5">
        <f t="shared" si="226"/>
        <v>2.4151014024382431</v>
      </c>
      <c r="AP147" s="6">
        <f t="shared" si="227"/>
        <v>0.60488519754631698</v>
      </c>
    </row>
    <row r="148" spans="1:42" x14ac:dyDescent="0.25">
      <c r="A148" s="129">
        <v>0.4</v>
      </c>
      <c r="B148" s="129">
        <f>'Sub C_D_0'!AV168</f>
        <v>9.262792323861211E-3</v>
      </c>
      <c r="C148" s="257">
        <f>'C_L vs. α'!X449</f>
        <v>0.12289042432176656</v>
      </c>
      <c r="D148" s="144">
        <v>10</v>
      </c>
      <c r="E148" s="14">
        <f t="shared" si="190"/>
        <v>1.1687777966914972</v>
      </c>
      <c r="F148" s="6">
        <f t="shared" si="191"/>
        <v>0.14686877560531988</v>
      </c>
      <c r="G148" s="14">
        <f t="shared" si="192"/>
        <v>1.1781345165704586</v>
      </c>
      <c r="H148" s="6">
        <f t="shared" si="193"/>
        <v>0.14778672369586909</v>
      </c>
      <c r="I148" s="14">
        <f t="shared" si="194"/>
        <v>1.1918414896885774</v>
      </c>
      <c r="J148" s="6">
        <f t="shared" si="195"/>
        <v>0.15034369281221138</v>
      </c>
      <c r="K148" s="14">
        <f t="shared" si="196"/>
        <v>1.210701814949585</v>
      </c>
      <c r="L148" s="6">
        <f t="shared" si="197"/>
        <v>0.15438715346428894</v>
      </c>
      <c r="M148" s="5">
        <f t="shared" si="198"/>
        <v>1.2353605920057971</v>
      </c>
      <c r="N148" s="6">
        <f t="shared" si="199"/>
        <v>0.16002416862419699</v>
      </c>
      <c r="O148" s="5">
        <f t="shared" si="200"/>
        <v>1.265409221634231</v>
      </c>
      <c r="P148" s="6">
        <f t="shared" si="201"/>
        <v>0.16765966561402329</v>
      </c>
      <c r="Q148" s="5">
        <f t="shared" si="202"/>
        <v>1.3042093812186681</v>
      </c>
      <c r="R148" s="6">
        <f t="shared" si="203"/>
        <v>0.17728549698525906</v>
      </c>
      <c r="S148" s="5">
        <f t="shared" si="204"/>
        <v>1.3517946675394321</v>
      </c>
      <c r="T148" s="6">
        <f t="shared" si="205"/>
        <v>0.18957811373590938</v>
      </c>
      <c r="U148" s="5">
        <f t="shared" si="206"/>
        <v>1.4098447105782965</v>
      </c>
      <c r="V148" s="6">
        <f t="shared" si="207"/>
        <v>0.20524342020867711</v>
      </c>
      <c r="W148" s="5">
        <f t="shared" si="208"/>
        <v>1.4806166440347113</v>
      </c>
      <c r="X148" s="6">
        <f t="shared" si="209"/>
        <v>0.22529436603964378</v>
      </c>
      <c r="Y148" s="5">
        <f t="shared" si="210"/>
        <v>1.5671846099153497</v>
      </c>
      <c r="Z148" s="6">
        <f t="shared" si="211"/>
        <v>0.25120986578254823</v>
      </c>
      <c r="AA148" s="5">
        <f t="shared" si="212"/>
        <v>1.6738021297982817</v>
      </c>
      <c r="AB148" s="6">
        <f t="shared" si="213"/>
        <v>0.28519989263814849</v>
      </c>
      <c r="AC148" s="5">
        <f t="shared" si="214"/>
        <v>1.806896986324507</v>
      </c>
      <c r="AD148" s="6">
        <f t="shared" si="215"/>
        <v>0.33127980606026008</v>
      </c>
      <c r="AE148" s="5">
        <f t="shared" si="216"/>
        <v>1.9750186091680728</v>
      </c>
      <c r="AF148" s="6">
        <f t="shared" si="217"/>
        <v>0.39392685491125701</v>
      </c>
      <c r="AG148" s="5">
        <f t="shared" si="218"/>
        <v>2.1905361577164495</v>
      </c>
      <c r="AH148" s="6">
        <f t="shared" si="219"/>
        <v>0.48242754872844851</v>
      </c>
      <c r="AI148" s="5">
        <f t="shared" si="220"/>
        <v>2.4705932222366114</v>
      </c>
      <c r="AJ148" s="5">
        <f t="shared" si="221"/>
        <v>0.63234510782540232</v>
      </c>
      <c r="AK148" s="5">
        <f t="shared" si="222"/>
        <v>2.8432905599458542</v>
      </c>
      <c r="AL148" s="5">
        <f t="shared" si="223"/>
        <v>0.83501737304309587</v>
      </c>
      <c r="AM148" s="5">
        <f t="shared" si="224"/>
        <v>3.2600809602828962</v>
      </c>
      <c r="AN148" s="5">
        <f t="shared" si="225"/>
        <v>1.0947896108133015</v>
      </c>
      <c r="AO148" s="5">
        <f t="shared" si="226"/>
        <v>2.9517906029800747</v>
      </c>
      <c r="AP148" s="6">
        <f t="shared" si="227"/>
        <v>0.89910458949775574</v>
      </c>
    </row>
    <row r="149" spans="1:42" x14ac:dyDescent="0.25">
      <c r="A149" s="139">
        <v>0.45</v>
      </c>
      <c r="B149" s="142">
        <f>'Sub C_D_0'!AV169</f>
        <v>9.1090383628097474E-3</v>
      </c>
      <c r="C149" s="258">
        <f>'C_L vs. α'!X450</f>
        <v>0.12816770096166333</v>
      </c>
      <c r="D149" s="144">
        <v>12</v>
      </c>
      <c r="E149" s="14">
        <f t="shared" si="190"/>
        <v>1.3812828506354056</v>
      </c>
      <c r="F149" s="6">
        <f t="shared" si="191"/>
        <v>0.20131914166150422</v>
      </c>
      <c r="G149" s="14">
        <f t="shared" si="192"/>
        <v>1.392340792310542</v>
      </c>
      <c r="H149" s="6">
        <f t="shared" si="193"/>
        <v>0.20311239068159231</v>
      </c>
      <c r="I149" s="14">
        <f t="shared" si="194"/>
        <v>1.4085399423592277</v>
      </c>
      <c r="J149" s="6">
        <f t="shared" si="195"/>
        <v>0.20696421858592784</v>
      </c>
      <c r="K149" s="14">
        <f t="shared" si="196"/>
        <v>1.4308294176676912</v>
      </c>
      <c r="L149" s="6">
        <f t="shared" si="197"/>
        <v>0.2128138437334916</v>
      </c>
      <c r="M149" s="5">
        <f t="shared" si="198"/>
        <v>1.4599716087341239</v>
      </c>
      <c r="N149" s="6">
        <f t="shared" si="199"/>
        <v>0.22085508863641506</v>
      </c>
      <c r="O149" s="5">
        <f t="shared" si="200"/>
        <v>1.4954836255677275</v>
      </c>
      <c r="P149" s="6">
        <f t="shared" si="201"/>
        <v>0.23148585087285026</v>
      </c>
      <c r="Q149" s="5">
        <f t="shared" si="202"/>
        <v>1.5413383596220624</v>
      </c>
      <c r="R149" s="6">
        <f t="shared" si="203"/>
        <v>0.24508578486915078</v>
      </c>
      <c r="S149" s="5">
        <f t="shared" si="204"/>
        <v>1.5975755161829652</v>
      </c>
      <c r="T149" s="6">
        <f t="shared" si="205"/>
        <v>0.26241617141149071</v>
      </c>
      <c r="U149" s="5">
        <f t="shared" si="206"/>
        <v>1.6661801125016233</v>
      </c>
      <c r="V149" s="6">
        <f t="shared" si="207"/>
        <v>0.28447155958795922</v>
      </c>
      <c r="W149" s="5">
        <f t="shared" si="208"/>
        <v>1.7498196702228404</v>
      </c>
      <c r="X149" s="6">
        <f t="shared" si="209"/>
        <v>0.31267640063434327</v>
      </c>
      <c r="Y149" s="5">
        <f t="shared" si="210"/>
        <v>1.852127266263595</v>
      </c>
      <c r="Z149" s="6">
        <f t="shared" si="211"/>
        <v>0.34910863111248819</v>
      </c>
      <c r="AA149" s="5">
        <f t="shared" si="212"/>
        <v>1.9781297897616057</v>
      </c>
      <c r="AB149" s="6">
        <f t="shared" si="213"/>
        <v>0.39687210769982545</v>
      </c>
      <c r="AC149" s="5">
        <f t="shared" si="214"/>
        <v>2.1354237111107808</v>
      </c>
      <c r="AD149" s="6">
        <f t="shared" si="215"/>
        <v>0.46141767342213341</v>
      </c>
      <c r="AE149" s="5">
        <f t="shared" si="216"/>
        <v>2.3341129017440858</v>
      </c>
      <c r="AF149" s="6">
        <f t="shared" si="217"/>
        <v>0.54940855560822754</v>
      </c>
      <c r="AG149" s="5">
        <f t="shared" si="218"/>
        <v>2.5888154591194401</v>
      </c>
      <c r="AH149" s="6">
        <f t="shared" si="219"/>
        <v>0.673693537842734</v>
      </c>
      <c r="AI149" s="5">
        <f t="shared" si="220"/>
        <v>2.9197919899159954</v>
      </c>
      <c r="AJ149" s="5">
        <f t="shared" si="221"/>
        <v>0.87967917510237359</v>
      </c>
      <c r="AK149" s="5">
        <f t="shared" si="222"/>
        <v>3.3602524799360092</v>
      </c>
      <c r="AL149" s="5">
        <f t="shared" si="223"/>
        <v>1.1626023179079703</v>
      </c>
      <c r="AM149" s="5">
        <f t="shared" si="224"/>
        <v>3.8528229530616049</v>
      </c>
      <c r="AN149" s="5">
        <f t="shared" si="225"/>
        <v>1.5254532627266641</v>
      </c>
      <c r="AO149" s="5">
        <f t="shared" si="226"/>
        <v>3.4884798035219067</v>
      </c>
      <c r="AP149" s="6">
        <f t="shared" si="227"/>
        <v>1.2521678598394825</v>
      </c>
    </row>
    <row r="150" spans="1:42" x14ac:dyDescent="0.25">
      <c r="A150" s="129">
        <v>0.5</v>
      </c>
      <c r="B150" s="129">
        <f>'Sub C_D_0'!AV170</f>
        <v>8.9744893652797843E-3</v>
      </c>
      <c r="C150" s="257">
        <f>'C_L vs. α'!X451</f>
        <v>0.13460151309406465</v>
      </c>
      <c r="D150" s="144">
        <v>14</v>
      </c>
      <c r="E150" s="14">
        <f t="shared" si="190"/>
        <v>1.5937879045793142</v>
      </c>
      <c r="F150" s="6">
        <f t="shared" si="191"/>
        <v>0.26499509672022503</v>
      </c>
      <c r="G150" s="14">
        <f t="shared" si="192"/>
        <v>1.6065470680506253</v>
      </c>
      <c r="H150" s="6">
        <f t="shared" si="193"/>
        <v>0.26781194992682417</v>
      </c>
      <c r="I150" s="14">
        <f t="shared" si="194"/>
        <v>1.6252383950298783</v>
      </c>
      <c r="J150" s="6">
        <f t="shared" si="195"/>
        <v>0.27317802605322994</v>
      </c>
      <c r="K150" s="14">
        <f t="shared" si="196"/>
        <v>1.6509570203857977</v>
      </c>
      <c r="L150" s="6">
        <f t="shared" si="197"/>
        <v>0.28113983625248945</v>
      </c>
      <c r="M150" s="5">
        <f t="shared" si="198"/>
        <v>1.6845826254624507</v>
      </c>
      <c r="N150" s="6">
        <f t="shared" si="199"/>
        <v>0.29199266234678861</v>
      </c>
      <c r="O150" s="5">
        <f t="shared" si="200"/>
        <v>1.7255580295012241</v>
      </c>
      <c r="P150" s="6">
        <f t="shared" si="201"/>
        <v>0.3061261811126329</v>
      </c>
      <c r="Q150" s="5">
        <f t="shared" si="202"/>
        <v>1.7784673380254568</v>
      </c>
      <c r="R150" s="6">
        <f t="shared" si="203"/>
        <v>0.32437355457501993</v>
      </c>
      <c r="S150" s="5">
        <f t="shared" si="204"/>
        <v>1.8433563648264983</v>
      </c>
      <c r="T150" s="6">
        <f t="shared" si="205"/>
        <v>0.34759526611820213</v>
      </c>
      <c r="U150" s="5">
        <f t="shared" si="206"/>
        <v>1.9225155144249499</v>
      </c>
      <c r="V150" s="6">
        <f t="shared" si="207"/>
        <v>0.37712341499138546</v>
      </c>
      <c r="W150" s="5">
        <f t="shared" si="208"/>
        <v>2.0190226964109699</v>
      </c>
      <c r="X150" s="6">
        <f t="shared" si="209"/>
        <v>0.41486367522585565</v>
      </c>
      <c r="Y150" s="5">
        <f t="shared" si="210"/>
        <v>2.1370699226118406</v>
      </c>
      <c r="Z150" s="6">
        <f t="shared" si="211"/>
        <v>0.46359449838877409</v>
      </c>
      <c r="AA150" s="5">
        <f t="shared" si="212"/>
        <v>2.2824574497249297</v>
      </c>
      <c r="AB150" s="6">
        <f t="shared" si="213"/>
        <v>0.52746507635384432</v>
      </c>
      <c r="AC150" s="5">
        <f t="shared" si="214"/>
        <v>2.463950435897055</v>
      </c>
      <c r="AD150" s="6">
        <f t="shared" si="215"/>
        <v>0.61360495137398163</v>
      </c>
      <c r="AE150" s="5">
        <f t="shared" si="216"/>
        <v>2.6932071943200993</v>
      </c>
      <c r="AF150" s="6">
        <f t="shared" si="217"/>
        <v>0.73123370212456229</v>
      </c>
      <c r="AG150" s="5">
        <f t="shared" si="218"/>
        <v>2.9870947605224307</v>
      </c>
      <c r="AH150" s="6">
        <f t="shared" si="219"/>
        <v>0.89736594648248724</v>
      </c>
      <c r="AI150" s="5">
        <f t="shared" si="220"/>
        <v>3.368990757595379</v>
      </c>
      <c r="AJ150" s="5">
        <f t="shared" si="221"/>
        <v>1.1682355869255063</v>
      </c>
      <c r="AK150" s="5">
        <f t="shared" si="222"/>
        <v>3.8772143999261646</v>
      </c>
      <c r="AL150" s="5">
        <f t="shared" si="223"/>
        <v>1.5447847535836572</v>
      </c>
      <c r="AM150" s="5">
        <f t="shared" si="224"/>
        <v>4.4455649458403128</v>
      </c>
      <c r="AN150" s="5">
        <f t="shared" si="225"/>
        <v>2.0278941899589196</v>
      </c>
      <c r="AO150" s="5">
        <f t="shared" si="226"/>
        <v>4.0251690040637387</v>
      </c>
      <c r="AP150" s="6">
        <f t="shared" si="227"/>
        <v>1.6640750085714975</v>
      </c>
    </row>
    <row r="151" spans="1:42" x14ac:dyDescent="0.25">
      <c r="A151" s="139">
        <v>0.55000000000000004</v>
      </c>
      <c r="B151" s="142">
        <f>'Sub C_D_0'!AV171</f>
        <v>8.8551421717788601E-3</v>
      </c>
      <c r="C151" s="258">
        <f>'C_L vs. α'!X452</f>
        <v>0.1424713281741227</v>
      </c>
      <c r="D151" s="144">
        <v>16</v>
      </c>
      <c r="E151" s="14">
        <f t="shared" si="190"/>
        <v>1.8062929585232228</v>
      </c>
      <c r="F151" s="6">
        <f t="shared" si="191"/>
        <v>0.33789664078148224</v>
      </c>
      <c r="G151" s="14">
        <f t="shared" si="192"/>
        <v>1.8207533437907089</v>
      </c>
      <c r="H151" s="6">
        <f t="shared" si="193"/>
        <v>0.34188540143156476</v>
      </c>
      <c r="I151" s="14">
        <f t="shared" si="194"/>
        <v>1.8419368477005287</v>
      </c>
      <c r="J151" s="6">
        <f t="shared" si="195"/>
        <v>0.34898511521411762</v>
      </c>
      <c r="K151" s="14">
        <f t="shared" si="196"/>
        <v>1.871084623103904</v>
      </c>
      <c r="L151" s="6">
        <f t="shared" si="197"/>
        <v>0.35936513102128248</v>
      </c>
      <c r="M151" s="5">
        <f t="shared" si="198"/>
        <v>1.9091936421907774</v>
      </c>
      <c r="N151" s="6">
        <f t="shared" si="199"/>
        <v>0.37343688975531758</v>
      </c>
      <c r="O151" s="5">
        <f t="shared" si="200"/>
        <v>1.9556324334347206</v>
      </c>
      <c r="P151" s="6">
        <f t="shared" si="201"/>
        <v>0.3915806563333713</v>
      </c>
      <c r="Q151" s="5">
        <f t="shared" si="202"/>
        <v>2.0155963164288511</v>
      </c>
      <c r="R151" s="6">
        <f t="shared" si="203"/>
        <v>0.41514880610286647</v>
      </c>
      <c r="S151" s="5">
        <f t="shared" si="204"/>
        <v>2.0891372134700315</v>
      </c>
      <c r="T151" s="6">
        <f t="shared" si="205"/>
        <v>0.44511539785604348</v>
      </c>
      <c r="U151" s="5">
        <f t="shared" si="206"/>
        <v>2.1788509163482765</v>
      </c>
      <c r="V151" s="6">
        <f t="shared" si="207"/>
        <v>0.48319898641895609</v>
      </c>
      <c r="W151" s="5">
        <f t="shared" si="208"/>
        <v>2.288225722599099</v>
      </c>
      <c r="X151" s="6">
        <f t="shared" si="209"/>
        <v>0.53185618981418059</v>
      </c>
      <c r="Y151" s="5">
        <f t="shared" si="210"/>
        <v>2.4220125789600857</v>
      </c>
      <c r="Z151" s="6">
        <f t="shared" si="211"/>
        <v>0.59466746761140588</v>
      </c>
      <c r="AA151" s="5">
        <f t="shared" si="212"/>
        <v>2.5867851096882535</v>
      </c>
      <c r="AB151" s="6">
        <f t="shared" si="213"/>
        <v>0.67697879860020516</v>
      </c>
      <c r="AC151" s="5">
        <f t="shared" si="214"/>
        <v>2.7924771606833287</v>
      </c>
      <c r="AD151" s="6">
        <f t="shared" si="215"/>
        <v>0.78784163991580469</v>
      </c>
      <c r="AE151" s="5">
        <f t="shared" si="216"/>
        <v>3.0523014868961122</v>
      </c>
      <c r="AF151" s="6">
        <f t="shared" si="217"/>
        <v>0.93940229446026091</v>
      </c>
      <c r="AG151" s="5">
        <f t="shared" si="218"/>
        <v>3.3853740619254218</v>
      </c>
      <c r="AH151" s="6">
        <f t="shared" si="219"/>
        <v>1.1534447746477083</v>
      </c>
      <c r="AI151" s="5">
        <f t="shared" si="220"/>
        <v>3.8181895252747631</v>
      </c>
      <c r="AJ151" s="8">
        <f t="shared" si="221"/>
        <v>1.4980143432948014</v>
      </c>
      <c r="AK151" s="5">
        <f t="shared" si="222"/>
        <v>4.39417631991632</v>
      </c>
      <c r="AL151" s="8">
        <f t="shared" si="223"/>
        <v>1.9815646800701567</v>
      </c>
      <c r="AM151" s="5">
        <f t="shared" si="224"/>
        <v>5.038306938619022</v>
      </c>
      <c r="AN151" s="8">
        <f t="shared" si="225"/>
        <v>2.6021123925100706</v>
      </c>
      <c r="AO151" s="5">
        <f t="shared" si="226"/>
        <v>4.5618582046055698</v>
      </c>
      <c r="AP151" s="9">
        <f t="shared" si="227"/>
        <v>2.1348260356937994</v>
      </c>
    </row>
    <row r="152" spans="1:42" x14ac:dyDescent="0.25">
      <c r="A152" s="129">
        <v>0.6</v>
      </c>
      <c r="B152" s="129">
        <f>'Sub C_D_0'!AV172</f>
        <v>8.7481036389449353E-3</v>
      </c>
      <c r="C152" s="257">
        <f>'C_L vs. α'!X453</f>
        <v>0.15216382998166197</v>
      </c>
      <c r="N152" s="6"/>
      <c r="AO152" s="5"/>
    </row>
    <row r="153" spans="1:42" x14ac:dyDescent="0.25">
      <c r="A153" s="139">
        <v>0.65</v>
      </c>
      <c r="B153" s="142">
        <f>'Sub C_D_0'!AV173</f>
        <v>9.115100821263631E-3</v>
      </c>
      <c r="C153" s="258">
        <f>'C_L vs. α'!X454</f>
        <v>0.16426336239313699</v>
      </c>
    </row>
    <row r="154" spans="1:42" x14ac:dyDescent="0.25">
      <c r="A154" s="129">
        <v>0.7</v>
      </c>
      <c r="B154" s="129">
        <f>'Sub C_D_0'!AV174</f>
        <v>9.02185154424643E-3</v>
      </c>
      <c r="C154" s="257">
        <f>'C_L vs. α'!X455</f>
        <v>0.17954714628800661</v>
      </c>
    </row>
    <row r="155" spans="1:42" x14ac:dyDescent="0.25">
      <c r="A155" s="139">
        <v>0.75</v>
      </c>
      <c r="B155" s="142">
        <f>'Sub C_D_0'!AV175</f>
        <v>8.9362256079841378E-3</v>
      </c>
      <c r="C155" s="258">
        <f>'C_L vs. α'!X456</f>
        <v>0.19913965070149539</v>
      </c>
    </row>
    <row r="156" spans="1:42" x14ac:dyDescent="0.25">
      <c r="A156" s="129">
        <v>0.8</v>
      </c>
      <c r="B156" s="129">
        <f>'Sub C_D_0'!AV176</f>
        <v>8.8571465647042311E-3</v>
      </c>
      <c r="C156" s="257">
        <f>'C_L vs. α'!X457</f>
        <v>0.22459938383969194</v>
      </c>
    </row>
    <row r="157" spans="1:42" x14ac:dyDescent="0.25">
      <c r="A157" s="139">
        <v>0.85</v>
      </c>
      <c r="B157" s="142">
        <f>'Sub C_D_0'!AV177</f>
        <v>9.2303245295579702E-3</v>
      </c>
      <c r="C157" s="258">
        <f>'C_L vs. α'!X458</f>
        <v>0.25848095999507764</v>
      </c>
    </row>
    <row r="158" spans="1:42" x14ac:dyDescent="0.25">
      <c r="A158" s="129">
        <v>0.9</v>
      </c>
      <c r="B158" s="129">
        <f>'Sub C_D_0'!AV178</f>
        <v>9.1583216150335524E-3</v>
      </c>
      <c r="C158" s="257">
        <f>'C_L vs. α'!X459</f>
        <v>0.29637099638935421</v>
      </c>
    </row>
    <row r="159" spans="1:42" x14ac:dyDescent="0.25">
      <c r="A159" s="139">
        <v>0.95</v>
      </c>
      <c r="B159" s="142">
        <f>'Sub C_D_0'!AV179</f>
        <v>9.0909288446528874E-3</v>
      </c>
      <c r="C159" s="258">
        <f>'C_L vs. α'!X460</f>
        <v>0.26834460027091589</v>
      </c>
    </row>
    <row r="161" spans="1:42" x14ac:dyDescent="0.25">
      <c r="A161" s="122" t="s">
        <v>537</v>
      </c>
      <c r="B161" s="122" t="s">
        <v>522</v>
      </c>
    </row>
    <row r="162" spans="1:42" x14ac:dyDescent="0.25">
      <c r="A162" s="122" t="s">
        <v>202</v>
      </c>
      <c r="B162" s="145">
        <v>36000</v>
      </c>
      <c r="C162" s="122" t="s">
        <v>538</v>
      </c>
      <c r="D162" s="122" t="s">
        <v>539</v>
      </c>
      <c r="E162" s="1" t="s">
        <v>536</v>
      </c>
      <c r="F162" s="140">
        <v>0.05</v>
      </c>
      <c r="G162" s="1" t="s">
        <v>536</v>
      </c>
      <c r="H162" s="140">
        <v>0.1</v>
      </c>
      <c r="I162" s="1" t="s">
        <v>536</v>
      </c>
      <c r="J162" s="140">
        <v>0.15</v>
      </c>
      <c r="K162" s="1" t="s">
        <v>536</v>
      </c>
      <c r="L162" s="140">
        <v>0.2</v>
      </c>
      <c r="M162" s="2" t="s">
        <v>536</v>
      </c>
      <c r="N162" s="163">
        <v>0.25</v>
      </c>
      <c r="O162" s="2" t="s">
        <v>536</v>
      </c>
      <c r="P162" s="163">
        <v>0.3</v>
      </c>
      <c r="Q162" s="2" t="s">
        <v>536</v>
      </c>
      <c r="R162" s="163">
        <v>0.35</v>
      </c>
      <c r="S162" s="2" t="s">
        <v>536</v>
      </c>
      <c r="T162" s="163">
        <v>0.4</v>
      </c>
      <c r="U162" s="2" t="s">
        <v>536</v>
      </c>
      <c r="V162" s="163">
        <v>0.45</v>
      </c>
      <c r="W162" s="2" t="s">
        <v>536</v>
      </c>
      <c r="X162" s="163">
        <v>0.5</v>
      </c>
      <c r="Y162" s="2" t="s">
        <v>536</v>
      </c>
      <c r="Z162" s="163">
        <v>0.55000000000000004</v>
      </c>
      <c r="AA162" s="2" t="s">
        <v>536</v>
      </c>
      <c r="AB162" s="163">
        <v>0.6</v>
      </c>
      <c r="AC162" s="2" t="s">
        <v>536</v>
      </c>
      <c r="AD162" s="163">
        <v>0.65</v>
      </c>
      <c r="AE162" s="2" t="s">
        <v>536</v>
      </c>
      <c r="AF162" s="163">
        <v>0.7</v>
      </c>
      <c r="AG162" s="2" t="s">
        <v>536</v>
      </c>
      <c r="AH162" s="163">
        <v>0.75</v>
      </c>
      <c r="AI162" s="2" t="s">
        <v>536</v>
      </c>
      <c r="AJ162" s="163">
        <v>0.8</v>
      </c>
      <c r="AK162" s="2" t="s">
        <v>536</v>
      </c>
      <c r="AL162" s="163">
        <v>0.85</v>
      </c>
      <c r="AM162" s="2" t="s">
        <v>536</v>
      </c>
      <c r="AN162" s="163">
        <v>0.9</v>
      </c>
      <c r="AO162" s="2" t="s">
        <v>536</v>
      </c>
      <c r="AP162" s="140">
        <v>0.95</v>
      </c>
    </row>
    <row r="163" spans="1:42" x14ac:dyDescent="0.25">
      <c r="A163" s="121" t="s">
        <v>182</v>
      </c>
      <c r="B163" s="121" t="s">
        <v>534</v>
      </c>
      <c r="C163" s="121" t="s">
        <v>535</v>
      </c>
      <c r="D163" s="121" t="s">
        <v>421</v>
      </c>
      <c r="E163" s="14" t="s">
        <v>244</v>
      </c>
      <c r="F163" s="6" t="s">
        <v>245</v>
      </c>
      <c r="G163" s="14" t="s">
        <v>244</v>
      </c>
      <c r="H163" s="6" t="s">
        <v>245</v>
      </c>
      <c r="I163" s="14" t="s">
        <v>244</v>
      </c>
      <c r="J163" s="6" t="s">
        <v>245</v>
      </c>
      <c r="K163" s="14" t="s">
        <v>244</v>
      </c>
      <c r="L163" s="6" t="s">
        <v>245</v>
      </c>
      <c r="M163" s="5" t="s">
        <v>244</v>
      </c>
      <c r="N163" s="5" t="s">
        <v>245</v>
      </c>
      <c r="O163" s="5" t="s">
        <v>244</v>
      </c>
      <c r="P163" s="5" t="s">
        <v>245</v>
      </c>
      <c r="Q163" s="5" t="s">
        <v>244</v>
      </c>
      <c r="R163" s="5" t="s">
        <v>245</v>
      </c>
      <c r="S163" s="5" t="s">
        <v>244</v>
      </c>
      <c r="T163" s="5" t="s">
        <v>245</v>
      </c>
      <c r="U163" s="5" t="s">
        <v>244</v>
      </c>
      <c r="V163" s="5" t="s">
        <v>245</v>
      </c>
      <c r="W163" s="5" t="s">
        <v>244</v>
      </c>
      <c r="X163" s="5" t="s">
        <v>245</v>
      </c>
      <c r="Y163" s="5" t="s">
        <v>244</v>
      </c>
      <c r="Z163" s="5" t="s">
        <v>245</v>
      </c>
      <c r="AA163" s="5" t="s">
        <v>244</v>
      </c>
      <c r="AB163" s="5" t="s">
        <v>245</v>
      </c>
      <c r="AC163" s="5" t="s">
        <v>244</v>
      </c>
      <c r="AD163" s="5" t="s">
        <v>245</v>
      </c>
      <c r="AE163" s="5" t="s">
        <v>244</v>
      </c>
      <c r="AF163" s="5" t="s">
        <v>245</v>
      </c>
      <c r="AG163" s="5" t="s">
        <v>244</v>
      </c>
      <c r="AH163" s="5" t="s">
        <v>245</v>
      </c>
      <c r="AI163" s="5" t="s">
        <v>244</v>
      </c>
      <c r="AJ163" s="5" t="s">
        <v>245</v>
      </c>
      <c r="AK163" s="5" t="s">
        <v>244</v>
      </c>
      <c r="AL163" s="5" t="s">
        <v>245</v>
      </c>
      <c r="AM163" s="5" t="s">
        <v>244</v>
      </c>
      <c r="AN163" s="5" t="s">
        <v>245</v>
      </c>
      <c r="AO163" s="5" t="s">
        <v>244</v>
      </c>
      <c r="AP163" s="6" t="s">
        <v>245</v>
      </c>
    </row>
    <row r="164" spans="1:42" x14ac:dyDescent="0.25">
      <c r="A164" s="129">
        <v>0</v>
      </c>
      <c r="B164" s="129" t="e">
        <f>'Sub C_D_0'!AV190</f>
        <v>#DIV/0!</v>
      </c>
      <c r="C164" s="129" t="e">
        <f>'C_L vs. α'!X466</f>
        <v>#NUM!</v>
      </c>
      <c r="D164" s="144">
        <v>-6</v>
      </c>
      <c r="E164" s="14">
        <f>(D164-$B$12)*$C$165</f>
        <v>-0.53128535299205581</v>
      </c>
      <c r="F164" s="6">
        <f>$B$165+$B$7*E164^2+$B$8*(E164-E$167)^2</f>
        <v>4.3354035214390393E-2</v>
      </c>
      <c r="G164" s="14">
        <f>(D164-$B$12)*$C$166</f>
        <v>-0.53553798169851552</v>
      </c>
      <c r="H164" s="6">
        <f>$B$166+$B$7*G164^2+$B$8*(G164-G$167)^2</f>
        <v>4.2613487613058679E-2</v>
      </c>
      <c r="I164" s="14">
        <f>(D164-$B$12)*$C$167</f>
        <v>-0.54176712266256621</v>
      </c>
      <c r="J164" s="6">
        <f>$B$167+$B$7*I164^2+$B$8*(I164-I$167)^2</f>
        <v>4.271200276220391E-2</v>
      </c>
      <c r="K164" s="14">
        <f>(D164-$B$12)*$C$168</f>
        <v>-0.55033866395242814</v>
      </c>
      <c r="L164" s="6">
        <f>$B$168+$B$7*K164^2+$B$8*(K164-K$167)^2</f>
        <v>4.3324394657272988E-2</v>
      </c>
      <c r="M164" s="5">
        <f>(D164-$B$12)*$C$169</f>
        <v>-0.56154588087175217</v>
      </c>
      <c r="N164" s="6">
        <f>$B$169+$B$7*M164^2+$B$8*(M164-M$167)^2</f>
        <v>4.439329058460708E-2</v>
      </c>
      <c r="O164" s="5">
        <f>(D164-$B$12)*$C$170</f>
        <v>-0.57520436545948939</v>
      </c>
      <c r="P164" s="6">
        <f>$B$170+$B$7*O164^2+$B$8*(O164-O$167)^2</f>
        <v>4.6336044889813265E-2</v>
      </c>
      <c r="Q164" s="5">
        <f>(D164-$B$12)*$C$171</f>
        <v>-0.5928393972765702</v>
      </c>
      <c r="R164" s="6">
        <f>$B$171+$B$7*Q164^2+$B$8*(Q164-Q$167)^2</f>
        <v>4.8409850257673991E-2</v>
      </c>
      <c r="S164" s="5">
        <f>(D164-$B$12)*$C$172</f>
        <v>-0.61446739584155285</v>
      </c>
      <c r="T164" s="6">
        <f>$B$172+$B$7*S164^2+$B$8*(S164-S$167)^2</f>
        <v>5.1128801522296929E-2</v>
      </c>
      <c r="U164" s="5">
        <f>(D164-$B$12)*$C$173</f>
        <v>-0.64085169280018595</v>
      </c>
      <c r="V164" s="6">
        <f>$B$173+$B$7*U164^2+$B$8*(U164-U$167)^2</f>
        <v>5.4650248458836391E-2</v>
      </c>
      <c r="W164" s="5">
        <f>(D164-$B$12)*$C$174</f>
        <v>-0.67301804692845424</v>
      </c>
      <c r="X164" s="6">
        <f>$B$174+$B$7*W164^2+$B$8*(W164-W$167)^2</f>
        <v>5.9205070467353613E-2</v>
      </c>
      <c r="Y164" s="5">
        <f>(D164-$B$12)*$C$175</f>
        <v>-0.71236346007140061</v>
      </c>
      <c r="Z164" s="6">
        <f>$B$175+$B$7*Y164^2+$B$8*(Y164-Y$167)^2</f>
        <v>6.5133694923027924E-2</v>
      </c>
      <c r="AA164" s="5">
        <f>(D164-$B$12)*$C$176</f>
        <v>-0.76082079493027577</v>
      </c>
      <c r="AB164" s="6">
        <f>$B$176+$B$7*AA164^2+$B$8*(AA164-AA$167)^2</f>
        <v>7.2947164757605001E-2</v>
      </c>
      <c r="AC164" s="5">
        <f>(D164-$B$12)*$C$177</f>
        <v>-0.82131021685919126</v>
      </c>
      <c r="AD164" s="6">
        <f>$B$177+$B$7*AC164^2+$B$8*(AC164-AC$167)^2</f>
        <v>8.3931159223695984E-2</v>
      </c>
      <c r="AE164" s="5">
        <f>(D164-$B$12)*$C$178</f>
        <v>-0.89771593053439713</v>
      </c>
      <c r="AF164" s="6">
        <f>$B$178+$B$7*AE164^2+$B$8*(AE164-AE$167)^2</f>
        <v>9.8410397395430199E-2</v>
      </c>
      <c r="AG164" s="5">
        <f>(D164-$B$12)*$C$179</f>
        <v>-0.99565629010468493</v>
      </c>
      <c r="AH164" s="6">
        <f>$B$179+$B$7*AG164^2+$B$8*(AG164-AG$167)^2</f>
        <v>0.11889881245961983</v>
      </c>
      <c r="AI164" s="5">
        <f>(D164-$B$12)*$C$180</f>
        <v>-1.1229143744711729</v>
      </c>
      <c r="AJ164" s="5">
        <f>$B$180+$B$9*AI164^2</f>
        <v>0.13763565924802518</v>
      </c>
      <c r="AK164" s="5">
        <f>(D164-$B$12)*$C$181</f>
        <v>-1.2922260063787632</v>
      </c>
      <c r="AL164" s="5">
        <f>$B$181+$B$9*AK164^2</f>
        <v>0.17977700519778933</v>
      </c>
      <c r="AM164" s="5">
        <f>(D164-$B$12)*$C$182</f>
        <v>-1.4814420930783068</v>
      </c>
      <c r="AN164" s="5">
        <f>$B$182+$B$9*AM164^2</f>
        <v>0.23331430618407464</v>
      </c>
      <c r="AO164" s="5">
        <f>(D164-$B$12)*$C$183</f>
        <v>-1.3403738199248305</v>
      </c>
      <c r="AP164" s="6">
        <f>$B$183+$B$9*AO164^2</f>
        <v>0.19258562832425041</v>
      </c>
    </row>
    <row r="165" spans="1:42" x14ac:dyDescent="0.25">
      <c r="A165" s="139">
        <v>0.05</v>
      </c>
      <c r="B165" s="255">
        <f>'Sub C_D_0'!AV191</f>
        <v>1.2037679532955233E-2</v>
      </c>
      <c r="C165" s="142">
        <f>'C_L vs. α'!X467</f>
        <v>0.10625707059841116</v>
      </c>
      <c r="D165" s="144">
        <v>-4</v>
      </c>
      <c r="E165" s="14">
        <f t="shared" ref="E165:E175" si="228">(D165-$B$12)*$C$165</f>
        <v>-0.31877121179523349</v>
      </c>
      <c r="F165" s="6">
        <f t="shared" ref="F165:F175" si="229">$B$165+$B$7*E165^2+$B$8*(E165-E$167)^2</f>
        <v>2.3998033933442957E-2</v>
      </c>
      <c r="G165" s="14">
        <f t="shared" ref="G165:G175" si="230">(D165-$B$12)*$C$166</f>
        <v>-0.32132278901910932</v>
      </c>
      <c r="H165" s="6">
        <f t="shared" ref="H165:H175" si="231">$B$166+$B$7*G165^2+$B$8*(G165-G$167)^2</f>
        <v>2.2946379227430765E-2</v>
      </c>
      <c r="I165" s="14">
        <f t="shared" ref="I165:I175" si="232">(D165-$B$12)*$C$167</f>
        <v>-0.32506027359753975</v>
      </c>
      <c r="J165" s="6">
        <f t="shared" ref="J165:J175" si="233">$B$167+$B$7*I165^2+$B$8*(I165-I$167)^2</f>
        <v>2.2584715337693011E-2</v>
      </c>
      <c r="K165" s="14">
        <f t="shared" ref="K165:K175" si="234">(D165-$B$12)*$C$168</f>
        <v>-0.3302031983714569</v>
      </c>
      <c r="L165" s="6">
        <f t="shared" ref="L165:L175" si="235">$B$168+$B$7*K165^2+$B$8*(K165-K$167)^2</f>
        <v>2.2555183273092996E-2</v>
      </c>
      <c r="M165" s="5">
        <f t="shared" ref="M165:M175" si="236">(D165-$B$12)*$C$169</f>
        <v>-0.3369275285230513</v>
      </c>
      <c r="N165" s="6">
        <f t="shared" ref="N165:N175" si="237">$B$169+$B$7*M165^2+$B$8*(M165-M$167)^2</f>
        <v>2.2769568653033492E-2</v>
      </c>
      <c r="O165" s="5">
        <f t="shared" ref="O165:O175" si="238">(D165-$B$12)*$C$170</f>
        <v>-0.3451226192756936</v>
      </c>
      <c r="P165" s="6">
        <f t="shared" ref="P165:P175" si="239">$B$170+$B$7*O165^2+$B$8*(O165-O$167)^2</f>
        <v>2.3647622281562832E-2</v>
      </c>
      <c r="Q165" s="5">
        <f t="shared" ref="Q165:Q175" si="240">(D165-$B$12)*$C$171</f>
        <v>-0.3557036383659421</v>
      </c>
      <c r="R165" s="6">
        <f t="shared" ref="R165:R174" si="241">$B$171+$B$7*Q165^2+$B$8*(Q165-Q$167)^2</f>
        <v>2.4308905331642473E-2</v>
      </c>
      <c r="S165" s="5">
        <f t="shared" ref="S165:S175" si="242">(D165-$B$12)*$C$172</f>
        <v>-0.36868043750493174</v>
      </c>
      <c r="T165" s="6">
        <f t="shared" ref="T165:T175" si="243">$B$172+$B$7*S165^2+$B$8*(S165-S$167)^2</f>
        <v>2.5237275758411511E-2</v>
      </c>
      <c r="U165" s="5">
        <f t="shared" ref="U165:U175" si="244">(D165-$B$12)*$C$173</f>
        <v>-0.38451101568011153</v>
      </c>
      <c r="V165" s="6">
        <f t="shared" ref="V165:V175" si="245">$B$173+$B$7*U165^2+$B$8*(U165-U$167)^2</f>
        <v>2.6487500542871759E-2</v>
      </c>
      <c r="W165" s="5">
        <f t="shared" ref="W165:W175" si="246">(D165-$B$12)*$C$174</f>
        <v>-0.40381082815707259</v>
      </c>
      <c r="X165" s="6">
        <f t="shared" ref="X165:X175" si="247">$B$174+$B$7*W165^2+$B$8*(W165-W$167)^2</f>
        <v>2.814421762317202E-2</v>
      </c>
      <c r="Y165" s="5">
        <f t="shared" ref="Y165:Y175" si="248">(D165-$B$12)*$C$175</f>
        <v>-0.42741807604284032</v>
      </c>
      <c r="Z165" s="6">
        <f t="shared" ref="Z165:Z175" si="249">$B$175+$B$7*Y165^2+$B$8*(Y165-Y$167)^2</f>
        <v>3.0334978454039215E-2</v>
      </c>
      <c r="AA165" s="5">
        <f t="shared" ref="AA165:AA175" si="250">(D165-$B$12)*$C$176</f>
        <v>-0.45649247695816542</v>
      </c>
      <c r="AB165" s="6">
        <f t="shared" ref="AB165:AB175" si="251">$B$176+$B$7*AA165^2+$B$8*(AA165-AA$167)^2</f>
        <v>3.3253179430644646E-2</v>
      </c>
      <c r="AC165" s="5">
        <f t="shared" ref="AC165:AC175" si="252">(D165-$B$12)*$C$177</f>
        <v>-0.49278613011551475</v>
      </c>
      <c r="AD165" s="6">
        <f t="shared" ref="AD165:AD175" si="253">$B$177+$B$7*AC165^2+$B$8*(AC165-AC$167)^2</f>
        <v>3.7674484749306361E-2</v>
      </c>
      <c r="AE165" s="5">
        <f t="shared" ref="AE165:AE175" si="254">(D165-$B$12)*$C$178</f>
        <v>-0.53862955832063819</v>
      </c>
      <c r="AF165" s="6">
        <f t="shared" ref="AF165:AF175" si="255">$B$178+$B$7*AE165^2+$B$8*(AE165-AE$167)^2</f>
        <v>4.3146969453432341E-2</v>
      </c>
      <c r="AG165" s="5">
        <f t="shared" ref="AG165:AG175" si="256">(D165-$B$12)*$C$179</f>
        <v>-0.59739377406281091</v>
      </c>
      <c r="AH165" s="6">
        <f t="shared" ref="AH165:AH175" si="257">$B$179+$B$7*AG165^2+$B$8*(AG165-AG$167)^2</f>
        <v>5.0919175695019837E-2</v>
      </c>
      <c r="AI165" s="5">
        <f t="shared" ref="AI165:AI175" si="258">(D165-$B$12)*$C$180</f>
        <v>-0.6737486246827038</v>
      </c>
      <c r="AJ165" s="5">
        <f t="shared" ref="AJ165:AJ175" si="259">$B$180+$B$9*AI165^2</f>
        <v>5.5203089733502665E-2</v>
      </c>
      <c r="AK165" s="5">
        <f t="shared" ref="AK165:AK175" si="260">(D165-$B$12)*$C$181</f>
        <v>-0.77533560382725797</v>
      </c>
      <c r="AL165" s="5">
        <f t="shared" ref="AL165:AL175" si="261">$B$181+$B$9*AK165^2</f>
        <v>7.0612233945314101E-2</v>
      </c>
      <c r="AM165" s="5">
        <f t="shared" ref="AM165:AM175" si="262">(D165-$B$12)*$C$182</f>
        <v>-0.88886525584698406</v>
      </c>
      <c r="AN165" s="5">
        <f t="shared" ref="AN165:AN175" si="263">$B$182+$B$9*AM165^2</f>
        <v>8.983974153576138E-2</v>
      </c>
      <c r="AO165" s="5">
        <f t="shared" ref="AO165:AO175" si="264">(D165-$B$12)*$C$183</f>
        <v>-0.80422429195489831</v>
      </c>
      <c r="AP165" s="6">
        <f t="shared" ref="AP165:AP175" si="265">$B$183+$B$9*AO165^2</f>
        <v>7.5134436473107247E-2</v>
      </c>
    </row>
    <row r="166" spans="1:42" x14ac:dyDescent="0.25">
      <c r="A166" s="129">
        <v>0.1</v>
      </c>
      <c r="B166" s="256">
        <f>'Sub C_D_0'!AV192</f>
        <v>1.0793787227116526E-2</v>
      </c>
      <c r="C166" s="129">
        <f>'C_L vs. α'!X468</f>
        <v>0.10710759633970311</v>
      </c>
      <c r="D166" s="144">
        <v>-2</v>
      </c>
      <c r="E166" s="14">
        <f t="shared" si="228"/>
        <v>-0.10625707059841116</v>
      </c>
      <c r="F166" s="6">
        <f t="shared" si="229"/>
        <v>1.3868410690883013E-2</v>
      </c>
      <c r="G166" s="14">
        <f t="shared" si="230"/>
        <v>-0.10710759633970311</v>
      </c>
      <c r="H166" s="6">
        <f t="shared" si="231"/>
        <v>1.2653943546870054E-2</v>
      </c>
      <c r="I166" s="14">
        <f t="shared" si="232"/>
        <v>-0.10835342453251325</v>
      </c>
      <c r="J166" s="6">
        <f t="shared" si="233"/>
        <v>1.2051453041120637E-2</v>
      </c>
      <c r="K166" s="14">
        <f t="shared" si="234"/>
        <v>-0.11006773279048564</v>
      </c>
      <c r="L166" s="6">
        <f t="shared" si="235"/>
        <v>1.1685981348937488E-2</v>
      </c>
      <c r="M166" s="5">
        <f t="shared" si="236"/>
        <v>-0.11230917617435043</v>
      </c>
      <c r="N166" s="6">
        <f t="shared" si="237"/>
        <v>1.1453173645128246E-2</v>
      </c>
      <c r="O166" s="5">
        <f t="shared" si="238"/>
        <v>-0.11504087309189787</v>
      </c>
      <c r="P166" s="6">
        <f t="shared" si="239"/>
        <v>1.177403487816777E-2</v>
      </c>
      <c r="Q166" s="5">
        <f t="shared" si="240"/>
        <v>-0.11856787945531404</v>
      </c>
      <c r="R166" s="6">
        <f t="shared" si="241"/>
        <v>1.1696099187085522E-2</v>
      </c>
      <c r="S166" s="5">
        <f t="shared" si="242"/>
        <v>-0.12289347916831057</v>
      </c>
      <c r="T166" s="6">
        <f t="shared" si="243"/>
        <v>1.1687400587585117E-2</v>
      </c>
      <c r="U166" s="5">
        <f t="shared" si="244"/>
        <v>-0.12817033856003718</v>
      </c>
      <c r="V166" s="6">
        <f t="shared" si="245"/>
        <v>1.1749021157425665E-2</v>
      </c>
      <c r="W166" s="5">
        <f t="shared" si="246"/>
        <v>-0.13460360938569085</v>
      </c>
      <c r="X166" s="6">
        <f t="shared" si="247"/>
        <v>1.1889065934694992E-2</v>
      </c>
      <c r="Y166" s="5">
        <f t="shared" si="248"/>
        <v>-0.14247269201428012</v>
      </c>
      <c r="Z166" s="6">
        <f t="shared" si="249"/>
        <v>1.2123681500753023E-2</v>
      </c>
      <c r="AA166" s="5">
        <f t="shared" si="250"/>
        <v>-0.15216415898605515</v>
      </c>
      <c r="AB166" s="6">
        <f t="shared" si="251"/>
        <v>1.2480029515967139E-2</v>
      </c>
      <c r="AC166" s="5">
        <f t="shared" si="252"/>
        <v>-0.16426204337183825</v>
      </c>
      <c r="AD166" s="6">
        <f t="shared" si="253"/>
        <v>1.3466866756403881E-2</v>
      </c>
      <c r="AE166" s="5">
        <f t="shared" si="254"/>
        <v>-0.17954318610687942</v>
      </c>
      <c r="AF166" s="6">
        <f t="shared" si="255"/>
        <v>1.4225825255337048E-2</v>
      </c>
      <c r="AG166" s="5">
        <f t="shared" si="256"/>
        <v>-0.19913125802093698</v>
      </c>
      <c r="AH166" s="6">
        <f t="shared" si="257"/>
        <v>1.5343226995879802E-2</v>
      </c>
      <c r="AI166" s="5">
        <f t="shared" si="258"/>
        <v>-0.22458287489423459</v>
      </c>
      <c r="AJ166" s="5">
        <f t="shared" si="259"/>
        <v>1.39868049762414E-2</v>
      </c>
      <c r="AK166" s="5">
        <f t="shared" si="260"/>
        <v>-0.25844520127575266</v>
      </c>
      <c r="AL166" s="5">
        <f t="shared" si="261"/>
        <v>1.602984831907648E-2</v>
      </c>
      <c r="AM166" s="5">
        <f t="shared" si="262"/>
        <v>-0.29628841861566135</v>
      </c>
      <c r="AN166" s="5">
        <f t="shared" si="263"/>
        <v>1.8102459211604752E-2</v>
      </c>
      <c r="AO166" s="5">
        <f t="shared" si="264"/>
        <v>-0.2680747639849661</v>
      </c>
      <c r="AP166" s="6">
        <f t="shared" si="265"/>
        <v>1.6408840547535657E-2</v>
      </c>
    </row>
    <row r="167" spans="1:42" s="29" customFormat="1" x14ac:dyDescent="0.25">
      <c r="A167" s="139">
        <v>0.15</v>
      </c>
      <c r="B167" s="255">
        <f>'Sub C_D_0'!AV193</f>
        <v>1.0147772023652938E-2</v>
      </c>
      <c r="C167" s="142">
        <f>'C_L vs. α'!X469</f>
        <v>0.10835342453251325</v>
      </c>
      <c r="D167" s="143">
        <v>0</v>
      </c>
      <c r="E167" s="83">
        <f t="shared" si="228"/>
        <v>0.10625707059841116</v>
      </c>
      <c r="F167" s="21">
        <f t="shared" si="229"/>
        <v>1.2965165486710555E-2</v>
      </c>
      <c r="G167" s="83">
        <f t="shared" si="230"/>
        <v>0.10710759633970311</v>
      </c>
      <c r="H167" s="21">
        <f t="shared" si="231"/>
        <v>1.1736180571376551E-2</v>
      </c>
      <c r="I167" s="83">
        <f t="shared" si="232"/>
        <v>0.10835342453251325</v>
      </c>
      <c r="J167" s="21">
        <f t="shared" si="233"/>
        <v>1.1112215872486793E-2</v>
      </c>
      <c r="K167" s="83">
        <f t="shared" si="234"/>
        <v>0.11006773279048564</v>
      </c>
      <c r="L167" s="21">
        <f t="shared" si="235"/>
        <v>1.0716788884806469E-2</v>
      </c>
      <c r="M167" s="58">
        <f t="shared" si="236"/>
        <v>0.11230917617435043</v>
      </c>
      <c r="N167" s="21">
        <f t="shared" si="237"/>
        <v>1.0444105560891344E-2</v>
      </c>
      <c r="O167" s="58">
        <f t="shared" si="238"/>
        <v>0.11504087309189787</v>
      </c>
      <c r="P167" s="21">
        <f t="shared" si="239"/>
        <v>1.0715282679628079E-2</v>
      </c>
      <c r="Q167" s="58">
        <f t="shared" si="240"/>
        <v>0.11856787945531404</v>
      </c>
      <c r="R167" s="21">
        <f t="shared" si="241"/>
        <v>1.0571431824003132E-2</v>
      </c>
      <c r="S167" s="58">
        <f t="shared" si="242"/>
        <v>0.12289347916831057</v>
      </c>
      <c r="T167" s="21">
        <f t="shared" si="243"/>
        <v>1.0479176009817757E-2</v>
      </c>
      <c r="U167" s="58">
        <f t="shared" si="244"/>
        <v>0.12817033856003718</v>
      </c>
      <c r="V167" s="21">
        <f t="shared" si="245"/>
        <v>1.04348103024981E-2</v>
      </c>
      <c r="W167" s="58">
        <f t="shared" si="246"/>
        <v>0.13460360938569085</v>
      </c>
      <c r="X167" s="21">
        <f t="shared" si="247"/>
        <v>1.0439615401922541E-2</v>
      </c>
      <c r="Y167" s="58">
        <f t="shared" si="248"/>
        <v>0.14247269201428012</v>
      </c>
      <c r="Z167" s="21">
        <f t="shared" si="249"/>
        <v>1.049980406316935E-2</v>
      </c>
      <c r="AA167" s="58">
        <f t="shared" si="250"/>
        <v>0.15216415898605515</v>
      </c>
      <c r="AB167" s="21">
        <f t="shared" si="251"/>
        <v>1.0627715013572462E-2</v>
      </c>
      <c r="AC167" s="58">
        <f t="shared" si="252"/>
        <v>0.16426204337183825</v>
      </c>
      <c r="AD167" s="21">
        <f t="shared" si="253"/>
        <v>1.1308305244988548E-2</v>
      </c>
      <c r="AE167" s="58">
        <f t="shared" si="254"/>
        <v>0.17954318610687942</v>
      </c>
      <c r="AF167" s="21">
        <f t="shared" si="255"/>
        <v>1.1646964801144286E-2</v>
      </c>
      <c r="AG167" s="58">
        <f t="shared" si="256"/>
        <v>0.19913125802093698</v>
      </c>
      <c r="AH167" s="21">
        <f t="shared" si="257"/>
        <v>1.2170966362199723E-2</v>
      </c>
      <c r="AI167" s="58">
        <f t="shared" si="258"/>
        <v>0.22458287489423459</v>
      </c>
      <c r="AJ167" s="58">
        <f t="shared" si="259"/>
        <v>1.39868049762414E-2</v>
      </c>
      <c r="AK167" s="58">
        <f t="shared" si="260"/>
        <v>0.25844520127575266</v>
      </c>
      <c r="AL167" s="58">
        <f t="shared" si="261"/>
        <v>1.602984831907648E-2</v>
      </c>
      <c r="AM167" s="58">
        <f t="shared" si="262"/>
        <v>0.29628841861566135</v>
      </c>
      <c r="AN167" s="58">
        <f t="shared" si="263"/>
        <v>1.8102459211604752E-2</v>
      </c>
      <c r="AO167" s="58">
        <f t="shared" si="264"/>
        <v>0.2680747639849661</v>
      </c>
      <c r="AP167" s="21">
        <f t="shared" si="265"/>
        <v>1.6408840547535657E-2</v>
      </c>
    </row>
    <row r="168" spans="1:42" x14ac:dyDescent="0.25">
      <c r="A168" s="129">
        <v>0.2</v>
      </c>
      <c r="B168" s="256">
        <f>'Sub C_D_0'!AV194</f>
        <v>9.7215858183361623E-3</v>
      </c>
      <c r="C168" s="129">
        <f>'C_L vs. α'!X470</f>
        <v>0.11006773279048564</v>
      </c>
      <c r="D168" s="144">
        <v>2</v>
      </c>
      <c r="E168" s="14">
        <f t="shared" si="228"/>
        <v>0.31877121179523349</v>
      </c>
      <c r="F168" s="6">
        <f t="shared" si="229"/>
        <v>2.1288298320925578E-2</v>
      </c>
      <c r="G168" s="14">
        <f t="shared" si="230"/>
        <v>0.32132278901910932</v>
      </c>
      <c r="H168" s="6">
        <f t="shared" si="231"/>
        <v>2.0193090300950255E-2</v>
      </c>
      <c r="I168" s="14">
        <f t="shared" si="232"/>
        <v>0.32506027359753975</v>
      </c>
      <c r="J168" s="6">
        <f t="shared" si="233"/>
        <v>1.9767003831791481E-2</v>
      </c>
      <c r="K168" s="14">
        <f t="shared" si="234"/>
        <v>0.3302031983714569</v>
      </c>
      <c r="L168" s="6">
        <f t="shared" si="235"/>
        <v>1.9647605880699935E-2</v>
      </c>
      <c r="M168" s="5">
        <f t="shared" si="236"/>
        <v>0.3369275285230513</v>
      </c>
      <c r="N168" s="6">
        <f t="shared" si="237"/>
        <v>1.9742364400322787E-2</v>
      </c>
      <c r="O168" s="5">
        <f t="shared" si="238"/>
        <v>0.3451226192756936</v>
      </c>
      <c r="P168" s="6">
        <f t="shared" si="239"/>
        <v>2.0471365685943755E-2</v>
      </c>
      <c r="Q168" s="5">
        <f t="shared" si="240"/>
        <v>0.3557036383659421</v>
      </c>
      <c r="R168" s="6">
        <f t="shared" si="241"/>
        <v>2.09349032423953E-2</v>
      </c>
      <c r="S168" s="5">
        <f t="shared" si="242"/>
        <v>0.36868043750493174</v>
      </c>
      <c r="T168" s="6">
        <f t="shared" si="243"/>
        <v>2.1612602025109433E-2</v>
      </c>
      <c r="U168" s="5">
        <f t="shared" si="244"/>
        <v>0.38451101568011153</v>
      </c>
      <c r="V168" s="6">
        <f t="shared" si="245"/>
        <v>2.2544867978089064E-2</v>
      </c>
      <c r="W168" s="5">
        <f t="shared" si="246"/>
        <v>0.40381082815707259</v>
      </c>
      <c r="X168" s="6">
        <f t="shared" si="247"/>
        <v>2.3795866024854669E-2</v>
      </c>
      <c r="Y168" s="5">
        <f t="shared" si="248"/>
        <v>0.42741807604284032</v>
      </c>
      <c r="Z168" s="6">
        <f t="shared" si="249"/>
        <v>2.5463346141288194E-2</v>
      </c>
      <c r="AA168" s="5">
        <f t="shared" si="250"/>
        <v>0.45649247695816542</v>
      </c>
      <c r="AB168" s="6">
        <f t="shared" si="251"/>
        <v>2.7696235923460613E-2</v>
      </c>
      <c r="AC168" s="5">
        <f t="shared" si="252"/>
        <v>0.49278613011551475</v>
      </c>
      <c r="AD168" s="6">
        <f t="shared" si="253"/>
        <v>3.1198800215060361E-2</v>
      </c>
      <c r="AE168" s="5">
        <f t="shared" si="254"/>
        <v>0.53862955832063819</v>
      </c>
      <c r="AF168" s="6">
        <f t="shared" si="255"/>
        <v>3.5410388090854054E-2</v>
      </c>
      <c r="AG168" s="5">
        <f t="shared" si="256"/>
        <v>0.59739377406281091</v>
      </c>
      <c r="AH168" s="6">
        <f t="shared" si="257"/>
        <v>4.14023937939796E-2</v>
      </c>
      <c r="AI168" s="5">
        <f t="shared" si="258"/>
        <v>0.6737486246827038</v>
      </c>
      <c r="AJ168" s="5">
        <f t="shared" si="259"/>
        <v>5.5203089733502665E-2</v>
      </c>
      <c r="AK168" s="5">
        <f t="shared" si="260"/>
        <v>0.77533560382725797</v>
      </c>
      <c r="AL168" s="5">
        <f t="shared" si="261"/>
        <v>7.0612233945314101E-2</v>
      </c>
      <c r="AM168" s="5">
        <f t="shared" si="262"/>
        <v>0.88886525584698406</v>
      </c>
      <c r="AN168" s="5">
        <f t="shared" si="263"/>
        <v>8.983974153576138E-2</v>
      </c>
      <c r="AO168" s="5">
        <f t="shared" si="264"/>
        <v>0.80422429195489831</v>
      </c>
      <c r="AP168" s="6">
        <f t="shared" si="265"/>
        <v>7.5134436473107247E-2</v>
      </c>
    </row>
    <row r="169" spans="1:42" x14ac:dyDescent="0.25">
      <c r="A169" s="139">
        <v>0.25</v>
      </c>
      <c r="B169" s="255">
        <f>'Sub C_D_0'!AV195</f>
        <v>9.4079567164920275E-3</v>
      </c>
      <c r="C169" s="142">
        <f>'C_L vs. α'!X471</f>
        <v>0.11230917617435043</v>
      </c>
      <c r="D169" s="144">
        <v>4</v>
      </c>
      <c r="E169" s="14">
        <f t="shared" si="228"/>
        <v>0.53128535299205581</v>
      </c>
      <c r="F169" s="6">
        <f t="shared" si="229"/>
        <v>3.8837809193528097E-2</v>
      </c>
      <c r="G169" s="14">
        <f t="shared" si="230"/>
        <v>0.53553798169851552</v>
      </c>
      <c r="H169" s="6">
        <f t="shared" si="231"/>
        <v>3.8024672735591167E-2</v>
      </c>
      <c r="I169" s="14">
        <f t="shared" si="232"/>
        <v>0.54176712266256621</v>
      </c>
      <c r="J169" s="6">
        <f t="shared" si="233"/>
        <v>3.8015816919034696E-2</v>
      </c>
      <c r="K169" s="14">
        <f t="shared" si="234"/>
        <v>0.55033866395242814</v>
      </c>
      <c r="L169" s="6">
        <f t="shared" si="235"/>
        <v>3.8478432336617886E-2</v>
      </c>
      <c r="M169" s="5">
        <f t="shared" si="236"/>
        <v>0.56154588087175217</v>
      </c>
      <c r="N169" s="6">
        <f t="shared" si="237"/>
        <v>3.9347950163422567E-2</v>
      </c>
      <c r="O169" s="5">
        <f t="shared" si="238"/>
        <v>0.57520436545948939</v>
      </c>
      <c r="P169" s="6">
        <f t="shared" si="239"/>
        <v>4.1042283897114805E-2</v>
      </c>
      <c r="Q169" s="5">
        <f t="shared" si="240"/>
        <v>0.5928393972765702</v>
      </c>
      <c r="R169" s="6">
        <f t="shared" si="241"/>
        <v>4.2786513442262038E-2</v>
      </c>
      <c r="S169" s="5">
        <f t="shared" si="242"/>
        <v>0.61446739584155285</v>
      </c>
      <c r="T169" s="6">
        <f t="shared" si="243"/>
        <v>4.5087678633460138E-2</v>
      </c>
      <c r="U169" s="5">
        <f t="shared" si="244"/>
        <v>0.64085169280018595</v>
      </c>
      <c r="V169" s="6">
        <f t="shared" si="245"/>
        <v>4.8079194184198565E-2</v>
      </c>
      <c r="W169" s="5">
        <f t="shared" si="246"/>
        <v>0.67301804692845424</v>
      </c>
      <c r="X169" s="6">
        <f t="shared" si="247"/>
        <v>5.1957817803491353E-2</v>
      </c>
      <c r="Y169" s="5">
        <f t="shared" si="248"/>
        <v>0.71236346007140061</v>
      </c>
      <c r="Z169" s="6">
        <f t="shared" si="249"/>
        <v>5.7014307735109564E-2</v>
      </c>
      <c r="AA169" s="5">
        <f t="shared" si="250"/>
        <v>0.76082079493027577</v>
      </c>
      <c r="AB169" s="6">
        <f t="shared" si="251"/>
        <v>6.3685592245631611E-2</v>
      </c>
      <c r="AC169" s="5">
        <f t="shared" si="252"/>
        <v>0.82131021685919126</v>
      </c>
      <c r="AD169" s="6">
        <f t="shared" si="253"/>
        <v>7.313835166661932E-2</v>
      </c>
      <c r="AE169" s="5">
        <f t="shared" si="254"/>
        <v>0.89771593053439713</v>
      </c>
      <c r="AF169" s="6">
        <f t="shared" si="255"/>
        <v>8.5516095124466368E-2</v>
      </c>
      <c r="AG169" s="5">
        <f t="shared" si="256"/>
        <v>0.99565629010468493</v>
      </c>
      <c r="AH169" s="6">
        <f t="shared" si="257"/>
        <v>0.10303750929121944</v>
      </c>
      <c r="AI169" s="5">
        <f t="shared" si="258"/>
        <v>1.1229143744711729</v>
      </c>
      <c r="AJ169" s="5">
        <f t="shared" si="259"/>
        <v>0.13763565924802518</v>
      </c>
      <c r="AK169" s="5">
        <f t="shared" si="260"/>
        <v>1.2922260063787632</v>
      </c>
      <c r="AL169" s="5">
        <f t="shared" si="261"/>
        <v>0.17977700519778933</v>
      </c>
      <c r="AM169" s="5">
        <f t="shared" si="262"/>
        <v>1.4814420930783068</v>
      </c>
      <c r="AN169" s="5">
        <f t="shared" si="263"/>
        <v>0.23331430618407464</v>
      </c>
      <c r="AO169" s="5">
        <f t="shared" si="264"/>
        <v>1.3403738199248305</v>
      </c>
      <c r="AP169" s="6">
        <f t="shared" si="265"/>
        <v>0.19258562832425041</v>
      </c>
    </row>
    <row r="170" spans="1:42" x14ac:dyDescent="0.25">
      <c r="A170" s="129">
        <v>0.3</v>
      </c>
      <c r="B170" s="256">
        <f>'Sub C_D_0'!AV196</f>
        <v>9.6281163286560806E-3</v>
      </c>
      <c r="C170" s="129">
        <f>'C_L vs. α'!X472</f>
        <v>0.11504087309189787</v>
      </c>
      <c r="D170" s="144">
        <v>6</v>
      </c>
      <c r="E170" s="14">
        <f t="shared" si="228"/>
        <v>0.74379949418887814</v>
      </c>
      <c r="F170" s="6">
        <f t="shared" si="229"/>
        <v>6.5613698104518087E-2</v>
      </c>
      <c r="G170" s="14">
        <f t="shared" si="230"/>
        <v>0.74975317437792177</v>
      </c>
      <c r="H170" s="6">
        <f t="shared" si="231"/>
        <v>6.5230927875299285E-2</v>
      </c>
      <c r="I170" s="14">
        <f t="shared" si="232"/>
        <v>0.75847397172759268</v>
      </c>
      <c r="J170" s="6">
        <f t="shared" si="233"/>
        <v>6.5858655134216432E-2</v>
      </c>
      <c r="K170" s="14">
        <f t="shared" si="234"/>
        <v>0.77047412953339944</v>
      </c>
      <c r="L170" s="6">
        <f t="shared" si="235"/>
        <v>6.7209268252560336E-2</v>
      </c>
      <c r="M170" s="5">
        <f t="shared" si="236"/>
        <v>0.78616423322045303</v>
      </c>
      <c r="N170" s="6">
        <f t="shared" si="237"/>
        <v>6.9260862850190688E-2</v>
      </c>
      <c r="O170" s="5">
        <f t="shared" si="238"/>
        <v>0.80528611164328501</v>
      </c>
      <c r="P170" s="6">
        <f t="shared" si="239"/>
        <v>7.2428037313141194E-2</v>
      </c>
      <c r="Q170" s="5">
        <f t="shared" si="240"/>
        <v>0.8299751561871983</v>
      </c>
      <c r="R170" s="6">
        <f t="shared" si="241"/>
        <v>7.6126262423603333E-2</v>
      </c>
      <c r="S170" s="5">
        <f t="shared" si="242"/>
        <v>0.86025435417817397</v>
      </c>
      <c r="T170" s="6">
        <f t="shared" si="243"/>
        <v>8.0904405834869866E-2</v>
      </c>
      <c r="U170" s="5">
        <f t="shared" si="244"/>
        <v>0.89719236992026019</v>
      </c>
      <c r="V170" s="6">
        <f t="shared" si="245"/>
        <v>8.7037788920826559E-2</v>
      </c>
      <c r="W170" s="5">
        <f t="shared" si="246"/>
        <v>0.942225265699836</v>
      </c>
      <c r="X170" s="6">
        <f t="shared" si="247"/>
        <v>9.492547073783264E-2</v>
      </c>
      <c r="Y170" s="5">
        <f t="shared" si="248"/>
        <v>0.99730884409996079</v>
      </c>
      <c r="Z170" s="6">
        <f t="shared" si="249"/>
        <v>0.10515268884463345</v>
      </c>
      <c r="AA170" s="5">
        <f t="shared" si="250"/>
        <v>1.065149112902386</v>
      </c>
      <c r="AB170" s="6">
        <f t="shared" si="251"/>
        <v>0.11859578398008544</v>
      </c>
      <c r="AC170" s="5">
        <f t="shared" si="252"/>
        <v>1.1498343036028678</v>
      </c>
      <c r="AD170" s="6">
        <f t="shared" si="253"/>
        <v>0.13712695959966542</v>
      </c>
      <c r="AE170" s="5">
        <f t="shared" si="254"/>
        <v>1.2568023027481559</v>
      </c>
      <c r="AF170" s="6">
        <f t="shared" si="255"/>
        <v>0.16196408590198119</v>
      </c>
      <c r="AG170" s="5">
        <f t="shared" si="256"/>
        <v>1.3939188061465588</v>
      </c>
      <c r="AH170" s="6">
        <f t="shared" si="257"/>
        <v>0.19707631285391922</v>
      </c>
      <c r="AI170" s="5">
        <f t="shared" si="258"/>
        <v>1.5720801242596421</v>
      </c>
      <c r="AJ170" s="5">
        <f t="shared" si="259"/>
        <v>0.26128451351980891</v>
      </c>
      <c r="AK170" s="5">
        <f t="shared" si="260"/>
        <v>1.8091164089302687</v>
      </c>
      <c r="AL170" s="5">
        <f t="shared" si="261"/>
        <v>0.34352416207650227</v>
      </c>
      <c r="AM170" s="5">
        <f t="shared" si="262"/>
        <v>2.0740189303096295</v>
      </c>
      <c r="AN170" s="5">
        <f t="shared" si="263"/>
        <v>0.44852615315654448</v>
      </c>
      <c r="AO170" s="5">
        <f t="shared" si="264"/>
        <v>1.8765233478947627</v>
      </c>
      <c r="AP170" s="6">
        <f t="shared" si="265"/>
        <v>0.36876241610096522</v>
      </c>
    </row>
    <row r="171" spans="1:42" x14ac:dyDescent="0.25">
      <c r="A171" s="139">
        <v>0.35</v>
      </c>
      <c r="B171" s="255">
        <f>'Sub C_D_0'!AV197</f>
        <v>9.4165813170894088E-3</v>
      </c>
      <c r="C171" s="142">
        <f>'C_L vs. α'!X473</f>
        <v>0.11856787945531404</v>
      </c>
      <c r="D171" s="144">
        <v>8</v>
      </c>
      <c r="E171" s="14">
        <f t="shared" si="228"/>
        <v>0.95631363538570047</v>
      </c>
      <c r="F171" s="6">
        <f t="shared" si="229"/>
        <v>0.10161596505389557</v>
      </c>
      <c r="G171" s="14">
        <f t="shared" si="230"/>
        <v>0.96396836705732802</v>
      </c>
      <c r="H171" s="6">
        <f t="shared" si="231"/>
        <v>0.10181185572007462</v>
      </c>
      <c r="I171" s="14">
        <f t="shared" si="232"/>
        <v>0.97518082079261925</v>
      </c>
      <c r="J171" s="6">
        <f t="shared" si="233"/>
        <v>0.10329551847733673</v>
      </c>
      <c r="K171" s="14">
        <f t="shared" si="234"/>
        <v>0.99060959511437074</v>
      </c>
      <c r="L171" s="6">
        <f t="shared" si="235"/>
        <v>0.10584011362852729</v>
      </c>
      <c r="M171" s="5">
        <f t="shared" si="236"/>
        <v>1.0107825855691539</v>
      </c>
      <c r="N171" s="6">
        <f t="shared" si="237"/>
        <v>0.10948110246062717</v>
      </c>
      <c r="O171" s="5">
        <f t="shared" si="238"/>
        <v>1.0353678578270809</v>
      </c>
      <c r="P171" s="6">
        <f t="shared" si="239"/>
        <v>0.11462862593402301</v>
      </c>
      <c r="Q171" s="5">
        <f t="shared" si="240"/>
        <v>1.0671109150978264</v>
      </c>
      <c r="R171" s="6">
        <f t="shared" si="241"/>
        <v>0.12095415018641921</v>
      </c>
      <c r="S171" s="5">
        <f t="shared" si="242"/>
        <v>1.1060413125147952</v>
      </c>
      <c r="T171" s="6">
        <f t="shared" si="243"/>
        <v>0.12906278362933865</v>
      </c>
      <c r="U171" s="5">
        <f t="shared" si="244"/>
        <v>1.1535330470403347</v>
      </c>
      <c r="V171" s="6">
        <f t="shared" si="245"/>
        <v>0.13942065218797314</v>
      </c>
      <c r="W171" s="5">
        <f t="shared" si="246"/>
        <v>1.2114324844712177</v>
      </c>
      <c r="X171" s="6">
        <f t="shared" si="247"/>
        <v>0.15269882482787847</v>
      </c>
      <c r="Y171" s="5">
        <f t="shared" si="248"/>
        <v>1.282254228128521</v>
      </c>
      <c r="Z171" s="6">
        <f t="shared" si="249"/>
        <v>0.16987848946985984</v>
      </c>
      <c r="AA171" s="5">
        <f t="shared" si="250"/>
        <v>1.3694774308744964</v>
      </c>
      <c r="AB171" s="6">
        <f t="shared" si="251"/>
        <v>0.19242681112682211</v>
      </c>
      <c r="AC171" s="5">
        <f t="shared" si="252"/>
        <v>1.4783583903465443</v>
      </c>
      <c r="AD171" s="6">
        <f t="shared" si="253"/>
        <v>0.2231646240141987</v>
      </c>
      <c r="AE171" s="5">
        <f t="shared" si="254"/>
        <v>1.6158886749619148</v>
      </c>
      <c r="AF171" s="6">
        <f t="shared" si="255"/>
        <v>0.26475436042339856</v>
      </c>
      <c r="AG171" s="5">
        <f t="shared" si="256"/>
        <v>1.7921813221884328</v>
      </c>
      <c r="AH171" s="6">
        <f t="shared" si="257"/>
        <v>0.32351880448207904</v>
      </c>
      <c r="AI171" s="5">
        <f t="shared" si="258"/>
        <v>2.0212458740481112</v>
      </c>
      <c r="AJ171" s="5">
        <f t="shared" si="259"/>
        <v>0.4261496525488539</v>
      </c>
      <c r="AK171" s="5">
        <f t="shared" si="260"/>
        <v>2.3260068114817738</v>
      </c>
      <c r="AL171" s="5">
        <f t="shared" si="261"/>
        <v>0.56185370458145278</v>
      </c>
      <c r="AM171" s="5">
        <f t="shared" si="262"/>
        <v>2.6665957675409522</v>
      </c>
      <c r="AN171" s="5">
        <f t="shared" si="263"/>
        <v>0.73547528245317106</v>
      </c>
      <c r="AO171" s="5">
        <f t="shared" si="264"/>
        <v>2.4126728758646951</v>
      </c>
      <c r="AP171" s="6">
        <f t="shared" si="265"/>
        <v>0.60366479980325161</v>
      </c>
    </row>
    <row r="172" spans="1:42" x14ac:dyDescent="0.25">
      <c r="A172" s="129">
        <v>0.4</v>
      </c>
      <c r="B172" s="256">
        <f>'Sub C_D_0'!AV198</f>
        <v>9.2385258301272179E-3</v>
      </c>
      <c r="C172" s="129">
        <f>'C_L vs. α'!X474</f>
        <v>0.12289347916831057</v>
      </c>
      <c r="D172" s="144">
        <v>10</v>
      </c>
      <c r="E172" s="14">
        <f t="shared" si="228"/>
        <v>1.1688277765825228</v>
      </c>
      <c r="F172" s="6">
        <f t="shared" si="229"/>
        <v>0.14684461004166055</v>
      </c>
      <c r="G172" s="14">
        <f t="shared" si="230"/>
        <v>1.1781835597367343</v>
      </c>
      <c r="H172" s="6">
        <f t="shared" si="231"/>
        <v>0.14776745626991716</v>
      </c>
      <c r="I172" s="14">
        <f t="shared" si="232"/>
        <v>1.1918876698576457</v>
      </c>
      <c r="J172" s="6">
        <f t="shared" si="233"/>
        <v>0.15032640694839552</v>
      </c>
      <c r="K172" s="14">
        <f t="shared" si="234"/>
        <v>1.210745060695342</v>
      </c>
      <c r="L172" s="6">
        <f t="shared" si="235"/>
        <v>0.15437096846451873</v>
      </c>
      <c r="M172" s="5">
        <f t="shared" si="236"/>
        <v>1.2354009379178548</v>
      </c>
      <c r="N172" s="6">
        <f t="shared" si="237"/>
        <v>0.16000866899473196</v>
      </c>
      <c r="O172" s="5">
        <f t="shared" si="238"/>
        <v>1.2654496040108765</v>
      </c>
      <c r="P172" s="6">
        <f t="shared" si="239"/>
        <v>0.16764404975976011</v>
      </c>
      <c r="Q172" s="5">
        <f t="shared" si="240"/>
        <v>1.3042466740084544</v>
      </c>
      <c r="R172" s="6">
        <f t="shared" si="241"/>
        <v>0.17727017673070961</v>
      </c>
      <c r="S172" s="5">
        <f t="shared" si="242"/>
        <v>1.3518282708514162</v>
      </c>
      <c r="T172" s="6">
        <f t="shared" si="243"/>
        <v>0.18956281201686642</v>
      </c>
      <c r="U172" s="5">
        <f t="shared" si="244"/>
        <v>1.4098737241604089</v>
      </c>
      <c r="V172" s="6">
        <f t="shared" si="245"/>
        <v>0.20522778398563821</v>
      </c>
      <c r="W172" s="5">
        <f t="shared" si="246"/>
        <v>1.4806397032425993</v>
      </c>
      <c r="X172" s="6">
        <f t="shared" si="247"/>
        <v>0.22527788007362889</v>
      </c>
      <c r="Y172" s="5">
        <f t="shared" si="248"/>
        <v>1.5671996121570813</v>
      </c>
      <c r="Z172" s="6">
        <f t="shared" si="249"/>
        <v>0.25119170961078879</v>
      </c>
      <c r="AA172" s="5">
        <f t="shared" si="250"/>
        <v>1.6738057488466067</v>
      </c>
      <c r="AB172" s="6">
        <f t="shared" si="251"/>
        <v>0.2851786736858416</v>
      </c>
      <c r="AC172" s="5">
        <f t="shared" si="252"/>
        <v>1.8068824770902208</v>
      </c>
      <c r="AD172" s="6">
        <f t="shared" si="253"/>
        <v>0.33125134491021907</v>
      </c>
      <c r="AE172" s="5">
        <f t="shared" si="254"/>
        <v>1.9749750471756735</v>
      </c>
      <c r="AF172" s="6">
        <f t="shared" si="255"/>
        <v>0.3938869186887185</v>
      </c>
      <c r="AG172" s="5">
        <f t="shared" si="256"/>
        <v>2.1904438382303066</v>
      </c>
      <c r="AH172" s="6">
        <f t="shared" si="257"/>
        <v>0.48236498417569862</v>
      </c>
      <c r="AI172" s="5">
        <f t="shared" si="258"/>
        <v>2.4704116238365805</v>
      </c>
      <c r="AJ172" s="5">
        <f t="shared" si="259"/>
        <v>0.6322310763351604</v>
      </c>
      <c r="AK172" s="5">
        <f t="shared" si="260"/>
        <v>2.8428972140332793</v>
      </c>
      <c r="AL172" s="5">
        <f t="shared" si="261"/>
        <v>0.83476563271264093</v>
      </c>
      <c r="AM172" s="5">
        <f t="shared" si="262"/>
        <v>3.2591726047722749</v>
      </c>
      <c r="AN172" s="5">
        <f t="shared" si="263"/>
        <v>1.094161694073954</v>
      </c>
      <c r="AO172" s="5">
        <f t="shared" si="264"/>
        <v>2.9488224038346269</v>
      </c>
      <c r="AP172" s="6">
        <f t="shared" si="265"/>
        <v>0.8972927794311093</v>
      </c>
    </row>
    <row r="173" spans="1:42" x14ac:dyDescent="0.25">
      <c r="A173" s="139">
        <v>0.45</v>
      </c>
      <c r="B173" s="255">
        <f>'Sub C_D_0'!AV199</f>
        <v>9.0853294499151759E-3</v>
      </c>
      <c r="C173" s="142">
        <f>'C_L vs. α'!X475</f>
        <v>0.12817033856003718</v>
      </c>
      <c r="D173" s="144">
        <v>12</v>
      </c>
      <c r="E173" s="14">
        <f t="shared" si="228"/>
        <v>1.3813419177793451</v>
      </c>
      <c r="F173" s="6">
        <f t="shared" si="229"/>
        <v>0.20129963306781301</v>
      </c>
      <c r="G173" s="14">
        <f t="shared" si="230"/>
        <v>1.3923987524161405</v>
      </c>
      <c r="H173" s="6">
        <f t="shared" si="231"/>
        <v>0.20309772952482691</v>
      </c>
      <c r="I173" s="14">
        <f t="shared" si="232"/>
        <v>1.4085945189226723</v>
      </c>
      <c r="J173" s="6">
        <f t="shared" si="233"/>
        <v>0.2069513205473929</v>
      </c>
      <c r="K173" s="14">
        <f t="shared" si="234"/>
        <v>1.4308805262763133</v>
      </c>
      <c r="L173" s="6">
        <f t="shared" si="235"/>
        <v>0.21280183276053463</v>
      </c>
      <c r="M173" s="5">
        <f t="shared" si="236"/>
        <v>1.4600192902665556</v>
      </c>
      <c r="N173" s="6">
        <f t="shared" si="237"/>
        <v>0.22084356245250511</v>
      </c>
      <c r="O173" s="5">
        <f t="shared" si="238"/>
        <v>1.4955313501946723</v>
      </c>
      <c r="P173" s="6">
        <f t="shared" si="239"/>
        <v>0.23147430879035269</v>
      </c>
      <c r="Q173" s="5">
        <f t="shared" si="240"/>
        <v>1.5413824329190824</v>
      </c>
      <c r="R173" s="6">
        <f t="shared" si="241"/>
        <v>0.24507434205647458</v>
      </c>
      <c r="S173" s="5">
        <f t="shared" si="242"/>
        <v>1.5976152291880374</v>
      </c>
      <c r="T173" s="6">
        <f t="shared" si="243"/>
        <v>0.26240449099745328</v>
      </c>
      <c r="U173" s="5">
        <f t="shared" si="244"/>
        <v>1.6662144012804834</v>
      </c>
      <c r="V173" s="6">
        <f t="shared" si="245"/>
        <v>0.28445918431382183</v>
      </c>
      <c r="W173" s="5">
        <f t="shared" si="246"/>
        <v>1.7498469220139812</v>
      </c>
      <c r="X173" s="6">
        <f t="shared" si="247"/>
        <v>0.31266263647508397</v>
      </c>
      <c r="Y173" s="5">
        <f t="shared" si="248"/>
        <v>1.8521449961856415</v>
      </c>
      <c r="Z173" s="6">
        <f t="shared" si="249"/>
        <v>0.34909234926742022</v>
      </c>
      <c r="AA173" s="5">
        <f t="shared" si="250"/>
        <v>1.9781340668187168</v>
      </c>
      <c r="AB173" s="6">
        <f t="shared" si="251"/>
        <v>0.3968513716571439</v>
      </c>
      <c r="AC173" s="5">
        <f t="shared" si="252"/>
        <v>2.1354065638338975</v>
      </c>
      <c r="AD173" s="6">
        <f t="shared" si="253"/>
        <v>0.46138712228772677</v>
      </c>
      <c r="AE173" s="5">
        <f t="shared" si="254"/>
        <v>2.3340614193894322</v>
      </c>
      <c r="AF173" s="6">
        <f t="shared" si="255"/>
        <v>0.54936176069794085</v>
      </c>
      <c r="AG173" s="5">
        <f t="shared" si="256"/>
        <v>2.5887063542721807</v>
      </c>
      <c r="AH173" s="6">
        <f t="shared" si="257"/>
        <v>0.67361485193477832</v>
      </c>
      <c r="AI173" s="5">
        <f t="shared" si="258"/>
        <v>2.9195773736250499</v>
      </c>
      <c r="AJ173" s="5">
        <f t="shared" si="259"/>
        <v>0.87952878487872788</v>
      </c>
      <c r="AK173" s="5">
        <f t="shared" si="260"/>
        <v>3.3597876165847844</v>
      </c>
      <c r="AL173" s="5">
        <f t="shared" si="261"/>
        <v>1.1622599464700665</v>
      </c>
      <c r="AM173" s="5">
        <f t="shared" si="262"/>
        <v>3.8517494420035976</v>
      </c>
      <c r="AN173" s="5">
        <f t="shared" si="263"/>
        <v>1.5245853880188938</v>
      </c>
      <c r="AO173" s="5">
        <f t="shared" si="264"/>
        <v>3.4849719318045596</v>
      </c>
      <c r="AP173" s="6">
        <f t="shared" si="265"/>
        <v>1.2496463549845391</v>
      </c>
    </row>
    <row r="174" spans="1:42" x14ac:dyDescent="0.25">
      <c r="A174" s="129">
        <v>0.5</v>
      </c>
      <c r="B174" s="256">
        <f>'Sub C_D_0'!AV200</f>
        <v>8.9512653906525831E-3</v>
      </c>
      <c r="C174" s="129">
        <f>'C_L vs. α'!X476</f>
        <v>0.13460360938569085</v>
      </c>
      <c r="D174" s="144">
        <v>14</v>
      </c>
      <c r="E174" s="14">
        <f t="shared" si="228"/>
        <v>1.5938560589761674</v>
      </c>
      <c r="F174" s="6">
        <f t="shared" si="229"/>
        <v>0.26498103413235297</v>
      </c>
      <c r="G174" s="14">
        <f t="shared" si="230"/>
        <v>1.6066139450955468</v>
      </c>
      <c r="H174" s="6">
        <f t="shared" si="231"/>
        <v>0.26780267548480385</v>
      </c>
      <c r="I174" s="14">
        <f t="shared" si="232"/>
        <v>1.6253013679876986</v>
      </c>
      <c r="J174" s="6">
        <f t="shared" si="233"/>
        <v>0.2731702592743287</v>
      </c>
      <c r="K174" s="14">
        <f t="shared" si="234"/>
        <v>1.6510159918572846</v>
      </c>
      <c r="L174" s="6">
        <f t="shared" si="235"/>
        <v>0.28113270651657501</v>
      </c>
      <c r="M174" s="5">
        <f t="shared" si="236"/>
        <v>1.6846376426152565</v>
      </c>
      <c r="N174" s="6">
        <f t="shared" si="237"/>
        <v>0.29198578283394661</v>
      </c>
      <c r="O174" s="5">
        <f t="shared" si="238"/>
        <v>1.7256130963784679</v>
      </c>
      <c r="P174" s="6">
        <f t="shared" si="239"/>
        <v>0.30611940302580054</v>
      </c>
      <c r="Q174" s="5">
        <f t="shared" si="240"/>
        <v>1.7785181918297106</v>
      </c>
      <c r="R174" s="6">
        <f t="shared" si="241"/>
        <v>0.32436664616371413</v>
      </c>
      <c r="S174" s="5">
        <f t="shared" si="242"/>
        <v>1.8434021875246587</v>
      </c>
      <c r="T174" s="6">
        <f t="shared" si="243"/>
        <v>0.34758782057109922</v>
      </c>
      <c r="U174" s="5">
        <f t="shared" si="244"/>
        <v>1.9225550784005576</v>
      </c>
      <c r="V174" s="6">
        <f t="shared" si="245"/>
        <v>0.37711485317252391</v>
      </c>
      <c r="W174" s="5">
        <f t="shared" si="246"/>
        <v>2.0190541407853626</v>
      </c>
      <c r="X174" s="6">
        <f t="shared" si="247"/>
        <v>0.41485309403224341</v>
      </c>
      <c r="Y174" s="5">
        <f t="shared" si="248"/>
        <v>2.1370903802142016</v>
      </c>
      <c r="Z174" s="6">
        <f t="shared" si="249"/>
        <v>0.46358040843975418</v>
      </c>
      <c r="AA174" s="5">
        <f t="shared" si="250"/>
        <v>2.2824623847908274</v>
      </c>
      <c r="AB174" s="6">
        <f t="shared" si="251"/>
        <v>0.52744490504072916</v>
      </c>
      <c r="AC174" s="5">
        <f t="shared" si="252"/>
        <v>2.4639306505775735</v>
      </c>
      <c r="AD174" s="6">
        <f t="shared" si="253"/>
        <v>0.61357195614672122</v>
      </c>
      <c r="AE174" s="5">
        <f t="shared" si="254"/>
        <v>2.6931477916031912</v>
      </c>
      <c r="AF174" s="6">
        <f t="shared" si="255"/>
        <v>0.73117888645106599</v>
      </c>
      <c r="AG174" s="5">
        <f t="shared" si="256"/>
        <v>2.9869688703140547</v>
      </c>
      <c r="AH174" s="6">
        <f t="shared" si="257"/>
        <v>0.89726840775931804</v>
      </c>
      <c r="AI174" s="5">
        <f t="shared" si="258"/>
        <v>3.3687431234135188</v>
      </c>
      <c r="AJ174" s="5">
        <f t="shared" si="259"/>
        <v>1.1680427781795568</v>
      </c>
      <c r="AK174" s="5">
        <f t="shared" si="260"/>
        <v>3.87667801913629</v>
      </c>
      <c r="AL174" s="5">
        <f t="shared" si="261"/>
        <v>1.5443366458537302</v>
      </c>
      <c r="AM174" s="5">
        <f t="shared" si="262"/>
        <v>4.4443262792349199</v>
      </c>
      <c r="AN174" s="5">
        <f t="shared" si="263"/>
        <v>2.0267463642879902</v>
      </c>
      <c r="AO174" s="5">
        <f t="shared" si="264"/>
        <v>4.0211214597744913</v>
      </c>
      <c r="AP174" s="6">
        <f t="shared" si="265"/>
        <v>1.6607255264635401</v>
      </c>
    </row>
    <row r="175" spans="1:42" x14ac:dyDescent="0.25">
      <c r="A175" s="139">
        <v>0.55000000000000004</v>
      </c>
      <c r="B175" s="255">
        <f>'Sub C_D_0'!AV201</f>
        <v>8.832345983102452E-3</v>
      </c>
      <c r="C175" s="142">
        <f>'C_L vs. α'!X477</f>
        <v>0.14247269201428012</v>
      </c>
      <c r="D175" s="144">
        <v>16</v>
      </c>
      <c r="E175" s="14">
        <f t="shared" si="228"/>
        <v>1.8063702001729898</v>
      </c>
      <c r="F175" s="6">
        <f t="shared" si="229"/>
        <v>0.33788881323528042</v>
      </c>
      <c r="G175" s="14">
        <f t="shared" si="230"/>
        <v>1.8208291377749528</v>
      </c>
      <c r="H175" s="6">
        <f t="shared" si="231"/>
        <v>0.341882294149848</v>
      </c>
      <c r="I175" s="14">
        <f t="shared" si="232"/>
        <v>1.8420082170527252</v>
      </c>
      <c r="J175" s="6">
        <f t="shared" si="233"/>
        <v>0.34898322312920316</v>
      </c>
      <c r="K175" s="14">
        <f t="shared" si="234"/>
        <v>1.8711514574382557</v>
      </c>
      <c r="L175" s="6">
        <f t="shared" si="235"/>
        <v>0.35936358973263988</v>
      </c>
      <c r="M175" s="5">
        <f t="shared" si="236"/>
        <v>1.9092559949639574</v>
      </c>
      <c r="N175" s="6">
        <f t="shared" si="237"/>
        <v>0.37343533013905639</v>
      </c>
      <c r="O175" s="5">
        <f t="shared" si="238"/>
        <v>1.9556948425622638</v>
      </c>
      <c r="P175" s="6">
        <f t="shared" si="239"/>
        <v>0.39157933246610382</v>
      </c>
      <c r="Q175" s="5">
        <f t="shared" si="240"/>
        <v>2.0156539507403388</v>
      </c>
      <c r="R175" s="6">
        <f>$B$171+$B$7*Q175^2+$B$8*(Q175-Q$167)^2</f>
        <v>0.41514708905242831</v>
      </c>
      <c r="S175" s="5">
        <f t="shared" si="242"/>
        <v>2.0891891458612797</v>
      </c>
      <c r="T175" s="6">
        <f t="shared" si="243"/>
        <v>0.44511280073780407</v>
      </c>
      <c r="U175" s="5">
        <f t="shared" si="244"/>
        <v>2.1788957555206321</v>
      </c>
      <c r="V175" s="6">
        <f t="shared" si="245"/>
        <v>0.48319479056174464</v>
      </c>
      <c r="W175" s="5">
        <f t="shared" si="246"/>
        <v>2.2882613595567447</v>
      </c>
      <c r="X175" s="6">
        <f t="shared" si="247"/>
        <v>0.53184925274510775</v>
      </c>
      <c r="Y175" s="5">
        <f t="shared" si="248"/>
        <v>2.4220357642427621</v>
      </c>
      <c r="Z175" s="6">
        <f t="shared" si="249"/>
        <v>0.59465588712779072</v>
      </c>
      <c r="AA175" s="5">
        <f t="shared" si="250"/>
        <v>2.5867907027629373</v>
      </c>
      <c r="AB175" s="6">
        <f t="shared" si="251"/>
        <v>0.67695927383659693</v>
      </c>
      <c r="AC175" s="5">
        <f t="shared" si="252"/>
        <v>2.7924547373212505</v>
      </c>
      <c r="AD175" s="6">
        <f t="shared" si="253"/>
        <v>0.78780584648720331</v>
      </c>
      <c r="AE175" s="5">
        <f t="shared" si="254"/>
        <v>3.0522341638169501</v>
      </c>
      <c r="AF175" s="6">
        <f t="shared" si="255"/>
        <v>0.93933829594809359</v>
      </c>
      <c r="AG175" s="5">
        <f t="shared" si="256"/>
        <v>3.3852313863559287</v>
      </c>
      <c r="AH175" s="6">
        <f t="shared" si="257"/>
        <v>1.1533256516493176</v>
      </c>
      <c r="AI175" s="5">
        <f t="shared" si="258"/>
        <v>3.8179088732019881</v>
      </c>
      <c r="AJ175" s="8">
        <f t="shared" si="259"/>
        <v>1.4977730562376468</v>
      </c>
      <c r="AK175" s="5">
        <f t="shared" si="260"/>
        <v>4.393568421687795</v>
      </c>
      <c r="AL175" s="8">
        <f t="shared" si="261"/>
        <v>1.9809957308636312</v>
      </c>
      <c r="AM175" s="5">
        <f t="shared" si="262"/>
        <v>5.0369031164662434</v>
      </c>
      <c r="AN175" s="8">
        <f t="shared" si="263"/>
        <v>2.6006446228812439</v>
      </c>
      <c r="AO175" s="5">
        <f t="shared" si="264"/>
        <v>4.557270987744424</v>
      </c>
      <c r="AP175" s="9">
        <f t="shared" si="265"/>
        <v>2.1305302938681132</v>
      </c>
    </row>
    <row r="176" spans="1:42" x14ac:dyDescent="0.25">
      <c r="A176" s="129">
        <v>0.6</v>
      </c>
      <c r="B176" s="256">
        <f>'Sub C_D_0'!AV202</f>
        <v>8.7256892126357771E-3</v>
      </c>
      <c r="C176" s="129">
        <f>'C_L vs. α'!X478</f>
        <v>0.15216415898605515</v>
      </c>
    </row>
    <row r="177" spans="1:42" x14ac:dyDescent="0.25">
      <c r="A177" s="139">
        <v>0.65</v>
      </c>
      <c r="B177" s="255">
        <f>'Sub C_D_0'!AV203</f>
        <v>9.091813562656488E-3</v>
      </c>
      <c r="C177" s="142">
        <f>'C_L vs. α'!X479</f>
        <v>0.16426204337183825</v>
      </c>
    </row>
    <row r="178" spans="1:42" x14ac:dyDescent="0.25">
      <c r="A178" s="129">
        <v>0.7</v>
      </c>
      <c r="B178" s="256">
        <f>'Sub C_D_0'!AV204</f>
        <v>8.9988944467046597E-3</v>
      </c>
      <c r="C178" s="129">
        <f>'C_L vs. α'!X480</f>
        <v>0.17954318610687942</v>
      </c>
    </row>
    <row r="179" spans="1:42" x14ac:dyDescent="0.25">
      <c r="A179" s="139">
        <v>0.75</v>
      </c>
      <c r="B179" s="255">
        <f>'Sub C_D_0'!AV205</f>
        <v>8.913570512437248E-3</v>
      </c>
      <c r="C179" s="142">
        <f>'C_L vs. α'!X481</f>
        <v>0.19913125802093698</v>
      </c>
    </row>
    <row r="180" spans="1:42" x14ac:dyDescent="0.25">
      <c r="A180" s="129">
        <v>0.8</v>
      </c>
      <c r="B180" s="256">
        <f>'Sub C_D_0'!AV206</f>
        <v>8.834769381583743E-3</v>
      </c>
      <c r="C180" s="129">
        <f>'C_L vs. α'!X482</f>
        <v>0.22458287489423459</v>
      </c>
    </row>
    <row r="181" spans="1:42" x14ac:dyDescent="0.25">
      <c r="A181" s="139">
        <v>0.85</v>
      </c>
      <c r="B181" s="255">
        <f>'Sub C_D_0'!AV207</f>
        <v>9.207050115796778E-3</v>
      </c>
      <c r="C181" s="142">
        <f>'C_L vs. α'!X483</f>
        <v>0.25844520127575266</v>
      </c>
    </row>
    <row r="182" spans="1:42" x14ac:dyDescent="0.25">
      <c r="A182" s="129">
        <v>0.9</v>
      </c>
      <c r="B182" s="256">
        <f>'Sub C_D_0'!AV208</f>
        <v>9.1352989210851734E-3</v>
      </c>
      <c r="C182" s="129">
        <f>'C_L vs. α'!X484</f>
        <v>0.29628841861566135</v>
      </c>
    </row>
    <row r="183" spans="1:42" x14ac:dyDescent="0.25">
      <c r="A183" s="139">
        <v>0.95</v>
      </c>
      <c r="B183" s="255">
        <f>'Sub C_D_0'!AV209</f>
        <v>9.0681410568392087E-3</v>
      </c>
      <c r="C183" s="142">
        <f>'C_L vs. α'!X485</f>
        <v>0.2680747639849661</v>
      </c>
    </row>
    <row r="185" spans="1:42" x14ac:dyDescent="0.25">
      <c r="A185" s="122" t="s">
        <v>537</v>
      </c>
      <c r="B185" s="122" t="s">
        <v>522</v>
      </c>
    </row>
    <row r="186" spans="1:42" x14ac:dyDescent="0.25">
      <c r="A186" s="122" t="s">
        <v>202</v>
      </c>
      <c r="B186" s="145">
        <v>40000</v>
      </c>
      <c r="C186" s="122" t="s">
        <v>538</v>
      </c>
      <c r="D186" s="122" t="s">
        <v>539</v>
      </c>
      <c r="E186" s="1" t="s">
        <v>536</v>
      </c>
      <c r="F186" s="140">
        <v>0.05</v>
      </c>
      <c r="G186" s="1" t="s">
        <v>536</v>
      </c>
      <c r="H186" s="140">
        <v>0.1</v>
      </c>
      <c r="I186" s="1" t="s">
        <v>536</v>
      </c>
      <c r="J186" s="140">
        <v>0.15</v>
      </c>
      <c r="K186" s="1" t="s">
        <v>536</v>
      </c>
      <c r="L186" s="140">
        <v>0.2</v>
      </c>
      <c r="M186" s="2" t="s">
        <v>536</v>
      </c>
      <c r="N186" s="163">
        <v>0.25</v>
      </c>
      <c r="O186" s="2" t="s">
        <v>536</v>
      </c>
      <c r="P186" s="163">
        <v>0.3</v>
      </c>
      <c r="Q186" s="2" t="s">
        <v>536</v>
      </c>
      <c r="R186" s="163">
        <v>0.35</v>
      </c>
      <c r="S186" s="2" t="s">
        <v>536</v>
      </c>
      <c r="T186" s="163">
        <v>0.4</v>
      </c>
      <c r="U186" s="2" t="s">
        <v>536</v>
      </c>
      <c r="V186" s="163">
        <v>0.45</v>
      </c>
      <c r="W186" s="2" t="s">
        <v>536</v>
      </c>
      <c r="X186" s="163">
        <v>0.5</v>
      </c>
      <c r="Y186" s="2" t="s">
        <v>536</v>
      </c>
      <c r="Z186" s="163">
        <v>0.55000000000000004</v>
      </c>
      <c r="AA186" s="2" t="s">
        <v>536</v>
      </c>
      <c r="AB186" s="163">
        <v>0.6</v>
      </c>
      <c r="AC186" s="2" t="s">
        <v>536</v>
      </c>
      <c r="AD186" s="163">
        <v>0.65</v>
      </c>
      <c r="AE186" s="2" t="s">
        <v>536</v>
      </c>
      <c r="AF186" s="163">
        <v>0.7</v>
      </c>
      <c r="AG186" s="2" t="s">
        <v>536</v>
      </c>
      <c r="AH186" s="163">
        <v>0.75</v>
      </c>
      <c r="AI186" s="2" t="s">
        <v>536</v>
      </c>
      <c r="AJ186" s="163">
        <v>0.8</v>
      </c>
      <c r="AK186" s="2" t="s">
        <v>536</v>
      </c>
      <c r="AL186" s="163">
        <v>0.85</v>
      </c>
      <c r="AM186" s="2" t="s">
        <v>536</v>
      </c>
      <c r="AN186" s="163">
        <v>0.9</v>
      </c>
      <c r="AO186" s="2" t="s">
        <v>536</v>
      </c>
      <c r="AP186" s="140">
        <v>0.95</v>
      </c>
    </row>
    <row r="187" spans="1:42" x14ac:dyDescent="0.25">
      <c r="A187" s="121" t="s">
        <v>182</v>
      </c>
      <c r="B187" s="121" t="s">
        <v>534</v>
      </c>
      <c r="C187" s="121" t="s">
        <v>535</v>
      </c>
      <c r="D187" s="121" t="s">
        <v>421</v>
      </c>
      <c r="E187" s="14" t="s">
        <v>244</v>
      </c>
      <c r="F187" s="6" t="s">
        <v>245</v>
      </c>
      <c r="G187" s="14" t="s">
        <v>244</v>
      </c>
      <c r="H187" s="6" t="s">
        <v>245</v>
      </c>
      <c r="I187" s="14" t="s">
        <v>244</v>
      </c>
      <c r="J187" s="6" t="s">
        <v>245</v>
      </c>
      <c r="K187" s="14" t="s">
        <v>244</v>
      </c>
      <c r="L187" s="6" t="s">
        <v>245</v>
      </c>
      <c r="M187" s="5" t="s">
        <v>244</v>
      </c>
      <c r="N187" s="5" t="s">
        <v>245</v>
      </c>
      <c r="O187" s="5" t="s">
        <v>244</v>
      </c>
      <c r="P187" s="5" t="s">
        <v>245</v>
      </c>
      <c r="Q187" s="5" t="s">
        <v>244</v>
      </c>
      <c r="R187" s="5" t="s">
        <v>245</v>
      </c>
      <c r="S187" s="5" t="s">
        <v>244</v>
      </c>
      <c r="T187" s="5" t="s">
        <v>245</v>
      </c>
      <c r="U187" s="5" t="s">
        <v>244</v>
      </c>
      <c r="V187" s="5" t="s">
        <v>245</v>
      </c>
      <c r="W187" s="5" t="s">
        <v>244</v>
      </c>
      <c r="X187" s="5" t="s">
        <v>245</v>
      </c>
      <c r="Y187" s="5" t="s">
        <v>244</v>
      </c>
      <c r="Z187" s="5" t="s">
        <v>245</v>
      </c>
      <c r="AA187" s="5" t="s">
        <v>244</v>
      </c>
      <c r="AB187" s="5" t="s">
        <v>245</v>
      </c>
      <c r="AC187" s="5" t="s">
        <v>244</v>
      </c>
      <c r="AD187" s="5" t="s">
        <v>245</v>
      </c>
      <c r="AE187" s="5" t="s">
        <v>244</v>
      </c>
      <c r="AF187" s="5" t="s">
        <v>245</v>
      </c>
      <c r="AG187" s="5" t="s">
        <v>244</v>
      </c>
      <c r="AH187" s="5" t="s">
        <v>245</v>
      </c>
      <c r="AI187" s="5" t="s">
        <v>244</v>
      </c>
      <c r="AJ187" s="5" t="s">
        <v>245</v>
      </c>
      <c r="AK187" s="5" t="s">
        <v>244</v>
      </c>
      <c r="AL187" s="5" t="s">
        <v>245</v>
      </c>
      <c r="AM187" s="5" t="s">
        <v>244</v>
      </c>
      <c r="AN187" s="5" t="s">
        <v>245</v>
      </c>
      <c r="AO187" s="5" t="s">
        <v>244</v>
      </c>
      <c r="AP187" s="6" t="s">
        <v>245</v>
      </c>
    </row>
    <row r="188" spans="1:42" x14ac:dyDescent="0.25">
      <c r="A188" s="129">
        <v>0</v>
      </c>
      <c r="B188" s="129" t="e">
        <f>'Sub C_D_0'!AV220</f>
        <v>#DIV/0!</v>
      </c>
      <c r="C188" s="129" t="e">
        <f>'C_L vs. α'!X491</f>
        <v>#NUM!</v>
      </c>
      <c r="D188" s="144">
        <v>-6</v>
      </c>
      <c r="E188" s="14">
        <f>(D188-$B$12)*$C$189</f>
        <v>-0.53142156643688421</v>
      </c>
      <c r="F188" s="6">
        <f>$B$189+$B$7*E188^2+$B$8*(E188-E$191)^2</f>
        <v>4.3159859447590751E-2</v>
      </c>
      <c r="G188" s="14">
        <f>(D188-$B$12)*$C$190</f>
        <v>-0.53567035246122652</v>
      </c>
      <c r="H188" s="6">
        <f>$B$190+$B$7*G188^2+$B$8*(G188-G$191)^2</f>
        <v>4.2448465033804214E-2</v>
      </c>
      <c r="I188" s="14">
        <f>(D188-$B$12)*$C$191</f>
        <v>-0.54189128441526069</v>
      </c>
      <c r="J188" s="6">
        <f>$B$191+$B$7*I188^2+$B$8*(I188-I$191)^2</f>
        <v>4.2560987258754929E-2</v>
      </c>
      <c r="K188" s="14">
        <f>(D188-$B$12)*$C$192</f>
        <v>-0.55045467258878689</v>
      </c>
      <c r="L188" s="6">
        <f>$B$192+$B$7*K188^2+$B$8*(K188-K$191)^2</f>
        <v>4.3182195015447254E-2</v>
      </c>
      <c r="M188" s="5">
        <f>(D188-$B$12)*$C$193</f>
        <v>-0.56165394198934249</v>
      </c>
      <c r="N188" s="6">
        <f>$B$193+$B$7*M188^2+$B$8*(M188-M$191)^2</f>
        <v>4.4257333394159937E-2</v>
      </c>
      <c r="O188" s="5">
        <f>(D188-$B$12)*$C$194</f>
        <v>-0.57531284110323644</v>
      </c>
      <c r="P188" s="6">
        <f>$B$194+$B$7*O188^2+$B$8*(O188-O$191)^2</f>
        <v>4.6198300559250269E-2</v>
      </c>
      <c r="Q188" s="5">
        <f>(D188-$B$12)*$C$195</f>
        <v>-0.59293946414242549</v>
      </c>
      <c r="R188" s="6">
        <f>$B$195+$B$7*Q188^2+$B$8*(Q188-Q$191)^2</f>
        <v>4.8276018044675136E-2</v>
      </c>
      <c r="S188" s="5">
        <f>(D188-$B$12)*$C$196</f>
        <v>-0.61455748281419853</v>
      </c>
      <c r="T188" s="6">
        <f>$B$196+$B$7*S188^2+$B$8*(S188-S$191)^2</f>
        <v>5.0997924860027646E-2</v>
      </c>
      <c r="U188" s="5">
        <f>(D188-$B$12)*$C$197</f>
        <v>-0.64092941745577159</v>
      </c>
      <c r="V188" s="6">
        <f>$B$197+$B$7*U188^2+$B$8*(U188-U$191)^2</f>
        <v>5.4521419014082799E-2</v>
      </c>
      <c r="W188" s="5">
        <f>(D188-$B$12)*$C$198</f>
        <v>-0.6730797811408793</v>
      </c>
      <c r="X188" s="6">
        <f>$B$198+$B$7*W188^2+$B$8*(W188-W$191)^2</f>
        <v>5.9077258736682743E-2</v>
      </c>
      <c r="Y188" s="5">
        <f>(D188-$B$12)*$C$199</f>
        <v>-0.712403601914256</v>
      </c>
      <c r="Z188" s="6">
        <f>$B$199+$B$7*Y188^2+$B$8*(Y188-Y$191)^2</f>
        <v>6.5005524218362157E-2</v>
      </c>
      <c r="AA188" s="5">
        <f>(D188-$B$12)*$C$200</f>
        <v>-0.7608304737650522</v>
      </c>
      <c r="AB188" s="6">
        <f>$B$200+$B$7*AA188^2+$B$8*(AA188-AA$191)^2</f>
        <v>7.2816527638436629E-2</v>
      </c>
      <c r="AC188" s="5">
        <f>(D188-$B$12)*$C$201</f>
        <v>-0.82127128061632959</v>
      </c>
      <c r="AD188" s="6">
        <f>$B$201+$B$7*AC188^2+$B$8*(AC188-AC$191)^2</f>
        <v>8.3786636678608736E-2</v>
      </c>
      <c r="AE188" s="5">
        <f>(D188-$B$12)*$C$202</f>
        <v>-0.89759908347829942</v>
      </c>
      <c r="AF188" s="6">
        <f>$B$202+$B$7*AE188^2+$B$8*(AE188-AE$191)^2</f>
        <v>9.8251638144281436E-2</v>
      </c>
      <c r="AG188" s="5">
        <f>(D188-$B$12)*$C$203</f>
        <v>-0.9954087628192626</v>
      </c>
      <c r="AH188" s="6">
        <f>$B$203+$B$7*AG188^2+$B$8*(AG188-AG$191)^2</f>
        <v>0.11871042415658384</v>
      </c>
      <c r="AI188" s="5">
        <f>(D188-$B$12)*$C$204</f>
        <v>-1.1224276564227389</v>
      </c>
      <c r="AJ188" s="5">
        <f>$B$204+$B$9*AI188^2</f>
        <v>0.13739195383896208</v>
      </c>
      <c r="AK188" s="5">
        <f>(D188-$B$12)*$C$205</f>
        <v>-1.2911682043819241</v>
      </c>
      <c r="AL188" s="5">
        <f>$B$205+$B$9*AK188^2</f>
        <v>0.17936049294009096</v>
      </c>
      <c r="AM188" s="5">
        <f>(D188-$B$12)*$C$206</f>
        <v>-1.4790002308818497</v>
      </c>
      <c r="AN188" s="5">
        <f>$B$206+$B$9*AM188^2</f>
        <v>0.23243999390286771</v>
      </c>
      <c r="AO188" s="5">
        <f>(D188-$B$12)*$C$207</f>
        <v>-1.3323974242911165</v>
      </c>
      <c r="AP188" s="6">
        <f>$B$207+$B$9*AO188^2</f>
        <v>0.19027343773138528</v>
      </c>
    </row>
    <row r="189" spans="1:42" x14ac:dyDescent="0.25">
      <c r="A189" s="139">
        <v>0.05</v>
      </c>
      <c r="B189" s="255">
        <f>'Sub C_D_0'!AV221</f>
        <v>1.1827443637661294E-2</v>
      </c>
      <c r="C189" s="258">
        <f>'C_L vs. α'!X492</f>
        <v>0.10628431328737685</v>
      </c>
      <c r="D189" s="144">
        <v>-4</v>
      </c>
      <c r="E189" s="14">
        <f t="shared" ref="E189:E199" si="266">(D189-$B$12)*$C$189</f>
        <v>-0.31885293986213054</v>
      </c>
      <c r="F189" s="6">
        <f t="shared" ref="F189:F199" si="267">$B$189+$B$7*E189^2+$B$8*(E189-E$191)^2</f>
        <v>2.3793931728494831E-2</v>
      </c>
      <c r="G189" s="14">
        <f t="shared" ref="G189:G199" si="268">(D189-$B$12)*$C$190</f>
        <v>-0.32140221147673592</v>
      </c>
      <c r="H189" s="6">
        <f t="shared" ref="H189:H199" si="269">$B$190+$B$7*G189^2+$B$8*(G189-G$191)^2</f>
        <v>2.2771633073132871E-2</v>
      </c>
      <c r="I189" s="14">
        <f t="shared" ref="I189:I199" si="270">(D189-$B$12)*$C$191</f>
        <v>-0.32513477064915641</v>
      </c>
      <c r="J189" s="6">
        <f t="shared" ref="J189:J199" si="271">$B$191+$B$7*I189^2+$B$8*(I189-I$191)^2</f>
        <v>2.2424473266063828E-2</v>
      </c>
      <c r="K189" s="14">
        <f t="shared" ref="K189:K199" si="272">(D189-$B$12)*$C$192</f>
        <v>-0.3302728035532721</v>
      </c>
      <c r="L189" s="6">
        <f t="shared" ref="L189:L199" si="273">$B$192+$B$7*K189^2+$B$8*(K189-K$191)^2</f>
        <v>2.240422661674394E-2</v>
      </c>
      <c r="M189" s="5">
        <f t="shared" ref="M189:M199" si="274">(D189-$B$12)*$C$193</f>
        <v>-0.33699236519360548</v>
      </c>
      <c r="N189" s="6">
        <f t="shared" ref="N189:N199" si="275">$B$193+$B$7*M189^2+$B$8*(M189-M$191)^2</f>
        <v>2.2625288337200095E-2</v>
      </c>
      <c r="O189" s="5">
        <f t="shared" ref="O189:O199" si="276">(D189-$B$12)*$C$194</f>
        <v>-0.34518770466194182</v>
      </c>
      <c r="P189" s="6">
        <f t="shared" ref="P189:P199" si="277">$B$194+$B$7*O189^2+$B$8*(O189-O$191)^2</f>
        <v>2.3501319694266894E-2</v>
      </c>
      <c r="Q189" s="5">
        <f t="shared" ref="Q189:Q199" si="278">(D189-$B$12)*$C$195</f>
        <v>-0.35576367848545531</v>
      </c>
      <c r="R189" s="6">
        <f t="shared" ref="R189:R199" si="279">$B$195+$B$7*Q189^2+$B$8*(Q189-Q$191)^2</f>
        <v>2.4166936312712814E-2</v>
      </c>
      <c r="S189" s="5">
        <f t="shared" ref="S189:S199" si="280">(D189-$B$12)*$C$196</f>
        <v>-0.36873448968851907</v>
      </c>
      <c r="T189" s="6">
        <f t="shared" ref="T189:T199" si="281">$B$196+$B$7*S189^2+$B$8*(S189-S$191)^2</f>
        <v>2.5098806634208597E-2</v>
      </c>
      <c r="U189" s="5">
        <f t="shared" ref="U189:U199" si="282">(D189-$B$12)*$C$197</f>
        <v>-0.38455765047346291</v>
      </c>
      <c r="V189" s="6">
        <f t="shared" ref="V189:V199" si="283">$B$197+$B$7*U189^2+$B$8*(U189-U$191)^2</f>
        <v>2.6351839337672767E-2</v>
      </c>
      <c r="W189" s="5">
        <f t="shared" ref="W189:W199" si="284">(D189-$B$12)*$C$198</f>
        <v>-0.40384786868452754</v>
      </c>
      <c r="X189" s="6">
        <f t="shared" ref="X189:X199" si="285">$B$198+$B$7*W189^2+$B$8*(W189-W$191)^2</f>
        <v>2.8010707367058026E-2</v>
      </c>
      <c r="Y189" s="5">
        <f t="shared" ref="Y189:Y199" si="286">(D189-$B$12)*$C$199</f>
        <v>-0.4274421611485536</v>
      </c>
      <c r="Z189" s="6">
        <f t="shared" ref="Z189:Z199" si="287">$B$199+$B$7*Y189^2+$B$8*(Y189-Y$191)^2</f>
        <v>3.0202885807713749E-2</v>
      </c>
      <c r="AA189" s="5">
        <f t="shared" ref="AA189:AA199" si="288">(D189-$B$12)*$C$200</f>
        <v>-0.45649828425903127</v>
      </c>
      <c r="AB189" s="6">
        <f t="shared" ref="AB189:AB199" si="289">$B$200+$B$7*AA189^2+$B$8*(AA189-AA$191)^2</f>
        <v>3.3121532365449784E-2</v>
      </c>
      <c r="AC189" s="5">
        <f t="shared" ref="AC189:AC199" si="290">(D189-$B$12)*$C$201</f>
        <v>-0.49276276836979771</v>
      </c>
      <c r="AD189" s="6">
        <f t="shared" ref="AD189:AD199" si="291">$B$201+$B$7*AC189^2+$B$8*(AC189-AC$191)^2</f>
        <v>3.7534347924456007E-2</v>
      </c>
      <c r="AE189" s="5">
        <f t="shared" ref="AE189:AE199" si="292">(D189-$B$12)*$C$202</f>
        <v>-0.5385594500869797</v>
      </c>
      <c r="AF189" s="6">
        <f t="shared" ref="AF189:AF198" si="293">$B$202+$B$7*AE189^2+$B$8*(AE189-AE$191)^2</f>
        <v>4.300259548475089E-2</v>
      </c>
      <c r="AG189" s="5">
        <f t="shared" ref="AG189:AG199" si="294">(D189-$B$12)*$C$203</f>
        <v>-0.59724525769155756</v>
      </c>
      <c r="AH189" s="6">
        <f t="shared" ref="AH189:AH199" si="295">$B$203+$B$7*AG189^2+$B$8*(AG189-AG$191)^2</f>
        <v>5.0764583639717496E-2</v>
      </c>
      <c r="AI189" s="5">
        <f t="shared" ref="AI189:AI199" si="296">(D189-$B$12)*$C$204</f>
        <v>-0.67345659385364343</v>
      </c>
      <c r="AJ189" s="5">
        <f t="shared" ref="AJ189:AJ199" si="297">$B$204+$B$9*AI189^2</f>
        <v>5.5030828283343249E-2</v>
      </c>
      <c r="AK189" s="5">
        <f t="shared" ref="AK189:AK199" si="298">(D189-$B$12)*$C$205</f>
        <v>-0.77470092262915458</v>
      </c>
      <c r="AL189" s="5">
        <f t="shared" ref="AL189:AL199" si="299">$B$205+$B$9*AK189^2</f>
        <v>7.037437069991008E-2</v>
      </c>
      <c r="AM189" s="5">
        <f t="shared" ref="AM189:AM199" si="300">(D189-$B$12)*$C$206</f>
        <v>-0.88740013852910993</v>
      </c>
      <c r="AN189" s="5">
        <f t="shared" ref="AN189:AN199" si="301">$B$206+$B$9*AM189^2</f>
        <v>8.9438017930325409E-2</v>
      </c>
      <c r="AO189" s="5">
        <f t="shared" ref="AO189:AO199" si="302">$C$37*(RADIANS(D189-$B$12))+$E$10*RADIANS(D189)^2</f>
        <v>-1.0398478548845499E-2</v>
      </c>
      <c r="AP189" s="6">
        <f t="shared" ref="AP189:AP199" si="303">$B$207+$B$9*AO189^2</f>
        <v>8.9446754284463262E-3</v>
      </c>
    </row>
    <row r="190" spans="1:42" x14ac:dyDescent="0.25">
      <c r="A190" s="129">
        <v>0.1</v>
      </c>
      <c r="B190" s="256">
        <f>'Sub C_D_0'!AV222</f>
        <v>1.0613032734532693E-2</v>
      </c>
      <c r="C190" s="257">
        <f>'C_L vs. α'!X493</f>
        <v>0.10713407049224531</v>
      </c>
      <c r="D190" s="144">
        <v>-2</v>
      </c>
      <c r="E190" s="14">
        <f t="shared" si="266"/>
        <v>-0.10628431328737685</v>
      </c>
      <c r="F190" s="6">
        <f t="shared" si="267"/>
        <v>1.3659113658908099E-2</v>
      </c>
      <c r="G190" s="14">
        <f t="shared" si="268"/>
        <v>-0.10713407049224531</v>
      </c>
      <c r="H190" s="6">
        <f t="shared" si="269"/>
        <v>1.2474108730387708E-2</v>
      </c>
      <c r="I190" s="14">
        <f t="shared" si="270"/>
        <v>-0.10837825688305214</v>
      </c>
      <c r="J190" s="6">
        <f t="shared" si="271"/>
        <v>1.1886382407117925E-2</v>
      </c>
      <c r="K190" s="14">
        <f t="shared" si="272"/>
        <v>-0.11009093451775737</v>
      </c>
      <c r="L190" s="6">
        <f t="shared" si="273"/>
        <v>1.1530441862872561E-2</v>
      </c>
      <c r="M190" s="5">
        <f t="shared" si="274"/>
        <v>-0.11233078839786849</v>
      </c>
      <c r="N190" s="6">
        <f t="shared" si="275"/>
        <v>1.1304537567836712E-2</v>
      </c>
      <c r="O190" s="5">
        <f t="shared" si="276"/>
        <v>-0.11506256822064728</v>
      </c>
      <c r="P190" s="6">
        <f t="shared" si="277"/>
        <v>1.1623253477553963E-2</v>
      </c>
      <c r="Q190" s="5">
        <f t="shared" si="278"/>
        <v>-0.1185878928284851</v>
      </c>
      <c r="R190" s="6">
        <f t="shared" si="279"/>
        <v>1.1549871913711637E-2</v>
      </c>
      <c r="S190" s="5">
        <f t="shared" si="280"/>
        <v>-0.1229114965628397</v>
      </c>
      <c r="T190" s="6">
        <f t="shared" si="281"/>
        <v>1.1544958081806394E-2</v>
      </c>
      <c r="U190" s="5">
        <f t="shared" si="282"/>
        <v>-0.12818588349115431</v>
      </c>
      <c r="V190" s="6">
        <f t="shared" si="283"/>
        <v>1.1609784670411441E-2</v>
      </c>
      <c r="W190" s="5">
        <f t="shared" si="284"/>
        <v>-0.13461595622817585</v>
      </c>
      <c r="X190" s="6">
        <f t="shared" si="285"/>
        <v>1.1752573455396627E-2</v>
      </c>
      <c r="Y190" s="5">
        <f t="shared" si="286"/>
        <v>-0.1424807203828512</v>
      </c>
      <c r="Z190" s="6">
        <f t="shared" si="287"/>
        <v>1.198953637515689E-2</v>
      </c>
      <c r="AA190" s="5">
        <f t="shared" si="288"/>
        <v>-0.15216609475301043</v>
      </c>
      <c r="AB190" s="6">
        <f t="shared" si="289"/>
        <v>1.2347853913261082E-2</v>
      </c>
      <c r="AC190" s="5">
        <f t="shared" si="290"/>
        <v>-0.16425425612326591</v>
      </c>
      <c r="AD190" s="6">
        <f t="shared" si="291"/>
        <v>1.3329025121195354E-2</v>
      </c>
      <c r="AE190" s="5">
        <f t="shared" si="292"/>
        <v>-0.17951981669565989</v>
      </c>
      <c r="AF190" s="6">
        <f t="shared" si="293"/>
        <v>1.4088979571527882E-2</v>
      </c>
      <c r="AG190" s="5">
        <f t="shared" si="294"/>
        <v>-0.19908175256385252</v>
      </c>
      <c r="AH190" s="6">
        <f t="shared" si="295"/>
        <v>1.5206321613128525E-2</v>
      </c>
      <c r="AI190" s="5">
        <f t="shared" si="296"/>
        <v>-0.22448553128454779</v>
      </c>
      <c r="AJ190" s="5">
        <f t="shared" si="297"/>
        <v>1.385026550553381E-2</v>
      </c>
      <c r="AK190" s="5">
        <f t="shared" si="298"/>
        <v>-0.25823364087638484</v>
      </c>
      <c r="AL190" s="5">
        <f t="shared" si="299"/>
        <v>1.5881309579819616E-2</v>
      </c>
      <c r="AM190" s="5">
        <f t="shared" si="300"/>
        <v>-0.29580004617636996</v>
      </c>
      <c r="AN190" s="5">
        <f t="shared" si="301"/>
        <v>1.7937029944054241E-2</v>
      </c>
      <c r="AO190" s="5">
        <f t="shared" si="302"/>
        <v>-3.7910847640543225E-3</v>
      </c>
      <c r="AP190" s="6">
        <f t="shared" si="303"/>
        <v>8.9350985317775307E-3</v>
      </c>
    </row>
    <row r="191" spans="1:42" s="29" customFormat="1" x14ac:dyDescent="0.25">
      <c r="A191" s="139">
        <v>0.15</v>
      </c>
      <c r="B191" s="255">
        <f>'Sub C_D_0'!AV223</f>
        <v>9.9818287214992456E-3</v>
      </c>
      <c r="C191" s="258">
        <f>'C_L vs. α'!X494</f>
        <v>0.10837825688305214</v>
      </c>
      <c r="D191" s="143">
        <v>0</v>
      </c>
      <c r="E191" s="83">
        <f t="shared" si="266"/>
        <v>0.10628431328737685</v>
      </c>
      <c r="F191" s="21">
        <f t="shared" si="267"/>
        <v>1.2755405238830557E-2</v>
      </c>
      <c r="G191" s="83">
        <f t="shared" si="268"/>
        <v>0.10713407049224531</v>
      </c>
      <c r="H191" s="21">
        <f t="shared" si="269"/>
        <v>1.1555892005568717E-2</v>
      </c>
      <c r="I191" s="83">
        <f t="shared" si="270"/>
        <v>0.10837825688305214</v>
      </c>
      <c r="J191" s="21">
        <f t="shared" si="271"/>
        <v>1.0946714681917219E-2</v>
      </c>
      <c r="K191" s="83">
        <f t="shared" si="272"/>
        <v>0.11009093451775737</v>
      </c>
      <c r="L191" s="21">
        <f t="shared" si="273"/>
        <v>1.0560840753833109E-2</v>
      </c>
      <c r="M191" s="58">
        <f t="shared" si="274"/>
        <v>0.11233078839786849</v>
      </c>
      <c r="N191" s="21">
        <f t="shared" si="275"/>
        <v>1.0295081086069776E-2</v>
      </c>
      <c r="O191" s="58">
        <f t="shared" si="276"/>
        <v>0.11506256822064728</v>
      </c>
      <c r="P191" s="21">
        <f t="shared" si="277"/>
        <v>1.0564101909111475E-2</v>
      </c>
      <c r="Q191" s="58">
        <f t="shared" si="278"/>
        <v>0.1185878928284851</v>
      </c>
      <c r="R191" s="21">
        <f t="shared" si="279"/>
        <v>1.0424824847671616E-2</v>
      </c>
      <c r="S191" s="58">
        <f t="shared" si="280"/>
        <v>0.1229114965628397</v>
      </c>
      <c r="T191" s="21">
        <f t="shared" si="281"/>
        <v>1.0336379202821037E-2</v>
      </c>
      <c r="U191" s="58">
        <f t="shared" si="282"/>
        <v>0.12818588349115431</v>
      </c>
      <c r="V191" s="21">
        <f t="shared" si="283"/>
        <v>1.0295255012298818E-2</v>
      </c>
      <c r="W191" s="58">
        <f t="shared" si="284"/>
        <v>0.13461595622817585</v>
      </c>
      <c r="X191" s="21">
        <f t="shared" si="285"/>
        <v>1.0302857001698534E-2</v>
      </c>
      <c r="Y191" s="58">
        <f t="shared" si="286"/>
        <v>0.1424807203828512</v>
      </c>
      <c r="Z191" s="21">
        <f t="shared" si="287"/>
        <v>1.0365475920691591E-2</v>
      </c>
      <c r="AA191" s="58">
        <f t="shared" si="288"/>
        <v>0.15216609475301043</v>
      </c>
      <c r="AB191" s="21">
        <f t="shared" si="289"/>
        <v>1.049549228187051E-2</v>
      </c>
      <c r="AC191" s="58">
        <f t="shared" si="290"/>
        <v>0.16425425612326591</v>
      </c>
      <c r="AD191" s="21">
        <f t="shared" si="291"/>
        <v>1.1170668268826758E-2</v>
      </c>
      <c r="AE191" s="58">
        <f t="shared" si="292"/>
        <v>0.17951981669565989</v>
      </c>
      <c r="AF191" s="21">
        <f t="shared" si="293"/>
        <v>1.1510790404612416E-2</v>
      </c>
      <c r="AG191" s="58">
        <f t="shared" si="294"/>
        <v>0.19908175256385252</v>
      </c>
      <c r="AH191" s="21">
        <f t="shared" si="295"/>
        <v>1.2035638076816926E-2</v>
      </c>
      <c r="AI191" s="58">
        <f t="shared" si="296"/>
        <v>0.22448553128454779</v>
      </c>
      <c r="AJ191" s="58">
        <f t="shared" si="297"/>
        <v>1.385026550553381E-2</v>
      </c>
      <c r="AK191" s="58">
        <f t="shared" si="298"/>
        <v>0.25823364087638484</v>
      </c>
      <c r="AL191" s="58">
        <f t="shared" si="299"/>
        <v>1.5881309579819616E-2</v>
      </c>
      <c r="AM191" s="58">
        <f t="shared" si="300"/>
        <v>0.29580004617636996</v>
      </c>
      <c r="AN191" s="58">
        <f t="shared" si="301"/>
        <v>1.7937029944054241E-2</v>
      </c>
      <c r="AO191" s="58">
        <f t="shared" si="302"/>
        <v>4.7658605073717898E-3</v>
      </c>
      <c r="AP191" s="21">
        <f t="shared" si="303"/>
        <v>8.9359505503246121E-3</v>
      </c>
    </row>
    <row r="192" spans="1:42" x14ac:dyDescent="0.25">
      <c r="A192" s="129">
        <v>0.2</v>
      </c>
      <c r="B192" s="256">
        <f>'Sub C_D_0'!AV224</f>
        <v>9.56521807548898E-3</v>
      </c>
      <c r="C192" s="257">
        <f>'C_L vs. α'!X495</f>
        <v>0.11009093451775737</v>
      </c>
      <c r="D192" s="144">
        <v>2</v>
      </c>
      <c r="E192" s="14">
        <f t="shared" si="266"/>
        <v>0.31885293986213054</v>
      </c>
      <c r="F192" s="6">
        <f t="shared" si="267"/>
        <v>2.1082806468262206E-2</v>
      </c>
      <c r="G192" s="14">
        <f t="shared" si="268"/>
        <v>0.32140221147673592</v>
      </c>
      <c r="H192" s="6">
        <f t="shared" si="269"/>
        <v>2.00169828986759E-2</v>
      </c>
      <c r="I192" s="14">
        <f t="shared" si="270"/>
        <v>0.32513477064915641</v>
      </c>
      <c r="J192" s="6">
        <f t="shared" si="271"/>
        <v>1.9605470090461707E-2</v>
      </c>
      <c r="K192" s="14">
        <f t="shared" si="272"/>
        <v>0.3302728035532721</v>
      </c>
      <c r="L192" s="6">
        <f t="shared" si="273"/>
        <v>1.9495423289625585E-2</v>
      </c>
      <c r="M192" s="5">
        <f t="shared" si="274"/>
        <v>0.33699236519360548</v>
      </c>
      <c r="N192" s="6">
        <f t="shared" si="275"/>
        <v>1.9596918891899288E-2</v>
      </c>
      <c r="O192" s="5">
        <f t="shared" si="276"/>
        <v>0.34518770466194182</v>
      </c>
      <c r="P192" s="6">
        <f t="shared" si="277"/>
        <v>2.0323864988939427E-2</v>
      </c>
      <c r="Q192" s="5">
        <f t="shared" si="278"/>
        <v>0.35576367848545531</v>
      </c>
      <c r="R192" s="6">
        <f t="shared" si="279"/>
        <v>2.079179511459275E-2</v>
      </c>
      <c r="S192" s="5">
        <f t="shared" si="280"/>
        <v>0.36873448968851907</v>
      </c>
      <c r="T192" s="6">
        <f t="shared" si="281"/>
        <v>2.1473069997252524E-2</v>
      </c>
      <c r="U192" s="5">
        <f t="shared" si="282"/>
        <v>0.38455765047346291</v>
      </c>
      <c r="V192" s="6">
        <f t="shared" si="283"/>
        <v>2.2408250363334895E-2</v>
      </c>
      <c r="W192" s="5">
        <f t="shared" si="284"/>
        <v>0.40384786868452754</v>
      </c>
      <c r="X192" s="6">
        <f t="shared" si="285"/>
        <v>2.366155800596375E-2</v>
      </c>
      <c r="Y192" s="5">
        <f t="shared" si="286"/>
        <v>0.4274421611485536</v>
      </c>
      <c r="Z192" s="6">
        <f t="shared" si="287"/>
        <v>2.5330704444317852E-2</v>
      </c>
      <c r="AA192" s="5">
        <f t="shared" si="288"/>
        <v>0.45649828425903127</v>
      </c>
      <c r="AB192" s="6">
        <f t="shared" si="289"/>
        <v>2.7564447471278068E-2</v>
      </c>
      <c r="AC192" s="5">
        <f t="shared" si="290"/>
        <v>0.49276276836979771</v>
      </c>
      <c r="AD192" s="6">
        <f t="shared" si="291"/>
        <v>3.1059277367350223E-2</v>
      </c>
      <c r="AE192" s="5">
        <f t="shared" si="292"/>
        <v>0.5385594500869797</v>
      </c>
      <c r="AF192" s="6">
        <f t="shared" si="293"/>
        <v>3.5268027984004496E-2</v>
      </c>
      <c r="AG192" s="5">
        <f t="shared" si="294"/>
        <v>0.59724525769155756</v>
      </c>
      <c r="AH192" s="6">
        <f t="shared" si="295"/>
        <v>4.1252533030782697E-2</v>
      </c>
      <c r="AI192" s="5">
        <f t="shared" si="296"/>
        <v>0.67345659385364343</v>
      </c>
      <c r="AJ192" s="5">
        <f t="shared" si="297"/>
        <v>5.5030828283343249E-2</v>
      </c>
      <c r="AK192" s="5">
        <f t="shared" si="298"/>
        <v>0.77470092262915458</v>
      </c>
      <c r="AL192" s="5">
        <f t="shared" si="299"/>
        <v>7.037437069991008E-2</v>
      </c>
      <c r="AM192" s="5">
        <f t="shared" si="300"/>
        <v>0.88740013852910993</v>
      </c>
      <c r="AN192" s="5">
        <f t="shared" si="301"/>
        <v>8.9438017930325409E-2</v>
      </c>
      <c r="AO192" s="5">
        <f t="shared" si="302"/>
        <v>1.5272357265432837E-2</v>
      </c>
      <c r="AP192" s="6">
        <f t="shared" si="303"/>
        <v>8.9574557066525434E-3</v>
      </c>
    </row>
    <row r="193" spans="1:42" x14ac:dyDescent="0.25">
      <c r="A193" s="139">
        <v>0.25</v>
      </c>
      <c r="B193" s="255">
        <f>'Sub C_D_0'!AV225</f>
        <v>9.2585334205619544E-3</v>
      </c>
      <c r="C193" s="258">
        <f>'C_L vs. α'!X496</f>
        <v>0.11233078839786849</v>
      </c>
      <c r="D193" s="144">
        <v>4</v>
      </c>
      <c r="E193" s="14">
        <f t="shared" si="266"/>
        <v>0.53142156643688421</v>
      </c>
      <c r="F193" s="6">
        <f t="shared" si="267"/>
        <v>3.8641317347203046E-2</v>
      </c>
      <c r="G193" s="14">
        <f t="shared" si="268"/>
        <v>0.53567035246122652</v>
      </c>
      <c r="H193" s="6">
        <f t="shared" si="269"/>
        <v>3.7857381409709255E-2</v>
      </c>
      <c r="I193" s="14">
        <f t="shared" si="270"/>
        <v>0.54189128441526069</v>
      </c>
      <c r="J193" s="6">
        <f t="shared" si="271"/>
        <v>3.7862648632751392E-2</v>
      </c>
      <c r="K193" s="14">
        <f t="shared" si="272"/>
        <v>0.55045467258878689</v>
      </c>
      <c r="L193" s="6">
        <f t="shared" si="273"/>
        <v>3.8334189470249996E-2</v>
      </c>
      <c r="M193" s="5">
        <f t="shared" si="274"/>
        <v>0.56165394198934249</v>
      </c>
      <c r="N193" s="6">
        <f t="shared" si="275"/>
        <v>3.9210050985325248E-2</v>
      </c>
      <c r="O193" s="5">
        <f t="shared" si="276"/>
        <v>0.57531284110323644</v>
      </c>
      <c r="P193" s="6">
        <f t="shared" si="277"/>
        <v>4.0902542717037825E-2</v>
      </c>
      <c r="Q193" s="5">
        <f t="shared" si="278"/>
        <v>0.59293946414242549</v>
      </c>
      <c r="R193" s="6">
        <f t="shared" si="279"/>
        <v>4.2650782714475026E-2</v>
      </c>
      <c r="S193" s="5">
        <f t="shared" si="280"/>
        <v>0.61455748281419853</v>
      </c>
      <c r="T193" s="6">
        <f t="shared" si="281"/>
        <v>4.4955030465100861E-2</v>
      </c>
      <c r="U193" s="5">
        <f t="shared" si="282"/>
        <v>0.64092941745577159</v>
      </c>
      <c r="V193" s="6">
        <f t="shared" si="283"/>
        <v>4.7948770723519683E-2</v>
      </c>
      <c r="W193" s="5">
        <f t="shared" si="284"/>
        <v>0.6730797811408793</v>
      </c>
      <c r="X193" s="6">
        <f t="shared" si="285"/>
        <v>5.1828676468192281E-2</v>
      </c>
      <c r="Y193" s="5">
        <f t="shared" si="286"/>
        <v>0.712403601914256</v>
      </c>
      <c r="Z193" s="6">
        <f t="shared" si="287"/>
        <v>5.6885221946035673E-2</v>
      </c>
      <c r="AA193" s="5">
        <f t="shared" si="288"/>
        <v>0.7608304737650522</v>
      </c>
      <c r="AB193" s="6">
        <f t="shared" si="289"/>
        <v>6.3554719481483779E-2</v>
      </c>
      <c r="AC193" s="5">
        <f t="shared" si="290"/>
        <v>0.82127128061632959</v>
      </c>
      <c r="AD193" s="6">
        <f t="shared" si="291"/>
        <v>7.299485241676576E-2</v>
      </c>
      <c r="AE193" s="5">
        <f t="shared" si="292"/>
        <v>0.89759908347829942</v>
      </c>
      <c r="AF193" s="6">
        <f t="shared" si="293"/>
        <v>8.5360692309704098E-2</v>
      </c>
      <c r="AG193" s="5">
        <f t="shared" si="294"/>
        <v>0.9954087628192626</v>
      </c>
      <c r="AH193" s="6">
        <f t="shared" si="295"/>
        <v>0.10285700647502584</v>
      </c>
      <c r="AI193" s="5">
        <f t="shared" si="296"/>
        <v>1.1224276564227389</v>
      </c>
      <c r="AJ193" s="5">
        <f t="shared" si="297"/>
        <v>0.13739195383896208</v>
      </c>
      <c r="AK193" s="5">
        <f t="shared" si="298"/>
        <v>1.2911682043819241</v>
      </c>
      <c r="AL193" s="5">
        <f t="shared" si="299"/>
        <v>0.17936049294009096</v>
      </c>
      <c r="AM193" s="5">
        <f t="shared" si="300"/>
        <v>1.4790002308818497</v>
      </c>
      <c r="AN193" s="5">
        <f t="shared" si="301"/>
        <v>0.23243999390286771</v>
      </c>
      <c r="AO193" s="5">
        <f t="shared" si="302"/>
        <v>2.7728405510128815E-2</v>
      </c>
      <c r="AP193" s="6">
        <f t="shared" si="303"/>
        <v>9.0121676350110747E-3</v>
      </c>
    </row>
    <row r="194" spans="1:42" x14ac:dyDescent="0.25">
      <c r="A194" s="129">
        <v>0.3</v>
      </c>
      <c r="B194" s="256">
        <f>'Sub C_D_0'!AV226</f>
        <v>9.4765254701882923E-3</v>
      </c>
      <c r="C194" s="257">
        <f>'C_L vs. α'!X497</f>
        <v>0.11506256822064728</v>
      </c>
      <c r="D194" s="144">
        <v>6</v>
      </c>
      <c r="E194" s="14">
        <f t="shared" si="266"/>
        <v>0.74399019301163793</v>
      </c>
      <c r="F194" s="6">
        <f t="shared" si="267"/>
        <v>6.5430937875653072E-2</v>
      </c>
      <c r="G194" s="14">
        <f t="shared" si="268"/>
        <v>0.74993849344571717</v>
      </c>
      <c r="H194" s="6">
        <f t="shared" si="269"/>
        <v>6.5077087538668782E-2</v>
      </c>
      <c r="I194" s="14">
        <f t="shared" si="270"/>
        <v>0.75864779818136496</v>
      </c>
      <c r="J194" s="6">
        <f t="shared" si="271"/>
        <v>6.571825030878628E-2</v>
      </c>
      <c r="K194" s="14">
        <f t="shared" si="272"/>
        <v>0.77063654162430151</v>
      </c>
      <c r="L194" s="6">
        <f t="shared" si="273"/>
        <v>6.7077139295706315E-2</v>
      </c>
      <c r="M194" s="5">
        <f t="shared" si="274"/>
        <v>0.78631551878507944</v>
      </c>
      <c r="N194" s="6">
        <f t="shared" si="275"/>
        <v>6.9134477366347646E-2</v>
      </c>
      <c r="O194" s="5">
        <f t="shared" si="276"/>
        <v>0.80543797754453095</v>
      </c>
      <c r="P194" s="6">
        <f t="shared" si="277"/>
        <v>7.2300135093406659E-2</v>
      </c>
      <c r="Q194" s="5">
        <f t="shared" si="278"/>
        <v>0.83011524979939566</v>
      </c>
      <c r="R194" s="6">
        <f t="shared" si="279"/>
        <v>7.6001787647318464E-2</v>
      </c>
      <c r="S194" s="5">
        <f t="shared" si="280"/>
        <v>0.86038047593987788</v>
      </c>
      <c r="T194" s="6">
        <f t="shared" si="281"/>
        <v>8.0782260606366035E-2</v>
      </c>
      <c r="U194" s="5">
        <f t="shared" si="282"/>
        <v>0.89730118443808016</v>
      </c>
      <c r="V194" s="6">
        <f t="shared" si="283"/>
        <v>8.6916816092853164E-2</v>
      </c>
      <c r="W194" s="5">
        <f t="shared" si="284"/>
        <v>0.94231169359723088</v>
      </c>
      <c r="X194" s="6">
        <f t="shared" si="285"/>
        <v>9.4804212388384088E-2</v>
      </c>
      <c r="Y194" s="5">
        <f t="shared" si="286"/>
        <v>0.9973650426799584</v>
      </c>
      <c r="Z194" s="6">
        <f t="shared" si="287"/>
        <v>0.10502902842584504</v>
      </c>
      <c r="AA194" s="5">
        <f t="shared" si="288"/>
        <v>1.0651626632710731</v>
      </c>
      <c r="AB194" s="6">
        <f t="shared" si="289"/>
        <v>0.11846630831248763</v>
      </c>
      <c r="AC194" s="5">
        <f t="shared" si="290"/>
        <v>1.1497797928628615</v>
      </c>
      <c r="AD194" s="6">
        <f t="shared" si="291"/>
        <v>0.13697739341707338</v>
      </c>
      <c r="AE194" s="5">
        <f t="shared" si="292"/>
        <v>1.2566387168696191</v>
      </c>
      <c r="AF194" s="6">
        <f t="shared" si="293"/>
        <v>0.16178878338171121</v>
      </c>
      <c r="AG194" s="5">
        <f t="shared" si="294"/>
        <v>1.3935722679469675</v>
      </c>
      <c r="AH194" s="6">
        <f t="shared" si="295"/>
        <v>0.19684905840954631</v>
      </c>
      <c r="AI194" s="5">
        <f t="shared" si="296"/>
        <v>1.5713987189918346</v>
      </c>
      <c r="AJ194" s="5">
        <f t="shared" si="297"/>
        <v>0.2609336421723904</v>
      </c>
      <c r="AK194" s="5">
        <f t="shared" si="298"/>
        <v>1.8076354861346939</v>
      </c>
      <c r="AL194" s="5">
        <f t="shared" si="299"/>
        <v>0.34283967630036238</v>
      </c>
      <c r="AM194" s="5">
        <f t="shared" si="300"/>
        <v>2.0706003232345895</v>
      </c>
      <c r="AN194" s="5">
        <f t="shared" si="301"/>
        <v>0.44694295786168114</v>
      </c>
      <c r="AO194" s="5">
        <f t="shared" si="302"/>
        <v>4.2134005241459743E-2</v>
      </c>
      <c r="AP194" s="6">
        <f t="shared" si="303"/>
        <v>9.1149693813347282E-3</v>
      </c>
    </row>
    <row r="195" spans="1:42" x14ac:dyDescent="0.25">
      <c r="A195" s="139">
        <v>0.35</v>
      </c>
      <c r="B195" s="255">
        <f>'Sub C_D_0'!AV227</f>
        <v>9.2695844475614783E-3</v>
      </c>
      <c r="C195" s="258">
        <f>'C_L vs. α'!X498</f>
        <v>0.1185878928284851</v>
      </c>
      <c r="D195" s="144">
        <v>8</v>
      </c>
      <c r="E195" s="14">
        <f t="shared" si="266"/>
        <v>0.95655881958639166</v>
      </c>
      <c r="F195" s="6">
        <f t="shared" si="267"/>
        <v>0.1014516680536123</v>
      </c>
      <c r="G195" s="14">
        <f t="shared" si="268"/>
        <v>0.96420663443020782</v>
      </c>
      <c r="H195" s="6">
        <f t="shared" si="269"/>
        <v>0.10167610128555449</v>
      </c>
      <c r="I195" s="14">
        <f t="shared" si="270"/>
        <v>0.97540431194746924</v>
      </c>
      <c r="J195" s="6">
        <f t="shared" si="271"/>
        <v>0.10317227511856635</v>
      </c>
      <c r="K195" s="14">
        <f t="shared" si="272"/>
        <v>0.99081841065981635</v>
      </c>
      <c r="L195" s="6">
        <f t="shared" si="273"/>
        <v>0.10572427276599461</v>
      </c>
      <c r="M195" s="5">
        <f t="shared" si="274"/>
        <v>1.0109770955808164</v>
      </c>
      <c r="N195" s="6">
        <f t="shared" si="275"/>
        <v>0.1093701980349665</v>
      </c>
      <c r="O195" s="5">
        <f t="shared" si="276"/>
        <v>1.0355631139858255</v>
      </c>
      <c r="P195" s="6">
        <f t="shared" si="277"/>
        <v>0.11451664211804591</v>
      </c>
      <c r="Q195" s="5">
        <f t="shared" si="278"/>
        <v>1.0672910354563658</v>
      </c>
      <c r="R195" s="6">
        <f t="shared" si="279"/>
        <v>0.12084480991312302</v>
      </c>
      <c r="S195" s="5">
        <f t="shared" si="280"/>
        <v>1.1062034690655573</v>
      </c>
      <c r="T195" s="6">
        <f t="shared" si="281"/>
        <v>0.12895476042104806</v>
      </c>
      <c r="U195" s="5">
        <f t="shared" si="282"/>
        <v>1.1536729514203887</v>
      </c>
      <c r="V195" s="6">
        <f t="shared" si="283"/>
        <v>0.13931238647133534</v>
      </c>
      <c r="W195" s="5">
        <f t="shared" si="284"/>
        <v>1.2115436060535827</v>
      </c>
      <c r="X195" s="6">
        <f t="shared" si="285"/>
        <v>0.15258816576653925</v>
      </c>
      <c r="Y195" s="5">
        <f t="shared" si="286"/>
        <v>1.2823264834456607</v>
      </c>
      <c r="Z195" s="6">
        <f t="shared" si="287"/>
        <v>0.16976212388374598</v>
      </c>
      <c r="AA195" s="5">
        <f t="shared" si="288"/>
        <v>1.3694948527770938</v>
      </c>
      <c r="AB195" s="6">
        <f t="shared" si="289"/>
        <v>0.19229921396428956</v>
      </c>
      <c r="AC195" s="5">
        <f t="shared" si="290"/>
        <v>1.4782883051093931</v>
      </c>
      <c r="AD195" s="6">
        <f t="shared" si="291"/>
        <v>0.22300690036827298</v>
      </c>
      <c r="AE195" s="5">
        <f t="shared" si="292"/>
        <v>1.6156783502609391</v>
      </c>
      <c r="AF195" s="6">
        <f t="shared" si="293"/>
        <v>0.26455230120002599</v>
      </c>
      <c r="AG195" s="5">
        <f t="shared" si="294"/>
        <v>1.7917357730746728</v>
      </c>
      <c r="AH195" s="6">
        <f t="shared" si="295"/>
        <v>0.32322868883434425</v>
      </c>
      <c r="AI195" s="5">
        <f t="shared" si="296"/>
        <v>2.0203697815609303</v>
      </c>
      <c r="AJ195" s="5">
        <f t="shared" si="297"/>
        <v>0.42565589328362813</v>
      </c>
      <c r="AK195" s="5">
        <f t="shared" si="298"/>
        <v>2.3241027678874637</v>
      </c>
      <c r="AL195" s="5">
        <f t="shared" si="299"/>
        <v>0.56081192078072428</v>
      </c>
      <c r="AM195" s="5">
        <f t="shared" si="300"/>
        <v>2.6622004155873298</v>
      </c>
      <c r="AN195" s="5">
        <f t="shared" si="301"/>
        <v>0.73294690980676591</v>
      </c>
      <c r="AO195" s="5">
        <f t="shared" si="302"/>
        <v>5.8489156459425581E-2</v>
      </c>
      <c r="AP195" s="6">
        <f t="shared" si="303"/>
        <v>9.2830734032428013E-3</v>
      </c>
    </row>
    <row r="196" spans="1:42" x14ac:dyDescent="0.25">
      <c r="A196" s="129">
        <v>0.4</v>
      </c>
      <c r="B196" s="256">
        <f>'Sub C_D_0'!AV228</f>
        <v>9.0953652133902718E-3</v>
      </c>
      <c r="C196" s="257">
        <f>'C_L vs. α'!X499</f>
        <v>0.1229114965628397</v>
      </c>
      <c r="D196" s="144">
        <v>10</v>
      </c>
      <c r="E196" s="14">
        <f t="shared" si="266"/>
        <v>1.1691274461611454</v>
      </c>
      <c r="F196" s="6">
        <f t="shared" si="267"/>
        <v>0.14670350788108072</v>
      </c>
      <c r="G196" s="14">
        <f t="shared" si="268"/>
        <v>1.1784747754146985</v>
      </c>
      <c r="H196" s="6">
        <f t="shared" si="269"/>
        <v>0.14765442265036638</v>
      </c>
      <c r="I196" s="14">
        <f t="shared" si="270"/>
        <v>1.1921608257135734</v>
      </c>
      <c r="J196" s="6">
        <f t="shared" si="271"/>
        <v>0.15022472306209159</v>
      </c>
      <c r="K196" s="14">
        <f t="shared" si="272"/>
        <v>1.211000279695331</v>
      </c>
      <c r="L196" s="6">
        <f t="shared" si="273"/>
        <v>0.15427558988111478</v>
      </c>
      <c r="M196" s="5">
        <f t="shared" si="274"/>
        <v>1.2356386723765533</v>
      </c>
      <c r="N196" s="6">
        <f t="shared" si="275"/>
        <v>0.15991721299118178</v>
      </c>
      <c r="O196" s="5">
        <f t="shared" si="276"/>
        <v>1.2656882504271201</v>
      </c>
      <c r="P196" s="6">
        <f t="shared" si="277"/>
        <v>0.16755206379095564</v>
      </c>
      <c r="Q196" s="5">
        <f t="shared" si="278"/>
        <v>1.3044668211133361</v>
      </c>
      <c r="R196" s="6">
        <f t="shared" si="279"/>
        <v>0.17717984951188878</v>
      </c>
      <c r="S196" s="5">
        <f t="shared" si="280"/>
        <v>1.3520264621912368</v>
      </c>
      <c r="T196" s="6">
        <f t="shared" si="281"/>
        <v>0.18947252990914693</v>
      </c>
      <c r="U196" s="5">
        <f t="shared" si="282"/>
        <v>1.4100447184026974</v>
      </c>
      <c r="V196" s="6">
        <f t="shared" si="283"/>
        <v>0.20513548185896624</v>
      </c>
      <c r="W196" s="5">
        <f t="shared" si="284"/>
        <v>1.4807755185099343</v>
      </c>
      <c r="X196" s="6">
        <f t="shared" si="285"/>
        <v>0.22518053660265766</v>
      </c>
      <c r="Y196" s="5">
        <f t="shared" si="286"/>
        <v>1.5672879242113633</v>
      </c>
      <c r="Z196" s="6">
        <f t="shared" si="287"/>
        <v>0.25108450831973855</v>
      </c>
      <c r="AA196" s="5">
        <f t="shared" si="288"/>
        <v>1.6738270422831147</v>
      </c>
      <c r="AB196" s="6">
        <f t="shared" si="289"/>
        <v>0.28505343643688963</v>
      </c>
      <c r="AC196" s="5">
        <f t="shared" si="290"/>
        <v>1.806796817355925</v>
      </c>
      <c r="AD196" s="6">
        <f t="shared" si="291"/>
        <v>0.33108337327036469</v>
      </c>
      <c r="AE196" s="5">
        <f t="shared" si="292"/>
        <v>1.9747179836522588</v>
      </c>
      <c r="AF196" s="6">
        <f t="shared" si="293"/>
        <v>0.39365124576464822</v>
      </c>
      <c r="AG196" s="5">
        <f t="shared" si="294"/>
        <v>2.1898992782023776</v>
      </c>
      <c r="AH196" s="6">
        <f t="shared" si="295"/>
        <v>0.48199589774941942</v>
      </c>
      <c r="AI196" s="5">
        <f t="shared" si="296"/>
        <v>2.4693408441300257</v>
      </c>
      <c r="AJ196" s="5">
        <f t="shared" si="297"/>
        <v>0.63155870717267537</v>
      </c>
      <c r="AK196" s="5">
        <f t="shared" si="298"/>
        <v>2.8405700496402333</v>
      </c>
      <c r="AL196" s="5">
        <f t="shared" si="299"/>
        <v>0.83327722638117652</v>
      </c>
      <c r="AM196" s="5">
        <f t="shared" si="300"/>
        <v>3.2538005079400696</v>
      </c>
      <c r="AN196" s="5">
        <f t="shared" si="301"/>
        <v>1.0904518497381217</v>
      </c>
      <c r="AO196" s="5">
        <f t="shared" si="302"/>
        <v>7.6793859164026368E-2</v>
      </c>
      <c r="AP196" s="6">
        <f t="shared" si="303"/>
        <v>9.5360215700393668E-3</v>
      </c>
    </row>
    <row r="197" spans="1:42" x14ac:dyDescent="0.25">
      <c r="A197" s="139">
        <v>0.45</v>
      </c>
      <c r="B197" s="255">
        <f>'Sub C_D_0'!AV229</f>
        <v>8.9454468006833852E-3</v>
      </c>
      <c r="C197" s="258">
        <f>'C_L vs. α'!X500</f>
        <v>0.12818588349115431</v>
      </c>
      <c r="D197" s="144">
        <v>12</v>
      </c>
      <c r="E197" s="14">
        <f t="shared" si="266"/>
        <v>1.3816960727358991</v>
      </c>
      <c r="F197" s="6">
        <f t="shared" si="267"/>
        <v>0.20118645735805837</v>
      </c>
      <c r="G197" s="14">
        <f t="shared" si="268"/>
        <v>1.3927429163991891</v>
      </c>
      <c r="H197" s="6">
        <f t="shared" si="269"/>
        <v>0.20301205163310443</v>
      </c>
      <c r="I197" s="14">
        <f t="shared" si="270"/>
        <v>1.4089173394796779</v>
      </c>
      <c r="J197" s="6">
        <f t="shared" si="271"/>
        <v>0.20687559413936213</v>
      </c>
      <c r="K197" s="14">
        <f t="shared" si="272"/>
        <v>1.4311821487308458</v>
      </c>
      <c r="L197" s="6">
        <f t="shared" si="273"/>
        <v>0.21273109064106693</v>
      </c>
      <c r="M197" s="5">
        <f t="shared" si="274"/>
        <v>1.4603002491722903</v>
      </c>
      <c r="N197" s="6">
        <f t="shared" si="275"/>
        <v>0.22077552223499353</v>
      </c>
      <c r="O197" s="5">
        <f t="shared" si="276"/>
        <v>1.4958133868684147</v>
      </c>
      <c r="P197" s="6">
        <f t="shared" si="277"/>
        <v>0.23140640011213581</v>
      </c>
      <c r="Q197" s="5">
        <f t="shared" si="278"/>
        <v>1.5416426067703064</v>
      </c>
      <c r="R197" s="6">
        <f t="shared" si="279"/>
        <v>0.2450069064436157</v>
      </c>
      <c r="S197" s="5">
        <f t="shared" si="280"/>
        <v>1.597849455316916</v>
      </c>
      <c r="T197" s="6">
        <f t="shared" si="281"/>
        <v>0.26233556907066258</v>
      </c>
      <c r="U197" s="5">
        <f t="shared" si="282"/>
        <v>1.6664164853850061</v>
      </c>
      <c r="V197" s="6">
        <f t="shared" si="283"/>
        <v>0.28438610225574584</v>
      </c>
      <c r="W197" s="5">
        <f t="shared" si="284"/>
        <v>1.7500074309662861</v>
      </c>
      <c r="X197" s="6">
        <f t="shared" si="285"/>
        <v>0.3125813248967394</v>
      </c>
      <c r="Y197" s="5">
        <f t="shared" si="286"/>
        <v>1.8522493649770655</v>
      </c>
      <c r="Z197" s="6">
        <f t="shared" si="287"/>
        <v>0.34899618173382252</v>
      </c>
      <c r="AA197" s="5">
        <f t="shared" si="288"/>
        <v>1.9781592317891357</v>
      </c>
      <c r="AB197" s="6">
        <f t="shared" si="289"/>
        <v>0.39672897573028792</v>
      </c>
      <c r="AC197" s="5">
        <f t="shared" si="290"/>
        <v>2.1353053296024567</v>
      </c>
      <c r="AD197" s="6">
        <f t="shared" si="291"/>
        <v>0.46120681212334835</v>
      </c>
      <c r="AE197" s="5">
        <f t="shared" si="292"/>
        <v>2.3337576170435788</v>
      </c>
      <c r="AF197" s="6">
        <f t="shared" si="293"/>
        <v>0.54908561707557813</v>
      </c>
      <c r="AG197" s="5">
        <f t="shared" si="294"/>
        <v>2.5880627833300829</v>
      </c>
      <c r="AH197" s="6">
        <f t="shared" si="295"/>
        <v>0.67315068515477228</v>
      </c>
      <c r="AI197" s="5">
        <f t="shared" si="296"/>
        <v>2.9183119066991212</v>
      </c>
      <c r="AJ197" s="5">
        <f t="shared" si="297"/>
        <v>0.87864208383953191</v>
      </c>
      <c r="AK197" s="5">
        <f t="shared" si="298"/>
        <v>3.3570373313930029</v>
      </c>
      <c r="AL197" s="5">
        <f t="shared" si="299"/>
        <v>1.160235593101719</v>
      </c>
      <c r="AM197" s="5">
        <f t="shared" si="300"/>
        <v>3.8454006002928094</v>
      </c>
      <c r="AN197" s="5">
        <f t="shared" si="301"/>
        <v>1.5194577776557485</v>
      </c>
      <c r="AO197" s="5">
        <f t="shared" si="302"/>
        <v>9.7048113355262103E-2</v>
      </c>
      <c r="AP197" s="6">
        <f t="shared" si="303"/>
        <v>9.8956851627132712E-3</v>
      </c>
    </row>
    <row r="198" spans="1:42" x14ac:dyDescent="0.25">
      <c r="A198" s="129">
        <v>0.5</v>
      </c>
      <c r="B198" s="256">
        <f>'Sub C_D_0'!AV230</f>
        <v>8.8142339328776444E-3</v>
      </c>
      <c r="C198" s="257">
        <f>'C_L vs. α'!X501</f>
        <v>0.13461595622817585</v>
      </c>
      <c r="D198" s="144">
        <v>14</v>
      </c>
      <c r="E198" s="14">
        <f t="shared" si="266"/>
        <v>1.5942646993106528</v>
      </c>
      <c r="F198" s="6">
        <f t="shared" si="267"/>
        <v>0.26490051648454516</v>
      </c>
      <c r="G198" s="14">
        <f t="shared" si="268"/>
        <v>1.6070110573836798</v>
      </c>
      <c r="H198" s="6">
        <f t="shared" si="269"/>
        <v>0.26774898823376869</v>
      </c>
      <c r="I198" s="14">
        <f t="shared" si="270"/>
        <v>1.625673853245782</v>
      </c>
      <c r="J198" s="6">
        <f t="shared" si="271"/>
        <v>0.27312488835037774</v>
      </c>
      <c r="K198" s="14">
        <f t="shared" si="272"/>
        <v>1.6513640177663604</v>
      </c>
      <c r="L198" s="6">
        <f t="shared" si="273"/>
        <v>0.281090775045851</v>
      </c>
      <c r="M198" s="5">
        <f t="shared" si="274"/>
        <v>1.6849618259680272</v>
      </c>
      <c r="N198" s="6">
        <f t="shared" si="275"/>
        <v>0.29194512576640175</v>
      </c>
      <c r="O198" s="5">
        <f t="shared" si="276"/>
        <v>1.7259385233097093</v>
      </c>
      <c r="P198" s="6">
        <f t="shared" si="277"/>
        <v>0.30607965108158647</v>
      </c>
      <c r="Q198" s="5">
        <f t="shared" si="278"/>
        <v>1.7788183924272765</v>
      </c>
      <c r="R198" s="6">
        <f t="shared" si="279"/>
        <v>0.32432598070830371</v>
      </c>
      <c r="S198" s="5">
        <f t="shared" si="280"/>
        <v>1.8436724484425955</v>
      </c>
      <c r="T198" s="6">
        <f t="shared" si="281"/>
        <v>0.3475438779055951</v>
      </c>
      <c r="U198" s="5">
        <f t="shared" si="282"/>
        <v>1.9227882523673148</v>
      </c>
      <c r="V198" s="6">
        <f t="shared" si="283"/>
        <v>0.37706424766167412</v>
      </c>
      <c r="W198" s="5">
        <f t="shared" si="284"/>
        <v>2.0192393434226377</v>
      </c>
      <c r="X198" s="6">
        <f t="shared" si="285"/>
        <v>0.41479053064878446</v>
      </c>
      <c r="Y198" s="5">
        <f t="shared" si="286"/>
        <v>2.1372108057427681</v>
      </c>
      <c r="Z198" s="6">
        <f t="shared" si="287"/>
        <v>0.46349714412599818</v>
      </c>
      <c r="AA198" s="5">
        <f t="shared" si="288"/>
        <v>2.2824914212951564</v>
      </c>
      <c r="AB198" s="6">
        <f t="shared" si="289"/>
        <v>0.52732583184448423</v>
      </c>
      <c r="AC198" s="5">
        <f t="shared" si="290"/>
        <v>2.4638138418489888</v>
      </c>
      <c r="AD198" s="6">
        <f t="shared" si="291"/>
        <v>0.61337721692722447</v>
      </c>
      <c r="AE198" s="5">
        <f t="shared" si="292"/>
        <v>2.6927972504348983</v>
      </c>
      <c r="AF198" s="6">
        <f t="shared" si="293"/>
        <v>0.73085541513281527</v>
      </c>
      <c r="AG198" s="5">
        <f t="shared" si="294"/>
        <v>2.9862262884577877</v>
      </c>
      <c r="AH198" s="6">
        <f t="shared" si="295"/>
        <v>0.89669305105040209</v>
      </c>
      <c r="AI198" s="5">
        <f t="shared" si="296"/>
        <v>3.3672829692682167</v>
      </c>
      <c r="AJ198" s="5">
        <f t="shared" si="297"/>
        <v>1.1669060232841977</v>
      </c>
      <c r="AK198" s="5">
        <f t="shared" si="298"/>
        <v>3.8735046131457724</v>
      </c>
      <c r="AL198" s="5">
        <f>$B$205+$B$9*AK198^2</f>
        <v>1.5416870209423521</v>
      </c>
      <c r="AM198" s="5">
        <f t="shared" si="300"/>
        <v>4.4370006926455492</v>
      </c>
      <c r="AN198" s="5">
        <f t="shared" si="301"/>
        <v>2.019964693559646</v>
      </c>
      <c r="AO198" s="5">
        <f t="shared" si="302"/>
        <v>0.11925191903313276</v>
      </c>
      <c r="AP198" s="6">
        <f t="shared" si="303"/>
        <v>1.0386264873938133E-2</v>
      </c>
    </row>
    <row r="199" spans="1:42" x14ac:dyDescent="0.25">
      <c r="A199" s="139">
        <v>0.55000000000000004</v>
      </c>
      <c r="B199" s="255">
        <f>'Sub C_D_0'!AV231</f>
        <v>8.697829912046472E-3</v>
      </c>
      <c r="C199" s="258">
        <f>'C_L vs. α'!X502</f>
        <v>0.1424807203828512</v>
      </c>
      <c r="D199" s="144">
        <v>16</v>
      </c>
      <c r="E199" s="14">
        <f t="shared" si="266"/>
        <v>1.8068333258854063</v>
      </c>
      <c r="F199" s="6">
        <f t="shared" si="267"/>
        <v>0.3378456852605411</v>
      </c>
      <c r="G199" s="14">
        <f t="shared" si="268"/>
        <v>1.8212791983681702</v>
      </c>
      <c r="H199" s="6">
        <f t="shared" si="269"/>
        <v>0.341865232452359</v>
      </c>
      <c r="I199" s="14">
        <f t="shared" si="270"/>
        <v>1.8424303670118864</v>
      </c>
      <c r="J199" s="6">
        <f t="shared" si="271"/>
        <v>0.3489726056951386</v>
      </c>
      <c r="K199" s="14">
        <f t="shared" si="272"/>
        <v>1.8715458868018753</v>
      </c>
      <c r="L199" s="6">
        <f t="shared" si="273"/>
        <v>0.359354643095467</v>
      </c>
      <c r="M199" s="5">
        <f t="shared" si="274"/>
        <v>1.9096234027637644</v>
      </c>
      <c r="N199" s="6">
        <f t="shared" si="275"/>
        <v>0.37342602358540633</v>
      </c>
      <c r="O199" s="5">
        <f t="shared" si="276"/>
        <v>1.9560636597510037</v>
      </c>
      <c r="P199" s="6">
        <f t="shared" si="277"/>
        <v>0.39157181669930741</v>
      </c>
      <c r="Q199" s="5">
        <f t="shared" si="278"/>
        <v>2.0159941780842465</v>
      </c>
      <c r="R199" s="6">
        <f t="shared" si="279"/>
        <v>0.41513707230595281</v>
      </c>
      <c r="S199" s="5">
        <f t="shared" si="280"/>
        <v>2.0894954415682747</v>
      </c>
      <c r="T199" s="6">
        <f t="shared" si="281"/>
        <v>0.44509745641394449</v>
      </c>
      <c r="U199" s="5">
        <f t="shared" si="282"/>
        <v>2.1791600193496232</v>
      </c>
      <c r="V199" s="6">
        <f t="shared" si="283"/>
        <v>0.48316991807675108</v>
      </c>
      <c r="W199" s="5">
        <f t="shared" si="284"/>
        <v>2.2884712558789895</v>
      </c>
      <c r="X199" s="6">
        <f t="shared" si="285"/>
        <v>0.53180815385879288</v>
      </c>
      <c r="Y199" s="5">
        <f t="shared" si="286"/>
        <v>2.4221722465084703</v>
      </c>
      <c r="Z199" s="6">
        <f t="shared" si="287"/>
        <v>0.59458739549626527</v>
      </c>
      <c r="AA199" s="5">
        <f t="shared" si="288"/>
        <v>2.5868236108011775</v>
      </c>
      <c r="AB199" s="6">
        <f t="shared" si="289"/>
        <v>0.67684400477947881</v>
      </c>
      <c r="AC199" s="5">
        <f t="shared" si="290"/>
        <v>2.7923223540955204</v>
      </c>
      <c r="AD199" s="6">
        <f t="shared" si="291"/>
        <v>0.78759458768199209</v>
      </c>
      <c r="AE199" s="5">
        <f t="shared" si="292"/>
        <v>3.0518368838262182</v>
      </c>
      <c r="AF199" s="6">
        <f>$B$202+$B$7*AE199^2+$B$8*(AE199-AE$191)^2</f>
        <v>0.93896063993636025</v>
      </c>
      <c r="AG199" s="5">
        <f t="shared" si="294"/>
        <v>3.384389793585493</v>
      </c>
      <c r="AH199" s="6">
        <f t="shared" si="295"/>
        <v>1.1526229954363094</v>
      </c>
      <c r="AI199" s="5">
        <f t="shared" si="296"/>
        <v>3.8162540318373126</v>
      </c>
      <c r="AJ199" s="8">
        <f t="shared" si="297"/>
        <v>1.4963505255066734</v>
      </c>
      <c r="AK199" s="5">
        <f t="shared" si="298"/>
        <v>4.389971894898542</v>
      </c>
      <c r="AL199" s="8">
        <f t="shared" si="299"/>
        <v>1.9776315099030759</v>
      </c>
      <c r="AM199" s="5">
        <f t="shared" si="300"/>
        <v>5.0286007849982894</v>
      </c>
      <c r="AN199" s="8">
        <f t="shared" si="301"/>
        <v>2.591972597449816</v>
      </c>
      <c r="AO199" s="8">
        <f t="shared" si="302"/>
        <v>0.14340527619763835</v>
      </c>
      <c r="AP199" s="9">
        <f t="shared" si="303"/>
        <v>1.1034290808072347E-2</v>
      </c>
    </row>
    <row r="200" spans="1:42" x14ac:dyDescent="0.25">
      <c r="A200" s="129">
        <v>0.6</v>
      </c>
      <c r="B200" s="256">
        <f>'Sub C_D_0'!AV232</f>
        <v>8.5934180871183857E-3</v>
      </c>
      <c r="C200" s="257">
        <f>'C_L vs. α'!X503</f>
        <v>0.15216609475301043</v>
      </c>
    </row>
    <row r="201" spans="1:42" x14ac:dyDescent="0.25">
      <c r="A201" s="139">
        <v>0.65</v>
      </c>
      <c r="B201" s="255">
        <f>'Sub C_D_0'!AV233</f>
        <v>8.9543867380573981E-3</v>
      </c>
      <c r="C201" s="258">
        <f>'C_L vs. α'!X504</f>
        <v>0.16425425612326591</v>
      </c>
    </row>
    <row r="202" spans="1:42" x14ac:dyDescent="0.25">
      <c r="A202" s="129">
        <v>0.7</v>
      </c>
      <c r="B202" s="256">
        <f>'Sub C_D_0'!AV234</f>
        <v>8.8634093530528396E-3</v>
      </c>
      <c r="C202" s="257">
        <f>'C_L vs. α'!X505</f>
        <v>0.17951981669565989</v>
      </c>
    </row>
    <row r="203" spans="1:42" x14ac:dyDescent="0.25">
      <c r="A203" s="139">
        <v>0.75</v>
      </c>
      <c r="B203" s="255">
        <f>'Sub C_D_0'!AV235</f>
        <v>8.7798616496101538E-3</v>
      </c>
      <c r="C203" s="258">
        <f>'C_L vs. α'!X506</f>
        <v>0.19908175256385252</v>
      </c>
    </row>
    <row r="204" spans="1:42" x14ac:dyDescent="0.25">
      <c r="A204" s="129">
        <v>0.8</v>
      </c>
      <c r="B204" s="256">
        <f>'Sub C_D_0'!AV236</f>
        <v>8.7026951583076325E-3</v>
      </c>
      <c r="C204" s="257">
        <f>'C_L vs. α'!X507</f>
        <v>0.22448553128454779</v>
      </c>
    </row>
    <row r="205" spans="1:42" x14ac:dyDescent="0.25">
      <c r="A205" s="139">
        <v>0.85</v>
      </c>
      <c r="B205" s="255">
        <f>'Sub C_D_0'!AV237</f>
        <v>9.069676939808308E-3</v>
      </c>
      <c r="C205" s="258">
        <f>'C_L vs. α'!X508</f>
        <v>0.25823364087638484</v>
      </c>
    </row>
    <row r="206" spans="1:42" x14ac:dyDescent="0.25">
      <c r="A206" s="129">
        <v>0.9</v>
      </c>
      <c r="B206" s="256">
        <f>'Sub C_D_0'!AV238</f>
        <v>8.9994064457703457E-3</v>
      </c>
      <c r="C206" s="257">
        <f>'C_L vs. α'!X509</f>
        <v>0.29580004617636996</v>
      </c>
    </row>
    <row r="207" spans="1:42" x14ac:dyDescent="0.25">
      <c r="A207" s="139">
        <v>0.95</v>
      </c>
      <c r="B207" s="255">
        <f>'Sub C_D_0'!AV239</f>
        <v>8.9336304421488762E-3</v>
      </c>
      <c r="C207" s="258">
        <f>'C_L vs. α'!X510</f>
        <v>0.26647948485822331</v>
      </c>
    </row>
    <row r="209" spans="1:42" x14ac:dyDescent="0.25">
      <c r="A209" s="122" t="s">
        <v>537</v>
      </c>
      <c r="B209" s="122" t="s">
        <v>522</v>
      </c>
    </row>
    <row r="210" spans="1:42" x14ac:dyDescent="0.25">
      <c r="A210" s="122" t="s">
        <v>202</v>
      </c>
      <c r="B210" s="145">
        <v>45000</v>
      </c>
      <c r="C210" s="122" t="s">
        <v>538</v>
      </c>
      <c r="D210" s="122" t="s">
        <v>539</v>
      </c>
      <c r="E210" s="1" t="s">
        <v>536</v>
      </c>
      <c r="F210" s="140">
        <v>0.05</v>
      </c>
      <c r="G210" s="1" t="s">
        <v>536</v>
      </c>
      <c r="H210" s="140">
        <v>0.1</v>
      </c>
      <c r="I210" s="1" t="s">
        <v>536</v>
      </c>
      <c r="J210" s="140">
        <v>0.15</v>
      </c>
      <c r="K210" s="1" t="s">
        <v>536</v>
      </c>
      <c r="L210" s="140">
        <v>0.2</v>
      </c>
      <c r="M210" s="2" t="s">
        <v>536</v>
      </c>
      <c r="N210" s="163">
        <v>0.25</v>
      </c>
      <c r="O210" s="1" t="s">
        <v>536</v>
      </c>
      <c r="P210" s="140">
        <v>0.3</v>
      </c>
      <c r="Q210" s="2" t="s">
        <v>536</v>
      </c>
      <c r="R210" s="163">
        <v>0.35</v>
      </c>
      <c r="S210" s="1" t="s">
        <v>536</v>
      </c>
      <c r="T210" s="140">
        <v>0.4</v>
      </c>
      <c r="U210" s="2" t="s">
        <v>536</v>
      </c>
      <c r="V210" s="163">
        <v>0.45</v>
      </c>
      <c r="W210" s="1" t="s">
        <v>536</v>
      </c>
      <c r="X210" s="140">
        <v>0.5</v>
      </c>
      <c r="Y210" s="2" t="s">
        <v>536</v>
      </c>
      <c r="Z210" s="163">
        <v>0.55000000000000004</v>
      </c>
      <c r="AA210" s="1" t="s">
        <v>536</v>
      </c>
      <c r="AB210" s="140">
        <v>0.6</v>
      </c>
      <c r="AC210" s="2" t="s">
        <v>536</v>
      </c>
      <c r="AD210" s="163">
        <v>0.65</v>
      </c>
      <c r="AE210" s="1" t="s">
        <v>536</v>
      </c>
      <c r="AF210" s="140">
        <v>0.7</v>
      </c>
      <c r="AG210" s="2" t="s">
        <v>536</v>
      </c>
      <c r="AH210" s="163">
        <v>0.75</v>
      </c>
      <c r="AI210" s="1" t="s">
        <v>536</v>
      </c>
      <c r="AJ210" s="140">
        <v>0.8</v>
      </c>
      <c r="AK210" s="2" t="s">
        <v>536</v>
      </c>
      <c r="AL210" s="163">
        <v>0.85</v>
      </c>
      <c r="AM210" s="1" t="s">
        <v>536</v>
      </c>
      <c r="AN210" s="140">
        <v>0.9</v>
      </c>
      <c r="AO210" s="2" t="s">
        <v>536</v>
      </c>
      <c r="AP210" s="140">
        <v>0.95</v>
      </c>
    </row>
    <row r="211" spans="1:42" x14ac:dyDescent="0.25">
      <c r="A211" s="121" t="s">
        <v>182</v>
      </c>
      <c r="B211" s="121" t="s">
        <v>534</v>
      </c>
      <c r="C211" s="121" t="s">
        <v>535</v>
      </c>
      <c r="D211" s="121" t="s">
        <v>421</v>
      </c>
      <c r="E211" s="14" t="s">
        <v>244</v>
      </c>
      <c r="F211" s="6" t="s">
        <v>245</v>
      </c>
      <c r="G211" s="14" t="s">
        <v>244</v>
      </c>
      <c r="H211" s="6" t="s">
        <v>245</v>
      </c>
      <c r="I211" s="14" t="s">
        <v>244</v>
      </c>
      <c r="J211" s="6" t="s">
        <v>245</v>
      </c>
      <c r="K211" s="14" t="s">
        <v>244</v>
      </c>
      <c r="L211" s="6" t="s">
        <v>245</v>
      </c>
      <c r="M211" s="5" t="s">
        <v>244</v>
      </c>
      <c r="N211" s="5" t="s">
        <v>245</v>
      </c>
      <c r="O211" s="14" t="s">
        <v>244</v>
      </c>
      <c r="P211" s="6" t="s">
        <v>245</v>
      </c>
      <c r="Q211" s="5" t="s">
        <v>244</v>
      </c>
      <c r="R211" s="5" t="s">
        <v>245</v>
      </c>
      <c r="S211" s="14" t="s">
        <v>244</v>
      </c>
      <c r="T211" s="6" t="s">
        <v>245</v>
      </c>
      <c r="U211" s="5" t="s">
        <v>244</v>
      </c>
      <c r="V211" s="5" t="s">
        <v>245</v>
      </c>
      <c r="W211" s="14" t="s">
        <v>244</v>
      </c>
      <c r="X211" s="6" t="s">
        <v>245</v>
      </c>
      <c r="Y211" s="5" t="s">
        <v>244</v>
      </c>
      <c r="Z211" s="5" t="s">
        <v>245</v>
      </c>
      <c r="AA211" s="14" t="s">
        <v>244</v>
      </c>
      <c r="AB211" s="6" t="s">
        <v>245</v>
      </c>
      <c r="AC211" s="5" t="s">
        <v>244</v>
      </c>
      <c r="AD211" s="5" t="s">
        <v>245</v>
      </c>
      <c r="AE211" s="14" t="s">
        <v>244</v>
      </c>
      <c r="AF211" s="6" t="s">
        <v>245</v>
      </c>
      <c r="AG211" s="5" t="s">
        <v>244</v>
      </c>
      <c r="AH211" s="5" t="s">
        <v>245</v>
      </c>
      <c r="AI211" s="14" t="s">
        <v>244</v>
      </c>
      <c r="AJ211" s="6" t="s">
        <v>245</v>
      </c>
      <c r="AK211" s="5" t="s">
        <v>244</v>
      </c>
      <c r="AL211" s="5" t="s">
        <v>245</v>
      </c>
      <c r="AM211" s="14" t="s">
        <v>244</v>
      </c>
      <c r="AN211" s="6" t="s">
        <v>245</v>
      </c>
      <c r="AO211" s="5" t="s">
        <v>244</v>
      </c>
      <c r="AP211" s="6" t="s">
        <v>245</v>
      </c>
    </row>
    <row r="212" spans="1:42" x14ac:dyDescent="0.25">
      <c r="A212" s="129">
        <v>0</v>
      </c>
      <c r="B212" s="129" t="e">
        <f>'Sub C_D_0'!AV250</f>
        <v>#DIV/0!</v>
      </c>
      <c r="C212" s="129" t="e">
        <f>'C_L vs. α'!X516</f>
        <v>#NUM!</v>
      </c>
      <c r="D212" s="144">
        <v>-6</v>
      </c>
      <c r="E212" s="14">
        <f>(D212-$B$12)*$C$213</f>
        <v>-0.53166131047017628</v>
      </c>
      <c r="F212" s="6">
        <f>$B$213+$B$7*E212^2+$B$8*(E212-E$215)^2</f>
        <v>4.2831709066523477E-2</v>
      </c>
      <c r="G212" s="14">
        <f>(D212-$B$12)*$C$214</f>
        <v>-0.53589846446135525</v>
      </c>
      <c r="H212" s="6">
        <f>$B$214+$B$7*G212^2+$B$8*(G212-G$215)^2</f>
        <v>4.2168714540899183E-2</v>
      </c>
      <c r="I212" s="14">
        <f>(D212-$B$12)*$C$215</f>
        <v>-0.54210341958264752</v>
      </c>
      <c r="J212" s="6">
        <f>$B$215+$B$7*I212^2+$B$8*(I212-I$215)^2</f>
        <v>4.2304561355596459E-2</v>
      </c>
      <c r="K212" s="14">
        <f>(D212-$B$12)*$C$216</f>
        <v>-0.550651873047037</v>
      </c>
      <c r="L212" s="6">
        <f>$B$216+$B$7*K212^2+$B$8*(K212-K$215)^2</f>
        <v>4.2940479070850586E-2</v>
      </c>
      <c r="M212" s="5">
        <f>(D212-$B$12)*$C$217</f>
        <v>-0.56183698829887363</v>
      </c>
      <c r="N212" s="6">
        <f>$B$217+$B$7*M212^2+$B$8*(M212-M$215)^2</f>
        <v>4.402604885696762E-2</v>
      </c>
      <c r="O212" s="14">
        <f>(D212-$B$12)*$C$218</f>
        <v>-0.57549783145280375</v>
      </c>
      <c r="P212" s="6">
        <f>$B$218+$B$7*O212^2+$B$8*(O212-O$215)^2</f>
        <v>4.5964064240550134E-2</v>
      </c>
      <c r="Q212" s="5">
        <f>(D212-$B$12)*$C$219</f>
        <v>-0.59310969543334346</v>
      </c>
      <c r="R212" s="6">
        <f>$B$219+$B$7*Q212^2+$B$8*(Q212-Q$215)^2</f>
        <v>4.8048312613027978E-2</v>
      </c>
      <c r="S212" s="14">
        <f>(D212-$B$12)*$C$220</f>
        <v>-0.6147104300100148</v>
      </c>
      <c r="T212" s="6">
        <f>$B$220+$B$7*S212^2+$B$8*(S212-S$215)^2</f>
        <v>5.0775151925394925E-2</v>
      </c>
      <c r="U212" s="5">
        <f>(D212-$B$12)*$C$221</f>
        <v>-0.64106115481239168</v>
      </c>
      <c r="V212" s="6">
        <f>$B$221+$B$7*U212^2+$B$8*(U212-U$215)^2</f>
        <v>5.4302056879368552E-2</v>
      </c>
      <c r="W212" s="14">
        <f>(D212-$B$12)*$C$222</f>
        <v>-0.67318426527554143</v>
      </c>
      <c r="X212" s="6">
        <f>$B$222+$B$7*W212^2+$B$8*(W212-W$215)^2</f>
        <v>5.885957901031233E-2</v>
      </c>
      <c r="Y212" s="5">
        <f>(D212-$B$12)*$C$223</f>
        <v>-0.71247145591155991</v>
      </c>
      <c r="Z212" s="6">
        <f>$B$223+$B$7*Y212^2+$B$8*(Y212-Y$215)^2</f>
        <v>6.4787212651388079E-2</v>
      </c>
      <c r="AA212" s="14">
        <f>(D212-$B$12)*$C$224</f>
        <v>-0.76084681622353978</v>
      </c>
      <c r="AB212" s="6">
        <f>$B$224+$B$7*AA212^2+$B$8*(AA212-AA$215)^2</f>
        <v>7.2594039961138446E-2</v>
      </c>
      <c r="AC212" s="5">
        <f>(D212-$B$12)*$C$225</f>
        <v>-0.82120501862513162</v>
      </c>
      <c r="AD212" s="6">
        <f>$B$225+$B$7*AC212^2+$B$8*(AC212-AC$215)^2</f>
        <v>8.3540515720405883E-2</v>
      </c>
      <c r="AE212" s="14">
        <f>(D212-$B$12)*$C$226</f>
        <v>-0.89740043855688356</v>
      </c>
      <c r="AF212" s="6">
        <f>$B$226+$B$7*AE212^2+$B$8*(AE212-AE$215)^2</f>
        <v>9.7981312247442984E-2</v>
      </c>
      <c r="AG212" s="5">
        <f>(D212-$B$12)*$C$227</f>
        <v>-0.99498835119726281</v>
      </c>
      <c r="AH212" s="6">
        <f>$B$227+$B$7*AG212^2+$B$8*(AG212-AG$215)^2</f>
        <v>0.11838982066514825</v>
      </c>
      <c r="AI212" s="14">
        <f>(D212-$B$12)*$C$228</f>
        <v>-1.121601700496375</v>
      </c>
      <c r="AJ212" s="6">
        <f>$B$228+$B$9*AI212^2</f>
        <v>0.13697762525853793</v>
      </c>
      <c r="AK212" s="5">
        <f>(D212-$B$12)*$C$229</f>
        <v>-1.2893591862852709</v>
      </c>
      <c r="AL212" s="5">
        <f>$B$229+$B$9*AK212^2</f>
        <v>0.17864960541091937</v>
      </c>
      <c r="AM212" s="14">
        <f>(D212-$B$12)*$C$230</f>
        <v>-1.4748277929092191</v>
      </c>
      <c r="AN212" s="6">
        <f>$B$230+$B$9*AM212^2</f>
        <v>0.2309495263821999</v>
      </c>
      <c r="AO212" s="5">
        <f>(D212-$B$12)*$C$231</f>
        <v>-1.318778775413614</v>
      </c>
      <c r="AP212" s="6">
        <f>$B$231+$B$9*AO212^2</f>
        <v>0.18635617159777562</v>
      </c>
    </row>
    <row r="213" spans="1:42" x14ac:dyDescent="0.25">
      <c r="A213" s="139">
        <v>0.05</v>
      </c>
      <c r="B213" s="255">
        <f>'Sub C_D_0'!AV251</f>
        <v>1.1471016443492398E-2</v>
      </c>
      <c r="C213" s="258">
        <f>'C_L vs. α'!X517</f>
        <v>0.10633226209403525</v>
      </c>
      <c r="D213" s="144">
        <v>-4</v>
      </c>
      <c r="E213" s="14">
        <f t="shared" ref="E213:E223" si="304">(D213-$B$12)*$C$213</f>
        <v>-0.31899678628210576</v>
      </c>
      <c r="F213" s="6">
        <f t="shared" ref="F213:F223" si="305">$B$213+$B$7*E213^2+$B$8*(E213-E$215)^2</f>
        <v>2.3448304025475292E-2</v>
      </c>
      <c r="G213" s="14">
        <f t="shared" ref="G213:G223" si="306">(D213-$B$12)*$C$214</f>
        <v>-0.32153907867681319</v>
      </c>
      <c r="H213" s="6">
        <f t="shared" ref="H213:H223" si="307">$B$214+$B$7*G213^2+$B$8*(G213-G$215)^2</f>
        <v>2.247512049071116E-2</v>
      </c>
      <c r="I213" s="14">
        <f t="shared" ref="I213:I223" si="308">(D213-$B$12)*$C$215</f>
        <v>-0.32526205174958855</v>
      </c>
      <c r="J213" s="6">
        <f t="shared" ref="J213:J223" si="309">$B$215+$B$7*I213^2+$B$8*(I213-I$215)^2</f>
        <v>2.2152278521415922E-2</v>
      </c>
      <c r="K213" s="14">
        <f t="shared" ref="K213:K223" si="310">(D213-$B$12)*$C$216</f>
        <v>-0.33039112382822222</v>
      </c>
      <c r="L213" s="6">
        <f t="shared" ref="L213:L223" si="311">$B$216+$B$7*K213^2+$B$8*(K213-K$215)^2</f>
        <v>2.2147620585659472E-2</v>
      </c>
      <c r="M213" s="5">
        <f t="shared" ref="M213:M223" si="312">(D213-$B$12)*$C$217</f>
        <v>-0.3371021929793242</v>
      </c>
      <c r="N213" s="6">
        <f t="shared" ref="N213:N223" si="313">$B$217+$B$7*M213^2+$B$8*(M213-M$215)^2</f>
        <v>2.2379901481984574E-2</v>
      </c>
      <c r="O213" s="14">
        <f t="shared" ref="O213:O223" si="314">(D213-$B$12)*$C$218</f>
        <v>-0.34529869887168224</v>
      </c>
      <c r="P213" s="6">
        <f t="shared" ref="P213:P223" si="315">$B$218+$B$7*O213^2+$B$8*(O213-O$215)^2</f>
        <v>2.325248471838947E-2</v>
      </c>
      <c r="Q213" s="5">
        <f t="shared" ref="Q213:Q223" si="316">(D213-$B$12)*$C$219</f>
        <v>-0.3558658172600061</v>
      </c>
      <c r="R213" s="6">
        <f t="shared" ref="R213:R223" si="317">$B$219+$B$7*Q213^2+$B$8*(Q213-Q$215)^2</f>
        <v>2.3925385591638617E-2</v>
      </c>
      <c r="S213" s="14">
        <f t="shared" ref="S213:S223" si="318">(D213-$B$12)*$C$220</f>
        <v>-0.36882625800600888</v>
      </c>
      <c r="T213" s="6">
        <f t="shared" ref="T213:T223" si="319">$B$220+$B$7*S213^2+$B$8*(S213-S$215)^2</f>
        <v>2.486314087657239E-2</v>
      </c>
      <c r="U213" s="5">
        <f t="shared" ref="U213:U223" si="320">(D213-$B$12)*$C$221</f>
        <v>-0.38463669288743496</v>
      </c>
      <c r="V213" s="6">
        <f t="shared" ref="V213:V223" si="321">$B$221+$B$7*U213^2+$B$8*(U213-U$215)^2</f>
        <v>2.612089599840552E-2</v>
      </c>
      <c r="W213" s="14">
        <f t="shared" ref="W213:W223" si="322">(D213-$B$12)*$C$222</f>
        <v>-0.40391055916532481</v>
      </c>
      <c r="X213" s="6">
        <f t="shared" ref="X213:X223" si="323">$B$222+$B$7*W213^2+$B$8*(W213-W$215)^2</f>
        <v>2.7783381789578149E-2</v>
      </c>
      <c r="Y213" s="5">
        <f t="shared" ref="Y213:Y223" si="324">(D213-$B$12)*$C$223</f>
        <v>-0.42748287354693598</v>
      </c>
      <c r="Z213" s="6">
        <f t="shared" ref="Z213:Z223" si="325">$B$223+$B$7*Y213^2+$B$8*(Y213-Y$215)^2</f>
        <v>2.9977944261360474E-2</v>
      </c>
      <c r="AA213" s="14">
        <f t="shared" ref="AA213:AA223" si="326">(D213-$B$12)*$C$224</f>
        <v>-0.45650808973412382</v>
      </c>
      <c r="AB213" s="6">
        <f t="shared" ref="AB213:AB223" si="327">$B$224+$B$7*AA213^2+$B$8*(AA213-AA$215)^2</f>
        <v>3.2897339391631829E-2</v>
      </c>
      <c r="AC213" s="5">
        <f t="shared" ref="AC213:AC223" si="328">(D213-$B$12)*$C$225</f>
        <v>-0.49272301117507894</v>
      </c>
      <c r="AD213" s="6">
        <f t="shared" ref="AD213:AD223" si="329">$B$225+$B$7*AC213^2+$B$8*(AC213-AC$215)^2</f>
        <v>3.7295690139960723E-2</v>
      </c>
      <c r="AE213" s="14">
        <f t="shared" ref="AE213:AE223" si="330">(D213-$B$12)*$C$226</f>
        <v>-0.53844026313413018</v>
      </c>
      <c r="AF213" s="6">
        <f t="shared" ref="AF213:AF223" si="331">$B$226+$B$7*AE213^2+$B$8*(AE213-AE$215)^2</f>
        <v>4.275672087696545E-2</v>
      </c>
      <c r="AG213" s="5">
        <f t="shared" ref="AG213:AG223" si="332">(D213-$B$12)*$C$227</f>
        <v>-0.59699301071835764</v>
      </c>
      <c r="AH213" s="6">
        <f t="shared" ref="AH213:AH223" si="333">$B$227+$B$7*AG213^2+$B$8*(AG213-AG$215)^2</f>
        <v>5.0501361979375908E-2</v>
      </c>
      <c r="AI213" s="14">
        <f t="shared" ref="AI213:AI223" si="334">(D213-$B$12)*$C$228</f>
        <v>-0.6729610202978249</v>
      </c>
      <c r="AJ213" s="6">
        <f t="shared" ref="AJ213:AJ223" si="335">$B$228+$B$9*AI213^2</f>
        <v>5.4737668546408214E-2</v>
      </c>
      <c r="AK213" s="5">
        <f t="shared" ref="AK213:AK223" si="336">(D213-$B$12)*$C$229</f>
        <v>-0.77361551177116261</v>
      </c>
      <c r="AL213" s="5">
        <f t="shared" ref="AL213:AL223" si="337">$B$229+$B$9*AK213^2</f>
        <v>6.9968663782652984E-2</v>
      </c>
      <c r="AM213" s="14">
        <f t="shared" ref="AM213:AM223" si="338">(D213-$B$12)*$C$230</f>
        <v>-0.88489667574553144</v>
      </c>
      <c r="AN213" s="6">
        <f t="shared" ref="AN213:AN223" si="339">$B$230+$B$9*AM213^2</f>
        <v>8.8753263928386797E-2</v>
      </c>
      <c r="AO213" s="5">
        <f t="shared" ref="AO213:AO223" si="340">(D213-$B$12)*$C$231</f>
        <v>-0.79126726524816848</v>
      </c>
      <c r="AP213" s="6">
        <f t="shared" ref="AP213:AP223" si="341">$B$231+$B$9*AO213^2</f>
        <v>7.2659054518747712E-2</v>
      </c>
    </row>
    <row r="214" spans="1:42" x14ac:dyDescent="0.25">
      <c r="A214" s="129">
        <v>0.1</v>
      </c>
      <c r="B214" s="256">
        <f>'Sub C_D_0'!AV252</f>
        <v>1.0306162613474645E-2</v>
      </c>
      <c r="C214" s="257">
        <f>'C_L vs. α'!X518</f>
        <v>0.10717969289227106</v>
      </c>
      <c r="D214" s="144">
        <v>-2</v>
      </c>
      <c r="E214" s="14">
        <f t="shared" si="304"/>
        <v>-0.10633226209403525</v>
      </c>
      <c r="F214" s="6">
        <f t="shared" si="305"/>
        <v>1.3304339506469812E-2</v>
      </c>
      <c r="G214" s="14">
        <f t="shared" si="306"/>
        <v>-0.10717969289227106</v>
      </c>
      <c r="H214" s="6">
        <f t="shared" si="307"/>
        <v>1.2168824002877882E-2</v>
      </c>
      <c r="I214" s="14">
        <f t="shared" si="308"/>
        <v>-0.10842068391652951</v>
      </c>
      <c r="J214" s="6">
        <f t="shared" si="309"/>
        <v>1.1605935316288531E-2</v>
      </c>
      <c r="K214" s="14">
        <f t="shared" si="310"/>
        <v>-0.1101303746094074</v>
      </c>
      <c r="L214" s="6">
        <f t="shared" si="311"/>
        <v>1.1266043366599575E-2</v>
      </c>
      <c r="M214" s="5">
        <f t="shared" si="312"/>
        <v>-0.11236739765977473</v>
      </c>
      <c r="N214" s="6">
        <f t="shared" si="313"/>
        <v>1.1051770512219852E-2</v>
      </c>
      <c r="O214" s="14">
        <f t="shared" si="314"/>
        <v>-0.11509956629056074</v>
      </c>
      <c r="P214" s="6">
        <f t="shared" si="315"/>
        <v>1.1366778550898128E-2</v>
      </c>
      <c r="Q214" s="5">
        <f t="shared" si="316"/>
        <v>-0.1186219390866687</v>
      </c>
      <c r="R214" s="6">
        <f t="shared" si="317"/>
        <v>1.1301075503636683E-2</v>
      </c>
      <c r="S214" s="14">
        <f t="shared" si="318"/>
        <v>-0.12294208600200296</v>
      </c>
      <c r="T214" s="6">
        <f t="shared" si="319"/>
        <v>1.1302545091740163E-2</v>
      </c>
      <c r="U214" s="5">
        <f t="shared" si="320"/>
        <v>-0.12821223096247833</v>
      </c>
      <c r="V214" s="6">
        <f t="shared" si="321"/>
        <v>1.1372780511188977E-2</v>
      </c>
      <c r="W214" s="14">
        <f t="shared" si="322"/>
        <v>-0.13463685305510828</v>
      </c>
      <c r="X214" s="6">
        <f t="shared" si="323"/>
        <v>1.1520199891187752E-2</v>
      </c>
      <c r="Y214" s="5">
        <f t="shared" si="324"/>
        <v>-0.14249429118231199</v>
      </c>
      <c r="Z214" s="6">
        <f t="shared" si="325"/>
        <v>1.1761125145564686E-2</v>
      </c>
      <c r="AA214" s="14">
        <f t="shared" si="326"/>
        <v>-0.15216936324470795</v>
      </c>
      <c r="AB214" s="6">
        <f t="shared" si="327"/>
        <v>1.2122768502466529E-2</v>
      </c>
      <c r="AC214" s="5">
        <f t="shared" si="328"/>
        <v>-0.16424100372502631</v>
      </c>
      <c r="AD214" s="6">
        <f t="shared" si="329"/>
        <v>1.3094273057553981E-2</v>
      </c>
      <c r="AE214" s="14">
        <f t="shared" si="330"/>
        <v>-0.17948008771137672</v>
      </c>
      <c r="AF214" s="6">
        <f t="shared" si="331"/>
        <v>1.3855901116331339E-2</v>
      </c>
      <c r="AG214" s="5">
        <f t="shared" si="332"/>
        <v>-0.19899767023945256</v>
      </c>
      <c r="AH214" s="6">
        <f t="shared" si="333"/>
        <v>1.4973129726060557E-2</v>
      </c>
      <c r="AI214" s="14">
        <f t="shared" si="334"/>
        <v>-0.22432034009927498</v>
      </c>
      <c r="AJ214" s="6">
        <f t="shared" si="335"/>
        <v>1.3617690190343382E-2</v>
      </c>
      <c r="AK214" s="5">
        <f t="shared" si="336"/>
        <v>-0.2578718372570542</v>
      </c>
      <c r="AL214" s="5">
        <f t="shared" si="337"/>
        <v>1.5628192968519781E-2</v>
      </c>
      <c r="AM214" s="14">
        <f t="shared" si="338"/>
        <v>-0.29496555858184381</v>
      </c>
      <c r="AN214" s="6">
        <f t="shared" si="339"/>
        <v>1.7655132701480256E-2</v>
      </c>
      <c r="AO214" s="5">
        <f t="shared" si="340"/>
        <v>-0.26375575508272281</v>
      </c>
      <c r="AP214" s="6">
        <f t="shared" si="341"/>
        <v>1.5810495979233747E-2</v>
      </c>
    </row>
    <row r="215" spans="1:42" s="29" customFormat="1" x14ac:dyDescent="0.25">
      <c r="A215" s="139">
        <v>0.15</v>
      </c>
      <c r="B215" s="255">
        <f>'Sub C_D_0'!AV253</f>
        <v>9.6998901806012085E-3</v>
      </c>
      <c r="C215" s="258">
        <f>'C_L vs. α'!X519</f>
        <v>0.10842068391652951</v>
      </c>
      <c r="D215" s="143">
        <v>0</v>
      </c>
      <c r="E215" s="83">
        <f t="shared" si="304"/>
        <v>0.10633226209403525</v>
      </c>
      <c r="F215" s="21">
        <f t="shared" si="305"/>
        <v>1.2399815509507044E-2</v>
      </c>
      <c r="G215" s="83">
        <f t="shared" si="306"/>
        <v>0.10717969289227106</v>
      </c>
      <c r="H215" s="21">
        <f t="shared" si="307"/>
        <v>1.1249825077399359E-2</v>
      </c>
      <c r="I215" s="83">
        <f t="shared" si="308"/>
        <v>0.10842068391652951</v>
      </c>
      <c r="J215" s="21">
        <f t="shared" si="309"/>
        <v>1.0665531740214292E-2</v>
      </c>
      <c r="K215" s="83">
        <f t="shared" si="310"/>
        <v>0.1101303746094074</v>
      </c>
      <c r="L215" s="21">
        <f t="shared" si="311"/>
        <v>1.0295747413670902E-2</v>
      </c>
      <c r="M215" s="58">
        <f t="shared" si="312"/>
        <v>0.11236739765977473</v>
      </c>
      <c r="N215" s="21">
        <f t="shared" si="313"/>
        <v>1.0041655947673457E-2</v>
      </c>
      <c r="O215" s="83">
        <f t="shared" si="314"/>
        <v>0.11509956629056074</v>
      </c>
      <c r="P215" s="21">
        <f t="shared" si="315"/>
        <v>1.0306945738076114E-2</v>
      </c>
      <c r="Q215" s="58">
        <f t="shared" si="316"/>
        <v>0.1186219390866687</v>
      </c>
      <c r="R215" s="21">
        <f t="shared" si="317"/>
        <v>1.0175382349022176E-2</v>
      </c>
      <c r="S215" s="83">
        <f t="shared" si="318"/>
        <v>0.12294208600200296</v>
      </c>
      <c r="T215" s="21">
        <f t="shared" si="319"/>
        <v>1.0093364570898251E-2</v>
      </c>
      <c r="U215" s="58">
        <f t="shared" si="320"/>
        <v>0.12821223096247833</v>
      </c>
      <c r="V215" s="21">
        <f t="shared" si="321"/>
        <v>1.0057710417718906E-2</v>
      </c>
      <c r="W215" s="83">
        <f t="shared" si="322"/>
        <v>0.13463685305510828</v>
      </c>
      <c r="X215" s="21">
        <f t="shared" si="323"/>
        <v>1.0070033315141126E-2</v>
      </c>
      <c r="Y215" s="58">
        <f t="shared" si="324"/>
        <v>0.14249429118231199</v>
      </c>
      <c r="Z215" s="21">
        <f t="shared" si="325"/>
        <v>1.0136755304000725E-2</v>
      </c>
      <c r="AA215" s="83">
        <f t="shared" si="326"/>
        <v>0.15216936324470795</v>
      </c>
      <c r="AB215" s="21">
        <f t="shared" si="327"/>
        <v>1.027032729364254E-2</v>
      </c>
      <c r="AC215" s="58">
        <f t="shared" si="328"/>
        <v>0.16424100372502631</v>
      </c>
      <c r="AD215" s="21">
        <f t="shared" si="329"/>
        <v>1.0936264473185651E-2</v>
      </c>
      <c r="AE215" s="83">
        <f t="shared" si="330"/>
        <v>0.17948008771137672</v>
      </c>
      <c r="AF215" s="21">
        <f t="shared" si="331"/>
        <v>1.127885296554066E-2</v>
      </c>
      <c r="AG215" s="58">
        <f t="shared" si="332"/>
        <v>0.19899767023945256</v>
      </c>
      <c r="AH215" s="21">
        <f t="shared" si="333"/>
        <v>1.1805123905202166E-2</v>
      </c>
      <c r="AI215" s="83">
        <f t="shared" si="334"/>
        <v>0.22432034009927498</v>
      </c>
      <c r="AJ215" s="21">
        <f t="shared" si="335"/>
        <v>1.3617690190343382E-2</v>
      </c>
      <c r="AK215" s="58">
        <f t="shared" si="336"/>
        <v>0.2578718372570542</v>
      </c>
      <c r="AL215" s="58">
        <f t="shared" si="337"/>
        <v>1.5628192968519781E-2</v>
      </c>
      <c r="AM215" s="83">
        <f t="shared" si="338"/>
        <v>0.29496555858184381</v>
      </c>
      <c r="AN215" s="21">
        <f t="shared" si="339"/>
        <v>1.7655132701480256E-2</v>
      </c>
      <c r="AO215" s="58">
        <f t="shared" si="340"/>
        <v>0.26375575508272281</v>
      </c>
      <c r="AP215" s="21">
        <f t="shared" si="341"/>
        <v>1.5810495979233747E-2</v>
      </c>
    </row>
    <row r="216" spans="1:42" x14ac:dyDescent="0.25">
      <c r="A216" s="129">
        <v>0.2</v>
      </c>
      <c r="B216" s="256">
        <f>'Sub C_D_0'!AV254</f>
        <v>9.2994112436366669E-3</v>
      </c>
      <c r="C216" s="257">
        <f>'C_L vs. α'!X520</f>
        <v>0.1101303746094074</v>
      </c>
      <c r="D216" s="144">
        <v>2</v>
      </c>
      <c r="E216" s="14">
        <f t="shared" si="304"/>
        <v>0.31899678628210576</v>
      </c>
      <c r="F216" s="6">
        <f t="shared" si="305"/>
        <v>2.0734732034586988E-2</v>
      </c>
      <c r="G216" s="14">
        <f t="shared" si="306"/>
        <v>0.32153907867681319</v>
      </c>
      <c r="H216" s="6">
        <f t="shared" si="307"/>
        <v>1.9718123714275591E-2</v>
      </c>
      <c r="I216" s="14">
        <f t="shared" si="308"/>
        <v>0.32526205174958855</v>
      </c>
      <c r="J216" s="6">
        <f t="shared" si="309"/>
        <v>1.9331067793193202E-2</v>
      </c>
      <c r="K216" s="14">
        <f t="shared" si="310"/>
        <v>0.33039112382822222</v>
      </c>
      <c r="L216" s="6">
        <f t="shared" si="311"/>
        <v>1.9236732726873453E-2</v>
      </c>
      <c r="M216" s="5">
        <f t="shared" si="312"/>
        <v>0.3371021929793242</v>
      </c>
      <c r="N216" s="6">
        <f t="shared" si="313"/>
        <v>1.9349557788345385E-2</v>
      </c>
      <c r="O216" s="14">
        <f t="shared" si="314"/>
        <v>0.34529869887168224</v>
      </c>
      <c r="P216" s="6">
        <f t="shared" si="315"/>
        <v>2.0072986279923426E-2</v>
      </c>
      <c r="Q216" s="5">
        <f t="shared" si="316"/>
        <v>0.3558658172600061</v>
      </c>
      <c r="R216" s="6">
        <f t="shared" si="317"/>
        <v>2.0548306127795093E-2</v>
      </c>
      <c r="S216" s="14">
        <f t="shared" si="318"/>
        <v>0.36882625800600888</v>
      </c>
      <c r="T216" s="6">
        <f t="shared" si="319"/>
        <v>2.1235599314046654E-2</v>
      </c>
      <c r="U216" s="5">
        <f t="shared" si="320"/>
        <v>0.38463669288743496</v>
      </c>
      <c r="V216" s="6">
        <f t="shared" si="321"/>
        <v>2.2175685717995306E-2</v>
      </c>
      <c r="W216" s="14">
        <f t="shared" si="322"/>
        <v>0.40391055916532481</v>
      </c>
      <c r="X216" s="6">
        <f t="shared" si="323"/>
        <v>2.3432882061438273E-2</v>
      </c>
      <c r="Y216" s="5">
        <f t="shared" si="324"/>
        <v>0.42748287354693598</v>
      </c>
      <c r="Z216" s="6">
        <f t="shared" si="325"/>
        <v>2.510483473666859E-2</v>
      </c>
      <c r="AA216" s="14">
        <f t="shared" si="326"/>
        <v>0.45650808973412382</v>
      </c>
      <c r="AB216" s="6">
        <f t="shared" si="327"/>
        <v>2.7340015765159858E-2</v>
      </c>
      <c r="AC216" s="5">
        <f t="shared" si="328"/>
        <v>0.49272301117507894</v>
      </c>
      <c r="AD216" s="6">
        <f t="shared" si="329"/>
        <v>3.0821664386855734E-2</v>
      </c>
      <c r="AE216" s="14">
        <f t="shared" si="330"/>
        <v>0.53844026313413018</v>
      </c>
      <c r="AF216" s="6">
        <f t="shared" si="331"/>
        <v>3.5025576424593412E-2</v>
      </c>
      <c r="AG216" s="5">
        <f t="shared" si="332"/>
        <v>0.59699301071835764</v>
      </c>
      <c r="AH216" s="6">
        <f t="shared" si="333"/>
        <v>4.0997344516800732E-2</v>
      </c>
      <c r="AI216" s="14">
        <f t="shared" si="334"/>
        <v>0.6729610202978249</v>
      </c>
      <c r="AJ216" s="6">
        <f t="shared" si="335"/>
        <v>5.4737668546408214E-2</v>
      </c>
      <c r="AK216" s="5">
        <f t="shared" si="336"/>
        <v>0.77361551177116261</v>
      </c>
      <c r="AL216" s="5">
        <f t="shared" si="337"/>
        <v>6.9968663782652984E-2</v>
      </c>
      <c r="AM216" s="14">
        <f t="shared" si="338"/>
        <v>0.88489667574553144</v>
      </c>
      <c r="AN216" s="6">
        <f t="shared" si="339"/>
        <v>8.8753263928386797E-2</v>
      </c>
      <c r="AO216" s="5">
        <f t="shared" si="340"/>
        <v>0.79126726524816848</v>
      </c>
      <c r="AP216" s="6">
        <f t="shared" si="341"/>
        <v>7.2659054518747712E-2</v>
      </c>
    </row>
    <row r="217" spans="1:42" x14ac:dyDescent="0.25">
      <c r="A217" s="139">
        <v>0.25</v>
      </c>
      <c r="B217" s="255">
        <f>'Sub C_D_0'!AV255</f>
        <v>9.0044325381577646E-3</v>
      </c>
      <c r="C217" s="258">
        <f>'C_L vs. α'!X521</f>
        <v>0.11236739765977473</v>
      </c>
      <c r="D217" s="144">
        <v>4</v>
      </c>
      <c r="E217" s="14">
        <f t="shared" si="304"/>
        <v>0.53166131047017628</v>
      </c>
      <c r="F217" s="6">
        <f t="shared" si="305"/>
        <v>3.8309089081709637E-2</v>
      </c>
      <c r="G217" s="14">
        <f t="shared" si="306"/>
        <v>0.53589846446135525</v>
      </c>
      <c r="H217" s="6">
        <f t="shared" si="307"/>
        <v>3.7573719913506567E-2</v>
      </c>
      <c r="I217" s="14">
        <f t="shared" si="308"/>
        <v>0.54210341958264752</v>
      </c>
      <c r="J217" s="6">
        <f t="shared" si="309"/>
        <v>3.7602543475225257E-2</v>
      </c>
      <c r="K217" s="14">
        <f t="shared" si="310"/>
        <v>0.550651873047037</v>
      </c>
      <c r="L217" s="6">
        <f t="shared" si="311"/>
        <v>3.8088999306207225E-2</v>
      </c>
      <c r="M217" s="5">
        <f t="shared" si="312"/>
        <v>0.56183698829887363</v>
      </c>
      <c r="N217" s="6">
        <f t="shared" si="313"/>
        <v>3.8975476034235637E-2</v>
      </c>
      <c r="O217" s="14">
        <f t="shared" si="314"/>
        <v>0.57549783145280375</v>
      </c>
      <c r="P217" s="6">
        <f t="shared" si="315"/>
        <v>4.0664900176440061E-2</v>
      </c>
      <c r="Q217" s="5">
        <f t="shared" si="316"/>
        <v>0.59310969543334346</v>
      </c>
      <c r="R217" s="6">
        <f t="shared" si="317"/>
        <v>4.2419846839955443E-2</v>
      </c>
      <c r="S217" s="14">
        <f t="shared" si="318"/>
        <v>0.6147104300100148</v>
      </c>
      <c r="T217" s="6">
        <f t="shared" si="319"/>
        <v>4.4729249321185369E-2</v>
      </c>
      <c r="U217" s="5">
        <f t="shared" si="320"/>
        <v>0.64106115481239168</v>
      </c>
      <c r="V217" s="6">
        <f t="shared" si="321"/>
        <v>4.7726706412018198E-2</v>
      </c>
      <c r="W217" s="14">
        <f t="shared" si="322"/>
        <v>0.67318426527554143</v>
      </c>
      <c r="X217" s="6">
        <f t="shared" si="323"/>
        <v>5.1608746130079201E-2</v>
      </c>
      <c r="Y217" s="5">
        <f t="shared" si="324"/>
        <v>0.71247145591155991</v>
      </c>
      <c r="Z217" s="6">
        <f t="shared" si="325"/>
        <v>5.6665363443568276E-2</v>
      </c>
      <c r="AA217" s="14">
        <f t="shared" si="326"/>
        <v>0.76084681622353978</v>
      </c>
      <c r="AB217" s="6">
        <f t="shared" si="327"/>
        <v>6.3331833917018493E-2</v>
      </c>
      <c r="AC217" s="5">
        <f t="shared" si="328"/>
        <v>0.82120501862513162</v>
      </c>
      <c r="AD217" s="6">
        <f t="shared" si="329"/>
        <v>7.2750472798564225E-2</v>
      </c>
      <c r="AE217" s="14">
        <f t="shared" si="330"/>
        <v>0.89740043855688356</v>
      </c>
      <c r="AF217" s="6">
        <f t="shared" si="331"/>
        <v>8.5096071493489578E-2</v>
      </c>
      <c r="AG217" s="5">
        <f t="shared" si="332"/>
        <v>0.99498835119726281</v>
      </c>
      <c r="AH217" s="6">
        <f t="shared" si="333"/>
        <v>0.10254979156085629</v>
      </c>
      <c r="AI217" s="14">
        <f t="shared" si="334"/>
        <v>1.121601700496375</v>
      </c>
      <c r="AJ217" s="6">
        <f t="shared" si="335"/>
        <v>0.13697762525853793</v>
      </c>
      <c r="AK217" s="5">
        <f t="shared" si="336"/>
        <v>1.2893591862852709</v>
      </c>
      <c r="AL217" s="5">
        <f t="shared" si="337"/>
        <v>0.17864960541091937</v>
      </c>
      <c r="AM217" s="14">
        <f t="shared" si="338"/>
        <v>1.4748277929092191</v>
      </c>
      <c r="AN217" s="6">
        <f t="shared" si="339"/>
        <v>0.2309495263821999</v>
      </c>
      <c r="AO217" s="5">
        <f t="shared" si="340"/>
        <v>1.318778775413614</v>
      </c>
      <c r="AP217" s="6">
        <f t="shared" si="341"/>
        <v>0.18635617159777562</v>
      </c>
    </row>
    <row r="218" spans="1:42" x14ac:dyDescent="0.25">
      <c r="A218" s="129">
        <v>0.3</v>
      </c>
      <c r="B218" s="256">
        <f>'Sub C_D_0'!AV256</f>
        <v>9.2186697719479523E-3</v>
      </c>
      <c r="C218" s="257">
        <f>'C_L vs. α'!X522</f>
        <v>0.11509956629056074</v>
      </c>
      <c r="D218" s="144">
        <v>6</v>
      </c>
      <c r="E218" s="14">
        <f t="shared" si="304"/>
        <v>0.74432583465824675</v>
      </c>
      <c r="F218" s="6">
        <f t="shared" si="305"/>
        <v>6.5122886650874998E-2</v>
      </c>
      <c r="G218" s="14">
        <f t="shared" si="306"/>
        <v>0.75025785024589742</v>
      </c>
      <c r="H218" s="6">
        <f t="shared" si="307"/>
        <v>6.4816613675092311E-2</v>
      </c>
      <c r="I218" s="14">
        <f t="shared" si="308"/>
        <v>0.75894478741570659</v>
      </c>
      <c r="J218" s="6">
        <f t="shared" si="309"/>
        <v>6.5479958786310466E-2</v>
      </c>
      <c r="K218" s="14">
        <f t="shared" si="310"/>
        <v>0.77091262226585178</v>
      </c>
      <c r="L218" s="6">
        <f t="shared" si="311"/>
        <v>6.6852547151672215E-2</v>
      </c>
      <c r="M218" s="5">
        <f t="shared" si="312"/>
        <v>0.78657178361842306</v>
      </c>
      <c r="N218" s="6">
        <f t="shared" si="313"/>
        <v>6.8919410685344212E-2</v>
      </c>
      <c r="O218" s="14">
        <f t="shared" si="314"/>
        <v>0.80569696403392521</v>
      </c>
      <c r="P218" s="6">
        <f t="shared" si="315"/>
        <v>7.208268742762601E-2</v>
      </c>
      <c r="Q218" s="5">
        <f t="shared" si="316"/>
        <v>0.83035357360668083</v>
      </c>
      <c r="R218" s="6">
        <f t="shared" si="317"/>
        <v>7.5790004485503201E-2</v>
      </c>
      <c r="S218" s="14">
        <f t="shared" si="318"/>
        <v>0.86059460201402072</v>
      </c>
      <c r="T218" s="6">
        <f t="shared" si="319"/>
        <v>8.0574314592314372E-2</v>
      </c>
      <c r="U218" s="5">
        <f t="shared" si="320"/>
        <v>0.89748561673734828</v>
      </c>
      <c r="V218" s="6">
        <f t="shared" si="321"/>
        <v>8.671077249978755E-2</v>
      </c>
      <c r="W218" s="14">
        <f t="shared" si="322"/>
        <v>0.94245797138575793</v>
      </c>
      <c r="X218" s="6">
        <f t="shared" si="323"/>
        <v>9.4597625521063891E-2</v>
      </c>
      <c r="Y218" s="5">
        <f t="shared" si="324"/>
        <v>0.99746003827618401</v>
      </c>
      <c r="Z218" s="6">
        <f t="shared" si="325"/>
        <v>0.10481834142469984</v>
      </c>
      <c r="AA218" s="14">
        <f t="shared" si="326"/>
        <v>1.0651855427129557</v>
      </c>
      <c r="AB218" s="6">
        <f t="shared" si="327"/>
        <v>0.11824578174921846</v>
      </c>
      <c r="AC218" s="5">
        <f t="shared" si="328"/>
        <v>1.1496870260751841</v>
      </c>
      <c r="AD218" s="6">
        <f t="shared" si="329"/>
        <v>0.13672268970831111</v>
      </c>
      <c r="AE218" s="14">
        <f t="shared" si="330"/>
        <v>1.2563606139796371</v>
      </c>
      <c r="AF218" s="6">
        <f t="shared" si="331"/>
        <v>0.16149033817222919</v>
      </c>
      <c r="AG218" s="5">
        <f t="shared" si="332"/>
        <v>1.392983691676168</v>
      </c>
      <c r="AH218" s="6">
        <f t="shared" si="333"/>
        <v>0.19646246503736881</v>
      </c>
      <c r="AI218" s="14">
        <f t="shared" si="334"/>
        <v>1.5702423806949248</v>
      </c>
      <c r="AJ218" s="6">
        <f t="shared" si="335"/>
        <v>0.26033756032673239</v>
      </c>
      <c r="AK218" s="5">
        <f t="shared" si="336"/>
        <v>1.8051028607993795</v>
      </c>
      <c r="AL218" s="5">
        <f t="shared" si="337"/>
        <v>0.34167101785331905</v>
      </c>
      <c r="AM218" s="14">
        <f t="shared" si="338"/>
        <v>2.0647589100729067</v>
      </c>
      <c r="AN218" s="6">
        <f t="shared" si="339"/>
        <v>0.44424392006291946</v>
      </c>
      <c r="AO218" s="5">
        <f t="shared" si="340"/>
        <v>1.8462902855790597</v>
      </c>
      <c r="AP218" s="6">
        <f t="shared" si="341"/>
        <v>0.35690184721631757</v>
      </c>
    </row>
    <row r="219" spans="1:42" x14ac:dyDescent="0.25">
      <c r="A219" s="139">
        <v>0.35</v>
      </c>
      <c r="B219" s="255">
        <f>'Sub C_D_0'!AV257</f>
        <v>9.0194785210023741E-3</v>
      </c>
      <c r="C219" s="258">
        <f>'C_L vs. α'!X523</f>
        <v>0.1186219390866687</v>
      </c>
      <c r="D219" s="144">
        <v>8</v>
      </c>
      <c r="E219" s="14">
        <f t="shared" si="304"/>
        <v>0.95699035884631722</v>
      </c>
      <c r="F219" s="6">
        <f t="shared" si="305"/>
        <v>0.10117612474208307</v>
      </c>
      <c r="G219" s="14">
        <f t="shared" si="306"/>
        <v>0.96461723603043947</v>
      </c>
      <c r="H219" s="6">
        <f t="shared" si="307"/>
        <v>0.10144680499903279</v>
      </c>
      <c r="I219" s="14">
        <f t="shared" si="308"/>
        <v>0.97578615524876555</v>
      </c>
      <c r="J219" s="6">
        <f t="shared" si="309"/>
        <v>0.1029633137264488</v>
      </c>
      <c r="K219" s="14">
        <f t="shared" si="310"/>
        <v>0.99117337148466667</v>
      </c>
      <c r="L219" s="6">
        <f t="shared" si="311"/>
        <v>0.10552737626326847</v>
      </c>
      <c r="M219" s="5">
        <f t="shared" si="312"/>
        <v>1.0113065789379725</v>
      </c>
      <c r="N219" s="6">
        <f t="shared" si="313"/>
        <v>0.10918136174167109</v>
      </c>
      <c r="O219" s="14">
        <f t="shared" si="314"/>
        <v>1.0358960966150468</v>
      </c>
      <c r="P219" s="6">
        <f t="shared" si="315"/>
        <v>0.11432634803348131</v>
      </c>
      <c r="Q219" s="5">
        <f t="shared" si="316"/>
        <v>1.0675974517800182</v>
      </c>
      <c r="R219" s="6">
        <f t="shared" si="317"/>
        <v>0.12065877906443839</v>
      </c>
      <c r="S219" s="14">
        <f t="shared" si="318"/>
        <v>1.1064787740180266</v>
      </c>
      <c r="T219" s="6">
        <f t="shared" si="319"/>
        <v>0.12877079512743372</v>
      </c>
      <c r="U219" s="5">
        <f t="shared" si="320"/>
        <v>1.1539100786623049</v>
      </c>
      <c r="V219" s="6">
        <f t="shared" si="321"/>
        <v>0.13912788398130338</v>
      </c>
      <c r="W219" s="14">
        <f t="shared" si="322"/>
        <v>1.2117316774959745</v>
      </c>
      <c r="X219" s="6">
        <f t="shared" si="323"/>
        <v>0.15239952023439238</v>
      </c>
      <c r="Y219" s="5">
        <f t="shared" si="324"/>
        <v>1.2824486206408079</v>
      </c>
      <c r="Z219" s="6">
        <f t="shared" si="325"/>
        <v>0.16956376868006318</v>
      </c>
      <c r="AA219" s="14">
        <f t="shared" si="326"/>
        <v>1.3695242692023715</v>
      </c>
      <c r="AB219" s="6">
        <f t="shared" si="327"/>
        <v>0.19208185926175964</v>
      </c>
      <c r="AC219" s="5">
        <f t="shared" si="328"/>
        <v>1.4781690335252369</v>
      </c>
      <c r="AD219" s="6">
        <f t="shared" si="329"/>
        <v>0.22273831511609646</v>
      </c>
      <c r="AE219" s="14">
        <f t="shared" si="330"/>
        <v>1.6153207894023904</v>
      </c>
      <c r="AF219" s="6">
        <f t="shared" si="331"/>
        <v>0.26420837646081219</v>
      </c>
      <c r="AG219" s="5">
        <f t="shared" si="332"/>
        <v>1.7909790321550729</v>
      </c>
      <c r="AH219" s="6">
        <f t="shared" si="333"/>
        <v>0.32273536494633825</v>
      </c>
      <c r="AI219" s="14">
        <f t="shared" si="334"/>
        <v>2.0188830608934749</v>
      </c>
      <c r="AJ219" s="6">
        <f t="shared" si="335"/>
        <v>0.42481747375099183</v>
      </c>
      <c r="AK219" s="5">
        <f t="shared" si="336"/>
        <v>2.3208465353134877</v>
      </c>
      <c r="AL219" s="5">
        <f t="shared" si="337"/>
        <v>0.55903290110985171</v>
      </c>
      <c r="AM219" s="14">
        <f t="shared" si="338"/>
        <v>2.6546900272365943</v>
      </c>
      <c r="AN219" s="6">
        <f t="shared" si="339"/>
        <v>0.7286364449705458</v>
      </c>
      <c r="AO219" s="5">
        <f t="shared" si="340"/>
        <v>2.3738017957445052</v>
      </c>
      <c r="AP219" s="6">
        <f t="shared" si="341"/>
        <v>0.58429608137437328</v>
      </c>
    </row>
    <row r="220" spans="1:42" x14ac:dyDescent="0.25">
      <c r="A220" s="129">
        <v>0.4</v>
      </c>
      <c r="B220" s="256">
        <f>'Sub C_D_0'!AV258</f>
        <v>8.8517327931099399E-3</v>
      </c>
      <c r="C220" s="257">
        <f>'C_L vs. α'!X524</f>
        <v>0.12294208600200296</v>
      </c>
      <c r="D220" s="144">
        <v>10</v>
      </c>
      <c r="E220" s="14">
        <f t="shared" si="304"/>
        <v>1.1696548830343878</v>
      </c>
      <c r="F220" s="6">
        <f t="shared" si="305"/>
        <v>0.14646880335533385</v>
      </c>
      <c r="G220" s="14">
        <f t="shared" si="306"/>
        <v>1.1789766218149815</v>
      </c>
      <c r="H220" s="6">
        <f t="shared" si="307"/>
        <v>0.147464293885328</v>
      </c>
      <c r="I220" s="14">
        <f t="shared" si="308"/>
        <v>1.1926275230818246</v>
      </c>
      <c r="J220" s="6">
        <f t="shared" si="309"/>
        <v>0.15005260829564032</v>
      </c>
      <c r="K220" s="14">
        <f t="shared" si="310"/>
        <v>1.2114341207034813</v>
      </c>
      <c r="L220" s="6">
        <f t="shared" si="311"/>
        <v>0.15411348664099586</v>
      </c>
      <c r="M220" s="5">
        <f t="shared" si="312"/>
        <v>1.236041374257522</v>
      </c>
      <c r="N220" s="6">
        <f t="shared" si="313"/>
        <v>0.15976132920321637</v>
      </c>
      <c r="O220" s="14">
        <f t="shared" si="314"/>
        <v>1.2660952291961682</v>
      </c>
      <c r="P220" s="6">
        <f t="shared" si="315"/>
        <v>0.16739588199400593</v>
      </c>
      <c r="Q220" s="5">
        <f t="shared" si="316"/>
        <v>1.3048413299533557</v>
      </c>
      <c r="R220" s="6">
        <f t="shared" si="317"/>
        <v>0.17702617057676101</v>
      </c>
      <c r="S220" s="14">
        <f t="shared" si="318"/>
        <v>1.3523629460220326</v>
      </c>
      <c r="T220" s="6">
        <f t="shared" si="319"/>
        <v>0.18931869092654338</v>
      </c>
      <c r="U220" s="5">
        <f t="shared" si="320"/>
        <v>1.4103345405872616</v>
      </c>
      <c r="V220" s="6">
        <f t="shared" si="321"/>
        <v>0.20497804085656568</v>
      </c>
      <c r="W220" s="14">
        <f t="shared" si="322"/>
        <v>1.4810053836061912</v>
      </c>
      <c r="X220" s="6">
        <f t="shared" si="323"/>
        <v>0.22501443027006462</v>
      </c>
      <c r="Y220" s="5">
        <f t="shared" si="324"/>
        <v>1.567437203005432</v>
      </c>
      <c r="Z220" s="6">
        <f t="shared" si="325"/>
        <v>0.25090164520965841</v>
      </c>
      <c r="AA220" s="14">
        <f t="shared" si="326"/>
        <v>1.6738629956917874</v>
      </c>
      <c r="AB220" s="6">
        <f t="shared" si="327"/>
        <v>0.28484006645464222</v>
      </c>
      <c r="AC220" s="5">
        <f t="shared" si="328"/>
        <v>1.8066510409752894</v>
      </c>
      <c r="AD220" s="6">
        <f t="shared" si="329"/>
        <v>0.33079734902192015</v>
      </c>
      <c r="AE220" s="14">
        <f t="shared" si="330"/>
        <v>1.9742809648251438</v>
      </c>
      <c r="AF220" s="6">
        <f t="shared" si="331"/>
        <v>0.39325018635923858</v>
      </c>
      <c r="AG220" s="5">
        <f t="shared" si="332"/>
        <v>2.1889743726339783</v>
      </c>
      <c r="AH220" s="6">
        <f t="shared" si="333"/>
        <v>0.48136849128776477</v>
      </c>
      <c r="AI220" s="14">
        <f t="shared" si="334"/>
        <v>2.467523741092025</v>
      </c>
      <c r="AJ220" s="6">
        <f t="shared" si="335"/>
        <v>0.63041736553131611</v>
      </c>
      <c r="AK220" s="5">
        <f t="shared" si="336"/>
        <v>2.8365902098275964</v>
      </c>
      <c r="AL220" s="5">
        <f t="shared" si="337"/>
        <v>0.83073525518051794</v>
      </c>
      <c r="AM220" s="14">
        <f t="shared" si="338"/>
        <v>3.2446211444002819</v>
      </c>
      <c r="AN220" s="6">
        <f t="shared" si="339"/>
        <v>1.0841271011050786</v>
      </c>
      <c r="AO220" s="5">
        <f t="shared" si="340"/>
        <v>2.9013133059099507</v>
      </c>
      <c r="AP220" s="6">
        <f t="shared" si="341"/>
        <v>0.86853887407194308</v>
      </c>
    </row>
    <row r="221" spans="1:42" x14ac:dyDescent="0.25">
      <c r="A221" s="139">
        <v>0.45</v>
      </c>
      <c r="B221" s="255">
        <f>'Sub C_D_0'!AV259</f>
        <v>8.7073472668681134E-3</v>
      </c>
      <c r="C221" s="258">
        <f>'C_L vs. α'!X525</f>
        <v>0.12821223096247833</v>
      </c>
      <c r="D221" s="144">
        <v>12</v>
      </c>
      <c r="E221" s="14">
        <f t="shared" si="304"/>
        <v>1.3823194072224583</v>
      </c>
      <c r="F221" s="6">
        <f t="shared" si="305"/>
        <v>0.20100092249062734</v>
      </c>
      <c r="G221" s="14">
        <f t="shared" si="306"/>
        <v>1.3933360075995238</v>
      </c>
      <c r="H221" s="6">
        <f t="shared" si="307"/>
        <v>0.20286908033397805</v>
      </c>
      <c r="I221" s="14">
        <f t="shared" si="308"/>
        <v>1.4094688909148836</v>
      </c>
      <c r="J221" s="6">
        <f t="shared" si="309"/>
        <v>0.20674784249388498</v>
      </c>
      <c r="K221" s="14">
        <f t="shared" si="310"/>
        <v>1.4316948699222962</v>
      </c>
      <c r="L221" s="6">
        <f t="shared" si="311"/>
        <v>0.21261087828485459</v>
      </c>
      <c r="M221" s="5">
        <f t="shared" si="312"/>
        <v>1.4607761695770716</v>
      </c>
      <c r="N221" s="6">
        <f t="shared" si="313"/>
        <v>0.22065931306997996</v>
      </c>
      <c r="O221" s="14">
        <f t="shared" si="314"/>
        <v>1.4962943617772897</v>
      </c>
      <c r="P221" s="6">
        <f t="shared" si="315"/>
        <v>0.23129128930919984</v>
      </c>
      <c r="Q221" s="5">
        <f t="shared" si="316"/>
        <v>1.5420852081266931</v>
      </c>
      <c r="R221" s="6">
        <f t="shared" si="317"/>
        <v>0.24489217902247112</v>
      </c>
      <c r="S221" s="14">
        <f t="shared" si="318"/>
        <v>1.5982471180260385</v>
      </c>
      <c r="T221" s="6">
        <f t="shared" si="319"/>
        <v>0.26221800198964335</v>
      </c>
      <c r="U221" s="5">
        <f t="shared" si="320"/>
        <v>1.6667590025122183</v>
      </c>
      <c r="V221" s="6">
        <f t="shared" si="321"/>
        <v>0.28426124312557449</v>
      </c>
      <c r="W221" s="14">
        <f t="shared" si="322"/>
        <v>1.7502790897164076</v>
      </c>
      <c r="X221" s="6">
        <f t="shared" si="323"/>
        <v>0.31244235562808059</v>
      </c>
      <c r="Y221" s="5">
        <f t="shared" si="324"/>
        <v>1.8524257853700559</v>
      </c>
      <c r="Z221" s="6">
        <f t="shared" si="325"/>
        <v>0.34883197101348534</v>
      </c>
      <c r="AA221" s="14">
        <f t="shared" si="326"/>
        <v>1.9782017221812034</v>
      </c>
      <c r="AB221" s="6">
        <f t="shared" si="327"/>
        <v>0.39652040332786614</v>
      </c>
      <c r="AC221" s="5">
        <f t="shared" si="328"/>
        <v>2.1351330484253421</v>
      </c>
      <c r="AD221" s="6">
        <f t="shared" si="329"/>
        <v>0.46089979142578225</v>
      </c>
      <c r="AE221" s="14">
        <f t="shared" si="330"/>
        <v>2.3332411402478974</v>
      </c>
      <c r="AF221" s="6">
        <f t="shared" si="331"/>
        <v>0.54861576786750854</v>
      </c>
      <c r="AG221" s="5">
        <f t="shared" si="332"/>
        <v>2.5869697131128833</v>
      </c>
      <c r="AH221" s="6">
        <f t="shared" si="333"/>
        <v>0.67236184406164812</v>
      </c>
      <c r="AI221" s="14">
        <f t="shared" si="334"/>
        <v>2.9161644212905746</v>
      </c>
      <c r="AJ221" s="6">
        <f t="shared" si="335"/>
        <v>0.87713723566770496</v>
      </c>
      <c r="AK221" s="5">
        <f t="shared" si="336"/>
        <v>3.3523338843417045</v>
      </c>
      <c r="AL221" s="5">
        <f t="shared" si="337"/>
        <v>1.1567780800653167</v>
      </c>
      <c r="AM221" s="14">
        <f t="shared" si="338"/>
        <v>3.8345522615639696</v>
      </c>
      <c r="AN221" s="6">
        <f t="shared" si="339"/>
        <v>1.5107158884665177</v>
      </c>
      <c r="AO221" s="5">
        <f t="shared" si="340"/>
        <v>3.4288248160753967</v>
      </c>
      <c r="AP221" s="6">
        <f t="shared" si="341"/>
        <v>1.2096302253090272</v>
      </c>
    </row>
    <row r="222" spans="1:42" x14ac:dyDescent="0.25">
      <c r="A222" s="129">
        <v>0.5</v>
      </c>
      <c r="B222" s="256">
        <f>'Sub C_D_0'!AV260</f>
        <v>8.5809480438598096E-3</v>
      </c>
      <c r="C222" s="257">
        <f>'C_L vs. α'!X526</f>
        <v>0.13463685305510828</v>
      </c>
      <c r="D222" s="144">
        <v>14</v>
      </c>
      <c r="E222" s="14">
        <f t="shared" si="304"/>
        <v>1.5949839314105287</v>
      </c>
      <c r="F222" s="6">
        <f t="shared" si="305"/>
        <v>0.26477248214796351</v>
      </c>
      <c r="G222" s="14">
        <f t="shared" si="306"/>
        <v>1.6076953933840659</v>
      </c>
      <c r="H222" s="6">
        <f t="shared" si="307"/>
        <v>0.26766116434498283</v>
      </c>
      <c r="I222" s="14">
        <f t="shared" si="308"/>
        <v>1.6263102587479425</v>
      </c>
      <c r="J222" s="6">
        <f t="shared" si="309"/>
        <v>0.27304901632118272</v>
      </c>
      <c r="K222" s="14">
        <f t="shared" si="310"/>
        <v>1.6519556191411111</v>
      </c>
      <c r="L222" s="6">
        <f t="shared" si="311"/>
        <v>0.28101955119484451</v>
      </c>
      <c r="M222" s="5">
        <f t="shared" si="312"/>
        <v>1.6855109648966209</v>
      </c>
      <c r="N222" s="6">
        <f t="shared" si="313"/>
        <v>0.29187531334196176</v>
      </c>
      <c r="O222" s="14">
        <f t="shared" si="314"/>
        <v>1.7264934943584112</v>
      </c>
      <c r="P222" s="6">
        <f t="shared" si="315"/>
        <v>0.30601256997906306</v>
      </c>
      <c r="Q222" s="5">
        <f t="shared" si="316"/>
        <v>1.7793290863000304</v>
      </c>
      <c r="R222" s="6">
        <f t="shared" si="317"/>
        <v>0.32425680440156857</v>
      </c>
      <c r="S222" s="14">
        <f t="shared" si="318"/>
        <v>1.8441312900300444</v>
      </c>
      <c r="T222" s="6">
        <f t="shared" si="319"/>
        <v>0.3474687283167337</v>
      </c>
      <c r="U222" s="5">
        <f t="shared" si="320"/>
        <v>1.923183464437175</v>
      </c>
      <c r="V222" s="6">
        <f t="shared" si="321"/>
        <v>0.37697749078832976</v>
      </c>
      <c r="W222" s="14">
        <f t="shared" si="322"/>
        <v>2.0195527958266242</v>
      </c>
      <c r="X222" s="6">
        <f t="shared" si="323"/>
        <v>0.41468329630844042</v>
      </c>
      <c r="Y222" s="5">
        <f t="shared" si="324"/>
        <v>2.1374143677346797</v>
      </c>
      <c r="Z222" s="6">
        <f t="shared" si="325"/>
        <v>0.46335474609154409</v>
      </c>
      <c r="AA222" s="14">
        <f t="shared" si="326"/>
        <v>2.2825404486706193</v>
      </c>
      <c r="AB222" s="6">
        <f t="shared" si="327"/>
        <v>0.52712286988143142</v>
      </c>
      <c r="AC222" s="5">
        <f t="shared" si="328"/>
        <v>2.4636150558753949</v>
      </c>
      <c r="AD222" s="6">
        <f t="shared" si="329"/>
        <v>0.61304564232768299</v>
      </c>
      <c r="AE222" s="14">
        <f t="shared" si="330"/>
        <v>2.6922013156706508</v>
      </c>
      <c r="AF222" s="6">
        <f t="shared" si="331"/>
        <v>0.73030512098562184</v>
      </c>
      <c r="AG222" s="5">
        <f t="shared" si="332"/>
        <v>2.9849650535917882</v>
      </c>
      <c r="AH222" s="6">
        <f t="shared" si="333"/>
        <v>0.89571542326798848</v>
      </c>
      <c r="AI222" s="14">
        <f t="shared" si="334"/>
        <v>3.3648051014891247</v>
      </c>
      <c r="AJ222" s="6">
        <f t="shared" si="335"/>
        <v>1.164977084160159</v>
      </c>
      <c r="AK222" s="5">
        <f t="shared" si="336"/>
        <v>3.8680775588558132</v>
      </c>
      <c r="AL222" s="5">
        <f t="shared" si="337"/>
        <v>1.5371613757642495</v>
      </c>
      <c r="AM222" s="14">
        <f t="shared" si="338"/>
        <v>4.4244833787276576</v>
      </c>
      <c r="AN222" s="6">
        <f t="shared" si="339"/>
        <v>2.0084028070548636</v>
      </c>
      <c r="AO222" s="5">
        <f t="shared" si="340"/>
        <v>3.9563363262408422</v>
      </c>
      <c r="AP222" s="6">
        <f t="shared" si="341"/>
        <v>1.6075701350856249</v>
      </c>
    </row>
    <row r="223" spans="1:42" x14ac:dyDescent="0.25">
      <c r="A223" s="139">
        <v>0.55000000000000004</v>
      </c>
      <c r="B223" s="255">
        <f>'Sub C_D_0'!AV261</f>
        <v>8.4687916051127358E-3</v>
      </c>
      <c r="C223" s="258">
        <f>'C_L vs. α'!X527</f>
        <v>0.14249429118231199</v>
      </c>
      <c r="D223" s="144">
        <v>16</v>
      </c>
      <c r="E223" s="14">
        <f t="shared" si="304"/>
        <v>1.8076484555985992</v>
      </c>
      <c r="F223" s="6">
        <f t="shared" si="305"/>
        <v>0.33778348232734245</v>
      </c>
      <c r="G223" s="14">
        <f t="shared" si="306"/>
        <v>1.8220547791686079</v>
      </c>
      <c r="H223" s="6">
        <f t="shared" si="307"/>
        <v>0.34184054591834234</v>
      </c>
      <c r="I223" s="14">
        <f t="shared" si="308"/>
        <v>1.8431516265810017</v>
      </c>
      <c r="J223" s="6">
        <f t="shared" si="309"/>
        <v>0.34895612977753371</v>
      </c>
      <c r="K223" s="14">
        <f t="shared" si="310"/>
        <v>1.8722163683599258</v>
      </c>
      <c r="L223" s="6">
        <f t="shared" si="311"/>
        <v>0.3593395053709656</v>
      </c>
      <c r="M223" s="5">
        <f t="shared" si="312"/>
        <v>1.9102457602161704</v>
      </c>
      <c r="N223" s="6">
        <f t="shared" si="313"/>
        <v>0.37340933001916199</v>
      </c>
      <c r="O223" s="14">
        <f t="shared" si="314"/>
        <v>1.9566926269395326</v>
      </c>
      <c r="P223" s="6">
        <f t="shared" si="315"/>
        <v>0.39155972400359562</v>
      </c>
      <c r="Q223" s="5">
        <f t="shared" si="316"/>
        <v>2.0165729644733679</v>
      </c>
      <c r="R223" s="6">
        <f t="shared" si="317"/>
        <v>0.41512004671405345</v>
      </c>
      <c r="S223" s="14">
        <f t="shared" si="318"/>
        <v>2.0900154620340503</v>
      </c>
      <c r="T223" s="6">
        <f t="shared" si="319"/>
        <v>0.4450708699078143</v>
      </c>
      <c r="U223" s="5">
        <f t="shared" si="320"/>
        <v>2.1796079263621317</v>
      </c>
      <c r="V223" s="6">
        <f t="shared" si="321"/>
        <v>0.48312678384483143</v>
      </c>
      <c r="W223" s="14">
        <f t="shared" si="322"/>
        <v>2.2888265019368408</v>
      </c>
      <c r="X223" s="6">
        <f t="shared" si="323"/>
        <v>0.5317372523111441</v>
      </c>
      <c r="Y223" s="5">
        <f t="shared" si="324"/>
        <v>2.4224029500993041</v>
      </c>
      <c r="Z223" s="6">
        <f t="shared" si="325"/>
        <v>0.59446997044383498</v>
      </c>
      <c r="AA223" s="14">
        <f t="shared" si="326"/>
        <v>2.5868791751600351</v>
      </c>
      <c r="AB223" s="6">
        <f t="shared" si="327"/>
        <v>0.67664746611533788</v>
      </c>
      <c r="AC223" s="5">
        <f t="shared" si="328"/>
        <v>2.7920970633254472</v>
      </c>
      <c r="AD223" s="6">
        <f t="shared" si="329"/>
        <v>0.78723490172762178</v>
      </c>
      <c r="AE223" s="14">
        <f t="shared" si="330"/>
        <v>3.0511614910934042</v>
      </c>
      <c r="AF223" s="6">
        <f t="shared" si="331"/>
        <v>0.93831824571357847</v>
      </c>
      <c r="AG223" s="5">
        <f t="shared" si="332"/>
        <v>3.3829603940706936</v>
      </c>
      <c r="AH223" s="6">
        <f t="shared" si="333"/>
        <v>1.151429228906786</v>
      </c>
      <c r="AI223" s="14">
        <f t="shared" si="334"/>
        <v>3.8134457816876748</v>
      </c>
      <c r="AJ223" s="9">
        <f t="shared" si="335"/>
        <v>1.4939369110086778</v>
      </c>
      <c r="AK223" s="5">
        <f t="shared" si="336"/>
        <v>4.3838212333699218</v>
      </c>
      <c r="AL223" s="8">
        <f t="shared" si="337"/>
        <v>1.9718851422773152</v>
      </c>
      <c r="AM223" s="14">
        <f t="shared" si="338"/>
        <v>5.0144144958913444</v>
      </c>
      <c r="AN223" s="9">
        <f t="shared" si="339"/>
        <v>2.5771878568701156</v>
      </c>
      <c r="AO223" s="5">
        <f t="shared" si="340"/>
        <v>4.4838478364062881</v>
      </c>
      <c r="AP223" s="9">
        <f t="shared" si="341"/>
        <v>2.0623586034017367</v>
      </c>
    </row>
    <row r="224" spans="1:42" x14ac:dyDescent="0.25">
      <c r="A224" s="129">
        <v>0.6</v>
      </c>
      <c r="B224" s="256">
        <f>'Sub C_D_0'!AV262</f>
        <v>8.368171385805874E-3</v>
      </c>
      <c r="C224" s="257">
        <f>'C_L vs. α'!X528</f>
        <v>0.15216936324470795</v>
      </c>
      <c r="AA224" s="14"/>
    </row>
    <row r="225" spans="1:3" x14ac:dyDescent="0.25">
      <c r="A225" s="139">
        <v>0.65</v>
      </c>
      <c r="B225" s="255">
        <f>'Sub C_D_0'!AV263</f>
        <v>8.720340557022933E-3</v>
      </c>
      <c r="C225" s="258">
        <f>'C_L vs. α'!X529</f>
        <v>0.16424100372502631</v>
      </c>
    </row>
    <row r="226" spans="1:3" x14ac:dyDescent="0.25">
      <c r="A226" s="129">
        <v>0.7</v>
      </c>
      <c r="B226" s="256">
        <f>'Sub C_D_0'!AV264</f>
        <v>8.6326435520079018E-3</v>
      </c>
      <c r="C226" s="257">
        <f>'C_L vs. α'!X530</f>
        <v>0.17948008771137672</v>
      </c>
    </row>
    <row r="227" spans="1:3" x14ac:dyDescent="0.25">
      <c r="A227" s="139">
        <v>0.75</v>
      </c>
      <c r="B227" s="255">
        <f>'Sub C_D_0'!AV265</f>
        <v>8.5520970563596425E-3</v>
      </c>
      <c r="C227" s="258">
        <f>'C_L vs. α'!X531</f>
        <v>0.19899767023945256</v>
      </c>
    </row>
    <row r="228" spans="1:3" x14ac:dyDescent="0.25">
      <c r="A228" s="129">
        <v>0.8</v>
      </c>
      <c r="B228" s="256">
        <f>'Sub C_D_0'!AV266</f>
        <v>8.4776928958352777E-3</v>
      </c>
      <c r="C228" s="257">
        <f>'C_L vs. α'!X532</f>
        <v>0.22432034009927498</v>
      </c>
    </row>
    <row r="229" spans="1:3" x14ac:dyDescent="0.25">
      <c r="A229" s="139">
        <v>0.85</v>
      </c>
      <c r="B229" s="255">
        <f>'Sub C_D_0'!AV267</f>
        <v>8.8356341167531317E-3</v>
      </c>
      <c r="C229" s="258">
        <f>'C_L vs. α'!X533</f>
        <v>0.2578718372570542</v>
      </c>
    </row>
    <row r="230" spans="1:3" x14ac:dyDescent="0.25">
      <c r="A230" s="129">
        <v>0.9</v>
      </c>
      <c r="B230" s="256">
        <f>'Sub C_D_0'!AV268</f>
        <v>8.7678662981169383E-3</v>
      </c>
      <c r="C230" s="257">
        <f>'C_L vs. α'!X534</f>
        <v>0.29496555858184381</v>
      </c>
    </row>
    <row r="231" spans="1:3" x14ac:dyDescent="0.25">
      <c r="A231" s="139">
        <v>0.95</v>
      </c>
      <c r="B231" s="255">
        <f>'Sub C_D_0'!AV269</f>
        <v>8.7044261617945026E-3</v>
      </c>
      <c r="C231" s="258">
        <f>'C_L vs. α'!X535</f>
        <v>0.26375575508272281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E88D-0227-4835-BAD0-66FD50A56D1A}">
  <dimension ref="A1:AP230"/>
  <sheetViews>
    <sheetView topLeftCell="A121" zoomScale="115" zoomScaleNormal="115" workbookViewId="0">
      <selection activeCell="AK142" sqref="AK142"/>
    </sheetView>
  </sheetViews>
  <sheetFormatPr defaultRowHeight="15" x14ac:dyDescent="0.25"/>
  <cols>
    <col min="2" max="2" width="11.85546875" bestFit="1" customWidth="1"/>
  </cols>
  <sheetData>
    <row r="1" spans="1:42" x14ac:dyDescent="0.25">
      <c r="A1" t="s">
        <v>524</v>
      </c>
      <c r="E1" t="s">
        <v>542</v>
      </c>
      <c r="H1" t="s">
        <v>541</v>
      </c>
      <c r="I1">
        <v>0</v>
      </c>
    </row>
    <row r="2" spans="1:42" x14ac:dyDescent="0.25">
      <c r="A2" t="s">
        <v>525</v>
      </c>
      <c r="B2" s="28">
        <v>0.98499999999999999</v>
      </c>
      <c r="C2" t="s">
        <v>529</v>
      </c>
      <c r="E2" t="s">
        <v>525</v>
      </c>
      <c r="F2" s="28"/>
      <c r="G2" t="s">
        <v>529</v>
      </c>
      <c r="I2">
        <v>15</v>
      </c>
    </row>
    <row r="3" spans="1:42" x14ac:dyDescent="0.25">
      <c r="A3" t="s">
        <v>519</v>
      </c>
      <c r="B3">
        <f>B4/B5</f>
        <v>3.2258064516129031E-2</v>
      </c>
      <c r="E3" t="s">
        <v>519</v>
      </c>
      <c r="F3">
        <f>F4/F5</f>
        <v>0.27093397849462364</v>
      </c>
      <c r="I3">
        <v>30</v>
      </c>
    </row>
    <row r="4" spans="1:42" x14ac:dyDescent="0.25">
      <c r="A4" s="70" t="s">
        <v>144</v>
      </c>
      <c r="B4">
        <v>1.5</v>
      </c>
      <c r="E4" s="70" t="s">
        <v>144</v>
      </c>
      <c r="F4">
        <v>12.59843</v>
      </c>
      <c r="I4">
        <v>36</v>
      </c>
    </row>
    <row r="5" spans="1:42" x14ac:dyDescent="0.25">
      <c r="A5" s="70" t="s">
        <v>143</v>
      </c>
      <c r="B5">
        <v>46.5</v>
      </c>
      <c r="E5" s="70" t="s">
        <v>143</v>
      </c>
      <c r="F5">
        <v>46.5</v>
      </c>
      <c r="I5">
        <v>40</v>
      </c>
    </row>
    <row r="6" spans="1:42" x14ac:dyDescent="0.25">
      <c r="A6" t="s">
        <v>155</v>
      </c>
      <c r="B6">
        <f>B2*(1-B3^2)</f>
        <v>0.9839750260145681</v>
      </c>
      <c r="C6" t="s">
        <v>530</v>
      </c>
      <c r="E6" t="s">
        <v>155</v>
      </c>
      <c r="F6">
        <f>F2*(1-F3^2)</f>
        <v>0</v>
      </c>
      <c r="G6" t="s">
        <v>530</v>
      </c>
      <c r="I6">
        <v>45</v>
      </c>
    </row>
    <row r="7" spans="1:42" x14ac:dyDescent="0.25">
      <c r="A7" t="s">
        <v>526</v>
      </c>
      <c r="B7">
        <f>1/(PI()*4*B6)</f>
        <v>8.0873466746674824E-2</v>
      </c>
      <c r="C7" t="s">
        <v>531</v>
      </c>
      <c r="E7" t="s">
        <v>526</v>
      </c>
      <c r="F7" t="e">
        <f>1/(PI()*4*F6)</f>
        <v>#DIV/0!</v>
      </c>
      <c r="G7" t="s">
        <v>531</v>
      </c>
    </row>
    <row r="8" spans="1:42" x14ac:dyDescent="0.25">
      <c r="A8" t="s">
        <v>527</v>
      </c>
      <c r="B8" s="28">
        <v>0.02</v>
      </c>
      <c r="C8" t="s">
        <v>532</v>
      </c>
      <c r="E8" t="s">
        <v>527</v>
      </c>
      <c r="F8" s="28"/>
      <c r="G8" t="s">
        <v>532</v>
      </c>
    </row>
    <row r="9" spans="1:42" x14ac:dyDescent="0.25">
      <c r="A9" t="s">
        <v>528</v>
      </c>
      <c r="B9">
        <f>B7+B8</f>
        <v>0.10087346674667483</v>
      </c>
      <c r="E9" t="s">
        <v>528</v>
      </c>
      <c r="F9" t="e">
        <f>F7+F8</f>
        <v>#DIV/0!</v>
      </c>
    </row>
    <row r="10" spans="1:42" x14ac:dyDescent="0.25">
      <c r="A10" t="s">
        <v>268</v>
      </c>
      <c r="B10">
        <v>4</v>
      </c>
      <c r="D10" t="s">
        <v>416</v>
      </c>
      <c r="E10">
        <v>0.8</v>
      </c>
    </row>
    <row r="11" spans="1:42" x14ac:dyDescent="0.25">
      <c r="A11" t="s">
        <v>410</v>
      </c>
      <c r="B11" s="29">
        <v>24.1</v>
      </c>
      <c r="D11" t="s">
        <v>144</v>
      </c>
      <c r="E11" s="29">
        <v>12.5984</v>
      </c>
    </row>
    <row r="12" spans="1:42" x14ac:dyDescent="0.25">
      <c r="A12" t="s">
        <v>422</v>
      </c>
      <c r="B12" s="29">
        <v>-1</v>
      </c>
      <c r="D12" t="s">
        <v>143</v>
      </c>
      <c r="E12">
        <v>46.5</v>
      </c>
    </row>
    <row r="13" spans="1:42" x14ac:dyDescent="0.25">
      <c r="A13" t="s">
        <v>191</v>
      </c>
      <c r="B13">
        <v>100</v>
      </c>
      <c r="C13" t="s">
        <v>414</v>
      </c>
      <c r="D13" t="s">
        <v>519</v>
      </c>
      <c r="E13">
        <f>E11/E12</f>
        <v>0.2709333333333333</v>
      </c>
    </row>
    <row r="15" spans="1:42" x14ac:dyDescent="0.25">
      <c r="A15" s="122" t="s">
        <v>537</v>
      </c>
      <c r="B15" s="122" t="s">
        <v>516</v>
      </c>
    </row>
    <row r="16" spans="1:42" x14ac:dyDescent="0.25">
      <c r="A16" s="122" t="s">
        <v>202</v>
      </c>
      <c r="B16" s="143" t="s">
        <v>533</v>
      </c>
      <c r="C16" s="122" t="s">
        <v>538</v>
      </c>
      <c r="D16" s="122" t="s">
        <v>540</v>
      </c>
      <c r="E16" s="1" t="s">
        <v>536</v>
      </c>
      <c r="F16" s="140">
        <v>0.05</v>
      </c>
      <c r="G16" s="1" t="s">
        <v>536</v>
      </c>
      <c r="H16" s="140">
        <v>0.1</v>
      </c>
      <c r="I16" s="1" t="s">
        <v>536</v>
      </c>
      <c r="J16" s="140">
        <v>0.15</v>
      </c>
      <c r="K16" s="1" t="s">
        <v>536</v>
      </c>
      <c r="L16" s="140">
        <v>0.2</v>
      </c>
      <c r="M16" t="s">
        <v>536</v>
      </c>
      <c r="N16" s="141">
        <v>0.25</v>
      </c>
      <c r="O16" t="s">
        <v>536</v>
      </c>
      <c r="P16" s="141">
        <v>0.3</v>
      </c>
      <c r="Q16" t="s">
        <v>536</v>
      </c>
      <c r="R16" s="141">
        <v>0.35</v>
      </c>
      <c r="S16" t="s">
        <v>536</v>
      </c>
      <c r="T16" s="141">
        <v>0.4</v>
      </c>
      <c r="U16" t="s">
        <v>536</v>
      </c>
      <c r="V16" s="141">
        <v>0.45</v>
      </c>
      <c r="W16" t="s">
        <v>536</v>
      </c>
      <c r="X16" s="141">
        <v>0.5</v>
      </c>
      <c r="Y16" t="s">
        <v>536</v>
      </c>
      <c r="Z16" s="141">
        <v>0.55000000000000004</v>
      </c>
      <c r="AA16" t="s">
        <v>536</v>
      </c>
      <c r="AB16" s="141">
        <v>0.6</v>
      </c>
      <c r="AC16" t="s">
        <v>536</v>
      </c>
      <c r="AD16" s="141">
        <v>0.65</v>
      </c>
      <c r="AE16" t="s">
        <v>536</v>
      </c>
      <c r="AF16" s="141">
        <v>0.7</v>
      </c>
      <c r="AG16" t="s">
        <v>536</v>
      </c>
      <c r="AH16" s="141">
        <v>0.75</v>
      </c>
      <c r="AI16" t="s">
        <v>536</v>
      </c>
      <c r="AJ16" s="141">
        <v>0.8</v>
      </c>
      <c r="AK16" t="s">
        <v>536</v>
      </c>
      <c r="AL16" s="141">
        <v>0.85</v>
      </c>
      <c r="AM16" t="s">
        <v>536</v>
      </c>
      <c r="AN16" s="141">
        <v>0.9</v>
      </c>
      <c r="AO16" t="s">
        <v>536</v>
      </c>
      <c r="AP16" s="141">
        <v>0.95</v>
      </c>
    </row>
    <row r="17" spans="1:42" x14ac:dyDescent="0.25">
      <c r="A17" s="121" t="s">
        <v>182</v>
      </c>
      <c r="B17" s="121" t="s">
        <v>534</v>
      </c>
      <c r="C17" s="121" t="s">
        <v>535</v>
      </c>
      <c r="D17" s="121" t="s">
        <v>421</v>
      </c>
      <c r="E17" s="14" t="s">
        <v>244</v>
      </c>
      <c r="F17" s="6" t="s">
        <v>245</v>
      </c>
      <c r="G17" s="14" t="s">
        <v>244</v>
      </c>
      <c r="H17" s="6" t="s">
        <v>245</v>
      </c>
      <c r="I17" s="14" t="s">
        <v>244</v>
      </c>
      <c r="J17" s="6" t="s">
        <v>245</v>
      </c>
      <c r="K17" s="14" t="s">
        <v>244</v>
      </c>
      <c r="L17" s="6" t="s">
        <v>245</v>
      </c>
      <c r="M17" t="s">
        <v>244</v>
      </c>
      <c r="N17" t="s">
        <v>245</v>
      </c>
      <c r="O17" t="s">
        <v>244</v>
      </c>
      <c r="P17" t="s">
        <v>245</v>
      </c>
      <c r="Q17" t="s">
        <v>244</v>
      </c>
      <c r="R17" t="s">
        <v>245</v>
      </c>
      <c r="S17" t="s">
        <v>244</v>
      </c>
      <c r="T17" t="s">
        <v>245</v>
      </c>
      <c r="U17" t="s">
        <v>244</v>
      </c>
      <c r="V17" t="s">
        <v>245</v>
      </c>
      <c r="W17" t="s">
        <v>244</v>
      </c>
      <c r="X17" t="s">
        <v>245</v>
      </c>
      <c r="Y17" t="s">
        <v>244</v>
      </c>
      <c r="Z17" t="s">
        <v>245</v>
      </c>
      <c r="AA17" t="s">
        <v>244</v>
      </c>
      <c r="AB17" t="s">
        <v>245</v>
      </c>
      <c r="AC17" t="s">
        <v>244</v>
      </c>
      <c r="AD17" t="s">
        <v>245</v>
      </c>
      <c r="AE17" t="s">
        <v>244</v>
      </c>
      <c r="AF17" t="s">
        <v>245</v>
      </c>
      <c r="AG17" t="s">
        <v>244</v>
      </c>
      <c r="AH17" t="s">
        <v>245</v>
      </c>
      <c r="AI17" t="s">
        <v>244</v>
      </c>
      <c r="AJ17" t="s">
        <v>245</v>
      </c>
      <c r="AK17" t="s">
        <v>244</v>
      </c>
      <c r="AL17" t="s">
        <v>245</v>
      </c>
      <c r="AM17" t="s">
        <v>244</v>
      </c>
      <c r="AN17" t="s">
        <v>245</v>
      </c>
      <c r="AO17" t="s">
        <v>244</v>
      </c>
      <c r="AP17" t="s">
        <v>245</v>
      </c>
    </row>
    <row r="18" spans="1:42" x14ac:dyDescent="0.25">
      <c r="A18" s="129">
        <v>0</v>
      </c>
      <c r="B18" s="129" t="e">
        <f>'Sub C_D_0'!AW10</f>
        <v>#DIV/0!</v>
      </c>
      <c r="C18" s="129" t="e">
        <f>'C_L vs. α'!Y316</f>
        <v>#NUM!</v>
      </c>
      <c r="D18" s="144">
        <v>-6</v>
      </c>
      <c r="E18" s="14">
        <f>(D18-$B$12)*$C$19</f>
        <v>-0.53088149414883845</v>
      </c>
      <c r="F18" s="6">
        <f>$B$19+$B$7*E18^2+$B$8*(E18-$E$21)^2</f>
        <v>6.9446064621437625E-2</v>
      </c>
      <c r="G18" s="14">
        <f>(D18-$B$12)*$C$20</f>
        <v>-0.53513095678736722</v>
      </c>
      <c r="H18" s="6">
        <f>$B$20+$B$7*G18^2+$B$8*(G18-$G$21)^2</f>
        <v>6.5711546749348412E-2</v>
      </c>
      <c r="I18" s="14">
        <f>(D18-$B$12)*$C$21</f>
        <v>-0.54137983016242686</v>
      </c>
      <c r="J18" s="6">
        <f>$B$21+$B$7*I18^2+$B$8*(I18-$I$21)^2</f>
        <v>6.4269642380731962E-2</v>
      </c>
      <c r="K18" s="14">
        <f>(D18-$B$12)*$C$22</f>
        <v>-0.54997377359954247</v>
      </c>
      <c r="L18" s="6">
        <f>$B$22+$B$7*K18^2+$B$8*(K18-$K$21)^2</f>
        <v>6.3867251485901444E-2</v>
      </c>
      <c r="M18" s="14">
        <f>(D18-$B$12)*$C$23</f>
        <v>-0.56120404544573077</v>
      </c>
      <c r="N18">
        <f>$B$23+$B$7*M18^2+$B$8*(M18-$M$21)^2</f>
        <v>6.4186375960627637E-2</v>
      </c>
      <c r="O18" s="14">
        <f>(D18-$B$12)*$C$24</f>
        <v>-0.57486478821676545</v>
      </c>
      <c r="P18">
        <f>$B$24+$B$7*O18^2+$B$8*(O18-$O$21)^2</f>
        <v>6.5557738962854731E-2</v>
      </c>
      <c r="Q18" s="14">
        <f>(D18-$B$12)*$C$25</f>
        <v>-0.59252488664670011</v>
      </c>
      <c r="R18">
        <f>$B$25+$B$7*Q18^2+$B$8*(Q18-$Q$21)^2</f>
        <v>6.713814076305781E-2</v>
      </c>
      <c r="S18" s="14">
        <f>(D18-$B$12)*$C$26</f>
        <v>-0.61418333278706749</v>
      </c>
      <c r="T18">
        <f>$B$26+$B$7*S18^2+$B$8*(S18-$S$21)^2</f>
        <v>6.9432588815042454E-2</v>
      </c>
      <c r="U18" s="14">
        <f>(D18-$B$12)*$C$27</f>
        <v>-0.64060594681620064</v>
      </c>
      <c r="V18">
        <f>$B$27+$B$7*U18^2+$B$8*(U18-$U$21)^2</f>
        <v>7.2577471216301689E-2</v>
      </c>
      <c r="W18" s="14">
        <f>(D18-$B$12)*$C$28</f>
        <v>-0.67282240725830456</v>
      </c>
      <c r="X18">
        <f>$B$28+$B$7*W18^2+$B$8*(W18-$W$21)^2</f>
        <v>7.6788806232663431E-2</v>
      </c>
      <c r="Y18" s="14">
        <f>(D18-$B$12)*$C$29</f>
        <v>-0.71223599214894739</v>
      </c>
      <c r="Z18">
        <f>$B$29+$B$7*Y18^2+$B$8*(Y18-$Y$21)^2</f>
        <v>8.2395460643139518E-2</v>
      </c>
      <c r="AA18" s="14">
        <f>(D18-$B$12)*$C$30</f>
        <v>-0.7607900058537177</v>
      </c>
      <c r="AB18">
        <f>$B$30+$B$7*AA18^2+$B$8*(AA18-$AA$21)^2</f>
        <v>8.9898611161822115E-2</v>
      </c>
      <c r="AC18" s="14">
        <f>(D18-$B$12)*$C$31</f>
        <v>-0.82143257677186066</v>
      </c>
      <c r="AD18">
        <f>$B$31+$B$7*AC18^2+$B$8*(AC18-$AC$21)^2</f>
        <v>0.1005989107946938</v>
      </c>
      <c r="AE18" s="14">
        <f>(D18-$B$12)*$C$32</f>
        <v>-0.8980837458900971</v>
      </c>
      <c r="AF18">
        <f>$B$32+$B$7*AE18^2+$B$8*(AE18-$AE$21)^2</f>
        <v>0.11476810131217434</v>
      </c>
      <c r="AG18" s="14">
        <f>(D18-$B$12)*$C$33</f>
        <v>-0.99643664382792685</v>
      </c>
      <c r="AH18">
        <f>$B$33+$B$7*AG18^2+$B$8*(AG18-$AG$21)^2</f>
        <v>0.13494122919234883</v>
      </c>
      <c r="AI18" s="14">
        <f>(D18-$B$12)*$C$34</f>
        <v>-1.1244509116668151</v>
      </c>
      <c r="AJ18">
        <f>$B$34+$B$7*AI18^2+$B$8*(AI18-$AI$21)^2</f>
        <v>0.16447574335783949</v>
      </c>
      <c r="AK18" s="14">
        <f>(D18-$B$12)*$C$35</f>
        <v>-1.2955252960785928</v>
      </c>
      <c r="AL18">
        <f>$B$35+$B$9*AK18^2</f>
        <v>0.19535253507915468</v>
      </c>
      <c r="AM18" s="14">
        <f>(D18-$B$12)*$C$36</f>
        <v>-1.4890688188613526</v>
      </c>
      <c r="AN18">
        <f>$B$36+$B$9*AM18^2</f>
        <v>0.2495041307656467</v>
      </c>
      <c r="AO18" s="14">
        <f>(D18-$B$12)*$C$37</f>
        <v>-1.3653184641024034</v>
      </c>
      <c r="AP18">
        <f>$B$37+$B$9*AO18^2</f>
        <v>0.21367304763177153</v>
      </c>
    </row>
    <row r="19" spans="1:42" x14ac:dyDescent="0.25">
      <c r="A19" s="139">
        <v>0.05</v>
      </c>
      <c r="B19" s="259">
        <f>'Sub C_D_0'!AW11</f>
        <v>3.8536225482137428E-2</v>
      </c>
      <c r="C19" s="260">
        <f>'C_L vs. α'!Y317</f>
        <v>0.10617629882976769</v>
      </c>
      <c r="D19" s="144">
        <v>-4</v>
      </c>
      <c r="E19" s="14">
        <f t="shared" ref="E19:E29" si="0">(D19-$B$12)*$C$19</f>
        <v>-0.31852889648930305</v>
      </c>
      <c r="F19" s="6">
        <f t="shared" ref="F19:F29" si="1">$B$19+$B$7*E19^2+$B$8*(E19-$E$21)^2</f>
        <v>5.0349190683423341E-2</v>
      </c>
      <c r="G19" s="14">
        <f t="shared" ref="G19:G29" si="2">(D19-$B$12)*$C$20</f>
        <v>-0.3210785740724203</v>
      </c>
      <c r="H19" s="6">
        <f t="shared" ref="H19:H29" si="3">$B$20+$B$7*G19^2+$B$8*(G19-$G$21)^2</f>
        <v>4.6307725806135125E-2</v>
      </c>
      <c r="I19" s="14">
        <f t="shared" ref="I19:I29" si="4">(D19-$B$12)*$C$21</f>
        <v>-0.3248278980974561</v>
      </c>
      <c r="J19" s="6">
        <f t="shared" ref="J19:J29" si="5">$B$21+$B$7*I19^2+$B$8*(I19-$I$21)^2</f>
        <v>4.4410007901257847E-2</v>
      </c>
      <c r="K19" s="14">
        <f t="shared" ref="K19:K29" si="6">(D19-$B$12)*$C$22</f>
        <v>-0.32998426415972548</v>
      </c>
      <c r="L19" s="6">
        <f t="shared" ref="L19:L29" si="7">$B$22+$B$7*K19^2+$B$8*(K19-$K$21)^2</f>
        <v>4.3372103059814371E-2</v>
      </c>
      <c r="M19" s="14">
        <f t="shared" ref="M19:M29" si="8">(D19-$B$12)*$C$23</f>
        <v>-0.33672242726743851</v>
      </c>
      <c r="N19">
        <f t="shared" ref="N19:N29" si="9">$B$23+$B$7*M19^2+$B$8*(M19-$M$21)^2</f>
        <v>4.2845674328288334E-2</v>
      </c>
      <c r="O19" s="14">
        <f t="shared" ref="O19:O29" si="10">(D19-$B$12)*$C$24</f>
        <v>-0.34491887293005924</v>
      </c>
      <c r="P19">
        <f t="shared" ref="P19:P29" si="11">$B$24+$B$7*O19^2+$B$8*(O19-$O$21)^2</f>
        <v>4.3165448250886342E-2</v>
      </c>
      <c r="Q19" s="14">
        <f t="shared" ref="Q19:Q29" si="12">(D19-$B$12)*$C$25</f>
        <v>-0.35551493198802003</v>
      </c>
      <c r="R19">
        <f t="shared" ref="R19:R29" si="13">$B$25+$B$7*Q19^2+$B$8*(Q19-$Q$21)^2</f>
        <v>4.3348915447025571E-2</v>
      </c>
      <c r="S19" s="14">
        <f t="shared" ref="S19:S29" si="14">(D19-$B$12)*$C$26</f>
        <v>-0.36850999967224052</v>
      </c>
      <c r="T19">
        <f t="shared" ref="T19:T29" si="15">$B$26+$B$7*S19^2+$B$8*(S19-$S$21)^2</f>
        <v>4.3872452748743671E-2</v>
      </c>
      <c r="U19" s="14">
        <f t="shared" ref="U19:U29" si="16">(D19-$B$12)*$C$27</f>
        <v>-0.38436356808972039</v>
      </c>
      <c r="V19">
        <f t="shared" ref="V19:V29" si="17">$B$27+$B$7*U19^2+$B$8*(U19-$U$21)^2</f>
        <v>4.4770797567351785E-2</v>
      </c>
      <c r="W19" s="14">
        <f t="shared" ref="W19:W29" si="18">(D19-$B$12)*$C$28</f>
        <v>-0.40369344435498278</v>
      </c>
      <c r="X19">
        <f t="shared" ref="X19:X29" si="19">$B$28+$B$7*W19^2+$B$8*(W19-$W$21)^2</f>
        <v>4.6114976611069544E-2</v>
      </c>
      <c r="Y19" s="14">
        <f t="shared" ref="Y19:Y29" si="20">(D19-$B$12)*$C$29</f>
        <v>-0.42734159528936844</v>
      </c>
      <c r="Z19">
        <f t="shared" ref="Z19:Z29" si="21">$B$29+$B$7*Y19^2+$B$8*(Y19-$Y$21)^2</f>
        <v>4.8022658275244025E-2</v>
      </c>
      <c r="AA19" s="14">
        <f t="shared" ref="AA19:AA29" si="22">(D19-$B$12)*$C$30</f>
        <v>-0.45647400351223066</v>
      </c>
      <c r="AB19">
        <f t="shared" ref="AB19:AB29" si="23">$B$30+$B$7*AA19^2+$B$8*(AA19-$AA$21)^2</f>
        <v>5.0679594028776538E-2</v>
      </c>
      <c r="AC19" s="14">
        <f t="shared" ref="AC19:AC29" si="24">(D19-$B$12)*$C$31</f>
        <v>-0.49285954606311644</v>
      </c>
      <c r="AD19">
        <f t="shared" ref="AD19:AD29" si="25">$B$31+$B$7*AC19^2+$B$8*(AC19-$AC$21)^2</f>
        <v>5.4878412754643967E-2</v>
      </c>
      <c r="AE19" s="14">
        <f t="shared" ref="AE19:AE29" si="26">(D19-$B$12)*$C$32</f>
        <v>-0.5388502475340583</v>
      </c>
      <c r="AF19">
        <f t="shared" ref="AF19:AF29" si="27">$B$32+$B$7*AE19^2+$B$8*(AE19-$AE$21)^2</f>
        <v>6.011676563414322E-2</v>
      </c>
      <c r="AG19" s="14">
        <f t="shared" ref="AG19:AG29" si="28">(D19-$B$12)*$C$33</f>
        <v>-0.59786198629675602</v>
      </c>
      <c r="AH19">
        <f t="shared" ref="AH19:AH29" si="29">$B$33+$B$7*AG19^2+$B$8*(AG19-$AG$21)^2</f>
        <v>6.7664249138972177E-2</v>
      </c>
      <c r="AI19" s="14">
        <f t="shared" ref="AI19:AI29" si="30">(D19-$B$12)*$C$34</f>
        <v>-0.6746705470000891</v>
      </c>
      <c r="AJ19">
        <f t="shared" ref="AJ19:AJ29" si="31">$B$34+$B$7*AI19^2+$B$8*(AI19-$AI$21)^2</f>
        <v>7.8801927658777998E-2</v>
      </c>
      <c r="AK19" s="14">
        <f t="shared" ref="AK19:AK29" si="32">(D19-$B$12)*$C$35</f>
        <v>-0.77731517764715574</v>
      </c>
      <c r="AL19">
        <f t="shared" ref="AL19:AL29" si="33">$B$35+$B$9*AK19^2</f>
        <v>8.6997595267291034E-2</v>
      </c>
      <c r="AM19" s="14">
        <f t="shared" ref="AM19:AM29" si="34">(D19-$B$12)*$C$36</f>
        <v>-0.8934412913168116</v>
      </c>
      <c r="AN19">
        <f t="shared" ref="AN19:AN29" si="35">$B$36+$B$9*AM19^2</f>
        <v>0.10635574342995097</v>
      </c>
      <c r="AO19" s="14">
        <f t="shared" ref="AO19:AO29" si="36">(D19-$B$12)*$C$37</f>
        <v>-0.81919107846144212</v>
      </c>
      <c r="AP19">
        <f t="shared" ref="AP19:AP29" si="37">$B$37+$B$9*AO19^2</f>
        <v>9.3328935370870614E-2</v>
      </c>
    </row>
    <row r="20" spans="1:42" x14ac:dyDescent="0.25">
      <c r="A20" s="129">
        <v>0.1</v>
      </c>
      <c r="B20" s="259">
        <f>'Sub C_D_0'!AW12</f>
        <v>3.4304888990111443E-2</v>
      </c>
      <c r="C20" s="260">
        <f>'C_L vs. α'!Y318</f>
        <v>0.10702619135747343</v>
      </c>
      <c r="D20" s="144">
        <v>-2</v>
      </c>
      <c r="E20" s="14">
        <f t="shared" si="0"/>
        <v>-0.10617629882976769</v>
      </c>
      <c r="F20" s="6">
        <f t="shared" si="1"/>
        <v>4.0349817457088669E-2</v>
      </c>
      <c r="G20" s="14">
        <f t="shared" si="2"/>
        <v>-0.10702619135747343</v>
      </c>
      <c r="H20" s="6">
        <f t="shared" si="3"/>
        <v>3.6147631109069031E-2</v>
      </c>
      <c r="I20" s="14">
        <f t="shared" si="4"/>
        <v>-0.10827596603248536</v>
      </c>
      <c r="J20" s="6">
        <f t="shared" si="5"/>
        <v>3.4011243268710065E-2</v>
      </c>
      <c r="K20" s="14">
        <f t="shared" si="6"/>
        <v>-0.10999475471990849</v>
      </c>
      <c r="L20" s="6">
        <f t="shared" si="7"/>
        <v>3.2640575004135114E-2</v>
      </c>
      <c r="M20" s="14">
        <f t="shared" si="8"/>
        <v>-0.11224080908914616</v>
      </c>
      <c r="N20">
        <f t="shared" si="9"/>
        <v>3.1671403543119231E-2</v>
      </c>
      <c r="O20" s="14">
        <f t="shared" si="10"/>
        <v>-0.11497295764335308</v>
      </c>
      <c r="P20">
        <f t="shared" si="11"/>
        <v>3.1440551655331744E-2</v>
      </c>
      <c r="Q20" s="14">
        <f t="shared" si="12"/>
        <v>-0.11850497732934001</v>
      </c>
      <c r="R20">
        <f t="shared" si="13"/>
        <v>3.0892565602936361E-2</v>
      </c>
      <c r="S20" s="14">
        <f t="shared" si="14"/>
        <v>-0.1228366665574135</v>
      </c>
      <c r="T20">
        <f t="shared" si="15"/>
        <v>3.0488830849556794E-2</v>
      </c>
      <c r="U20" s="14">
        <f t="shared" si="16"/>
        <v>-0.12812118936324013</v>
      </c>
      <c r="V20">
        <f t="shared" si="17"/>
        <v>3.0210859176322789E-2</v>
      </c>
      <c r="W20" s="14">
        <f t="shared" si="18"/>
        <v>-0.13456448145166092</v>
      </c>
      <c r="X20">
        <f t="shared" si="19"/>
        <v>3.0053757813538411E-2</v>
      </c>
      <c r="Y20" s="14">
        <f t="shared" si="20"/>
        <v>-0.14244719842978948</v>
      </c>
      <c r="Z20">
        <f t="shared" si="21"/>
        <v>3.002460891767645E-2</v>
      </c>
      <c r="AA20" s="14">
        <f t="shared" si="22"/>
        <v>-0.15215800117074355</v>
      </c>
      <c r="AB20">
        <f t="shared" si="23"/>
        <v>3.0144003169442688E-2</v>
      </c>
      <c r="AC20" s="14">
        <f t="shared" si="24"/>
        <v>-0.16428651535437214</v>
      </c>
      <c r="AD20">
        <f t="shared" si="25"/>
        <v>3.0938561369527749E-2</v>
      </c>
      <c r="AE20" s="14">
        <f t="shared" si="26"/>
        <v>-0.17961674917801942</v>
      </c>
      <c r="AF20">
        <f t="shared" si="27"/>
        <v>3.1500610731716484E-2</v>
      </c>
      <c r="AG20" s="14">
        <f t="shared" si="28"/>
        <v>-0.19928732876558536</v>
      </c>
      <c r="AH20">
        <f t="shared" si="29"/>
        <v>3.2437141536022965E-2</v>
      </c>
      <c r="AI20" s="14">
        <f t="shared" si="30"/>
        <v>-0.22489018233336303</v>
      </c>
      <c r="AJ20">
        <f t="shared" si="31"/>
        <v>3.3941996044849918E-2</v>
      </c>
      <c r="AK20" s="14">
        <f t="shared" si="32"/>
        <v>-0.25910505921571858</v>
      </c>
      <c r="AL20">
        <f t="shared" si="33"/>
        <v>3.2820125361359205E-2</v>
      </c>
      <c r="AM20" s="14">
        <f t="shared" si="34"/>
        <v>-0.29781376377227053</v>
      </c>
      <c r="AN20">
        <f t="shared" si="35"/>
        <v>3.4781549762103063E-2</v>
      </c>
      <c r="AO20" s="14">
        <f t="shared" si="36"/>
        <v>-0.27306369282048071</v>
      </c>
      <c r="AP20">
        <f t="shared" si="37"/>
        <v>3.3156879240420128E-2</v>
      </c>
    </row>
    <row r="21" spans="1:42" s="29" customFormat="1" x14ac:dyDescent="0.25">
      <c r="A21" s="139">
        <v>0.15</v>
      </c>
      <c r="B21" s="259">
        <f>'Sub C_D_0'!AW13</f>
        <v>3.2125213448628197E-2</v>
      </c>
      <c r="C21" s="260">
        <f>'C_L vs. α'!Y319</f>
        <v>0.10827596603248536</v>
      </c>
      <c r="D21" s="143">
        <v>0</v>
      </c>
      <c r="E21" s="83">
        <f t="shared" si="0"/>
        <v>0.10617629882976769</v>
      </c>
      <c r="F21" s="21">
        <f>$B$19+$B$7*E21^2+$B$8*(E21-$E$21)^2</f>
        <v>3.9447944942433616E-2</v>
      </c>
      <c r="G21" s="83">
        <f t="shared" si="2"/>
        <v>0.10702619135747343</v>
      </c>
      <c r="H21" s="21">
        <f t="shared" si="3"/>
        <v>3.523126265815011E-2</v>
      </c>
      <c r="I21" s="83">
        <f t="shared" si="4"/>
        <v>0.10827596603248536</v>
      </c>
      <c r="J21" s="21">
        <f t="shared" si="5"/>
        <v>3.3073348483088634E-2</v>
      </c>
      <c r="K21" s="83">
        <f t="shared" si="6"/>
        <v>0.10999475471990849</v>
      </c>
      <c r="L21" s="21">
        <f t="shared" si="7"/>
        <v>3.1672667318863687E-2</v>
      </c>
      <c r="M21" s="83">
        <f t="shared" si="8"/>
        <v>0.11224080908914616</v>
      </c>
      <c r="N21" s="99">
        <f t="shared" si="9"/>
        <v>3.0663563605120337E-2</v>
      </c>
      <c r="O21" s="83">
        <f t="shared" si="10"/>
        <v>0.11497295764335308</v>
      </c>
      <c r="P21" s="99">
        <f t="shared" si="11"/>
        <v>3.0383049176190922E-2</v>
      </c>
      <c r="Q21" s="83">
        <f t="shared" si="12"/>
        <v>0.11850497732934001</v>
      </c>
      <c r="R21" s="99">
        <f t="shared" si="13"/>
        <v>2.9769091230790169E-2</v>
      </c>
      <c r="S21" s="83">
        <f t="shared" si="14"/>
        <v>0.1228366665574135</v>
      </c>
      <c r="T21" s="99">
        <f t="shared" si="15"/>
        <v>2.9281723117481818E-2</v>
      </c>
      <c r="U21" s="83">
        <f t="shared" si="16"/>
        <v>0.12812118936324013</v>
      </c>
      <c r="V21" s="99">
        <f t="shared" si="17"/>
        <v>2.889765604321469E-2</v>
      </c>
      <c r="W21" s="83">
        <f t="shared" si="18"/>
        <v>0.13456448145166092</v>
      </c>
      <c r="X21" s="99">
        <f t="shared" si="19"/>
        <v>2.8605149840070059E-2</v>
      </c>
      <c r="Y21" s="83">
        <f t="shared" si="20"/>
        <v>0.14244719842978948</v>
      </c>
      <c r="Z21" s="99">
        <f t="shared" si="21"/>
        <v>2.8401312570436786E-2</v>
      </c>
      <c r="AA21" s="83">
        <f t="shared" si="22"/>
        <v>0.15215800117074355</v>
      </c>
      <c r="AB21" s="99">
        <f t="shared" si="23"/>
        <v>2.829183858382061E-2</v>
      </c>
      <c r="AC21" s="83">
        <f t="shared" si="24"/>
        <v>0.16428651535437214</v>
      </c>
      <c r="AD21" s="99">
        <f t="shared" si="25"/>
        <v>2.8779356639345159E-2</v>
      </c>
      <c r="AE21" s="83">
        <f t="shared" si="26"/>
        <v>0.17961674917801942</v>
      </c>
      <c r="AF21" s="99">
        <f t="shared" si="27"/>
        <v>2.8919636604894119E-2</v>
      </c>
      <c r="AG21" s="83">
        <f t="shared" si="28"/>
        <v>0.19928732876558536</v>
      </c>
      <c r="AH21" s="99">
        <f>$B$33+$B$7*AG21^2+$B$8*(AG21-$AG$21)^2</f>
        <v>2.9259906383501167E-2</v>
      </c>
      <c r="AI21" s="83">
        <f t="shared" si="30"/>
        <v>0.22489018233336303</v>
      </c>
      <c r="AJ21" s="99">
        <f t="shared" si="31"/>
        <v>2.9895948516055256E-2</v>
      </c>
      <c r="AK21" s="83">
        <f t="shared" si="32"/>
        <v>0.25910505921571858</v>
      </c>
      <c r="AL21" s="99">
        <f t="shared" si="33"/>
        <v>3.2820125361359205E-2</v>
      </c>
      <c r="AM21" s="83">
        <f t="shared" si="34"/>
        <v>0.29781376377227053</v>
      </c>
      <c r="AN21" s="99">
        <f t="shared" si="35"/>
        <v>3.4781549762103063E-2</v>
      </c>
      <c r="AO21" s="83">
        <f t="shared" si="36"/>
        <v>0.27306369282048071</v>
      </c>
      <c r="AP21" s="99">
        <f t="shared" si="37"/>
        <v>3.3156879240420128E-2</v>
      </c>
    </row>
    <row r="22" spans="1:42" x14ac:dyDescent="0.25">
      <c r="A22" s="129">
        <v>0.2</v>
      </c>
      <c r="B22" s="259">
        <f>'Sub C_D_0'!AW14</f>
        <v>3.0694191693880567E-2</v>
      </c>
      <c r="C22" s="260">
        <f>'C_L vs. α'!Y320</f>
        <v>0.10999475471990849</v>
      </c>
      <c r="D22" s="144">
        <v>2</v>
      </c>
      <c r="E22" s="14">
        <f t="shared" si="0"/>
        <v>0.31852889648930305</v>
      </c>
      <c r="F22" s="6">
        <f t="shared" si="1"/>
        <v>4.764357313945819E-2</v>
      </c>
      <c r="G22" s="14">
        <f t="shared" si="2"/>
        <v>0.3210785740724203</v>
      </c>
      <c r="H22" s="6">
        <f t="shared" si="3"/>
        <v>4.3558620453378362E-2</v>
      </c>
      <c r="I22" s="14">
        <f t="shared" si="4"/>
        <v>0.3248278980974561</v>
      </c>
      <c r="J22" s="6">
        <f t="shared" si="5"/>
        <v>4.1596323544393549E-2</v>
      </c>
      <c r="K22" s="14">
        <f t="shared" si="6"/>
        <v>0.32998426415972548</v>
      </c>
      <c r="L22" s="6">
        <f t="shared" si="7"/>
        <v>4.046838000400009E-2</v>
      </c>
      <c r="M22" s="14">
        <f t="shared" si="8"/>
        <v>0.33672242726743851</v>
      </c>
      <c r="N22">
        <f t="shared" si="9"/>
        <v>3.9822154514291656E-2</v>
      </c>
      <c r="O22" s="14">
        <f t="shared" si="10"/>
        <v>0.34491887293005924</v>
      </c>
      <c r="P22">
        <f t="shared" si="11"/>
        <v>3.9992940813463877E-2</v>
      </c>
      <c r="Q22" s="14">
        <f t="shared" si="12"/>
        <v>0.35551493198802003</v>
      </c>
      <c r="R22">
        <f t="shared" si="13"/>
        <v>3.9978492330586993E-2</v>
      </c>
      <c r="S22" s="14">
        <f t="shared" si="14"/>
        <v>0.36850999967224052</v>
      </c>
      <c r="T22">
        <f t="shared" si="15"/>
        <v>4.025112955251875E-2</v>
      </c>
      <c r="U22" s="14">
        <f t="shared" si="16"/>
        <v>0.38436356808972039</v>
      </c>
      <c r="V22">
        <f t="shared" si="17"/>
        <v>4.0831188168027492E-2</v>
      </c>
      <c r="W22" s="14">
        <f t="shared" si="18"/>
        <v>0.40369344435498278</v>
      </c>
      <c r="X22">
        <f t="shared" si="19"/>
        <v>4.1769152690664488E-2</v>
      </c>
      <c r="Y22" s="14">
        <f t="shared" si="20"/>
        <v>0.42734159528936844</v>
      </c>
      <c r="Z22">
        <f t="shared" si="21"/>
        <v>4.3152769233525026E-2</v>
      </c>
      <c r="AA22" s="14">
        <f t="shared" si="22"/>
        <v>0.45647400351223066</v>
      </c>
      <c r="AB22">
        <f t="shared" si="23"/>
        <v>4.5123100271910299E-2</v>
      </c>
      <c r="AC22" s="14">
        <f t="shared" si="24"/>
        <v>0.49285954606311644</v>
      </c>
      <c r="AD22">
        <f t="shared" si="25"/>
        <v>4.8400798564096202E-2</v>
      </c>
      <c r="AE22" s="14">
        <f t="shared" si="26"/>
        <v>0.5388502475340583</v>
      </c>
      <c r="AF22">
        <f t="shared" si="27"/>
        <v>5.2373843253676132E-2</v>
      </c>
      <c r="AG22" s="14">
        <f t="shared" si="28"/>
        <v>0.59786198629675602</v>
      </c>
      <c r="AH22">
        <f t="shared" si="29"/>
        <v>5.8132543681406773E-2</v>
      </c>
      <c r="AI22" s="14">
        <f t="shared" si="30"/>
        <v>0.6746705470000891</v>
      </c>
      <c r="AJ22">
        <f t="shared" si="31"/>
        <v>6.6663785072394011E-2</v>
      </c>
      <c r="AK22" s="14">
        <f t="shared" si="32"/>
        <v>0.77731517764715574</v>
      </c>
      <c r="AL22">
        <f t="shared" si="33"/>
        <v>8.6997595267291034E-2</v>
      </c>
      <c r="AM22" s="14">
        <f t="shared" si="34"/>
        <v>0.8934412913168116</v>
      </c>
      <c r="AN22">
        <f t="shared" si="35"/>
        <v>0.10635574342995097</v>
      </c>
      <c r="AO22" s="14">
        <f t="shared" si="36"/>
        <v>0.81919107846144212</v>
      </c>
      <c r="AP22">
        <f t="shared" si="37"/>
        <v>9.3328935370870614E-2</v>
      </c>
    </row>
    <row r="23" spans="1:42" x14ac:dyDescent="0.25">
      <c r="A23" s="139">
        <v>0.25</v>
      </c>
      <c r="B23" s="259">
        <f>'Sub C_D_0'!AW15</f>
        <v>2.9644719733723783E-2</v>
      </c>
      <c r="C23" s="260">
        <f>'C_L vs. α'!Y321</f>
        <v>0.11224080908914616</v>
      </c>
      <c r="D23" s="144">
        <v>4</v>
      </c>
      <c r="E23" s="14">
        <f t="shared" si="0"/>
        <v>0.53088149414883845</v>
      </c>
      <c r="F23" s="6">
        <f t="shared" si="1"/>
        <v>6.4936702048162376E-2</v>
      </c>
      <c r="G23" s="14">
        <f t="shared" si="2"/>
        <v>0.53513095678736722</v>
      </c>
      <c r="H23" s="6">
        <f t="shared" si="3"/>
        <v>6.1129704494753807E-2</v>
      </c>
      <c r="I23" s="14">
        <f t="shared" si="4"/>
        <v>0.54137983016242686</v>
      </c>
      <c r="J23" s="6">
        <f t="shared" si="5"/>
        <v>5.9580168452624795E-2</v>
      </c>
      <c r="K23" s="14">
        <f t="shared" si="6"/>
        <v>0.54997377359954247</v>
      </c>
      <c r="L23" s="6">
        <f t="shared" si="7"/>
        <v>5.9027713059544309E-2</v>
      </c>
      <c r="M23" s="14">
        <f t="shared" si="8"/>
        <v>0.56120404544573077</v>
      </c>
      <c r="N23">
        <f t="shared" si="9"/>
        <v>5.9147176270633171E-2</v>
      </c>
      <c r="O23" s="14">
        <f t="shared" si="10"/>
        <v>0.57486478821676545</v>
      </c>
      <c r="P23">
        <f t="shared" si="11"/>
        <v>6.0270226567150621E-2</v>
      </c>
      <c r="Q23" s="14">
        <f t="shared" si="12"/>
        <v>0.59252488664670011</v>
      </c>
      <c r="R23">
        <f t="shared" si="13"/>
        <v>6.1520768902326856E-2</v>
      </c>
      <c r="S23" s="14">
        <f t="shared" si="14"/>
        <v>0.61418333278706749</v>
      </c>
      <c r="T23">
        <f t="shared" si="15"/>
        <v>6.3397050154667581E-2</v>
      </c>
      <c r="U23" s="14">
        <f t="shared" si="16"/>
        <v>0.64060594681620064</v>
      </c>
      <c r="V23">
        <f t="shared" si="17"/>
        <v>6.6011455550761197E-2</v>
      </c>
      <c r="W23" s="14">
        <f t="shared" si="18"/>
        <v>0.67282240725830456</v>
      </c>
      <c r="X23">
        <f t="shared" si="19"/>
        <v>6.9545766365321685E-2</v>
      </c>
      <c r="Y23" s="14">
        <f t="shared" si="20"/>
        <v>0.71223599214894739</v>
      </c>
      <c r="Z23">
        <f t="shared" si="21"/>
        <v>7.4278978906941184E-2</v>
      </c>
      <c r="AA23" s="14">
        <f t="shared" si="22"/>
        <v>0.7607900058537177</v>
      </c>
      <c r="AB23">
        <f t="shared" si="23"/>
        <v>8.0637788233711719E-2</v>
      </c>
      <c r="AC23" s="14">
        <f t="shared" si="24"/>
        <v>0.82143257677186066</v>
      </c>
      <c r="AD23">
        <f t="shared" si="25"/>
        <v>8.980288714378086E-2</v>
      </c>
      <c r="AE23" s="14">
        <f t="shared" si="26"/>
        <v>0.8980837458900971</v>
      </c>
      <c r="AF23">
        <f t="shared" si="27"/>
        <v>0.10186323067806252</v>
      </c>
      <c r="AG23" s="14">
        <f t="shared" si="28"/>
        <v>0.99643664382792685</v>
      </c>
      <c r="AH23">
        <f t="shared" si="29"/>
        <v>0.11905505342973982</v>
      </c>
      <c r="AI23" s="14">
        <f t="shared" si="30"/>
        <v>1.1244509116668151</v>
      </c>
      <c r="AJ23">
        <f t="shared" si="31"/>
        <v>0.14424550571386618</v>
      </c>
      <c r="AK23" s="14">
        <f t="shared" si="32"/>
        <v>1.2955252960785928</v>
      </c>
      <c r="AL23">
        <f t="shared" si="33"/>
        <v>0.19535253507915468</v>
      </c>
      <c r="AM23" s="14">
        <f t="shared" si="34"/>
        <v>1.4890688188613526</v>
      </c>
      <c r="AN23">
        <f t="shared" si="35"/>
        <v>0.2495041307656467</v>
      </c>
      <c r="AO23" s="14">
        <f t="shared" si="36"/>
        <v>1.3653184641024034</v>
      </c>
      <c r="AP23">
        <f t="shared" si="37"/>
        <v>0.21367304763177153</v>
      </c>
    </row>
    <row r="24" spans="1:42" x14ac:dyDescent="0.25">
      <c r="A24" s="129">
        <v>0.3</v>
      </c>
      <c r="B24" s="259">
        <f>'Sub C_D_0'!AW16</f>
        <v>2.9314000531424404E-2</v>
      </c>
      <c r="C24" s="260">
        <f>'C_L vs. α'!Y322</f>
        <v>0.11497295764335308</v>
      </c>
      <c r="D24" s="144">
        <v>6</v>
      </c>
      <c r="E24" s="14">
        <f t="shared" si="0"/>
        <v>0.74323409180837385</v>
      </c>
      <c r="F24" s="6">
        <f t="shared" si="1"/>
        <v>9.1327331668546202E-2</v>
      </c>
      <c r="G24" s="14">
        <f t="shared" si="2"/>
        <v>0.74918333950231397</v>
      </c>
      <c r="H24" s="6">
        <f t="shared" si="3"/>
        <v>8.7944514782276398E-2</v>
      </c>
      <c r="I24" s="14">
        <f t="shared" si="4"/>
        <v>0.75793176222739755</v>
      </c>
      <c r="J24" s="6">
        <f t="shared" si="5"/>
        <v>8.7024883207782386E-2</v>
      </c>
      <c r="K24" s="14">
        <f t="shared" si="6"/>
        <v>0.76996328303935946</v>
      </c>
      <c r="L24" s="6">
        <f t="shared" si="7"/>
        <v>8.7350666485496359E-2</v>
      </c>
      <c r="M24" s="14">
        <f t="shared" si="8"/>
        <v>0.78568566362402315</v>
      </c>
      <c r="N24">
        <f t="shared" si="9"/>
        <v>8.863862887414492E-2</v>
      </c>
      <c r="O24" s="14">
        <f t="shared" si="10"/>
        <v>0.8048107035034715</v>
      </c>
      <c r="P24">
        <f t="shared" si="11"/>
        <v>9.1214906437251109E-2</v>
      </c>
      <c r="Q24" s="14">
        <f t="shared" si="12"/>
        <v>0.82953484130538002</v>
      </c>
      <c r="R24">
        <f t="shared" si="13"/>
        <v>9.4395920946009709E-2</v>
      </c>
      <c r="S24" s="14">
        <f t="shared" si="14"/>
        <v>0.85985666590189447</v>
      </c>
      <c r="T24">
        <f t="shared" si="15"/>
        <v>9.8719484923928319E-2</v>
      </c>
      <c r="U24" s="14">
        <f t="shared" si="16"/>
        <v>0.8968483255426809</v>
      </c>
      <c r="V24">
        <f t="shared" si="17"/>
        <v>0.10443845819141578</v>
      </c>
      <c r="W24" s="14">
        <f t="shared" si="18"/>
        <v>0.94195137016162644</v>
      </c>
      <c r="X24">
        <f t="shared" si="19"/>
        <v>0.11193499086404168</v>
      </c>
      <c r="Y24" s="14">
        <f t="shared" si="20"/>
        <v>0.99713038900852635</v>
      </c>
      <c r="Z24">
        <f t="shared" si="21"/>
        <v>0.12177994159068525</v>
      </c>
      <c r="AA24" s="14">
        <f t="shared" si="22"/>
        <v>1.0651060081952048</v>
      </c>
      <c r="AB24">
        <f t="shared" si="23"/>
        <v>0.13483590246922494</v>
      </c>
      <c r="AC24" s="14">
        <f t="shared" si="24"/>
        <v>1.1500056074806049</v>
      </c>
      <c r="AD24">
        <f t="shared" si="25"/>
        <v>0.15298562237839913</v>
      </c>
      <c r="AE24" s="14">
        <f t="shared" si="26"/>
        <v>1.257317244246136</v>
      </c>
      <c r="AF24">
        <f t="shared" si="27"/>
        <v>0.17738779887805325</v>
      </c>
      <c r="AG24" s="14">
        <f t="shared" si="28"/>
        <v>1.3950113013590975</v>
      </c>
      <c r="AH24">
        <f t="shared" si="29"/>
        <v>0.21202743562850024</v>
      </c>
      <c r="AI24" s="14">
        <f t="shared" si="30"/>
        <v>1.5742312763335411</v>
      </c>
      <c r="AJ24">
        <f t="shared" si="31"/>
        <v>0.26264111044047173</v>
      </c>
      <c r="AK24" s="14">
        <f t="shared" si="32"/>
        <v>1.8137354145100302</v>
      </c>
      <c r="AL24">
        <f t="shared" si="33"/>
        <v>0.35788494479695027</v>
      </c>
      <c r="AM24" s="14">
        <f t="shared" si="34"/>
        <v>2.0846963464058939</v>
      </c>
      <c r="AN24">
        <f t="shared" si="35"/>
        <v>0.46422671176919056</v>
      </c>
      <c r="AO24" s="14">
        <f t="shared" si="36"/>
        <v>1.9114458497433651</v>
      </c>
      <c r="AP24">
        <f t="shared" si="37"/>
        <v>0.39418921602312301</v>
      </c>
    </row>
    <row r="25" spans="1:42" x14ac:dyDescent="0.25">
      <c r="A25" s="139">
        <v>0.35</v>
      </c>
      <c r="B25" s="259">
        <f>'Sub C_D_0'!AW17</f>
        <v>2.8633350389833841E-2</v>
      </c>
      <c r="C25" s="260">
        <f>'C_L vs. α'!Y323</f>
        <v>0.11850497732934001</v>
      </c>
      <c r="D25" s="144">
        <v>8</v>
      </c>
      <c r="E25" s="14">
        <f t="shared" si="0"/>
        <v>0.95558668946790915</v>
      </c>
      <c r="F25" s="6">
        <f t="shared" si="1"/>
        <v>0.12681546200060964</v>
      </c>
      <c r="G25" s="14">
        <f t="shared" si="2"/>
        <v>0.96323572221726095</v>
      </c>
      <c r="H25" s="6">
        <f t="shared" si="3"/>
        <v>0.1240030513159462</v>
      </c>
      <c r="I25" s="14">
        <f t="shared" si="4"/>
        <v>0.97448369429236825</v>
      </c>
      <c r="J25" s="6">
        <f t="shared" si="5"/>
        <v>0.12393046780986633</v>
      </c>
      <c r="K25" s="14">
        <f t="shared" si="6"/>
        <v>0.98995279247917645</v>
      </c>
      <c r="L25" s="6">
        <f t="shared" si="7"/>
        <v>0.12543724028185624</v>
      </c>
      <c r="M25" s="14">
        <f t="shared" si="8"/>
        <v>1.0101672818023155</v>
      </c>
      <c r="N25">
        <f t="shared" si="9"/>
        <v>0.12829651232482686</v>
      </c>
      <c r="O25" s="14">
        <f t="shared" si="10"/>
        <v>1.0347566187901778</v>
      </c>
      <c r="P25">
        <f t="shared" si="11"/>
        <v>0.13282698042376542</v>
      </c>
      <c r="Q25" s="14">
        <f t="shared" si="12"/>
        <v>1.0665447959640602</v>
      </c>
      <c r="R25">
        <f t="shared" si="13"/>
        <v>0.13860394846163562</v>
      </c>
      <c r="S25" s="14">
        <f t="shared" si="14"/>
        <v>1.1055299990167216</v>
      </c>
      <c r="T25">
        <f t="shared" si="15"/>
        <v>0.14621843386030098</v>
      </c>
      <c r="U25" s="14">
        <f t="shared" si="16"/>
        <v>1.1530907042691612</v>
      </c>
      <c r="V25">
        <f t="shared" si="17"/>
        <v>0.15611219608999127</v>
      </c>
      <c r="W25" s="14">
        <f t="shared" si="18"/>
        <v>1.2110803330649482</v>
      </c>
      <c r="X25">
        <f t="shared" si="19"/>
        <v>0.16893682618682443</v>
      </c>
      <c r="Y25" s="14">
        <f t="shared" si="20"/>
        <v>1.2820247858681053</v>
      </c>
      <c r="Z25">
        <f t="shared" si="21"/>
        <v>0.18565565728475722</v>
      </c>
      <c r="AA25" s="14">
        <f t="shared" si="22"/>
        <v>1.3694220105366919</v>
      </c>
      <c r="AB25">
        <f t="shared" si="23"/>
        <v>0.20771744297844988</v>
      </c>
      <c r="AC25" s="14">
        <f t="shared" si="24"/>
        <v>1.4785786381893493</v>
      </c>
      <c r="AD25">
        <f t="shared" si="25"/>
        <v>0.2379490042679511</v>
      </c>
      <c r="AE25" s="14">
        <f t="shared" si="26"/>
        <v>1.6165507426021748</v>
      </c>
      <c r="AF25">
        <f t="shared" si="27"/>
        <v>0.27894754785364839</v>
      </c>
      <c r="AG25" s="14">
        <f t="shared" si="28"/>
        <v>1.7935859588902683</v>
      </c>
      <c r="AH25">
        <f t="shared" si="29"/>
        <v>0.33704969027768811</v>
      </c>
      <c r="AI25" s="14">
        <f t="shared" si="30"/>
        <v>2.0240116410002673</v>
      </c>
      <c r="AJ25">
        <f t="shared" si="31"/>
        <v>0.42185059925221075</v>
      </c>
      <c r="AK25" s="14">
        <f t="shared" si="32"/>
        <v>2.3319455329414671</v>
      </c>
      <c r="AL25">
        <f t="shared" si="33"/>
        <v>0.57459482442067744</v>
      </c>
      <c r="AM25" s="14">
        <f t="shared" si="34"/>
        <v>2.6803238739504347</v>
      </c>
      <c r="AN25">
        <f t="shared" si="35"/>
        <v>0.75052348644058209</v>
      </c>
      <c r="AO25" s="14">
        <f t="shared" si="36"/>
        <v>2.4575732353843263</v>
      </c>
      <c r="AP25">
        <f t="shared" si="37"/>
        <v>0.63487744054492479</v>
      </c>
    </row>
    <row r="26" spans="1:42" x14ac:dyDescent="0.25">
      <c r="A26" s="129">
        <v>0.4</v>
      </c>
      <c r="B26" s="259">
        <f>'Sub C_D_0'!AW18</f>
        <v>2.8061435779611572E-2</v>
      </c>
      <c r="C26" s="260">
        <f>'C_L vs. α'!Y324</f>
        <v>0.1228366665574135</v>
      </c>
      <c r="D26" s="144">
        <v>10</v>
      </c>
      <c r="E26" s="14">
        <f t="shared" si="0"/>
        <v>1.1679392871274445</v>
      </c>
      <c r="F26" s="6">
        <f t="shared" si="1"/>
        <v>0.17140109304435266</v>
      </c>
      <c r="G26" s="14">
        <f t="shared" si="2"/>
        <v>1.1772881049322077</v>
      </c>
      <c r="H26" s="6">
        <f t="shared" si="3"/>
        <v>0.16930531409576313</v>
      </c>
      <c r="I26" s="14">
        <f t="shared" si="4"/>
        <v>1.191035626357339</v>
      </c>
      <c r="J26" s="6">
        <f t="shared" si="5"/>
        <v>0.1702969222588766</v>
      </c>
      <c r="K26" s="14">
        <f t="shared" si="6"/>
        <v>1.2099423019189934</v>
      </c>
      <c r="L26" s="6">
        <f t="shared" si="7"/>
        <v>0.17328743444862393</v>
      </c>
      <c r="M26" s="14">
        <f t="shared" si="8"/>
        <v>1.2346488999806078</v>
      </c>
      <c r="N26">
        <f t="shared" si="9"/>
        <v>0.178120826622679</v>
      </c>
      <c r="O26" s="14">
        <f t="shared" si="10"/>
        <v>1.2647025340768838</v>
      </c>
      <c r="P26">
        <f t="shared" si="11"/>
        <v>0.18510644852669347</v>
      </c>
      <c r="Q26" s="14">
        <f t="shared" si="12"/>
        <v>1.3035547506227401</v>
      </c>
      <c r="R26">
        <f t="shared" si="13"/>
        <v>0.19414485144920449</v>
      </c>
      <c r="S26" s="14">
        <f t="shared" si="14"/>
        <v>1.3512033321315484</v>
      </c>
      <c r="T26">
        <f t="shared" si="15"/>
        <v>0.20589389696378552</v>
      </c>
      <c r="U26" s="14">
        <f t="shared" si="16"/>
        <v>1.4093330829956414</v>
      </c>
      <c r="V26">
        <f t="shared" si="17"/>
        <v>0.22103266924648768</v>
      </c>
      <c r="W26" s="14">
        <f t="shared" si="18"/>
        <v>1.48020929596827</v>
      </c>
      <c r="X26">
        <f t="shared" si="19"/>
        <v>0.24055127233366996</v>
      </c>
      <c r="Y26" s="14">
        <f t="shared" si="20"/>
        <v>1.5669191827276843</v>
      </c>
      <c r="Z26">
        <f t="shared" si="21"/>
        <v>0.26590612598915708</v>
      </c>
      <c r="AA26" s="14">
        <f t="shared" si="22"/>
        <v>1.6737380128781789</v>
      </c>
      <c r="AB26">
        <f t="shared" si="23"/>
        <v>0.29928240976138659</v>
      </c>
      <c r="AC26" s="14">
        <f t="shared" si="24"/>
        <v>1.8071516688980935</v>
      </c>
      <c r="AD26">
        <f t="shared" si="25"/>
        <v>0.34469303281243668</v>
      </c>
      <c r="AE26" s="14">
        <f t="shared" si="26"/>
        <v>1.9757842409582136</v>
      </c>
      <c r="AF26">
        <f t="shared" si="27"/>
        <v>0.40654247760484796</v>
      </c>
      <c r="AG26" s="14">
        <f t="shared" si="28"/>
        <v>2.1921606164214391</v>
      </c>
      <c r="AH26">
        <f t="shared" si="29"/>
        <v>0.49412181737730343</v>
      </c>
      <c r="AI26" s="14">
        <f t="shared" si="30"/>
        <v>2.4737920056669931</v>
      </c>
      <c r="AJ26">
        <f t="shared" si="31"/>
        <v>0.62187397214908313</v>
      </c>
      <c r="AK26" s="14">
        <f t="shared" si="32"/>
        <v>2.8501556513729045</v>
      </c>
      <c r="AL26">
        <f t="shared" si="33"/>
        <v>0.84548217395033676</v>
      </c>
      <c r="AM26" s="14">
        <f t="shared" si="34"/>
        <v>3.275951401494976</v>
      </c>
      <c r="AN26">
        <f t="shared" si="35"/>
        <v>1.1083944547798217</v>
      </c>
      <c r="AO26" s="14">
        <f t="shared" si="36"/>
        <v>3.0037006210252879</v>
      </c>
      <c r="AP26">
        <f t="shared" si="37"/>
        <v>0.93573772119717735</v>
      </c>
    </row>
    <row r="27" spans="1:42" x14ac:dyDescent="0.25">
      <c r="A27" s="139">
        <v>0.45</v>
      </c>
      <c r="B27" s="259">
        <f>'Sub C_D_0'!AW19</f>
        <v>2.7570114919251602E-2</v>
      </c>
      <c r="C27" s="260">
        <f>'C_L vs. α'!Y325</f>
        <v>0.12812118936324013</v>
      </c>
      <c r="D27" s="144">
        <v>12</v>
      </c>
      <c r="E27" s="14">
        <f t="shared" si="0"/>
        <v>1.3802918847869798</v>
      </c>
      <c r="F27" s="6">
        <f t="shared" si="1"/>
        <v>0.2250842247997753</v>
      </c>
      <c r="G27" s="14">
        <f t="shared" si="2"/>
        <v>1.3913404876471547</v>
      </c>
      <c r="H27" s="6">
        <f t="shared" si="3"/>
        <v>0.2238513031217273</v>
      </c>
      <c r="I27" s="14">
        <f t="shared" si="4"/>
        <v>1.4075875584223096</v>
      </c>
      <c r="J27" s="6">
        <f t="shared" si="5"/>
        <v>0.2261242465548132</v>
      </c>
      <c r="K27" s="14">
        <f t="shared" si="6"/>
        <v>1.4299318113588104</v>
      </c>
      <c r="L27" s="6">
        <f t="shared" si="7"/>
        <v>0.23090124898579947</v>
      </c>
      <c r="M27" s="14">
        <f t="shared" si="8"/>
        <v>1.4591305181589</v>
      </c>
      <c r="N27">
        <f t="shared" si="9"/>
        <v>0.23811157176770137</v>
      </c>
      <c r="O27" s="14">
        <f t="shared" si="10"/>
        <v>1.4946484493635901</v>
      </c>
      <c r="P27">
        <f t="shared" si="11"/>
        <v>0.24805331074603534</v>
      </c>
      <c r="Q27" s="14">
        <f t="shared" si="12"/>
        <v>1.5405647052814202</v>
      </c>
      <c r="R27">
        <f t="shared" si="13"/>
        <v>0.26101862990871644</v>
      </c>
      <c r="S27" s="14">
        <f t="shared" si="14"/>
        <v>1.5968766652463755</v>
      </c>
      <c r="T27">
        <f t="shared" si="15"/>
        <v>0.27774587423438196</v>
      </c>
      <c r="U27" s="14">
        <f t="shared" si="16"/>
        <v>1.6655754617221217</v>
      </c>
      <c r="V27">
        <f t="shared" si="17"/>
        <v>0.299199877660905</v>
      </c>
      <c r="W27" s="14">
        <f t="shared" si="18"/>
        <v>1.749338258871592</v>
      </c>
      <c r="X27">
        <f t="shared" si="19"/>
        <v>0.32677832930457834</v>
      </c>
      <c r="Y27" s="14">
        <f t="shared" si="20"/>
        <v>1.8518135795872632</v>
      </c>
      <c r="Z27">
        <f t="shared" si="21"/>
        <v>0.36253134770388495</v>
      </c>
      <c r="AA27" s="14">
        <f t="shared" si="22"/>
        <v>1.9780540152196662</v>
      </c>
      <c r="AB27">
        <f t="shared" si="23"/>
        <v>0.40953080281803511</v>
      </c>
      <c r="AC27" s="14">
        <f t="shared" si="24"/>
        <v>2.135724699606838</v>
      </c>
      <c r="AD27">
        <f t="shared" si="25"/>
        <v>0.47321770801185592</v>
      </c>
      <c r="AE27" s="14">
        <f t="shared" si="26"/>
        <v>2.3350177393142526</v>
      </c>
      <c r="AF27">
        <f t="shared" si="27"/>
        <v>0.56017258813165194</v>
      </c>
      <c r="AG27" s="14">
        <f t="shared" si="28"/>
        <v>2.5907352739526095</v>
      </c>
      <c r="AH27">
        <f t="shared" si="29"/>
        <v>0.68324381692734604</v>
      </c>
      <c r="AI27" s="14">
        <f t="shared" si="30"/>
        <v>2.9235723703337193</v>
      </c>
      <c r="AJ27">
        <f t="shared" si="31"/>
        <v>0.86271122913108889</v>
      </c>
      <c r="AK27" s="14">
        <f t="shared" si="32"/>
        <v>3.3683657698043414</v>
      </c>
      <c r="AL27">
        <f t="shared" si="33"/>
        <v>1.1705469933859274</v>
      </c>
      <c r="AM27" s="14">
        <f t="shared" si="34"/>
        <v>3.8715789290395168</v>
      </c>
      <c r="AN27">
        <f t="shared" si="35"/>
        <v>1.5378396167869091</v>
      </c>
      <c r="AO27" s="14">
        <f t="shared" si="36"/>
        <v>3.5498280066662491</v>
      </c>
      <c r="AP27">
        <f t="shared" si="37"/>
        <v>1.29677005797988</v>
      </c>
    </row>
    <row r="28" spans="1:42" x14ac:dyDescent="0.25">
      <c r="A28" s="129">
        <v>0.5</v>
      </c>
      <c r="B28" s="259">
        <f>'Sub C_D_0'!AW20</f>
        <v>2.7140725480429298E-2</v>
      </c>
      <c r="C28" s="260">
        <f>'C_L vs. α'!Y326</f>
        <v>0.13456448145166092</v>
      </c>
      <c r="D28" s="144">
        <v>14</v>
      </c>
      <c r="E28" s="14">
        <f t="shared" si="0"/>
        <v>1.5926444824465154</v>
      </c>
      <c r="F28" s="6">
        <f t="shared" si="1"/>
        <v>0.28786485726687766</v>
      </c>
      <c r="G28" s="14">
        <f t="shared" si="2"/>
        <v>1.6053928703621014</v>
      </c>
      <c r="H28" s="6">
        <f t="shared" si="3"/>
        <v>0.2876410183938386</v>
      </c>
      <c r="I28" s="14">
        <f t="shared" si="4"/>
        <v>1.6241394904872803</v>
      </c>
      <c r="J28" s="6">
        <f t="shared" si="5"/>
        <v>0.29141244069767619</v>
      </c>
      <c r="K28" s="14">
        <f t="shared" si="6"/>
        <v>1.6499213207986274</v>
      </c>
      <c r="L28" s="6">
        <f t="shared" si="7"/>
        <v>0.29827868389338275</v>
      </c>
      <c r="M28" s="14">
        <f t="shared" si="8"/>
        <v>1.6836121363371923</v>
      </c>
      <c r="N28">
        <f t="shared" si="9"/>
        <v>0.30826874775989388</v>
      </c>
      <c r="O28" s="14">
        <f t="shared" si="10"/>
        <v>1.7245943646502961</v>
      </c>
      <c r="P28">
        <f t="shared" si="11"/>
        <v>0.32166756708179089</v>
      </c>
      <c r="Q28" s="14">
        <f t="shared" si="12"/>
        <v>1.7775746599401001</v>
      </c>
      <c r="R28">
        <f t="shared" si="13"/>
        <v>0.33922528384017131</v>
      </c>
      <c r="S28" s="14">
        <f t="shared" si="14"/>
        <v>1.8425499983612026</v>
      </c>
      <c r="T28">
        <f t="shared" si="15"/>
        <v>0.36177436567209037</v>
      </c>
      <c r="U28" s="14">
        <f t="shared" si="16"/>
        <v>1.9218178404486019</v>
      </c>
      <c r="V28">
        <f t="shared" si="17"/>
        <v>0.39061382133324324</v>
      </c>
      <c r="W28" s="14">
        <f t="shared" si="18"/>
        <v>2.0184672217749138</v>
      </c>
      <c r="X28">
        <f t="shared" si="19"/>
        <v>0.42761799709954934</v>
      </c>
      <c r="Y28" s="14">
        <f t="shared" si="20"/>
        <v>2.136707976446842</v>
      </c>
      <c r="Z28">
        <f t="shared" si="21"/>
        <v>0.47553132242894053</v>
      </c>
      <c r="AA28" s="14">
        <f t="shared" si="22"/>
        <v>2.2823700175611532</v>
      </c>
      <c r="AB28">
        <f t="shared" si="23"/>
        <v>0.53846262214839535</v>
      </c>
      <c r="AC28" s="14">
        <f t="shared" si="24"/>
        <v>2.464297730315582</v>
      </c>
      <c r="AD28">
        <f t="shared" si="25"/>
        <v>0.62352302986620867</v>
      </c>
      <c r="AE28" s="14">
        <f t="shared" si="26"/>
        <v>2.6942512376702914</v>
      </c>
      <c r="AF28">
        <f t="shared" si="27"/>
        <v>0.7398378794340601</v>
      </c>
      <c r="AG28" s="14">
        <f t="shared" si="28"/>
        <v>2.9893099314837803</v>
      </c>
      <c r="AH28">
        <f t="shared" si="29"/>
        <v>0.90441568892781621</v>
      </c>
      <c r="AI28" s="14">
        <f t="shared" si="30"/>
        <v>3.3733527350004455</v>
      </c>
      <c r="AJ28">
        <f t="shared" si="31"/>
        <v>1.1443623701982282</v>
      </c>
      <c r="AK28" s="14">
        <f t="shared" si="32"/>
        <v>3.8865758882357788</v>
      </c>
      <c r="AL28">
        <f t="shared" si="33"/>
        <v>1.5497892827274504</v>
      </c>
      <c r="AM28" s="14">
        <f t="shared" si="34"/>
        <v>4.4672064565840577</v>
      </c>
      <c r="AN28">
        <f t="shared" si="35"/>
        <v>2.0388589724618438</v>
      </c>
      <c r="AO28" s="14">
        <f t="shared" si="36"/>
        <v>4.0959553923072107</v>
      </c>
      <c r="AP28">
        <f t="shared" si="37"/>
        <v>1.7179744508930335</v>
      </c>
    </row>
    <row r="29" spans="1:42" x14ac:dyDescent="0.25">
      <c r="A29" s="139">
        <v>0.55000000000000004</v>
      </c>
      <c r="B29" s="259">
        <f>'Sub C_D_0'!AW21</f>
        <v>2.6760292530955715E-2</v>
      </c>
      <c r="C29" s="260">
        <f>'C_L vs. α'!Y327</f>
        <v>0.14244719842978948</v>
      </c>
      <c r="D29" s="144">
        <v>16</v>
      </c>
      <c r="E29" s="14">
        <f t="shared" si="0"/>
        <v>1.8049970801060506</v>
      </c>
      <c r="F29" s="6">
        <f t="shared" si="1"/>
        <v>0.35974299044565955</v>
      </c>
      <c r="G29" s="14">
        <f t="shared" si="2"/>
        <v>1.8194452530770484</v>
      </c>
      <c r="H29" s="6">
        <f t="shared" si="3"/>
        <v>0.36067445991209707</v>
      </c>
      <c r="I29" s="14">
        <f t="shared" si="4"/>
        <v>1.8406914225522513</v>
      </c>
      <c r="J29" s="6">
        <f t="shared" si="5"/>
        <v>0.36616150468746556</v>
      </c>
      <c r="K29" s="14">
        <f t="shared" si="6"/>
        <v>1.8699108302384444</v>
      </c>
      <c r="L29" s="6">
        <f t="shared" si="7"/>
        <v>0.375419739171374</v>
      </c>
      <c r="M29" s="14">
        <f t="shared" si="8"/>
        <v>1.9080937545154848</v>
      </c>
      <c r="N29">
        <f t="shared" si="9"/>
        <v>0.38859235459925678</v>
      </c>
      <c r="O29" s="14">
        <f t="shared" si="10"/>
        <v>1.9545402799370024</v>
      </c>
      <c r="P29">
        <f t="shared" si="11"/>
        <v>0.4059492175339604</v>
      </c>
      <c r="Q29" s="14">
        <f t="shared" si="12"/>
        <v>2.01458461459878</v>
      </c>
      <c r="R29">
        <f t="shared" si="13"/>
        <v>0.42876481324356924</v>
      </c>
      <c r="S29" s="14">
        <f t="shared" si="14"/>
        <v>2.0882233314760295</v>
      </c>
      <c r="T29">
        <f t="shared" si="15"/>
        <v>0.45797937127691063</v>
      </c>
      <c r="U29" s="14">
        <f t="shared" si="16"/>
        <v>2.178060219175082</v>
      </c>
      <c r="V29">
        <f t="shared" si="17"/>
        <v>0.49527450026350223</v>
      </c>
      <c r="W29" s="14">
        <f t="shared" si="18"/>
        <v>2.2875961846782356</v>
      </c>
      <c r="X29">
        <f t="shared" si="19"/>
        <v>0.54307027571858313</v>
      </c>
      <c r="Y29" s="14">
        <f t="shared" si="20"/>
        <v>2.4216023733064214</v>
      </c>
      <c r="Z29">
        <f t="shared" si="21"/>
        <v>0.6049060501643243</v>
      </c>
      <c r="AA29" s="14">
        <f t="shared" si="22"/>
        <v>2.5866860199026402</v>
      </c>
      <c r="AB29">
        <f t="shared" si="23"/>
        <v>0.68607786775246749</v>
      </c>
      <c r="AC29" s="14">
        <f t="shared" si="24"/>
        <v>2.7928707610243264</v>
      </c>
      <c r="AD29">
        <f t="shared" si="25"/>
        <v>0.79560899837549515</v>
      </c>
      <c r="AE29" s="14">
        <f t="shared" si="26"/>
        <v>3.0534847360263302</v>
      </c>
      <c r="AF29">
        <f t="shared" si="27"/>
        <v>0.94553835151207266</v>
      </c>
      <c r="AG29" s="14">
        <f t="shared" si="28"/>
        <v>3.3878845890149512</v>
      </c>
      <c r="AH29">
        <f t="shared" si="29"/>
        <v>1.1576374333787138</v>
      </c>
      <c r="AI29" s="14">
        <f t="shared" si="30"/>
        <v>3.8231330996671713</v>
      </c>
      <c r="AJ29">
        <f t="shared" si="31"/>
        <v>1.4668273953505007</v>
      </c>
      <c r="AK29" s="14">
        <f t="shared" si="32"/>
        <v>4.4047860066672158</v>
      </c>
      <c r="AL29">
        <f t="shared" si="33"/>
        <v>1.9832090419749047</v>
      </c>
      <c r="AM29" s="14">
        <f t="shared" si="34"/>
        <v>5.0628339841285994</v>
      </c>
      <c r="AN29">
        <f t="shared" si="35"/>
        <v>2.6114525218046278</v>
      </c>
      <c r="AO29" s="14">
        <f t="shared" si="36"/>
        <v>4.6420827779481719</v>
      </c>
      <c r="AP29">
        <f t="shared" si="37"/>
        <v>2.1993508999366367</v>
      </c>
    </row>
    <row r="30" spans="1:42" x14ac:dyDescent="0.25">
      <c r="A30" s="129">
        <v>0.6</v>
      </c>
      <c r="B30" s="259">
        <f>'Sub C_D_0'!AW22</f>
        <v>2.6419451446012161E-2</v>
      </c>
      <c r="C30" s="260">
        <f>'C_L vs. α'!Y328</f>
        <v>0.15215800117074355</v>
      </c>
    </row>
    <row r="31" spans="1:42" x14ac:dyDescent="0.25">
      <c r="A31" s="139">
        <v>0.65</v>
      </c>
      <c r="B31" s="259">
        <f>'Sub C_D_0'!AW23</f>
        <v>2.6596576990024101E-2</v>
      </c>
      <c r="C31" s="260">
        <f>'C_L vs. α'!Y329</f>
        <v>0.16428651535437214</v>
      </c>
    </row>
    <row r="32" spans="1:42" x14ac:dyDescent="0.25">
      <c r="A32" s="129">
        <v>0.7</v>
      </c>
      <c r="B32" s="259">
        <f>'Sub C_D_0'!AW24</f>
        <v>2.6310482539649162E-2</v>
      </c>
      <c r="C32" s="260">
        <f>'C_L vs. α'!Y330</f>
        <v>0.17961674917801942</v>
      </c>
    </row>
    <row r="33" spans="1:42" x14ac:dyDescent="0.25">
      <c r="A33" s="139">
        <v>0.75</v>
      </c>
      <c r="B33" s="259">
        <f>'Sub C_D_0'!AW25</f>
        <v>2.6047981115328189E-2</v>
      </c>
      <c r="C33" s="260">
        <f>'C_L vs. α'!Y331</f>
        <v>0.19928732876558536</v>
      </c>
    </row>
    <row r="34" spans="1:42" x14ac:dyDescent="0.25">
      <c r="A34" s="129">
        <v>0.8</v>
      </c>
      <c r="B34" s="259">
        <f>'Sub C_D_0'!AW26</f>
        <v>2.5805724887612246E-2</v>
      </c>
      <c r="C34" s="260">
        <f>'C_L vs. α'!Y332</f>
        <v>0.22489018233336303</v>
      </c>
    </row>
    <row r="35" spans="1:42" x14ac:dyDescent="0.25">
      <c r="A35" s="139">
        <v>0.85</v>
      </c>
      <c r="B35" s="259">
        <f>'Sub C_D_0'!AW27</f>
        <v>2.6047941623117729E-2</v>
      </c>
      <c r="C35" s="260">
        <f>'C_L vs. α'!Y333</f>
        <v>0.25910505921571858</v>
      </c>
    </row>
    <row r="36" spans="1:42" x14ac:dyDescent="0.25">
      <c r="A36" s="129">
        <v>0.9</v>
      </c>
      <c r="B36" s="259">
        <f>'Sub C_D_0'!AW28</f>
        <v>2.5834775553622076E-2</v>
      </c>
      <c r="C36" s="260">
        <f>'C_L vs. α'!Y334</f>
        <v>0.29781376377227053</v>
      </c>
    </row>
    <row r="37" spans="1:42" x14ac:dyDescent="0.25">
      <c r="A37" s="139">
        <v>0.95</v>
      </c>
      <c r="B37" s="259">
        <f>'Sub C_D_0'!AW29</f>
        <v>2.5635372224113821E-2</v>
      </c>
      <c r="C37" s="260">
        <f>'C_L vs. α'!Y335</f>
        <v>0.27306369282048071</v>
      </c>
    </row>
    <row r="38" spans="1:42" x14ac:dyDescent="0.25">
      <c r="B38" s="11"/>
    </row>
    <row r="39" spans="1:42" x14ac:dyDescent="0.25">
      <c r="A39" s="122" t="s">
        <v>537</v>
      </c>
      <c r="B39" s="122" t="s">
        <v>516</v>
      </c>
    </row>
    <row r="40" spans="1:42" x14ac:dyDescent="0.25">
      <c r="A40" s="122" t="s">
        <v>202</v>
      </c>
      <c r="B40" s="143" t="s">
        <v>533</v>
      </c>
      <c r="C40" s="122" t="s">
        <v>538</v>
      </c>
      <c r="D40" s="122" t="s">
        <v>539</v>
      </c>
      <c r="E40" s="1" t="s">
        <v>536</v>
      </c>
      <c r="F40" s="140">
        <v>0.05</v>
      </c>
      <c r="G40" s="1" t="s">
        <v>536</v>
      </c>
      <c r="H40" s="140">
        <v>0.1</v>
      </c>
      <c r="I40" s="1" t="s">
        <v>536</v>
      </c>
      <c r="J40" s="140">
        <v>0.15</v>
      </c>
      <c r="K40" s="1" t="s">
        <v>536</v>
      </c>
      <c r="L40" s="140">
        <v>0.2</v>
      </c>
      <c r="M40" t="s">
        <v>536</v>
      </c>
      <c r="N40" s="141">
        <v>0.25</v>
      </c>
      <c r="O40" t="s">
        <v>536</v>
      </c>
      <c r="P40" s="141">
        <v>0.3</v>
      </c>
      <c r="Q40" t="s">
        <v>536</v>
      </c>
      <c r="R40" s="141">
        <v>0.35</v>
      </c>
      <c r="S40" t="s">
        <v>536</v>
      </c>
      <c r="T40" s="141">
        <v>0.4</v>
      </c>
      <c r="U40" t="s">
        <v>536</v>
      </c>
      <c r="V40" s="141">
        <v>0.45</v>
      </c>
      <c r="W40" t="s">
        <v>536</v>
      </c>
      <c r="X40" s="141">
        <v>0.5</v>
      </c>
      <c r="Y40" t="s">
        <v>536</v>
      </c>
      <c r="Z40" s="141">
        <v>0.55000000000000004</v>
      </c>
      <c r="AA40" t="s">
        <v>536</v>
      </c>
      <c r="AB40" s="141">
        <v>0.6</v>
      </c>
      <c r="AC40" t="s">
        <v>536</v>
      </c>
      <c r="AD40" s="141">
        <v>0.65</v>
      </c>
      <c r="AE40" t="s">
        <v>536</v>
      </c>
      <c r="AF40" s="141">
        <v>0.7</v>
      </c>
      <c r="AG40" t="s">
        <v>536</v>
      </c>
      <c r="AH40" s="141">
        <v>0.75</v>
      </c>
      <c r="AI40" t="s">
        <v>536</v>
      </c>
      <c r="AJ40" s="141">
        <v>0.8</v>
      </c>
      <c r="AK40" t="s">
        <v>536</v>
      </c>
      <c r="AL40" s="141">
        <v>0.85</v>
      </c>
      <c r="AM40" t="s">
        <v>536</v>
      </c>
      <c r="AN40" s="141">
        <v>0.9</v>
      </c>
      <c r="AO40" t="s">
        <v>536</v>
      </c>
      <c r="AP40" s="141">
        <v>0.95</v>
      </c>
    </row>
    <row r="41" spans="1:42" x14ac:dyDescent="0.25">
      <c r="A41" s="121" t="s">
        <v>182</v>
      </c>
      <c r="B41" s="121" t="s">
        <v>534</v>
      </c>
      <c r="C41" s="121" t="s">
        <v>535</v>
      </c>
      <c r="D41" s="121" t="s">
        <v>421</v>
      </c>
      <c r="E41" s="14" t="s">
        <v>244</v>
      </c>
      <c r="F41" s="6" t="s">
        <v>245</v>
      </c>
      <c r="G41" s="14" t="s">
        <v>244</v>
      </c>
      <c r="H41" s="6" t="s">
        <v>245</v>
      </c>
      <c r="I41" s="14" t="s">
        <v>244</v>
      </c>
      <c r="J41" s="6" t="s">
        <v>245</v>
      </c>
      <c r="K41" s="14" t="s">
        <v>244</v>
      </c>
      <c r="L41" s="6" t="s">
        <v>245</v>
      </c>
      <c r="M41" t="s">
        <v>244</v>
      </c>
      <c r="N41" t="s">
        <v>245</v>
      </c>
      <c r="O41" t="s">
        <v>244</v>
      </c>
      <c r="P41" t="s">
        <v>245</v>
      </c>
      <c r="Q41" t="s">
        <v>244</v>
      </c>
      <c r="R41" t="s">
        <v>245</v>
      </c>
      <c r="S41" t="s">
        <v>244</v>
      </c>
      <c r="T41" t="s">
        <v>245</v>
      </c>
      <c r="U41" t="s">
        <v>244</v>
      </c>
      <c r="V41" t="s">
        <v>245</v>
      </c>
      <c r="W41" t="s">
        <v>244</v>
      </c>
      <c r="X41" t="s">
        <v>245</v>
      </c>
      <c r="Y41" t="s">
        <v>244</v>
      </c>
      <c r="Z41" t="s">
        <v>245</v>
      </c>
      <c r="AA41" t="s">
        <v>244</v>
      </c>
      <c r="AB41" t="s">
        <v>245</v>
      </c>
      <c r="AC41" t="s">
        <v>244</v>
      </c>
      <c r="AD41" t="s">
        <v>245</v>
      </c>
      <c r="AE41" t="s">
        <v>244</v>
      </c>
      <c r="AF41" t="s">
        <v>245</v>
      </c>
      <c r="AG41" t="s">
        <v>244</v>
      </c>
      <c r="AH41" t="s">
        <v>245</v>
      </c>
      <c r="AI41" t="s">
        <v>244</v>
      </c>
      <c r="AJ41" t="s">
        <v>245</v>
      </c>
      <c r="AK41" t="s">
        <v>244</v>
      </c>
      <c r="AL41" t="s">
        <v>245</v>
      </c>
      <c r="AM41" t="s">
        <v>244</v>
      </c>
      <c r="AN41" t="s">
        <v>245</v>
      </c>
      <c r="AO41" t="s">
        <v>244</v>
      </c>
      <c r="AP41" t="s">
        <v>245</v>
      </c>
    </row>
    <row r="42" spans="1:42" x14ac:dyDescent="0.25">
      <c r="A42" s="129">
        <v>0</v>
      </c>
      <c r="B42" s="129" t="e">
        <f>'Sub C_D_0'!AW40</f>
        <v>#DIV/0!</v>
      </c>
      <c r="C42" s="129" t="e">
        <f>'C_L vs. α'!X341</f>
        <v>#NUM!</v>
      </c>
      <c r="D42" s="144">
        <v>-6</v>
      </c>
      <c r="E42" s="14">
        <f>(D42-$B$12)*$C$43</f>
        <v>-0.53100334484536704</v>
      </c>
      <c r="F42" s="6">
        <f>$B$43+$B$7*E42^2+$B$8*(E42-E$45)^2</f>
        <v>6.2939253058284406E-2</v>
      </c>
      <c r="G42" s="14">
        <f>(D42-$B$12)*$C$44</f>
        <v>-0.53525635758510981</v>
      </c>
      <c r="H42" s="6">
        <f>$B$44+$B$7*G42^2+$B$8*(G42-G$45)^2</f>
        <v>5.9956038554646346E-2</v>
      </c>
      <c r="I42" s="14">
        <f>(D42-$B$12)*$C$45</f>
        <v>-0.54150010204152876</v>
      </c>
      <c r="J42" s="6">
        <f>$B$45+$B$7*I42^2+$B$8*(I42-I$45)^2</f>
        <v>5.8982057179969169E-2</v>
      </c>
      <c r="K42" s="14">
        <f>(D42-$B$12)*$C$46</f>
        <v>-0.550087604438247</v>
      </c>
      <c r="L42" s="6">
        <f>$B$46+$B$7*K42^2+$B$8*(K42-K$45)^2</f>
        <v>5.8746550099329269E-2</v>
      </c>
      <c r="M42">
        <f>(D42-$B$12)*$C$47</f>
        <v>-0.56131101228311508</v>
      </c>
      <c r="N42" s="6">
        <f>$B$47+$B$7*M42^2+$B$8*(M42-M$45)^2</f>
        <v>5.9249017270015032E-2</v>
      </c>
      <c r="O42">
        <f>(D42-$B$12)*$C$48</f>
        <v>-0.57497046389781203</v>
      </c>
      <c r="P42" s="6">
        <f>$B$48+$B$7*O42^2+$B$8*(O42-O$45)^2</f>
        <v>6.0756570510959132E-2</v>
      </c>
      <c r="Q42">
        <f>(D42-$B$12)*$C$49</f>
        <v>-0.59262297425661759</v>
      </c>
      <c r="R42" s="6">
        <f>$B$49+$B$7*Q42^2+$B$8*(Q42-Q$45)^2</f>
        <v>6.2453501011828755E-2</v>
      </c>
      <c r="S42">
        <f>(D42-$B$12)*$C$50</f>
        <v>-0.61427207952508867</v>
      </c>
      <c r="T42" s="6">
        <f>$B$50+$B$7*S42^2+$B$8*(S42-S$45)^2</f>
        <v>6.4845416107624385E-2</v>
      </c>
      <c r="U42">
        <f>(D42-$B$12)*$C$51</f>
        <v>-0.64068283409378879</v>
      </c>
      <c r="V42" s="6">
        <f>$B$51+$B$7*U42^2+$B$8*(U42-U$45)^2</f>
        <v>6.8073457047154631E-2</v>
      </c>
      <c r="W42">
        <f>(D42-$B$12)*$C$52</f>
        <v>-0.67288369325524622</v>
      </c>
      <c r="X42" s="6">
        <f>$B$52+$B$7*W42^2+$B$8*(W42-W$45)^2</f>
        <v>7.2356637844568653E-2</v>
      </c>
      <c r="Y42">
        <f>(D42-$B$12)*$C$53</f>
        <v>-0.71227596544857497</v>
      </c>
      <c r="Z42" s="6">
        <f>$B$53+$B$7*Y42^2+$B$8*(Y42-Y$45)^2</f>
        <v>7.802564373661966E-2</v>
      </c>
      <c r="AA42">
        <f>(D42-$B$12)*$C$54</f>
        <v>-0.76079967024701778</v>
      </c>
      <c r="AB42" s="6">
        <f>$B$54+$B$7*AA42^2+$B$8*(AA42-AA$45)^2</f>
        <v>8.5582483461569187E-2</v>
      </c>
      <c r="AC42">
        <f>(D42-$B$12)*$C$55</f>
        <v>-0.8213944139156214</v>
      </c>
      <c r="AD42" s="6">
        <f>$B$55+$B$7*AC42^2+$B$8*(AC42-AC$45)^2</f>
        <v>9.6319890660193253E-2</v>
      </c>
      <c r="AE42">
        <f>(D42-$B$12)*$C$56</f>
        <v>-0.89796892450603505</v>
      </c>
      <c r="AF42" s="6">
        <f>$B$56+$B$7*AE42^2+$B$8*(AE42-AE$45)^2</f>
        <v>0.11052143968391247</v>
      </c>
      <c r="AG42">
        <f>(D42-$B$12)*$C$57</f>
        <v>-0.99619284210460901</v>
      </c>
      <c r="AH42" s="6">
        <f>$B$57+$B$7*AG42^2+$B$8*(AG42-AG$45)^2</f>
        <v>0.13070800906226177</v>
      </c>
      <c r="AI42">
        <f>(D42-$B$12)*$C$58</f>
        <v>-1.1239705058961678</v>
      </c>
      <c r="AJ42">
        <f>$B$58+$B$9*AI42^2</f>
        <v>0.14910089133275956</v>
      </c>
      <c r="AK42">
        <f>(D42-$B$12)*$C$59</f>
        <v>-1.2945003459690043</v>
      </c>
      <c r="AL42">
        <f>$B$59+$B$9*AK42^2</f>
        <v>0.1909764671475099</v>
      </c>
      <c r="AM42">
        <f>(D42-$B$12)*$C$60</f>
        <v>-1.4866977366038343</v>
      </c>
      <c r="AN42">
        <f>$B$60+$B$9*AM42^2</f>
        <v>0.24471929665806469</v>
      </c>
      <c r="AO42">
        <f>(D42-$B$12)*$C$61</f>
        <v>-1.3575580343821179</v>
      </c>
      <c r="AP42">
        <f>$B$61+$B$9*AO42^2</f>
        <v>0.20750133230413143</v>
      </c>
    </row>
    <row r="43" spans="1:42" x14ac:dyDescent="0.25">
      <c r="A43" s="139">
        <v>0.05</v>
      </c>
      <c r="B43" s="259">
        <f>'Sub C_D_0'!AW41</f>
        <v>3.2015223114782256E-2</v>
      </c>
      <c r="C43" s="260">
        <f>'C_L vs. α'!X342</f>
        <v>0.10620066896907342</v>
      </c>
      <c r="D43" s="144">
        <v>-4</v>
      </c>
      <c r="E43" s="14">
        <f t="shared" ref="E43:E53" si="38">(D43-$B$12)*$C$43</f>
        <v>-0.31860200690722024</v>
      </c>
      <c r="F43" s="6">
        <f t="shared" ref="F43:F53" si="39">$B$43+$B$7*E43^2+$B$8*(E43-E$45)^2</f>
        <v>4.3833611685483331E-2</v>
      </c>
      <c r="G43" s="14">
        <f t="shared" ref="G43:G53" si="40">(D43-$B$12)*$C$44</f>
        <v>-0.3211538145510659</v>
      </c>
      <c r="H43" s="6">
        <f t="shared" ref="H43:H53" si="41">$B$44+$B$7*G43^2+$B$8*(G43-G$45)^2</f>
        <v>4.0543122492957717E-2</v>
      </c>
      <c r="I43" s="14">
        <f t="shared" ref="I43:I53" si="42">(D43-$B$12)*$C$45</f>
        <v>-0.32490006122491727</v>
      </c>
      <c r="J43" s="6">
        <f t="shared" ref="J43:J53" si="43">$B$45+$B$7*I43^2+$B$8*(I43-I$45)^2</f>
        <v>3.9113597765606696E-2</v>
      </c>
      <c r="K43" s="14">
        <f t="shared" ref="K43:K53" si="44">(D43-$B$12)*$C$46</f>
        <v>-0.33005256266294825</v>
      </c>
      <c r="L43" s="6">
        <f t="shared" ref="L43:L53" si="45">$B$46+$B$7*K43^2+$B$8*(K43-K$45)^2</f>
        <v>3.8242916827305844E-2</v>
      </c>
      <c r="M43">
        <f t="shared" ref="M43:M53" si="46">(D43-$B$12)*$C$47</f>
        <v>-0.33678660736986904</v>
      </c>
      <c r="N43" s="6">
        <f t="shared" ref="N43:N53" si="47">$B$47+$B$7*M43^2+$B$8*(M43-M$45)^2</f>
        <v>3.7900179684529051E-2</v>
      </c>
      <c r="O43">
        <f t="shared" ref="O43:O53" si="48">(D43-$B$12)*$C$48</f>
        <v>-0.34498227833868722</v>
      </c>
      <c r="P43" s="6">
        <f t="shared" ref="P43:P53" si="49">$B$48+$B$7*O43^2+$B$8*(O43-O$45)^2</f>
        <v>3.8356046426147185E-2</v>
      </c>
      <c r="Q43">
        <f t="shared" ref="Q43:Q53" si="50">(D43-$B$12)*$C$49</f>
        <v>-0.3555737845539706</v>
      </c>
      <c r="R43" s="6">
        <f t="shared" ref="R43:R53" si="51">$B$49+$B$7*Q43^2+$B$8*(Q43-Q$45)^2</f>
        <v>3.8656398823632893E-2</v>
      </c>
      <c r="S43">
        <f t="shared" ref="S43:S53" si="52">(D43-$B$12)*$C$50</f>
        <v>-0.36856324771505317</v>
      </c>
      <c r="T43" s="6">
        <f t="shared" ref="T43:T53" si="53">$B$50+$B$7*S43^2+$B$8*(S43-S$45)^2</f>
        <v>3.9277892857520903E-2</v>
      </c>
      <c r="U43">
        <f t="shared" ref="U43:U53" si="54">(D43-$B$12)*$C$51</f>
        <v>-0.38440970045627332</v>
      </c>
      <c r="V43" s="6">
        <f t="shared" ref="V43:V53" si="55">$B$51+$B$7*U43^2+$B$8*(U43-U$45)^2</f>
        <v>4.0260108131609587E-2</v>
      </c>
      <c r="W43">
        <f t="shared" ref="W43:W53" si="56">(D43-$B$12)*$C$52</f>
        <v>-0.40373021595314773</v>
      </c>
      <c r="X43" s="6">
        <f t="shared" ref="X43:X53" si="57">$B$52+$B$7*W43^2+$B$8*(W43-W$45)^2</f>
        <v>4.1677219937492252E-2</v>
      </c>
      <c r="Y43">
        <f t="shared" ref="Y43:Y53" si="58">(D43-$B$12)*$C$53</f>
        <v>-0.42736557926914498</v>
      </c>
      <c r="Z43" s="6">
        <f t="shared" ref="Z43:Z53" si="59">$B$53+$B$7*Y43^2+$B$8*(Y43-Y$45)^2</f>
        <v>4.364898300464249E-2</v>
      </c>
      <c r="AA43">
        <f t="shared" ref="AA43:AA53" si="60">(D43-$B$12)*$C$54</f>
        <v>-0.45647980214821071</v>
      </c>
      <c r="AB43" s="6">
        <f t="shared" ref="AB43:AB53" si="61">$B$54+$B$7*AA43^2+$B$8*(AA43-AA$45)^2</f>
        <v>4.6362469915818612E-2</v>
      </c>
      <c r="AC43">
        <f t="shared" ref="AC43:AC53" si="62">(D43-$B$12)*$C$55</f>
        <v>-0.4928366483493728</v>
      </c>
      <c r="AD43" s="6">
        <f t="shared" ref="AD43:AD53" si="63">$B$55+$B$7*AC43^2+$B$8*(AC43-AC$45)^2</f>
        <v>5.0603640769807542E-2</v>
      </c>
      <c r="AE43">
        <f t="shared" ref="AE43:AE53" si="64">(D43-$B$12)*$C$56</f>
        <v>-0.53878135470362098</v>
      </c>
      <c r="AF43" s="6">
        <f t="shared" ref="AF43:AF53" si="65">$B$56+$B$7*AE43^2+$B$8*(AE43-AE$45)^2</f>
        <v>5.588407762669087E-2</v>
      </c>
      <c r="AG43">
        <f t="shared" ref="AG43:AG53" si="66">(D43-$B$12)*$C$57</f>
        <v>-0.59771570526276541</v>
      </c>
      <c r="AH43" s="6">
        <f t="shared" ref="AH43:AH53" si="67">$B$57+$B$7*AG43^2+$B$8*(AG43-AG$45)^2</f>
        <v>6.3463946780788386E-2</v>
      </c>
      <c r="AI43">
        <f t="shared" ref="AI43:AI53" si="68">(D43-$B$12)*$C$58</f>
        <v>-0.67438230353770057</v>
      </c>
      <c r="AJ43">
        <f t="shared" ref="AJ43:AJ53" si="69">$B$58+$B$9*AI43^2</f>
        <v>6.7542856885071695E-2</v>
      </c>
      <c r="AK43">
        <f t="shared" ref="AK43:AK53" si="70">(D43-$B$12)*$C$59</f>
        <v>-0.77670020758140268</v>
      </c>
      <c r="AL43">
        <f t="shared" ref="AL43:AL53" si="71">$B$59+$B$9*AK43^2</f>
        <v>8.2792908745247154E-2</v>
      </c>
      <c r="AM43">
        <f t="shared" ref="AM43:AM53" si="72">(D43-$B$12)*$C$60</f>
        <v>-0.89201864196230052</v>
      </c>
      <c r="AN43">
        <f t="shared" ref="AN43:AN53" si="73">$B$60+$B$9*AM43^2</f>
        <v>0.10202642402558849</v>
      </c>
      <c r="AO43">
        <f t="shared" ref="AO43:AO53" si="74">(D43-$B$12)*$C$61</f>
        <v>-0.81453482062927063</v>
      </c>
      <c r="AP43">
        <f t="shared" ref="AP43:AP53" si="75">$B$61+$B$9*AO43^2</f>
        <v>8.8521396764438764E-2</v>
      </c>
    </row>
    <row r="44" spans="1:42" x14ac:dyDescent="0.25">
      <c r="A44" s="129">
        <v>0.1</v>
      </c>
      <c r="B44" s="259">
        <f>'Sub C_D_0'!AW42</f>
        <v>2.8534659608583791E-2</v>
      </c>
      <c r="C44" s="260">
        <f>'C_L vs. α'!X343</f>
        <v>0.10705127151702197</v>
      </c>
      <c r="D44" s="144">
        <v>-2</v>
      </c>
      <c r="E44" s="14">
        <f t="shared" si="38"/>
        <v>-0.10620066896907342</v>
      </c>
      <c r="F44" s="6">
        <f t="shared" si="39"/>
        <v>3.3829647715503647E-2</v>
      </c>
      <c r="G44" s="14">
        <f t="shared" si="40"/>
        <v>-0.10705127151702197</v>
      </c>
      <c r="H44" s="6">
        <f t="shared" si="41"/>
        <v>3.0378265472776944E-2</v>
      </c>
      <c r="I44" s="14">
        <f t="shared" si="42"/>
        <v>-0.10830002040830576</v>
      </c>
      <c r="J44" s="6">
        <f t="shared" si="43"/>
        <v>2.8710212281607875E-2</v>
      </c>
      <c r="K44" s="14">
        <f t="shared" si="44"/>
        <v>-0.11001752088764941</v>
      </c>
      <c r="L44" s="6">
        <f t="shared" si="45"/>
        <v>2.7506945995203556E-2</v>
      </c>
      <c r="M44">
        <f t="shared" si="46"/>
        <v>-0.11226220245662301</v>
      </c>
      <c r="N44" s="6">
        <f t="shared" si="47"/>
        <v>2.6721648807769588E-2</v>
      </c>
      <c r="O44">
        <f t="shared" si="48"/>
        <v>-0.11499409277956241</v>
      </c>
      <c r="P44" s="6">
        <f t="shared" si="49"/>
        <v>2.6626838728773434E-2</v>
      </c>
      <c r="Q44">
        <f t="shared" si="50"/>
        <v>-0.11852459485132352</v>
      </c>
      <c r="R44" s="6">
        <f t="shared" si="51"/>
        <v>2.6195924546148143E-2</v>
      </c>
      <c r="S44">
        <f t="shared" si="52"/>
        <v>-0.12285441590501772</v>
      </c>
      <c r="T44" s="6">
        <f t="shared" si="53"/>
        <v>2.5890402932174643E-2</v>
      </c>
      <c r="U44">
        <f t="shared" si="54"/>
        <v>-0.12813656681875776</v>
      </c>
      <c r="V44" s="6">
        <f t="shared" si="55"/>
        <v>2.569667448359314E-2</v>
      </c>
      <c r="W44">
        <f t="shared" si="56"/>
        <v>-0.13457673865104924</v>
      </c>
      <c r="X44" s="6">
        <f t="shared" si="57"/>
        <v>2.5613075040515944E-2</v>
      </c>
      <c r="Y44">
        <f t="shared" si="58"/>
        <v>-0.14245519308971499</v>
      </c>
      <c r="Z44" s="6">
        <f t="shared" si="59"/>
        <v>2.564891335712479E-2</v>
      </c>
      <c r="AA44">
        <f t="shared" si="60"/>
        <v>-0.15215993404940356</v>
      </c>
      <c r="AB44" s="6">
        <f t="shared" si="61"/>
        <v>2.5826357321746558E-2</v>
      </c>
      <c r="AC44">
        <f t="shared" si="62"/>
        <v>-0.16427888278312427</v>
      </c>
      <c r="AD44" s="6">
        <f t="shared" si="63"/>
        <v>2.666601377147584E-2</v>
      </c>
      <c r="AE44">
        <f t="shared" si="64"/>
        <v>-0.179593784901207</v>
      </c>
      <c r="AF44" s="6">
        <f t="shared" si="65"/>
        <v>2.7275239495074429E-2</v>
      </c>
      <c r="AG44">
        <f t="shared" si="66"/>
        <v>-0.1992385684209218</v>
      </c>
      <c r="AH44" s="6">
        <f t="shared" si="67"/>
        <v>2.8254075354194941E-2</v>
      </c>
      <c r="AI44">
        <f t="shared" si="68"/>
        <v>-0.22479410117923354</v>
      </c>
      <c r="AJ44">
        <f t="shared" si="69"/>
        <v>2.6763839661227778E-2</v>
      </c>
      <c r="AK44">
        <f t="shared" si="70"/>
        <v>-0.25890006919380087</v>
      </c>
      <c r="AL44">
        <f t="shared" si="71"/>
        <v>2.8701129544115765E-2</v>
      </c>
      <c r="AM44">
        <f t="shared" si="72"/>
        <v>-0.29733954732076684</v>
      </c>
      <c r="AN44">
        <f t="shared" si="73"/>
        <v>3.0679987709350383E-2</v>
      </c>
      <c r="AO44">
        <f t="shared" si="74"/>
        <v>-0.27151160687642356</v>
      </c>
      <c r="AP44">
        <f t="shared" si="75"/>
        <v>2.9031428994592434E-2</v>
      </c>
    </row>
    <row r="45" spans="1:42" s="29" customFormat="1" x14ac:dyDescent="0.25">
      <c r="A45" s="139">
        <v>0.15</v>
      </c>
      <c r="B45" s="259">
        <f>'Sub C_D_0'!AW43</f>
        <v>2.6823344375086051E-2</v>
      </c>
      <c r="C45" s="260">
        <f>'C_L vs. α'!X344</f>
        <v>0.10830002040830576</v>
      </c>
      <c r="D45" s="143">
        <v>0</v>
      </c>
      <c r="E45" s="83">
        <f t="shared" si="38"/>
        <v>0.10620066896907342</v>
      </c>
      <c r="F45" s="21">
        <f t="shared" si="39"/>
        <v>3.2927361148345352E-2</v>
      </c>
      <c r="G45" s="83">
        <f t="shared" si="40"/>
        <v>0.10705127151702197</v>
      </c>
      <c r="H45" s="21">
        <f>$B$44+$B$7*G45^2+$B$8*(G45-G$45)^2</f>
        <v>2.9461467494104051E-2</v>
      </c>
      <c r="I45" s="83">
        <f t="shared" si="42"/>
        <v>0.10830002040830576</v>
      </c>
      <c r="J45" s="21">
        <f t="shared" si="43"/>
        <v>2.7771900727972719E-2</v>
      </c>
      <c r="K45" s="83">
        <f t="shared" si="44"/>
        <v>0.11001752088764941</v>
      </c>
      <c r="L45" s="21">
        <f t="shared" si="45"/>
        <v>2.6538637603022407E-2</v>
      </c>
      <c r="M45" s="99">
        <f t="shared" si="46"/>
        <v>0.11226220245662301</v>
      </c>
      <c r="N45" s="21">
        <f t="shared" si="47"/>
        <v>2.5713424639736644E-2</v>
      </c>
      <c r="O45" s="99">
        <f t="shared" si="48"/>
        <v>0.11499409277956241</v>
      </c>
      <c r="P45" s="21">
        <f t="shared" si="49"/>
        <v>2.5568947418837865E-2</v>
      </c>
      <c r="Q45" s="99">
        <f t="shared" si="50"/>
        <v>0.11852459485132352</v>
      </c>
      <c r="R45" s="21">
        <f t="shared" si="51"/>
        <v>2.5072078179374513E-2</v>
      </c>
      <c r="S45" s="99">
        <f t="shared" si="52"/>
        <v>0.12285441590501772</v>
      </c>
      <c r="T45" s="21">
        <f t="shared" si="53"/>
        <v>2.4682946331585597E-2</v>
      </c>
      <c r="U45" s="99">
        <f t="shared" si="54"/>
        <v>0.12813656681875776</v>
      </c>
      <c r="V45" s="21">
        <f t="shared" si="55"/>
        <v>2.4383156103105302E-2</v>
      </c>
      <c r="W45" s="99">
        <f t="shared" si="56"/>
        <v>0.13457673865104924</v>
      </c>
      <c r="X45" s="21">
        <f t="shared" si="57"/>
        <v>2.4164203153639718E-2</v>
      </c>
      <c r="Y45" s="99">
        <f t="shared" si="58"/>
        <v>0.14245519308971499</v>
      </c>
      <c r="Z45" s="21">
        <f t="shared" si="59"/>
        <v>2.402543479406655E-2</v>
      </c>
      <c r="AA45" s="99">
        <f t="shared" si="60"/>
        <v>0.15215993404940356</v>
      </c>
      <c r="AB45" s="21">
        <f t="shared" si="61"/>
        <v>2.3974145679353052E-2</v>
      </c>
      <c r="AC45" s="99">
        <f t="shared" si="62"/>
        <v>0.16427888278312427</v>
      </c>
      <c r="AD45" s="21">
        <f t="shared" si="63"/>
        <v>2.4507009665198122E-2</v>
      </c>
      <c r="AE45" s="99">
        <f t="shared" si="64"/>
        <v>0.179593784901207</v>
      </c>
      <c r="AF45" s="21">
        <f t="shared" si="65"/>
        <v>2.4694925289063148E-2</v>
      </c>
      <c r="AG45" s="99">
        <f t="shared" si="66"/>
        <v>0.1992385684209218</v>
      </c>
      <c r="AH45" s="21">
        <f>$B$57+$B$7*AG45^2+$B$8*(AG45-AG$45)^2</f>
        <v>2.5078394782481472E-2</v>
      </c>
      <c r="AI45" s="99">
        <f t="shared" si="68"/>
        <v>0.22479410117923354</v>
      </c>
      <c r="AJ45" s="99">
        <f t="shared" si="69"/>
        <v>2.6763839661227778E-2</v>
      </c>
      <c r="AK45" s="99">
        <f t="shared" si="70"/>
        <v>0.25890006919380087</v>
      </c>
      <c r="AL45" s="99">
        <f t="shared" si="71"/>
        <v>2.8701129544115765E-2</v>
      </c>
      <c r="AM45" s="99">
        <f t="shared" si="72"/>
        <v>0.29733954732076684</v>
      </c>
      <c r="AN45" s="99">
        <f t="shared" si="73"/>
        <v>3.0679987709350383E-2</v>
      </c>
      <c r="AO45" s="99">
        <f t="shared" si="74"/>
        <v>0.27151160687642356</v>
      </c>
      <c r="AP45" s="99">
        <f t="shared" si="75"/>
        <v>2.9031428994592434E-2</v>
      </c>
    </row>
    <row r="46" spans="1:42" x14ac:dyDescent="0.25">
      <c r="A46" s="129">
        <v>0.2</v>
      </c>
      <c r="B46" s="259">
        <f>'Sub C_D_0'!AW44</f>
        <v>2.5559756896077552E-2</v>
      </c>
      <c r="C46" s="260">
        <f>'C_L vs. α'!X345</f>
        <v>0.11001752088764941</v>
      </c>
      <c r="D46" s="144">
        <v>2</v>
      </c>
      <c r="E46" s="14">
        <f t="shared" si="38"/>
        <v>0.31860200690722024</v>
      </c>
      <c r="F46" s="6">
        <f t="shared" si="39"/>
        <v>4.112675198400844E-2</v>
      </c>
      <c r="G46" s="14">
        <f t="shared" si="40"/>
        <v>0.3211538145510659</v>
      </c>
      <c r="H46" s="6">
        <f t="shared" si="41"/>
        <v>3.7792728556939034E-2</v>
      </c>
      <c r="I46" s="14">
        <f t="shared" si="42"/>
        <v>0.32490006122491727</v>
      </c>
      <c r="J46" s="6">
        <f t="shared" si="43"/>
        <v>3.6298663104701229E-2</v>
      </c>
      <c r="K46" s="14">
        <f t="shared" si="44"/>
        <v>0.33005256266294825</v>
      </c>
      <c r="L46" s="6">
        <f t="shared" si="45"/>
        <v>3.5337991650762395E-2</v>
      </c>
      <c r="M46">
        <f t="shared" si="46"/>
        <v>0.33678660736986904</v>
      </c>
      <c r="N46" s="6">
        <f t="shared" si="47"/>
        <v>3.4875507180430212E-2</v>
      </c>
      <c r="O46">
        <f t="shared" si="48"/>
        <v>0.34498227833868722</v>
      </c>
      <c r="P46" s="6">
        <f t="shared" si="49"/>
        <v>3.5182372496340479E-2</v>
      </c>
      <c r="Q46">
        <f t="shared" si="50"/>
        <v>0.3555737845539706</v>
      </c>
      <c r="R46" s="6">
        <f t="shared" si="51"/>
        <v>3.5284859723312002E-2</v>
      </c>
      <c r="S46">
        <f t="shared" si="52"/>
        <v>0.36856324771505317</v>
      </c>
      <c r="T46" s="6">
        <f t="shared" si="53"/>
        <v>3.5655523055753764E-2</v>
      </c>
      <c r="U46">
        <f t="shared" si="54"/>
        <v>0.38440970045627332</v>
      </c>
      <c r="V46" s="6">
        <f t="shared" si="55"/>
        <v>3.6319552990146067E-2</v>
      </c>
      <c r="W46">
        <f t="shared" si="56"/>
        <v>0.40373021595314773</v>
      </c>
      <c r="X46" s="6">
        <f t="shared" si="57"/>
        <v>3.7330604276863577E-2</v>
      </c>
      <c r="Y46">
        <f t="shared" si="58"/>
        <v>0.42736557926914498</v>
      </c>
      <c r="Z46" s="6">
        <f t="shared" si="59"/>
        <v>3.8778547315467773E-2</v>
      </c>
      <c r="AA46">
        <f t="shared" si="60"/>
        <v>0.45647980214821071</v>
      </c>
      <c r="AB46" s="6">
        <f t="shared" si="61"/>
        <v>4.0805834988638087E-2</v>
      </c>
      <c r="AC46">
        <f t="shared" si="62"/>
        <v>0.4928366483493728</v>
      </c>
      <c r="AD46" s="6">
        <f t="shared" si="63"/>
        <v>4.4126628450974384E-2</v>
      </c>
      <c r="AE46">
        <f t="shared" si="64"/>
        <v>0.53878135470362098</v>
      </c>
      <c r="AF46" s="6">
        <f t="shared" si="65"/>
        <v>4.8143135008657023E-2</v>
      </c>
      <c r="AG46">
        <f t="shared" si="66"/>
        <v>0.59771570526276541</v>
      </c>
      <c r="AH46" s="6">
        <f t="shared" si="67"/>
        <v>5.393690506564798E-2</v>
      </c>
      <c r="AI46">
        <f t="shared" si="68"/>
        <v>0.67438230353770057</v>
      </c>
      <c r="AJ46">
        <f t="shared" si="69"/>
        <v>6.7542856885071695E-2</v>
      </c>
      <c r="AK46">
        <f t="shared" si="70"/>
        <v>0.77670020758140268</v>
      </c>
      <c r="AL46">
        <f t="shared" si="71"/>
        <v>8.2792908745247154E-2</v>
      </c>
      <c r="AM46">
        <f t="shared" si="72"/>
        <v>0.89201864196230052</v>
      </c>
      <c r="AN46">
        <f t="shared" si="73"/>
        <v>0.10202642402558849</v>
      </c>
      <c r="AO46">
        <f t="shared" si="74"/>
        <v>0.81453482062927063</v>
      </c>
      <c r="AP46">
        <f t="shared" si="75"/>
        <v>8.8521396764438764E-2</v>
      </c>
    </row>
    <row r="47" spans="1:42" x14ac:dyDescent="0.25">
      <c r="A47" s="139">
        <v>0.25</v>
      </c>
      <c r="B47" s="259">
        <f>'Sub C_D_0'!AW45</f>
        <v>2.4694192343154064E-2</v>
      </c>
      <c r="C47" s="260">
        <f>'C_L vs. α'!X346</f>
        <v>0.11226220245662301</v>
      </c>
      <c r="D47" s="144">
        <v>4</v>
      </c>
      <c r="E47" s="14">
        <f t="shared" si="38"/>
        <v>0.53100334484536704</v>
      </c>
      <c r="F47" s="6">
        <f t="shared" si="39"/>
        <v>5.8427820222492911E-2</v>
      </c>
      <c r="G47" s="14">
        <f t="shared" si="40"/>
        <v>0.53525635758510981</v>
      </c>
      <c r="H47" s="6">
        <f t="shared" si="41"/>
        <v>5.5372048661281884E-2</v>
      </c>
      <c r="I47" s="14">
        <f t="shared" si="42"/>
        <v>0.54150010204152876</v>
      </c>
      <c r="J47" s="6">
        <f t="shared" si="43"/>
        <v>5.4290499411793397E-2</v>
      </c>
      <c r="K47" s="14">
        <f t="shared" si="44"/>
        <v>0.550087604438247</v>
      </c>
      <c r="L47" s="6">
        <f t="shared" si="45"/>
        <v>5.390500813842352E-2</v>
      </c>
      <c r="M47">
        <f t="shared" si="46"/>
        <v>0.56131101228311508</v>
      </c>
      <c r="N47" s="6">
        <f t="shared" si="47"/>
        <v>5.4207896429850307E-2</v>
      </c>
      <c r="O47">
        <f t="shared" si="48"/>
        <v>0.57497046389781203</v>
      </c>
      <c r="P47" s="6">
        <f t="shared" si="49"/>
        <v>5.5467113961281289E-2</v>
      </c>
      <c r="Q47">
        <f t="shared" si="50"/>
        <v>0.59262297425661759</v>
      </c>
      <c r="R47" s="6">
        <f t="shared" si="51"/>
        <v>5.6834269177960597E-2</v>
      </c>
      <c r="S47">
        <f t="shared" si="52"/>
        <v>0.61427207952508867</v>
      </c>
      <c r="T47" s="6">
        <f t="shared" si="53"/>
        <v>5.8808133104679153E-2</v>
      </c>
      <c r="U47">
        <f t="shared" si="54"/>
        <v>0.64068283409378879</v>
      </c>
      <c r="V47" s="6">
        <f t="shared" si="55"/>
        <v>6.1505865144715441E-2</v>
      </c>
      <c r="W47">
        <f t="shared" si="56"/>
        <v>0.67288369325524622</v>
      </c>
      <c r="X47" s="6">
        <f t="shared" si="57"/>
        <v>6.5112278410187532E-2</v>
      </c>
      <c r="Y47">
        <f t="shared" si="58"/>
        <v>0.71227596544857497</v>
      </c>
      <c r="Z47" s="6">
        <f t="shared" si="59"/>
        <v>6.9908250921328477E-2</v>
      </c>
      <c r="AA47">
        <f t="shared" si="60"/>
        <v>0.76079967024701778</v>
      </c>
      <c r="AB47" s="6">
        <f t="shared" si="61"/>
        <v>7.6321425249601643E-2</v>
      </c>
      <c r="AC47">
        <f t="shared" si="62"/>
        <v>0.8213944139156214</v>
      </c>
      <c r="AD47" s="6">
        <f t="shared" si="63"/>
        <v>8.552487012880465E-2</v>
      </c>
      <c r="AE47">
        <f t="shared" si="64"/>
        <v>0.89796892450603505</v>
      </c>
      <c r="AF47" s="6">
        <f t="shared" si="65"/>
        <v>9.7619868653856065E-2</v>
      </c>
      <c r="AG47">
        <f t="shared" si="66"/>
        <v>0.99619284210460901</v>
      </c>
      <c r="AH47" s="6">
        <f t="shared" si="67"/>
        <v>0.11482960620369445</v>
      </c>
      <c r="AI47">
        <f t="shared" si="68"/>
        <v>1.1239705058961678</v>
      </c>
      <c r="AJ47">
        <f t="shared" si="69"/>
        <v>0.14910089133275956</v>
      </c>
      <c r="AK47">
        <f t="shared" si="70"/>
        <v>1.2945003459690043</v>
      </c>
      <c r="AL47">
        <f t="shared" si="71"/>
        <v>0.1909764671475099</v>
      </c>
      <c r="AM47">
        <f t="shared" si="72"/>
        <v>1.4866977366038343</v>
      </c>
      <c r="AN47">
        <f t="shared" si="73"/>
        <v>0.24471929665806469</v>
      </c>
      <c r="AO47">
        <f t="shared" si="74"/>
        <v>1.3575580343821179</v>
      </c>
      <c r="AP47">
        <f t="shared" si="75"/>
        <v>0.20750133230413143</v>
      </c>
    </row>
    <row r="48" spans="1:42" x14ac:dyDescent="0.25">
      <c r="A48" s="129">
        <v>0.3</v>
      </c>
      <c r="B48" s="259">
        <f>'Sub C_D_0'!AW46</f>
        <v>2.4499505697891985E-2</v>
      </c>
      <c r="C48" s="260">
        <f>'C_L vs. α'!X347</f>
        <v>0.11499409277956241</v>
      </c>
      <c r="D48" s="144">
        <v>6</v>
      </c>
      <c r="E48" s="14">
        <f t="shared" si="38"/>
        <v>0.7434046827835139</v>
      </c>
      <c r="F48" s="6">
        <f t="shared" si="39"/>
        <v>8.4830565863798779E-2</v>
      </c>
      <c r="G48" s="14">
        <f t="shared" si="40"/>
        <v>0.74935890061915378</v>
      </c>
      <c r="H48" s="6">
        <f t="shared" si="41"/>
        <v>8.2199427807132616E-2</v>
      </c>
      <c r="I48" s="14">
        <f t="shared" si="42"/>
        <v>0.75810014285814031</v>
      </c>
      <c r="J48" s="6">
        <f t="shared" si="43"/>
        <v>8.1747409649249245E-2</v>
      </c>
      <c r="K48" s="14">
        <f t="shared" si="44"/>
        <v>0.77012264621354587</v>
      </c>
      <c r="L48" s="6">
        <f t="shared" si="45"/>
        <v>8.223968706600579E-2</v>
      </c>
      <c r="M48">
        <f t="shared" si="46"/>
        <v>0.78583541719636107</v>
      </c>
      <c r="N48" s="6">
        <f t="shared" si="47"/>
        <v>8.3710592387996913E-2</v>
      </c>
      <c r="O48">
        <f t="shared" si="48"/>
        <v>0.80495864945693685</v>
      </c>
      <c r="P48" s="6">
        <f t="shared" si="49"/>
        <v>8.6423171813660271E-2</v>
      </c>
      <c r="Q48">
        <f t="shared" si="50"/>
        <v>0.82967216395926469</v>
      </c>
      <c r="R48" s="6">
        <f t="shared" si="51"/>
        <v>8.9720306543320333E-2</v>
      </c>
      <c r="S48">
        <f t="shared" si="52"/>
        <v>0.859980911335124</v>
      </c>
      <c r="T48" s="6">
        <f t="shared" si="53"/>
        <v>9.4140776478361721E-2</v>
      </c>
      <c r="U48">
        <f t="shared" si="54"/>
        <v>0.89695596773130437</v>
      </c>
      <c r="V48" s="6">
        <f t="shared" si="55"/>
        <v>9.994209256681344E-2</v>
      </c>
      <c r="W48">
        <f t="shared" si="56"/>
        <v>0.94203717055734471</v>
      </c>
      <c r="X48" s="6">
        <f t="shared" si="57"/>
        <v>0.10750922555361157</v>
      </c>
      <c r="Y48">
        <f t="shared" si="58"/>
        <v>0.99718635162800495</v>
      </c>
      <c r="Z48" s="6">
        <f t="shared" si="59"/>
        <v>0.11741454561164863</v>
      </c>
      <c r="AA48">
        <f t="shared" si="60"/>
        <v>1.065119538345825</v>
      </c>
      <c r="AB48" s="6">
        <f t="shared" si="61"/>
        <v>0.13052091646224379</v>
      </c>
      <c r="AC48">
        <f t="shared" si="62"/>
        <v>1.1499521794818699</v>
      </c>
      <c r="AD48" s="6">
        <f t="shared" si="63"/>
        <v>0.14870173469868889</v>
      </c>
      <c r="AE48">
        <f t="shared" si="64"/>
        <v>1.257156494308449</v>
      </c>
      <c r="AF48" s="6">
        <f t="shared" si="65"/>
        <v>0.17312512622466023</v>
      </c>
      <c r="AG48">
        <f t="shared" si="66"/>
        <v>1.3946699789464527</v>
      </c>
      <c r="AH48" s="6">
        <f t="shared" si="67"/>
        <v>0.20775649819662093</v>
      </c>
      <c r="AI48">
        <f t="shared" si="68"/>
        <v>1.5735587082546347</v>
      </c>
      <c r="AJ48">
        <f t="shared" si="69"/>
        <v>0.2714379430042913</v>
      </c>
      <c r="AK48">
        <f t="shared" si="70"/>
        <v>1.8123004843566062</v>
      </c>
      <c r="AL48">
        <f t="shared" si="71"/>
        <v>0.35325180475090406</v>
      </c>
      <c r="AM48">
        <f t="shared" si="72"/>
        <v>2.0813768312453678</v>
      </c>
      <c r="AN48">
        <f t="shared" si="73"/>
        <v>0.458758605606779</v>
      </c>
      <c r="AO48">
        <f t="shared" si="74"/>
        <v>1.9005812481349649</v>
      </c>
      <c r="AP48">
        <f t="shared" si="75"/>
        <v>0.38597123561367042</v>
      </c>
    </row>
    <row r="49" spans="1:42" x14ac:dyDescent="0.25">
      <c r="A49" s="139">
        <v>0.35</v>
      </c>
      <c r="B49" s="259">
        <f>'Sub C_D_0'!AW47</f>
        <v>2.393596128222903E-2</v>
      </c>
      <c r="C49" s="260">
        <f>'C_L vs. α'!X348</f>
        <v>0.11852459485132352</v>
      </c>
      <c r="D49" s="144">
        <v>8</v>
      </c>
      <c r="E49" s="14">
        <f t="shared" si="38"/>
        <v>0.95580602072166077</v>
      </c>
      <c r="F49" s="6">
        <f t="shared" si="39"/>
        <v>0.12033498890792603</v>
      </c>
      <c r="G49" s="14">
        <f t="shared" si="40"/>
        <v>0.96346144365319775</v>
      </c>
      <c r="H49" s="6">
        <f t="shared" si="41"/>
        <v>0.11827486599449122</v>
      </c>
      <c r="I49" s="14">
        <f t="shared" si="42"/>
        <v>0.97470018367475186</v>
      </c>
      <c r="J49" s="6">
        <f t="shared" si="43"/>
        <v>0.11866939381706876</v>
      </c>
      <c r="K49" s="14">
        <f t="shared" si="44"/>
        <v>0.99015768798884463</v>
      </c>
      <c r="L49" s="6">
        <f t="shared" si="45"/>
        <v>0.12034202843350919</v>
      </c>
      <c r="M49">
        <f t="shared" si="46"/>
        <v>1.0103598221096071</v>
      </c>
      <c r="N49" s="6">
        <f t="shared" si="47"/>
        <v>0.12338359505487004</v>
      </c>
      <c r="O49">
        <f t="shared" si="48"/>
        <v>1.0349468350160618</v>
      </c>
      <c r="P49" s="6">
        <f t="shared" si="49"/>
        <v>0.12805054605347746</v>
      </c>
      <c r="Q49">
        <f t="shared" si="50"/>
        <v>1.0667213536619118</v>
      </c>
      <c r="R49" s="6">
        <f t="shared" si="51"/>
        <v>0.13394297181939119</v>
      </c>
      <c r="S49">
        <f t="shared" si="52"/>
        <v>1.1056897431451596</v>
      </c>
      <c r="T49" s="6">
        <f t="shared" si="53"/>
        <v>0.14165345317680156</v>
      </c>
      <c r="U49">
        <f t="shared" si="54"/>
        <v>1.1532291013688198</v>
      </c>
      <c r="V49" s="6">
        <f t="shared" si="55"/>
        <v>0.15162823525644004</v>
      </c>
      <c r="W49">
        <f t="shared" si="56"/>
        <v>1.2111906478594432</v>
      </c>
      <c r="X49" s="6">
        <f t="shared" si="57"/>
        <v>0.1645214457071357</v>
      </c>
      <c r="Y49">
        <f t="shared" si="58"/>
        <v>1.2820967378074348</v>
      </c>
      <c r="Z49" s="6">
        <f t="shared" si="59"/>
        <v>0.18129743138642823</v>
      </c>
      <c r="AA49">
        <f t="shared" si="60"/>
        <v>1.369439406444632</v>
      </c>
      <c r="AB49" s="6">
        <f t="shared" si="61"/>
        <v>0.20340430862656445</v>
      </c>
      <c r="AC49">
        <f t="shared" si="62"/>
        <v>1.4785099450481185</v>
      </c>
      <c r="AD49" s="6">
        <f t="shared" si="63"/>
        <v>0.23365722216062712</v>
      </c>
      <c r="AE49">
        <f t="shared" si="64"/>
        <v>1.6163440641108631</v>
      </c>
      <c r="AF49" s="6">
        <f t="shared" si="65"/>
        <v>0.2746589077210696</v>
      </c>
      <c r="AG49">
        <f t="shared" si="66"/>
        <v>1.7931471157882961</v>
      </c>
      <c r="AH49" s="6">
        <f t="shared" si="67"/>
        <v>0.33271758104442728</v>
      </c>
      <c r="AI49">
        <f t="shared" si="68"/>
        <v>2.0231469106131019</v>
      </c>
      <c r="AJ49">
        <f t="shared" si="69"/>
        <v>0.43455401189966703</v>
      </c>
      <c r="AK49">
        <f t="shared" si="70"/>
        <v>2.330100622744208</v>
      </c>
      <c r="AL49">
        <f t="shared" si="71"/>
        <v>0.56961892155542981</v>
      </c>
      <c r="AM49">
        <f t="shared" si="72"/>
        <v>2.6760559258869017</v>
      </c>
      <c r="AN49">
        <f t="shared" si="73"/>
        <v>0.74414435087173147</v>
      </c>
      <c r="AO49">
        <f t="shared" si="74"/>
        <v>2.4436044618878121</v>
      </c>
      <c r="AP49">
        <f t="shared" si="75"/>
        <v>0.62393110669305585</v>
      </c>
    </row>
    <row r="50" spans="1:42" x14ac:dyDescent="0.25">
      <c r="A50" s="129">
        <v>0.4</v>
      </c>
      <c r="B50" s="259">
        <f>'Sub C_D_0'!AW48</f>
        <v>2.3462306316138208E-2</v>
      </c>
      <c r="C50" s="260">
        <f>'C_L vs. α'!X349</f>
        <v>0.12285441590501772</v>
      </c>
      <c r="D50" s="144">
        <v>10</v>
      </c>
      <c r="E50" s="14">
        <f t="shared" si="38"/>
        <v>1.1682073586598076</v>
      </c>
      <c r="F50" s="6">
        <f t="shared" si="39"/>
        <v>0.16494108935487464</v>
      </c>
      <c r="G50" s="14">
        <f t="shared" si="40"/>
        <v>1.1775639866872416</v>
      </c>
      <c r="H50" s="6">
        <f t="shared" si="41"/>
        <v>0.16359836322335769</v>
      </c>
      <c r="I50" s="14">
        <f t="shared" si="42"/>
        <v>1.1913002244913633</v>
      </c>
      <c r="J50" s="6">
        <f t="shared" si="43"/>
        <v>0.16505645191525189</v>
      </c>
      <c r="K50" s="14">
        <f t="shared" si="44"/>
        <v>1.2101927297641435</v>
      </c>
      <c r="L50" s="6">
        <f t="shared" si="45"/>
        <v>0.16821203224093376</v>
      </c>
      <c r="M50">
        <f t="shared" si="46"/>
        <v>1.2348842270228531</v>
      </c>
      <c r="N50" s="6">
        <f t="shared" si="47"/>
        <v>0.17322690443046967</v>
      </c>
      <c r="O50">
        <f t="shared" si="48"/>
        <v>1.2649350205751864</v>
      </c>
      <c r="P50" s="6">
        <f t="shared" si="49"/>
        <v>0.18034923668073277</v>
      </c>
      <c r="Q50">
        <f t="shared" si="50"/>
        <v>1.3037705433645588</v>
      </c>
      <c r="R50" s="6">
        <f t="shared" si="51"/>
        <v>0.18950226500617312</v>
      </c>
      <c r="S50">
        <f t="shared" si="52"/>
        <v>1.3513985749551949</v>
      </c>
      <c r="T50" s="6">
        <f t="shared" si="53"/>
        <v>0.20134616319999854</v>
      </c>
      <c r="U50">
        <f t="shared" si="54"/>
        <v>1.4095022350063353</v>
      </c>
      <c r="V50" s="6">
        <f t="shared" si="55"/>
        <v>0.21656429321359519</v>
      </c>
      <c r="W50">
        <f t="shared" si="56"/>
        <v>1.4803441251615417</v>
      </c>
      <c r="X50" s="6">
        <f t="shared" si="57"/>
        <v>0.23614893887075991</v>
      </c>
      <c r="Y50">
        <f t="shared" si="58"/>
        <v>1.567007123986865</v>
      </c>
      <c r="Z50" s="6">
        <f t="shared" si="59"/>
        <v>0.26155690824566735</v>
      </c>
      <c r="AA50">
        <f t="shared" si="60"/>
        <v>1.6737592745434391</v>
      </c>
      <c r="AB50" s="6">
        <f t="shared" si="61"/>
        <v>0.29497160174256365</v>
      </c>
      <c r="AC50">
        <f t="shared" si="62"/>
        <v>1.8070677106143671</v>
      </c>
      <c r="AD50" s="6">
        <f t="shared" si="63"/>
        <v>0.34039133251461939</v>
      </c>
      <c r="AE50">
        <f t="shared" si="64"/>
        <v>1.9755316339132771</v>
      </c>
      <c r="AF50" s="6">
        <f t="shared" si="65"/>
        <v>0.40222121314308418</v>
      </c>
      <c r="AG50">
        <f t="shared" si="66"/>
        <v>2.1916242526301399</v>
      </c>
      <c r="AH50" s="6">
        <f t="shared" si="67"/>
        <v>0.48971285474711373</v>
      </c>
      <c r="AI50">
        <f t="shared" si="68"/>
        <v>2.4727351129715691</v>
      </c>
      <c r="AJ50">
        <f t="shared" si="69"/>
        <v>0.63844909801888683</v>
      </c>
      <c r="AK50">
        <f t="shared" si="70"/>
        <v>2.8479007611318097</v>
      </c>
      <c r="AL50">
        <f t="shared" si="71"/>
        <v>0.84007781756108668</v>
      </c>
      <c r="AM50">
        <f t="shared" si="72"/>
        <v>3.2707350205284351</v>
      </c>
      <c r="AN50">
        <f t="shared" si="73"/>
        <v>1.1008765324529217</v>
      </c>
      <c r="AO50">
        <f t="shared" si="74"/>
        <v>2.9866276756406593</v>
      </c>
      <c r="AP50">
        <f t="shared" si="75"/>
        <v>0.92138094554228744</v>
      </c>
    </row>
    <row r="51" spans="1:42" x14ac:dyDescent="0.25">
      <c r="A51" s="139">
        <v>0.45</v>
      </c>
      <c r="B51" s="259">
        <f>'Sub C_D_0'!AW49</f>
        <v>2.3055296289786184E-2</v>
      </c>
      <c r="C51" s="260">
        <f>'C_L vs. α'!X350</f>
        <v>0.12813656681875776</v>
      </c>
      <c r="D51" s="144">
        <v>12</v>
      </c>
      <c r="E51" s="14">
        <f t="shared" si="38"/>
        <v>1.3806086965979545</v>
      </c>
      <c r="F51" s="6">
        <f t="shared" si="39"/>
        <v>0.21864886720464471</v>
      </c>
      <c r="G51" s="14">
        <f t="shared" si="40"/>
        <v>1.3916665297212856</v>
      </c>
      <c r="H51" s="6">
        <f t="shared" si="41"/>
        <v>0.21816991949373205</v>
      </c>
      <c r="I51" s="14">
        <f t="shared" si="42"/>
        <v>1.4079002653079749</v>
      </c>
      <c r="J51" s="6">
        <f t="shared" si="43"/>
        <v>0.22090858394379875</v>
      </c>
      <c r="K51" s="14">
        <f t="shared" si="44"/>
        <v>1.4302277715394422</v>
      </c>
      <c r="L51" s="6">
        <f t="shared" si="45"/>
        <v>0.2258496984882794</v>
      </c>
      <c r="M51">
        <f t="shared" si="46"/>
        <v>1.459408631936099</v>
      </c>
      <c r="N51" s="6">
        <f t="shared" si="47"/>
        <v>0.23324052051479582</v>
      </c>
      <c r="O51">
        <f t="shared" si="48"/>
        <v>1.4949232061343114</v>
      </c>
      <c r="P51" s="6">
        <f t="shared" si="49"/>
        <v>0.24331924369542635</v>
      </c>
      <c r="Q51">
        <f t="shared" si="50"/>
        <v>1.5408197330672058</v>
      </c>
      <c r="R51" s="6">
        <f t="shared" si="51"/>
        <v>0.25639818610366616</v>
      </c>
      <c r="S51">
        <f t="shared" si="52"/>
        <v>1.5971074067652304</v>
      </c>
      <c r="T51" s="6">
        <f t="shared" si="53"/>
        <v>0.27321890654795283</v>
      </c>
      <c r="U51">
        <f t="shared" si="54"/>
        <v>1.665775368643851</v>
      </c>
      <c r="V51" s="6">
        <f t="shared" si="55"/>
        <v>0.29475026643827906</v>
      </c>
      <c r="W51">
        <f t="shared" si="56"/>
        <v>1.7494976024636402</v>
      </c>
      <c r="X51" s="6">
        <f t="shared" si="57"/>
        <v>0.32239170504448422</v>
      </c>
      <c r="Y51">
        <f t="shared" si="58"/>
        <v>1.8519175101662948</v>
      </c>
      <c r="Z51" s="6">
        <f t="shared" si="59"/>
        <v>0.35819297618936585</v>
      </c>
      <c r="AA51">
        <f t="shared" si="60"/>
        <v>1.9780791426422464</v>
      </c>
      <c r="AB51" s="6">
        <f t="shared" si="61"/>
        <v>0.4052227958102414</v>
      </c>
      <c r="AC51">
        <f t="shared" si="62"/>
        <v>2.1356254761806155</v>
      </c>
      <c r="AD51" s="6">
        <f t="shared" si="63"/>
        <v>0.46890406576066546</v>
      </c>
      <c r="AE51">
        <f t="shared" si="64"/>
        <v>2.3347192037156912</v>
      </c>
      <c r="AF51" s="6">
        <f t="shared" si="65"/>
        <v>0.55581204249070382</v>
      </c>
      <c r="AG51">
        <f t="shared" si="66"/>
        <v>2.5901013894719833</v>
      </c>
      <c r="AH51" s="6">
        <f t="shared" si="67"/>
        <v>0.67874231930467999</v>
      </c>
      <c r="AI51">
        <f t="shared" si="68"/>
        <v>2.9223233153300359</v>
      </c>
      <c r="AJ51">
        <f t="shared" si="69"/>
        <v>0.88312320136195022</v>
      </c>
      <c r="AK51">
        <f t="shared" si="70"/>
        <v>3.3657008995194113</v>
      </c>
      <c r="AL51">
        <f t="shared" si="71"/>
        <v>1.1646284927678747</v>
      </c>
      <c r="AM51">
        <f t="shared" si="72"/>
        <v>3.865414115169969</v>
      </c>
      <c r="AN51">
        <f t="shared" si="73"/>
        <v>1.5289551503503505</v>
      </c>
      <c r="AO51">
        <f t="shared" si="74"/>
        <v>3.5296508893935061</v>
      </c>
      <c r="AP51">
        <f t="shared" si="75"/>
        <v>1.2783207521613653</v>
      </c>
    </row>
    <row r="52" spans="1:42" x14ac:dyDescent="0.25">
      <c r="A52" s="129">
        <v>0.5</v>
      </c>
      <c r="B52" s="259">
        <f>'Sub C_D_0'!AW50</f>
        <v>2.2699511999096263E-2</v>
      </c>
      <c r="C52" s="260">
        <f>'C_L vs. α'!X351</f>
        <v>0.13457673865104924</v>
      </c>
      <c r="D52" s="144">
        <v>14</v>
      </c>
      <c r="E52" s="14">
        <f t="shared" si="38"/>
        <v>1.5930100345361013</v>
      </c>
      <c r="F52" s="6">
        <f t="shared" si="39"/>
        <v>0.28145832245723612</v>
      </c>
      <c r="G52" s="14">
        <f t="shared" si="40"/>
        <v>1.6057690727553295</v>
      </c>
      <c r="H52" s="6">
        <f t="shared" si="41"/>
        <v>0.28198953480561428</v>
      </c>
      <c r="I52" s="14">
        <f t="shared" si="42"/>
        <v>1.6245003061245864</v>
      </c>
      <c r="J52" s="6">
        <f t="shared" si="43"/>
        <v>0.28622578990270925</v>
      </c>
      <c r="K52" s="14">
        <f t="shared" si="44"/>
        <v>1.650262813314741</v>
      </c>
      <c r="L52" s="6">
        <f t="shared" si="45"/>
        <v>0.29325502717554619</v>
      </c>
      <c r="M52">
        <f t="shared" si="46"/>
        <v>1.683933036849345</v>
      </c>
      <c r="N52" s="6">
        <f t="shared" si="47"/>
        <v>0.30342444330784846</v>
      </c>
      <c r="O52">
        <f t="shared" si="48"/>
        <v>1.724911391693436</v>
      </c>
      <c r="P52" s="6">
        <f t="shared" si="49"/>
        <v>0.31696056709755799</v>
      </c>
      <c r="Q52">
        <f t="shared" si="50"/>
        <v>1.7778689227698528</v>
      </c>
      <c r="R52" s="6">
        <f t="shared" si="51"/>
        <v>0.33463073511187036</v>
      </c>
      <c r="S52">
        <f t="shared" si="52"/>
        <v>1.8428162385752658</v>
      </c>
      <c r="T52" s="6">
        <f t="shared" si="53"/>
        <v>0.35727168322066422</v>
      </c>
      <c r="U52">
        <f t="shared" si="54"/>
        <v>1.9220485022813665</v>
      </c>
      <c r="V52" s="6">
        <f t="shared" si="55"/>
        <v>0.38618615493049147</v>
      </c>
      <c r="W52">
        <f t="shared" si="56"/>
        <v>2.0186510797657387</v>
      </c>
      <c r="X52" s="6">
        <f t="shared" si="57"/>
        <v>0.42324974422830863</v>
      </c>
      <c r="Y52">
        <f t="shared" si="58"/>
        <v>2.136827896345725</v>
      </c>
      <c r="Z52" s="6">
        <f t="shared" si="59"/>
        <v>0.47120563521752401</v>
      </c>
      <c r="AA52">
        <f t="shared" si="60"/>
        <v>2.2823990107410532</v>
      </c>
      <c r="AB52" s="6">
        <f t="shared" si="61"/>
        <v>0.53415789082959764</v>
      </c>
      <c r="AC52">
        <f t="shared" si="62"/>
        <v>2.4641832417468641</v>
      </c>
      <c r="AD52" s="6">
        <f t="shared" si="63"/>
        <v>0.61919542189876564</v>
      </c>
      <c r="AE52">
        <f t="shared" si="64"/>
        <v>2.6939067735181053</v>
      </c>
      <c r="AF52" s="6">
        <f t="shared" si="65"/>
        <v>0.7354313957639288</v>
      </c>
      <c r="AG52">
        <f t="shared" si="66"/>
        <v>2.9885785263138271</v>
      </c>
      <c r="AH52" s="6">
        <f t="shared" si="67"/>
        <v>0.89980597471712664</v>
      </c>
      <c r="AI52">
        <f t="shared" si="68"/>
        <v>3.3719115176885031</v>
      </c>
      <c r="AJ52">
        <f t="shared" si="69"/>
        <v>1.1685763219288576</v>
      </c>
      <c r="AK52">
        <f t="shared" si="70"/>
        <v>3.883501037907013</v>
      </c>
      <c r="AL52">
        <f t="shared" si="71"/>
        <v>1.5432709471757944</v>
      </c>
      <c r="AM52">
        <f t="shared" si="72"/>
        <v>4.4600932098115029</v>
      </c>
      <c r="AN52">
        <f t="shared" si="73"/>
        <v>2.0283802045640171</v>
      </c>
      <c r="AO52">
        <f t="shared" si="74"/>
        <v>4.0726741031463538</v>
      </c>
      <c r="AP52">
        <f t="shared" si="75"/>
        <v>1.6947505265502902</v>
      </c>
    </row>
    <row r="53" spans="1:42" x14ac:dyDescent="0.25">
      <c r="A53" s="139">
        <v>0.55000000000000004</v>
      </c>
      <c r="B53" s="259">
        <f>'Sub C_D_0'!AW51</f>
        <v>2.2384230549273677E-2</v>
      </c>
      <c r="C53" s="260">
        <f>'C_L vs. α'!X352</f>
        <v>0.14245519308971499</v>
      </c>
      <c r="D53" s="144">
        <v>16</v>
      </c>
      <c r="E53" s="14">
        <f t="shared" si="38"/>
        <v>1.805411372474248</v>
      </c>
      <c r="F53" s="6">
        <f t="shared" si="39"/>
        <v>0.35336945511264889</v>
      </c>
      <c r="G53" s="14">
        <f t="shared" si="40"/>
        <v>1.8198716157893735</v>
      </c>
      <c r="H53" s="6">
        <f t="shared" si="41"/>
        <v>0.35505720915900441</v>
      </c>
      <c r="I53" s="14">
        <f t="shared" si="42"/>
        <v>1.841100346941198</v>
      </c>
      <c r="J53" s="6">
        <f t="shared" si="43"/>
        <v>0.36100806979198341</v>
      </c>
      <c r="K53" s="14">
        <f t="shared" si="44"/>
        <v>1.87029785509004</v>
      </c>
      <c r="L53" s="6">
        <f t="shared" si="45"/>
        <v>0.3704280183027342</v>
      </c>
      <c r="M53">
        <f t="shared" si="46"/>
        <v>1.9084574417625912</v>
      </c>
      <c r="N53" s="6">
        <f t="shared" si="47"/>
        <v>0.38377867280962774</v>
      </c>
      <c r="O53">
        <f t="shared" si="48"/>
        <v>1.954899577252561</v>
      </c>
      <c r="P53" s="6">
        <f t="shared" si="49"/>
        <v>0.40127320688712798</v>
      </c>
      <c r="Q53">
        <f t="shared" si="50"/>
        <v>2.0149181124725</v>
      </c>
      <c r="R53" s="6">
        <f t="shared" si="51"/>
        <v>0.42419991203078578</v>
      </c>
      <c r="S53">
        <f t="shared" si="52"/>
        <v>2.0885250703853013</v>
      </c>
      <c r="T53" s="6">
        <f t="shared" si="53"/>
        <v>0.45350449321813291</v>
      </c>
      <c r="U53">
        <f t="shared" si="54"/>
        <v>2.1783216359188819</v>
      </c>
      <c r="V53" s="6">
        <f t="shared" si="55"/>
        <v>0.49087195869023248</v>
      </c>
      <c r="W53">
        <f t="shared" si="56"/>
        <v>2.2878045570678371</v>
      </c>
      <c r="X53" s="6">
        <f t="shared" si="57"/>
        <v>0.53872305642223306</v>
      </c>
      <c r="Y53">
        <f t="shared" si="58"/>
        <v>2.4217382825251548</v>
      </c>
      <c r="Z53" s="6">
        <f t="shared" si="59"/>
        <v>0.60059488533014138</v>
      </c>
      <c r="AA53">
        <f t="shared" si="60"/>
        <v>2.5867188788398607</v>
      </c>
      <c r="AB53" s="6">
        <f t="shared" si="61"/>
        <v>0.68177688680063264</v>
      </c>
      <c r="AC53">
        <f t="shared" si="62"/>
        <v>2.7927410073131127</v>
      </c>
      <c r="AD53" s="6">
        <f t="shared" si="63"/>
        <v>0.79126540092891984</v>
      </c>
      <c r="AE53">
        <f t="shared" si="64"/>
        <v>3.0530943433205189</v>
      </c>
      <c r="AF53" s="6">
        <f t="shared" si="65"/>
        <v>0.94107927296275851</v>
      </c>
      <c r="AG53">
        <f t="shared" si="66"/>
        <v>3.3870556631556705</v>
      </c>
      <c r="AH53" s="6">
        <f t="shared" si="67"/>
        <v>1.1529038209844527</v>
      </c>
      <c r="AI53">
        <f t="shared" si="68"/>
        <v>3.8214997200469702</v>
      </c>
      <c r="AJ53">
        <f t="shared" si="69"/>
        <v>1.4948084597196092</v>
      </c>
      <c r="AK53">
        <f t="shared" si="70"/>
        <v>4.4013011762946146</v>
      </c>
      <c r="AL53">
        <f t="shared" si="71"/>
        <v>1.9760051807848453</v>
      </c>
      <c r="AM53">
        <f t="shared" si="72"/>
        <v>5.0547723044530359</v>
      </c>
      <c r="AN53">
        <f t="shared" si="73"/>
        <v>2.5991516950939215</v>
      </c>
      <c r="AO53">
        <f t="shared" si="74"/>
        <v>4.6156973168992002</v>
      </c>
      <c r="AP53">
        <f t="shared" si="75"/>
        <v>2.1706702687090602</v>
      </c>
    </row>
    <row r="54" spans="1:42" x14ac:dyDescent="0.25">
      <c r="A54" s="129">
        <v>0.6</v>
      </c>
      <c r="B54" s="259">
        <f>'Sub C_D_0'!AW52</f>
        <v>2.210171097099161E-2</v>
      </c>
      <c r="C54" s="260">
        <f>'C_L vs. α'!X353</f>
        <v>0.15215993404940356</v>
      </c>
    </row>
    <row r="55" spans="1:42" x14ac:dyDescent="0.25">
      <c r="A55" s="139">
        <v>0.65</v>
      </c>
      <c r="B55" s="259">
        <f>'Sub C_D_0'!AW53</f>
        <v>2.2324432830260803E-2</v>
      </c>
      <c r="C55" s="260">
        <f>'C_L vs. α'!X354</f>
        <v>0.16427888278312427</v>
      </c>
    </row>
    <row r="56" spans="1:42" x14ac:dyDescent="0.25">
      <c r="A56" s="129">
        <v>0.7</v>
      </c>
      <c r="B56" s="259">
        <f>'Sub C_D_0'!AW54</f>
        <v>2.2086438349865324E-2</v>
      </c>
      <c r="C56" s="260">
        <f>'C_L vs. α'!X355</f>
        <v>0.179593784901207</v>
      </c>
    </row>
    <row r="57" spans="1:42" x14ac:dyDescent="0.25">
      <c r="A57" s="139">
        <v>0.75</v>
      </c>
      <c r="B57" s="259">
        <f>'Sub C_D_0'!AW55</f>
        <v>2.1868041068549844E-2</v>
      </c>
      <c r="C57" s="260">
        <f>'C_L vs. α'!X356</f>
        <v>0.1992385684209218</v>
      </c>
    </row>
    <row r="58" spans="1:42" x14ac:dyDescent="0.25">
      <c r="A58" s="129">
        <v>0.8</v>
      </c>
      <c r="B58" s="259">
        <f>'Sub C_D_0'!AW56</f>
        <v>2.1666462508247289E-2</v>
      </c>
      <c r="C58" s="260">
        <f>'C_L vs. α'!X357</f>
        <v>0.22479410117923354</v>
      </c>
    </row>
    <row r="59" spans="1:42" x14ac:dyDescent="0.25">
      <c r="A59" s="139">
        <v>0.85</v>
      </c>
      <c r="B59" s="259">
        <f>'Sub C_D_0'!AW57</f>
        <v>2.1939657143974341E-2</v>
      </c>
      <c r="C59" s="260">
        <f>'C_L vs. α'!X358</f>
        <v>0.25890006919380087</v>
      </c>
    </row>
    <row r="60" spans="1:42" x14ac:dyDescent="0.25">
      <c r="A60" s="129">
        <v>0.9</v>
      </c>
      <c r="B60" s="259">
        <f>'Sub C_D_0'!AW58</f>
        <v>2.176168316982062E-2</v>
      </c>
      <c r="C60" s="260">
        <f>'C_L vs. α'!X359</f>
        <v>0.29733954732076684</v>
      </c>
    </row>
    <row r="61" spans="1:42" x14ac:dyDescent="0.25">
      <c r="A61" s="139">
        <v>0.95</v>
      </c>
      <c r="B61" s="259">
        <f>'Sub C_D_0'!AW59</f>
        <v>2.1595183023361643E-2</v>
      </c>
      <c r="C61" s="260">
        <f>'C_L vs. α'!X360</f>
        <v>0.27151160687642356</v>
      </c>
    </row>
    <row r="62" spans="1:42" x14ac:dyDescent="0.25">
      <c r="A62" s="11"/>
      <c r="B62" s="11"/>
      <c r="C62" s="5"/>
    </row>
    <row r="63" spans="1:42" x14ac:dyDescent="0.25">
      <c r="A63" s="122" t="s">
        <v>537</v>
      </c>
      <c r="B63" s="122" t="s">
        <v>516</v>
      </c>
    </row>
    <row r="64" spans="1:42" x14ac:dyDescent="0.25">
      <c r="A64" s="122" t="s">
        <v>202</v>
      </c>
      <c r="B64" s="145">
        <v>5000</v>
      </c>
      <c r="C64" s="122" t="s">
        <v>538</v>
      </c>
      <c r="D64" s="122" t="s">
        <v>539</v>
      </c>
      <c r="E64" s="1" t="s">
        <v>536</v>
      </c>
      <c r="F64" s="140">
        <v>0.05</v>
      </c>
      <c r="G64" s="1" t="s">
        <v>536</v>
      </c>
      <c r="H64" s="140">
        <v>0.1</v>
      </c>
      <c r="I64" s="1" t="s">
        <v>536</v>
      </c>
      <c r="J64" s="140">
        <v>0.15</v>
      </c>
      <c r="K64" s="1" t="s">
        <v>536</v>
      </c>
      <c r="L64" s="140">
        <v>0.2</v>
      </c>
      <c r="M64" t="s">
        <v>536</v>
      </c>
      <c r="N64" s="141">
        <v>0.25</v>
      </c>
      <c r="O64" t="s">
        <v>536</v>
      </c>
      <c r="P64" s="141">
        <v>0.3</v>
      </c>
      <c r="Q64" t="s">
        <v>536</v>
      </c>
      <c r="R64" s="141">
        <v>0.35</v>
      </c>
      <c r="S64" t="s">
        <v>536</v>
      </c>
      <c r="T64" s="141">
        <v>0.4</v>
      </c>
      <c r="U64" t="s">
        <v>536</v>
      </c>
      <c r="V64" s="141">
        <v>0.45</v>
      </c>
      <c r="W64" t="s">
        <v>536</v>
      </c>
      <c r="X64" s="141">
        <v>0.5</v>
      </c>
      <c r="Y64" t="s">
        <v>536</v>
      </c>
      <c r="Z64" s="141">
        <v>0.55000000000000004</v>
      </c>
      <c r="AA64" t="s">
        <v>536</v>
      </c>
      <c r="AB64" s="141">
        <v>0.6</v>
      </c>
      <c r="AC64" t="s">
        <v>536</v>
      </c>
      <c r="AD64" s="141">
        <v>0.65</v>
      </c>
      <c r="AE64" t="s">
        <v>536</v>
      </c>
      <c r="AF64" s="141">
        <v>0.7</v>
      </c>
      <c r="AG64" t="s">
        <v>536</v>
      </c>
      <c r="AH64" s="141">
        <v>0.75</v>
      </c>
      <c r="AI64" t="s">
        <v>536</v>
      </c>
      <c r="AJ64" s="141">
        <v>0.8</v>
      </c>
      <c r="AK64" t="s">
        <v>536</v>
      </c>
      <c r="AL64" s="141">
        <v>0.85</v>
      </c>
      <c r="AM64" t="s">
        <v>536</v>
      </c>
      <c r="AN64" s="141">
        <v>0.9</v>
      </c>
      <c r="AO64" t="s">
        <v>536</v>
      </c>
      <c r="AP64" s="141">
        <v>0.95</v>
      </c>
    </row>
    <row r="65" spans="1:42" x14ac:dyDescent="0.25">
      <c r="A65" s="121" t="s">
        <v>182</v>
      </c>
      <c r="B65" s="121" t="s">
        <v>534</v>
      </c>
      <c r="C65" s="121" t="s">
        <v>535</v>
      </c>
      <c r="D65" s="121" t="s">
        <v>421</v>
      </c>
      <c r="E65" s="14" t="s">
        <v>244</v>
      </c>
      <c r="F65" s="6" t="s">
        <v>245</v>
      </c>
      <c r="G65" s="14" t="s">
        <v>244</v>
      </c>
      <c r="H65" s="6" t="s">
        <v>245</v>
      </c>
      <c r="I65" s="14" t="s">
        <v>244</v>
      </c>
      <c r="J65" s="6" t="s">
        <v>245</v>
      </c>
      <c r="K65" s="14" t="s">
        <v>244</v>
      </c>
      <c r="L65" s="6" t="s">
        <v>245</v>
      </c>
      <c r="M65" t="s">
        <v>244</v>
      </c>
      <c r="N65" t="s">
        <v>245</v>
      </c>
      <c r="O65" t="s">
        <v>244</v>
      </c>
      <c r="P65" t="s">
        <v>245</v>
      </c>
      <c r="Q65" t="s">
        <v>244</v>
      </c>
      <c r="R65" t="s">
        <v>245</v>
      </c>
      <c r="S65" t="s">
        <v>244</v>
      </c>
      <c r="T65" t="s">
        <v>245</v>
      </c>
      <c r="U65" t="s">
        <v>244</v>
      </c>
      <c r="V65" t="s">
        <v>245</v>
      </c>
      <c r="W65" t="s">
        <v>244</v>
      </c>
      <c r="X65" t="s">
        <v>245</v>
      </c>
      <c r="Y65" t="s">
        <v>244</v>
      </c>
      <c r="Z65" t="s">
        <v>245</v>
      </c>
      <c r="AA65" t="s">
        <v>244</v>
      </c>
      <c r="AB65" t="s">
        <v>245</v>
      </c>
      <c r="AC65" t="s">
        <v>244</v>
      </c>
      <c r="AD65" t="s">
        <v>245</v>
      </c>
      <c r="AE65" t="s">
        <v>244</v>
      </c>
      <c r="AF65" t="s">
        <v>245</v>
      </c>
      <c r="AG65" t="s">
        <v>244</v>
      </c>
      <c r="AH65" t="s">
        <v>245</v>
      </c>
      <c r="AI65" t="s">
        <v>244</v>
      </c>
      <c r="AJ65" t="s">
        <v>245</v>
      </c>
      <c r="AK65" t="s">
        <v>244</v>
      </c>
      <c r="AL65" t="s">
        <v>245</v>
      </c>
      <c r="AM65" t="s">
        <v>244</v>
      </c>
      <c r="AN65" t="s">
        <v>245</v>
      </c>
      <c r="AO65" t="s">
        <v>244</v>
      </c>
      <c r="AP65" t="s">
        <v>245</v>
      </c>
    </row>
    <row r="66" spans="1:42" x14ac:dyDescent="0.25">
      <c r="A66" s="129">
        <v>0</v>
      </c>
      <c r="B66" s="129" t="e">
        <f>'Sub C_D_0'!AW70</f>
        <v>#DIV/0!</v>
      </c>
      <c r="C66" s="129" t="e">
        <f>'C_L vs. α'!X366</f>
        <v>#NUM!</v>
      </c>
      <c r="D66" s="144">
        <v>-6</v>
      </c>
      <c r="E66" s="14">
        <f>(D66-$B$12)*$C$67</f>
        <v>-0.53109344563783467</v>
      </c>
      <c r="F66" s="6">
        <f>$B$67+$B$7*E66^2+$B$8*(E66-E$69)^2</f>
        <v>6.2549202356278213E-2</v>
      </c>
      <c r="G66" s="14">
        <f>(D66-$B$12)*$C$68</f>
        <v>-0.53534755393543543</v>
      </c>
      <c r="H66" s="6">
        <f>$B$68+$B$7*G66^2+$B$8*(G66-G$45)^2</f>
        <v>5.9624958379171256E-2</v>
      </c>
      <c r="I66" s="14">
        <f>(D66-$B$12)*$C$69</f>
        <v>-0.54158701877589221</v>
      </c>
      <c r="J66" s="6">
        <f>$B$69+$B$7*I66^2+$B$8*(I66-I$45)^2</f>
        <v>5.8596113799668725E-2</v>
      </c>
      <c r="K66" s="14">
        <f>(D66-$B$12)*$C$70</f>
        <v>-0.55016957028858915</v>
      </c>
      <c r="L66" s="6">
        <f>$B$70+$B$7*K66^2+$B$8*(K66-K$45)^2</f>
        <v>5.8463153147994856E-2</v>
      </c>
      <c r="M66">
        <f>(D66-$B$12)*$C$71</f>
        <v>-0.5613878479933897</v>
      </c>
      <c r="N66" s="6">
        <f>$B$71+$B$7*M66^2+$B$8*(M66-M$45)^2</f>
        <v>5.8978916247695398E-2</v>
      </c>
      <c r="O66">
        <f>(D66-$B$12)*$C$72</f>
        <v>-0.57504670145380987</v>
      </c>
      <c r="P66" s="6">
        <f>$B$72+$B$7*O66^2+$B$8*(O66-O$45)^2</f>
        <v>6.0491841537006902E-2</v>
      </c>
      <c r="Q66">
        <f>(D66-$B$12)*$C$73</f>
        <v>-0.59269361590903979</v>
      </c>
      <c r="R66" s="6">
        <f>$B$73+$B$7*Q66^2+$B$8*(Q66-Q$45)^2</f>
        <v>6.2197087876865946E-2</v>
      </c>
      <c r="S66">
        <f>(D66-$B$12)*$C$74</f>
        <v>-0.61433590552046735</v>
      </c>
      <c r="T66" s="6">
        <f>$B$74+$B$7*S66^2+$B$8*(S66-S$45)^2</f>
        <v>6.4595721297335457E-2</v>
      </c>
      <c r="U66">
        <f>(D66-$B$12)*$C$75</f>
        <v>-0.64073806728367422</v>
      </c>
      <c r="V66" s="6">
        <f>$B$75+$B$7*U66^2+$B$8*(U66-U$45)^2</f>
        <v>6.7829167939951793E-2</v>
      </c>
      <c r="W66">
        <f>(D66-$B$12)*$C$76</f>
        <v>-0.67292767597279368</v>
      </c>
      <c r="X66" s="6">
        <f>$B$76+$B$7*W66^2+$B$8*(W66-W$45)^2</f>
        <v>7.2116525059701772E-2</v>
      </c>
      <c r="Y66">
        <f>(D66-$B$12)*$C$77</f>
        <v>-0.71230462852029264</v>
      </c>
      <c r="Z66" s="6">
        <f>$B$77+$B$7*Y66^2+$B$8*(Y66-Y$45)^2</f>
        <v>7.7788355832820025E-2</v>
      </c>
      <c r="AA66">
        <f>(D66-$B$12)*$C$78</f>
        <v>-0.76080659498954106</v>
      </c>
      <c r="AB66" s="6">
        <f>$B$78+$B$7*AA66^2+$B$8*(AA66-AA$45)^2</f>
        <v>8.5346253112346018E-2</v>
      </c>
      <c r="AC66">
        <f>(D66-$B$12)*$C$79</f>
        <v>-0.82136693181287801</v>
      </c>
      <c r="AD66" s="6">
        <f>$B$79+$B$7*AC66^2+$B$8*(AC66-AC$45)^2</f>
        <v>9.607653752802639E-2</v>
      </c>
      <c r="AE66">
        <f>(D66-$B$12)*$C$80</f>
        <v>-0.89788629747523374</v>
      </c>
      <c r="AF66" s="6">
        <f>$B$80+$B$7*AE66^2+$B$8*(AE66-AE$45)^2</f>
        <v>0.11027079415584475</v>
      </c>
      <c r="AG66">
        <f>(D66-$B$12)*$C$81</f>
        <v>-0.99601751169927866</v>
      </c>
      <c r="AH66" s="6">
        <f>$B$81+$B$7*AG66^2+$B$8*(AG66-AG$45)^2</f>
        <v>0.13043952419002899</v>
      </c>
      <c r="AI66">
        <f>(D66-$B$12)*$C$82</f>
        <v>-1.1236252226385615</v>
      </c>
      <c r="AJ66">
        <f>$B$58+$B$9*AI66^2</f>
        <v>0.14902260775513071</v>
      </c>
      <c r="AK66">
        <f>(D66-$B$12)*$C$83</f>
        <v>-1.2937599647482783</v>
      </c>
      <c r="AL66">
        <f>$B$59+$B$9*AK66^2</f>
        <v>0.19078316339092929</v>
      </c>
      <c r="AM66">
        <f>(D66-$B$12)*$C$84</f>
        <v>-1.4849859833541401</v>
      </c>
      <c r="AN66">
        <f>$B$60+$B$9*AM66^2</f>
        <v>0.24420617459032451</v>
      </c>
      <c r="AO66">
        <f>(D66-$B$12)*$C$85</f>
        <v>-1.351958615286535</v>
      </c>
      <c r="AP66">
        <f>$B$61+$B$9*AO66^2</f>
        <v>0.20597090838506557</v>
      </c>
    </row>
    <row r="67" spans="1:42" x14ac:dyDescent="0.25">
      <c r="A67" s="139">
        <v>0.05</v>
      </c>
      <c r="B67" s="259">
        <f>'Sub C_D_0'!AW71</f>
        <v>3.1614677126749743E-2</v>
      </c>
      <c r="C67" s="260">
        <f>'C_L vs. α'!X367</f>
        <v>0.10621868912756693</v>
      </c>
      <c r="D67" s="144">
        <v>-4</v>
      </c>
      <c r="E67" s="14">
        <f t="shared" ref="E67:E77" si="76">(D67-$B$12)*$C$67</f>
        <v>-0.3186560673827008</v>
      </c>
      <c r="F67" s="6">
        <f t="shared" ref="F67:F77" si="77">$B$67+$B$7*E67^2+$B$8*(E67-E$69)^2</f>
        <v>4.34370767325147E-2</v>
      </c>
      <c r="G67" s="14">
        <f t="shared" ref="G67:G77" si="78">(D67-$B$12)*$C$68</f>
        <v>-0.32120853236126123</v>
      </c>
      <c r="H67" s="6">
        <f t="shared" ref="H67:H77" si="79">$B$68+$B$7*G67^2+$B$8*(G67-G$45)^2</f>
        <v>4.0205582883791245E-2</v>
      </c>
      <c r="I67" s="14">
        <f t="shared" ref="I67:I77" si="80">(D67-$B$12)*$C$69</f>
        <v>-0.32495221126553531</v>
      </c>
      <c r="J67" s="6">
        <f t="shared" ref="J67:J77" si="81">$B$69+$B$7*I67^2+$B$8*(I67-I$45)^2</f>
        <v>3.8721426293518706E-2</v>
      </c>
      <c r="K67" s="14">
        <f t="shared" ref="K67:K77" si="82">(D67-$B$12)*$C$70</f>
        <v>-0.33010174217315352</v>
      </c>
      <c r="L67" s="6">
        <f t="shared" ref="L67:L77" si="83">$B$70+$B$7*K67^2+$B$8*(K67-K$45)^2</f>
        <v>3.7953553433869136E-2</v>
      </c>
      <c r="M67">
        <f t="shared" ref="M67:M77" si="84">(D67-$B$12)*$C$71</f>
        <v>-0.33683270879603378</v>
      </c>
      <c r="N67" s="6">
        <f t="shared" ref="N67:N77" si="85">$B$71+$B$7*M67^2+$B$8*(M67-M$45)^2</f>
        <v>3.7624371572118433E-2</v>
      </c>
      <c r="O67">
        <f t="shared" ref="O67:O77" si="86">(D67-$B$12)*$C$72</f>
        <v>-0.34502802087228596</v>
      </c>
      <c r="P67" s="6">
        <f t="shared" ref="P67:P77" si="87">$B$72+$B$7*O67^2+$B$8*(O67-O$45)^2</f>
        <v>3.80855170027374E-2</v>
      </c>
      <c r="Q67">
        <f t="shared" ref="Q67:Q77" si="88">(D67-$B$12)*$C$73</f>
        <v>-0.35561616954542385</v>
      </c>
      <c r="R67" s="6">
        <f t="shared" ref="R67:R77" si="89">$B$73+$B$7*Q67^2+$B$8*(Q67-Q$45)^2</f>
        <v>3.8394446021894478E-2</v>
      </c>
      <c r="S67">
        <f t="shared" ref="S67:S77" si="90">(D67-$B$12)*$C$74</f>
        <v>-0.36860154331228046</v>
      </c>
      <c r="T67" s="6">
        <f t="shared" ref="T67:T77" si="91">$B$74+$B$7*S67^2+$B$8*(S67-S$45)^2</f>
        <v>3.9023010053538899E-2</v>
      </c>
      <c r="U67">
        <f t="shared" ref="U67:U77" si="92">(D67-$B$12)*$C$75</f>
        <v>-0.38444284037020449</v>
      </c>
      <c r="V67" s="6">
        <f t="shared" ref="V67:V77" si="93">$B$75+$B$7*U67^2+$B$8*(U67-U$45)^2</f>
        <v>4.0011136494803853E-2</v>
      </c>
      <c r="W67">
        <f t="shared" ref="W67:W77" si="94">(D67-$B$12)*$C$76</f>
        <v>-0.40375660558367621</v>
      </c>
      <c r="X67" s="6">
        <f t="shared" ref="X67:X77" si="95">$B$76+$B$7*W67^2+$B$8*(W67-W$45)^2</f>
        <v>4.1433191041886967E-2</v>
      </c>
      <c r="Y67">
        <f t="shared" ref="Y67:Y77" si="96">(D67-$B$12)*$C$77</f>
        <v>-0.42738277711217554</v>
      </c>
      <c r="Z67" s="6">
        <f t="shared" ref="Z67:Z77" si="97">$B$77+$B$7*Y67^2+$B$8*(Y67-Y$45)^2</f>
        <v>4.3408993640490647E-2</v>
      </c>
      <c r="AA67">
        <f t="shared" ref="AA67:AA77" si="98">(D67-$B$12)*$C$78</f>
        <v>-0.45648395699372468</v>
      </c>
      <c r="AB67" s="6">
        <f t="shared" ref="AB67:AB77" si="99">$B$78+$B$7*AA67^2+$B$8*(AA67-AA$45)^2</f>
        <v>4.6125542466848454E-2</v>
      </c>
      <c r="AC67">
        <f t="shared" ref="AC67:AC77" si="100">(D67-$B$12)*$C$79</f>
        <v>-0.49282015908772681</v>
      </c>
      <c r="AD67" s="6">
        <f t="shared" ref="AD67:AD77" si="101">$B$79+$B$7*AC67^2+$B$8*(AC67-AC$45)^2</f>
        <v>5.0363274489375082E-2</v>
      </c>
      <c r="AE67">
        <f t="shared" ref="AE67:AE77" si="102">(D67-$B$12)*$C$80</f>
        <v>-0.5387317784851402</v>
      </c>
      <c r="AF67" s="6">
        <f t="shared" ref="AF67:AF77" si="103">$B$80+$B$7*AE67^2+$B$8*(AE67-AE$45)^2</f>
        <v>5.5643249193920483E-2</v>
      </c>
      <c r="AG67">
        <f t="shared" ref="AG67:AG77" si="104">(D67-$B$12)*$C$81</f>
        <v>-0.59761050701956719</v>
      </c>
      <c r="AH67" s="6">
        <f t="shared" ref="AH67:AH77" si="105">$B$81+$B$7*AG67^2+$B$8*(AG67-AG$45)^2</f>
        <v>6.3218570975414765E-2</v>
      </c>
      <c r="AI67">
        <f t="shared" ref="AI67:AI77" si="106">(D67-$B$12)*$C$82</f>
        <v>-0.67417513358313697</v>
      </c>
      <c r="AJ67">
        <f t="shared" ref="AJ67:AJ77" si="107">$B$58+$B$9*AI67^2</f>
        <v>6.7514674797125335E-2</v>
      </c>
      <c r="AK67">
        <f t="shared" ref="AK67:AK77" si="108">(D67-$B$12)*$C$83</f>
        <v>-0.77625597884896702</v>
      </c>
      <c r="AL67">
        <f t="shared" ref="AL67:AL77" si="109">$B$59+$B$9*AK67^2</f>
        <v>8.2723319392878136E-2</v>
      </c>
      <c r="AM67">
        <f t="shared" ref="AM67:AM77" si="110">(D67-$B$12)*$C$84</f>
        <v>-0.89099159001248407</v>
      </c>
      <c r="AN67">
        <f t="shared" ref="AN67:AN77" si="111">$B$60+$B$9*AM67^2</f>
        <v>0.10184170008120202</v>
      </c>
      <c r="AO67">
        <f t="shared" ref="AO67:AO77" si="112">(D67-$B$12)*$C$85</f>
        <v>-0.81117516917192112</v>
      </c>
      <c r="AP67">
        <f t="shared" ref="AP67:AP77" si="113">$B$61+$B$9*AO67^2</f>
        <v>8.7970444153575078E-2</v>
      </c>
    </row>
    <row r="68" spans="1:42" x14ac:dyDescent="0.25">
      <c r="A68" s="129">
        <v>0.1</v>
      </c>
      <c r="B68" s="259">
        <f>'Sub C_D_0'!AW72</f>
        <v>2.8193340127687039E-2</v>
      </c>
      <c r="C68" s="260">
        <f>'C_L vs. α'!X368</f>
        <v>0.10706951078708708</v>
      </c>
      <c r="D68" s="144">
        <v>-2</v>
      </c>
      <c r="E68" s="14">
        <f t="shared" si="76"/>
        <v>-0.10621868912756693</v>
      </c>
      <c r="F68" s="6">
        <f t="shared" si="77"/>
        <v>3.3429717523833793E-2</v>
      </c>
      <c r="G68" s="14">
        <f t="shared" si="78"/>
        <v>-0.10706951078708708</v>
      </c>
      <c r="H68" s="6">
        <f t="shared" si="79"/>
        <v>3.0037418045282725E-2</v>
      </c>
      <c r="I68" s="14">
        <f t="shared" si="80"/>
        <v>-0.10831740375517844</v>
      </c>
      <c r="J68" s="6">
        <f t="shared" si="81"/>
        <v>2.8314851458953284E-2</v>
      </c>
      <c r="K68" s="14">
        <f t="shared" si="82"/>
        <v>-0.11003391405771784</v>
      </c>
      <c r="L68" s="6">
        <f t="shared" si="83"/>
        <v>2.7214527239278485E-2</v>
      </c>
      <c r="M68">
        <f t="shared" si="84"/>
        <v>-0.11227756959867793</v>
      </c>
      <c r="N68" s="6">
        <f t="shared" si="85"/>
        <v>2.6442918144344969E-2</v>
      </c>
      <c r="O68">
        <f t="shared" si="86"/>
        <v>-0.11500934029076199</v>
      </c>
      <c r="P68" s="6">
        <f t="shared" si="87"/>
        <v>2.6353338945686155E-2</v>
      </c>
      <c r="Q68">
        <f t="shared" si="88"/>
        <v>-0.11853872318180796</v>
      </c>
      <c r="R68" s="6">
        <f t="shared" si="89"/>
        <v>2.5931134928836065E-2</v>
      </c>
      <c r="S68">
        <f t="shared" si="90"/>
        <v>-0.12286718110409348</v>
      </c>
      <c r="T68" s="6">
        <f t="shared" si="91"/>
        <v>2.5632863400903046E-2</v>
      </c>
      <c r="U68">
        <f t="shared" si="92"/>
        <v>-0.12814761345673484</v>
      </c>
      <c r="V68" s="6">
        <f t="shared" si="93"/>
        <v>2.5445304962855356E-2</v>
      </c>
      <c r="W68">
        <f t="shared" si="94"/>
        <v>-0.13458553519455874</v>
      </c>
      <c r="X68" s="6">
        <f t="shared" si="95"/>
        <v>2.5367040737135978E-2</v>
      </c>
      <c r="Y68">
        <f t="shared" si="96"/>
        <v>-0.14246092570405852</v>
      </c>
      <c r="Z68" s="6">
        <f t="shared" si="97"/>
        <v>2.5407540597169518E-2</v>
      </c>
      <c r="AA68">
        <f t="shared" si="98"/>
        <v>-0.15216131899790822</v>
      </c>
      <c r="AB68" s="6">
        <f t="shared" si="99"/>
        <v>2.558907289355598E-2</v>
      </c>
      <c r="AC68">
        <f t="shared" si="100"/>
        <v>-0.1642733863625756</v>
      </c>
      <c r="AD68" s="6">
        <f t="shared" si="101"/>
        <v>2.6427177034743655E-2</v>
      </c>
      <c r="AE68">
        <f t="shared" si="102"/>
        <v>-0.17957725949504674</v>
      </c>
      <c r="AF68" s="6">
        <f t="shared" si="103"/>
        <v>2.7039438324362293E-2</v>
      </c>
      <c r="AG68">
        <f t="shared" si="104"/>
        <v>-0.19920350233985573</v>
      </c>
      <c r="AH68" s="6">
        <f t="shared" si="105"/>
        <v>2.8020533542882597E-2</v>
      </c>
      <c r="AI68">
        <f t="shared" si="106"/>
        <v>-0.2247250445277123</v>
      </c>
      <c r="AJ68">
        <f t="shared" si="107"/>
        <v>2.6760708318122627E-2</v>
      </c>
      <c r="AK68">
        <f t="shared" si="108"/>
        <v>-0.25875199294965567</v>
      </c>
      <c r="AL68">
        <f t="shared" si="109"/>
        <v>2.869339739385254E-2</v>
      </c>
      <c r="AM68">
        <f t="shared" si="110"/>
        <v>-0.29699719667082802</v>
      </c>
      <c r="AN68">
        <f t="shared" si="111"/>
        <v>3.0659462826640775E-2</v>
      </c>
      <c r="AO68">
        <f t="shared" si="112"/>
        <v>-0.27039172305730702</v>
      </c>
      <c r="AP68">
        <f t="shared" si="113"/>
        <v>2.89702120378298E-2</v>
      </c>
    </row>
    <row r="69" spans="1:42" x14ac:dyDescent="0.25">
      <c r="A69" s="139">
        <v>0.15</v>
      </c>
      <c r="B69" s="259">
        <f>'Sub C_D_0'!AW73</f>
        <v>2.6427528405106003E-2</v>
      </c>
      <c r="C69" s="260">
        <f>'C_L vs. α'!X369</f>
        <v>0.10831740375517844</v>
      </c>
      <c r="D69" s="143">
        <v>0</v>
      </c>
      <c r="E69" s="83">
        <f t="shared" si="76"/>
        <v>0.10621868912756693</v>
      </c>
      <c r="F69" s="21">
        <f t="shared" si="77"/>
        <v>3.2527124730235495E-2</v>
      </c>
      <c r="G69" s="83">
        <f t="shared" si="78"/>
        <v>0.10706951078708708</v>
      </c>
      <c r="H69" s="21">
        <f t="shared" si="79"/>
        <v>2.9120463863645672E-2</v>
      </c>
      <c r="I69" s="83">
        <f t="shared" si="80"/>
        <v>0.10831740375517844</v>
      </c>
      <c r="J69" s="21">
        <f t="shared" si="81"/>
        <v>2.7376389295972442E-2</v>
      </c>
      <c r="K69" s="83">
        <f t="shared" si="82"/>
        <v>0.11003391405771784</v>
      </c>
      <c r="L69" s="21">
        <f t="shared" si="83"/>
        <v>2.6246074564222902E-2</v>
      </c>
      <c r="M69" s="99">
        <f t="shared" si="84"/>
        <v>0.11227756959867793</v>
      </c>
      <c r="N69" s="21">
        <f t="shared" si="85"/>
        <v>2.5434555964375022E-2</v>
      </c>
      <c r="O69" s="99">
        <f t="shared" si="86"/>
        <v>0.11500934029076199</v>
      </c>
      <c r="P69" s="21">
        <f t="shared" si="87"/>
        <v>2.5295307365853184E-2</v>
      </c>
      <c r="Q69" s="99">
        <f t="shared" si="88"/>
        <v>0.11853872318180796</v>
      </c>
      <c r="R69" s="21">
        <f t="shared" si="89"/>
        <v>2.4807154597690707E-2</v>
      </c>
      <c r="S69" s="99">
        <f t="shared" si="90"/>
        <v>0.12286718110409348</v>
      </c>
      <c r="T69" s="21">
        <f t="shared" si="91"/>
        <v>2.4425281339427892E-2</v>
      </c>
      <c r="U69" s="99">
        <f t="shared" si="92"/>
        <v>0.12814761345673484</v>
      </c>
      <c r="V69" s="21">
        <f t="shared" si="93"/>
        <v>2.4131673344106298E-2</v>
      </c>
      <c r="W69" s="99">
        <f t="shared" si="94"/>
        <v>0.13458553519455874</v>
      </c>
      <c r="X69" s="21">
        <f t="shared" si="95"/>
        <v>2.39180741454488E-2</v>
      </c>
      <c r="Y69" s="99">
        <f t="shared" si="96"/>
        <v>0.14246092570405852</v>
      </c>
      <c r="Z69" s="21">
        <f t="shared" si="97"/>
        <v>2.3783996702856622E-2</v>
      </c>
      <c r="AA69" s="99">
        <f t="shared" si="98"/>
        <v>0.15216131899790822</v>
      </c>
      <c r="AB69" s="21">
        <f t="shared" si="99"/>
        <v>2.3736844392468624E-2</v>
      </c>
      <c r="AC69" s="99">
        <f t="shared" si="100"/>
        <v>0.1642733863625756</v>
      </c>
      <c r="AD69" s="21">
        <f t="shared" si="101"/>
        <v>2.4268245164132098E-2</v>
      </c>
      <c r="AE69" s="99">
        <f t="shared" si="102"/>
        <v>0.17957725949504674</v>
      </c>
      <c r="AF69" s="21">
        <f t="shared" si="103"/>
        <v>2.4459361547170159E-2</v>
      </c>
      <c r="AG69" s="99">
        <f t="shared" si="104"/>
        <v>0.19920350233985573</v>
      </c>
      <c r="AH69" s="21">
        <f t="shared" si="105"/>
        <v>2.4845411892432469E-2</v>
      </c>
      <c r="AI69" s="99">
        <f t="shared" si="106"/>
        <v>0.2247250445277123</v>
      </c>
      <c r="AJ69" s="99">
        <f t="shared" si="107"/>
        <v>2.6760708318122627E-2</v>
      </c>
      <c r="AK69" s="99">
        <f t="shared" si="108"/>
        <v>0.25875199294965567</v>
      </c>
      <c r="AL69" s="99">
        <f t="shared" si="109"/>
        <v>2.869339739385254E-2</v>
      </c>
      <c r="AM69" s="99">
        <f t="shared" si="110"/>
        <v>0.29699719667082802</v>
      </c>
      <c r="AN69" s="99">
        <f t="shared" si="111"/>
        <v>3.0659462826640775E-2</v>
      </c>
      <c r="AO69" s="99">
        <f t="shared" si="112"/>
        <v>0.27039172305730702</v>
      </c>
      <c r="AP69" s="99">
        <f t="shared" si="113"/>
        <v>2.89702120378298E-2</v>
      </c>
    </row>
    <row r="70" spans="1:42" x14ac:dyDescent="0.25">
      <c r="A70" s="129">
        <v>0.2</v>
      </c>
      <c r="B70" s="259">
        <f>'Sub C_D_0'!AW74</f>
        <v>2.526690211376352E-2</v>
      </c>
      <c r="C70" s="260">
        <f>'C_L vs. α'!X370</f>
        <v>0.11003391405771784</v>
      </c>
      <c r="D70" s="144">
        <v>2</v>
      </c>
      <c r="E70" s="14">
        <f t="shared" si="76"/>
        <v>0.3186560673827008</v>
      </c>
      <c r="F70" s="6">
        <f t="shared" si="77"/>
        <v>4.072929835171981E-2</v>
      </c>
      <c r="G70" s="14">
        <f t="shared" si="78"/>
        <v>0.32120853236126123</v>
      </c>
      <c r="H70" s="6">
        <f t="shared" si="79"/>
        <v>3.7454720338880088E-2</v>
      </c>
      <c r="I70" s="14">
        <f t="shared" si="80"/>
        <v>0.32495221126553531</v>
      </c>
      <c r="J70" s="6">
        <f t="shared" si="81"/>
        <v>3.5906039804576184E-2</v>
      </c>
      <c r="K70" s="14">
        <f t="shared" si="82"/>
        <v>0.33010174217315352</v>
      </c>
      <c r="L70" s="6">
        <f t="shared" si="83"/>
        <v>3.5048195408702389E-2</v>
      </c>
      <c r="M70">
        <f t="shared" si="84"/>
        <v>0.33683270879603378</v>
      </c>
      <c r="N70" s="6">
        <f t="shared" si="85"/>
        <v>3.4599285032208583E-2</v>
      </c>
      <c r="O70">
        <f t="shared" si="86"/>
        <v>0.34502802087228596</v>
      </c>
      <c r="P70" s="6">
        <f t="shared" si="87"/>
        <v>3.4911422263238484E-2</v>
      </c>
      <c r="Q70">
        <f t="shared" si="88"/>
        <v>0.35561616954542385</v>
      </c>
      <c r="R70" s="6">
        <f t="shared" si="89"/>
        <v>3.5022505028458405E-2</v>
      </c>
      <c r="S70">
        <f t="shared" si="90"/>
        <v>0.36860154331228046</v>
      </c>
      <c r="T70" s="6">
        <f t="shared" si="91"/>
        <v>3.5400263869113435E-2</v>
      </c>
      <c r="U70">
        <f t="shared" si="92"/>
        <v>0.38444284037020449</v>
      </c>
      <c r="V70" s="6">
        <f t="shared" si="93"/>
        <v>3.6070241638556676E-2</v>
      </c>
      <c r="W70">
        <f t="shared" si="94"/>
        <v>0.40375660558367621</v>
      </c>
      <c r="X70" s="6">
        <f t="shared" si="95"/>
        <v>3.708629126682543E-2</v>
      </c>
      <c r="Y70">
        <f t="shared" si="96"/>
        <v>0.42738277711217554</v>
      </c>
      <c r="Z70" s="6">
        <f t="shared" si="97"/>
        <v>3.8538361957551961E-2</v>
      </c>
      <c r="AA70">
        <f t="shared" si="98"/>
        <v>0.45648395699372468</v>
      </c>
      <c r="AB70" s="6">
        <f t="shared" si="99"/>
        <v>4.0568856963586385E-2</v>
      </c>
      <c r="AC70">
        <f t="shared" si="100"/>
        <v>0.49282015908772681</v>
      </c>
      <c r="AD70" s="6">
        <f t="shared" si="101"/>
        <v>4.3886478877540415E-2</v>
      </c>
      <c r="AE70">
        <f t="shared" si="102"/>
        <v>0.5387317784851402</v>
      </c>
      <c r="AF70" s="6">
        <f t="shared" si="103"/>
        <v>4.7903018862344084E-2</v>
      </c>
      <c r="AG70">
        <f t="shared" si="104"/>
        <v>0.59761050701956719</v>
      </c>
      <c r="AH70" s="6">
        <f t="shared" si="105"/>
        <v>5.3693206024064383E-2</v>
      </c>
      <c r="AI70">
        <f t="shared" si="106"/>
        <v>0.67417513358313697</v>
      </c>
      <c r="AJ70">
        <f t="shared" si="107"/>
        <v>6.7514674797125335E-2</v>
      </c>
      <c r="AK70">
        <f t="shared" si="108"/>
        <v>0.77625597884896702</v>
      </c>
      <c r="AL70">
        <f t="shared" si="109"/>
        <v>8.2723319392878136E-2</v>
      </c>
      <c r="AM70">
        <f t="shared" si="110"/>
        <v>0.89099159001248407</v>
      </c>
      <c r="AN70">
        <f t="shared" si="111"/>
        <v>0.10184170008120202</v>
      </c>
      <c r="AO70">
        <f t="shared" si="112"/>
        <v>0.81117516917192112</v>
      </c>
      <c r="AP70">
        <f t="shared" si="113"/>
        <v>8.7970444153575078E-2</v>
      </c>
    </row>
    <row r="71" spans="1:42" x14ac:dyDescent="0.25">
      <c r="A71" s="139">
        <v>0.25</v>
      </c>
      <c r="B71" s="259">
        <f>'Sub C_D_0'!AW75</f>
        <v>2.4415044606376321E-2</v>
      </c>
      <c r="C71" s="260">
        <f>'C_L vs. α'!X371</f>
        <v>0.11227756959867793</v>
      </c>
      <c r="D71" s="144">
        <v>4</v>
      </c>
      <c r="E71" s="14">
        <f t="shared" si="76"/>
        <v>0.53109344563783467</v>
      </c>
      <c r="F71" s="6">
        <f t="shared" si="77"/>
        <v>5.8036238388286733E-2</v>
      </c>
      <c r="G71" s="14">
        <f t="shared" si="78"/>
        <v>0.53534755393543543</v>
      </c>
      <c r="H71" s="6">
        <f t="shared" si="79"/>
        <v>5.5040187470985984E-2</v>
      </c>
      <c r="I71" s="14">
        <f t="shared" si="80"/>
        <v>0.54158701877589221</v>
      </c>
      <c r="J71" s="6">
        <f t="shared" si="81"/>
        <v>5.3903802984764514E-2</v>
      </c>
      <c r="K71" s="14">
        <f t="shared" si="82"/>
        <v>0.55016957028858915</v>
      </c>
      <c r="L71" s="6">
        <f t="shared" si="83"/>
        <v>5.3620889772716937E-2</v>
      </c>
      <c r="M71">
        <f t="shared" si="84"/>
        <v>0.5613878479933897</v>
      </c>
      <c r="N71" s="6">
        <f t="shared" si="85"/>
        <v>5.3937105347845654E-2</v>
      </c>
      <c r="O71">
        <f t="shared" si="86"/>
        <v>0.57504670145380987</v>
      </c>
      <c r="P71" s="6">
        <f t="shared" si="87"/>
        <v>5.5201683637842044E-2</v>
      </c>
      <c r="Q71">
        <f t="shared" si="88"/>
        <v>0.59269361590903979</v>
      </c>
      <c r="R71" s="6">
        <f t="shared" si="89"/>
        <v>5.6577186221139157E-2</v>
      </c>
      <c r="S71">
        <f t="shared" si="90"/>
        <v>0.61433590552046735</v>
      </c>
      <c r="T71" s="6">
        <f t="shared" si="91"/>
        <v>5.8557810989959672E-2</v>
      </c>
      <c r="U71">
        <f t="shared" si="92"/>
        <v>0.64073806728367422</v>
      </c>
      <c r="V71" s="6">
        <f t="shared" si="93"/>
        <v>6.1261009846206492E-2</v>
      </c>
      <c r="W71">
        <f t="shared" si="94"/>
        <v>0.67292767597279368</v>
      </c>
      <c r="X71" s="6">
        <f t="shared" si="95"/>
        <v>6.4871692101265893E-2</v>
      </c>
      <c r="Y71">
        <f t="shared" si="96"/>
        <v>0.71230462852029264</v>
      </c>
      <c r="Z71" s="6">
        <f t="shared" si="97"/>
        <v>6.9670636361255547E-2</v>
      </c>
      <c r="AA71">
        <f t="shared" si="98"/>
        <v>0.76080659498954106</v>
      </c>
      <c r="AB71" s="6">
        <f t="shared" si="99"/>
        <v>7.6085110606909229E-2</v>
      </c>
      <c r="AC71">
        <f t="shared" si="100"/>
        <v>0.82136693181287801</v>
      </c>
      <c r="AD71" s="6">
        <f t="shared" si="101"/>
        <v>8.5281878174968601E-2</v>
      </c>
      <c r="AE71">
        <f t="shared" si="102"/>
        <v>0.89788629747523374</v>
      </c>
      <c r="AF71" s="6">
        <f t="shared" si="103"/>
        <v>9.7370410269884078E-2</v>
      </c>
      <c r="AG71">
        <f t="shared" si="104"/>
        <v>0.99601751169927866</v>
      </c>
      <c r="AH71" s="6">
        <f t="shared" si="105"/>
        <v>0.11456391593777834</v>
      </c>
      <c r="AI71">
        <f t="shared" si="106"/>
        <v>1.1236252226385615</v>
      </c>
      <c r="AJ71">
        <f t="shared" si="107"/>
        <v>0.14902260775513071</v>
      </c>
      <c r="AK71">
        <f t="shared" si="108"/>
        <v>1.2937599647482783</v>
      </c>
      <c r="AL71">
        <f t="shared" si="109"/>
        <v>0.19078316339092929</v>
      </c>
      <c r="AM71">
        <f t="shared" si="110"/>
        <v>1.4849859833541401</v>
      </c>
      <c r="AN71">
        <f t="shared" si="111"/>
        <v>0.24420617459032451</v>
      </c>
      <c r="AO71">
        <f t="shared" si="112"/>
        <v>1.351958615286535</v>
      </c>
      <c r="AP71">
        <f t="shared" si="113"/>
        <v>0.20597090838506557</v>
      </c>
    </row>
    <row r="72" spans="1:42" x14ac:dyDescent="0.25">
      <c r="A72" s="129">
        <v>0.3</v>
      </c>
      <c r="B72" s="259">
        <f>'Sub C_D_0'!AW76</f>
        <v>2.4225582018633493E-2</v>
      </c>
      <c r="C72" s="260">
        <f>'C_L vs. α'!X372</f>
        <v>0.11500934029076199</v>
      </c>
      <c r="D72" s="144">
        <v>6</v>
      </c>
      <c r="E72" s="14">
        <f t="shared" si="76"/>
        <v>0.74353082389296854</v>
      </c>
      <c r="F72" s="6">
        <f t="shared" si="77"/>
        <v>8.4447944839936256E-2</v>
      </c>
      <c r="G72" s="14">
        <f t="shared" si="78"/>
        <v>0.74948657550960962</v>
      </c>
      <c r="H72" s="6">
        <f t="shared" si="79"/>
        <v>8.187686525996335E-2</v>
      </c>
      <c r="I72" s="14">
        <f t="shared" si="80"/>
        <v>0.75822182628624912</v>
      </c>
      <c r="J72" s="6">
        <f t="shared" si="81"/>
        <v>8.1369678836537424E-2</v>
      </c>
      <c r="K72" s="14">
        <f t="shared" si="82"/>
        <v>0.77023739840402494</v>
      </c>
      <c r="L72" s="6">
        <f t="shared" si="83"/>
        <v>8.1964157656266592E-2</v>
      </c>
      <c r="M72">
        <f t="shared" si="84"/>
        <v>0.78594298719074551</v>
      </c>
      <c r="N72" s="6">
        <f t="shared" si="85"/>
        <v>8.3448016911286241E-2</v>
      </c>
      <c r="O72">
        <f t="shared" si="86"/>
        <v>0.80506538203533395</v>
      </c>
      <c r="P72" s="6">
        <f t="shared" si="87"/>
        <v>8.6166091489663907E-2</v>
      </c>
      <c r="Q72">
        <f t="shared" si="88"/>
        <v>0.82977106227265574</v>
      </c>
      <c r="R72" s="6">
        <f t="shared" si="89"/>
        <v>8.9471198175732958E-2</v>
      </c>
      <c r="S72">
        <f t="shared" si="90"/>
        <v>0.86007026772865436</v>
      </c>
      <c r="T72" s="6">
        <f t="shared" si="91"/>
        <v>9.3897922701966605E-2</v>
      </c>
      <c r="U72">
        <f t="shared" si="92"/>
        <v>0.89703329419714384</v>
      </c>
      <c r="V72" s="6">
        <f t="shared" si="93"/>
        <v>9.9703977967055754E-2</v>
      </c>
      <c r="W72">
        <f t="shared" si="94"/>
        <v>0.94209874636191115</v>
      </c>
      <c r="X72" s="6">
        <f t="shared" si="95"/>
        <v>0.10727427664877015</v>
      </c>
      <c r="Y72">
        <f t="shared" si="96"/>
        <v>0.99722647992840963</v>
      </c>
      <c r="Z72" s="6">
        <f t="shared" si="97"/>
        <v>0.11718081991396735</v>
      </c>
      <c r="AA72">
        <f t="shared" si="98"/>
        <v>1.0651292329853574</v>
      </c>
      <c r="AB72" s="6">
        <f t="shared" si="99"/>
        <v>0.13028560532243721</v>
      </c>
      <c r="AC72">
        <f t="shared" si="100"/>
        <v>1.1499137045380292</v>
      </c>
      <c r="AD72" s="6">
        <f t="shared" si="101"/>
        <v>0.14845444305641664</v>
      </c>
      <c r="AE72">
        <f t="shared" si="102"/>
        <v>1.2570408164653273</v>
      </c>
      <c r="AF72" s="6">
        <f t="shared" si="103"/>
        <v>0.17286153576979016</v>
      </c>
      <c r="AG72">
        <f t="shared" si="104"/>
        <v>1.3944245163789901</v>
      </c>
      <c r="AH72" s="6">
        <f t="shared" si="105"/>
        <v>0.20745754163357438</v>
      </c>
      <c r="AI72">
        <f t="shared" si="106"/>
        <v>1.5730753116939862</v>
      </c>
      <c r="AJ72">
        <f t="shared" si="107"/>
        <v>0.27128450719213881</v>
      </c>
      <c r="AK72">
        <f t="shared" si="108"/>
        <v>1.8112639506475898</v>
      </c>
      <c r="AL72">
        <f t="shared" si="109"/>
        <v>0.35287292938800613</v>
      </c>
      <c r="AM72">
        <f t="shared" si="110"/>
        <v>2.0789803766957959</v>
      </c>
      <c r="AN72">
        <f t="shared" si="111"/>
        <v>0.45775288635400813</v>
      </c>
      <c r="AO72">
        <f t="shared" si="112"/>
        <v>1.8927420614011492</v>
      </c>
      <c r="AP72">
        <f t="shared" si="113"/>
        <v>0.38297160473230146</v>
      </c>
    </row>
    <row r="73" spans="1:42" x14ac:dyDescent="0.25">
      <c r="A73" s="139">
        <v>0.35</v>
      </c>
      <c r="B73" s="259">
        <f>'Sub C_D_0'!AW77</f>
        <v>2.3670766826330847E-2</v>
      </c>
      <c r="C73" s="260">
        <f>'C_L vs. α'!X373</f>
        <v>0.11853872318180796</v>
      </c>
      <c r="D73" s="144">
        <v>8</v>
      </c>
      <c r="E73" s="14">
        <f t="shared" si="76"/>
        <v>0.95596820214810241</v>
      </c>
      <c r="F73" s="6">
        <f t="shared" si="77"/>
        <v>0.11996441770666841</v>
      </c>
      <c r="G73" s="14">
        <f t="shared" si="78"/>
        <v>0.9636255970837837</v>
      </c>
      <c r="H73" s="6">
        <f t="shared" si="79"/>
        <v>0.11796475370581219</v>
      </c>
      <c r="I73" s="14">
        <f t="shared" si="80"/>
        <v>0.97485663379660592</v>
      </c>
      <c r="J73" s="6">
        <f t="shared" si="81"/>
        <v>0.11830366735989489</v>
      </c>
      <c r="K73" s="14">
        <f t="shared" si="82"/>
        <v>0.99030522651946051</v>
      </c>
      <c r="L73" s="6">
        <f t="shared" si="83"/>
        <v>0.12007799905935126</v>
      </c>
      <c r="M73">
        <f t="shared" si="84"/>
        <v>1.0104981263881014</v>
      </c>
      <c r="N73" s="6">
        <f t="shared" si="85"/>
        <v>0.12313201972253035</v>
      </c>
      <c r="O73">
        <f t="shared" si="86"/>
        <v>1.0350840626168578</v>
      </c>
      <c r="P73" s="6">
        <f t="shared" si="87"/>
        <v>0.12780464581870402</v>
      </c>
      <c r="Q73">
        <f t="shared" si="88"/>
        <v>1.0668485086362716</v>
      </c>
      <c r="R73" s="6">
        <f t="shared" si="89"/>
        <v>0.13370454089223979</v>
      </c>
      <c r="S73">
        <f t="shared" si="90"/>
        <v>1.1058046299368414</v>
      </c>
      <c r="T73" s="6">
        <f t="shared" si="91"/>
        <v>0.14142059900513426</v>
      </c>
      <c r="U73">
        <f t="shared" si="92"/>
        <v>1.1533285211106135</v>
      </c>
      <c r="V73" s="6">
        <f t="shared" si="93"/>
        <v>0.15139914600110443</v>
      </c>
      <c r="W73">
        <f t="shared" si="94"/>
        <v>1.2112698167510287</v>
      </c>
      <c r="X73" s="6">
        <f t="shared" si="95"/>
        <v>0.16429404490933824</v>
      </c>
      <c r="Y73">
        <f t="shared" si="96"/>
        <v>1.2821483313365267</v>
      </c>
      <c r="Z73" s="6">
        <f t="shared" si="97"/>
        <v>0.18106891261568739</v>
      </c>
      <c r="AA73">
        <f t="shared" si="98"/>
        <v>1.369451870981174</v>
      </c>
      <c r="AB73" s="6">
        <f t="shared" si="99"/>
        <v>0.20317034111017035</v>
      </c>
      <c r="AC73">
        <f t="shared" si="100"/>
        <v>1.4784604772631804</v>
      </c>
      <c r="AD73" s="6">
        <f t="shared" si="101"/>
        <v>0.23340417352188458</v>
      </c>
      <c r="AE73">
        <f t="shared" si="102"/>
        <v>1.6161953354554206</v>
      </c>
      <c r="AF73" s="6">
        <f t="shared" si="103"/>
        <v>0.27437639536206221</v>
      </c>
      <c r="AG73">
        <f t="shared" si="104"/>
        <v>1.7928315210587016</v>
      </c>
      <c r="AH73" s="6">
        <f t="shared" si="105"/>
        <v>0.33237408311145245</v>
      </c>
      <c r="AI73">
        <f t="shared" si="106"/>
        <v>2.0225254007494109</v>
      </c>
      <c r="AJ73">
        <f t="shared" si="107"/>
        <v>0.43430037310814962</v>
      </c>
      <c r="AK73">
        <f t="shared" si="108"/>
        <v>2.328767936546901</v>
      </c>
      <c r="AL73">
        <f t="shared" si="109"/>
        <v>0.56899261738410845</v>
      </c>
      <c r="AM73">
        <f t="shared" si="110"/>
        <v>2.6729747700374524</v>
      </c>
      <c r="AN73">
        <f t="shared" si="111"/>
        <v>0.74248183537225343</v>
      </c>
      <c r="AO73">
        <f t="shared" si="112"/>
        <v>2.4335255075157631</v>
      </c>
      <c r="AP73">
        <f t="shared" si="113"/>
        <v>0.61897253319528234</v>
      </c>
    </row>
    <row r="74" spans="1:42" x14ac:dyDescent="0.25">
      <c r="A74" s="129">
        <v>0.4</v>
      </c>
      <c r="B74" s="259">
        <f>'Sub C_D_0'!AW78</f>
        <v>2.320438764612312E-2</v>
      </c>
      <c r="C74" s="260">
        <f>'C_L vs. α'!X374</f>
        <v>0.12286718110409348</v>
      </c>
      <c r="D74" s="144">
        <v>10</v>
      </c>
      <c r="E74" s="14">
        <f t="shared" si="76"/>
        <v>1.1684055804032363</v>
      </c>
      <c r="F74" s="6">
        <f t="shared" si="77"/>
        <v>0.16458565698848318</v>
      </c>
      <c r="G74" s="14">
        <f t="shared" si="78"/>
        <v>1.177764618657958</v>
      </c>
      <c r="H74" s="6">
        <f t="shared" si="79"/>
        <v>0.16330385280853252</v>
      </c>
      <c r="I74" s="14">
        <f t="shared" si="80"/>
        <v>1.1914914413069628</v>
      </c>
      <c r="J74" s="6">
        <f t="shared" si="81"/>
        <v>0.16470576855483698</v>
      </c>
      <c r="K74" s="14">
        <f t="shared" si="82"/>
        <v>1.2103730546348963</v>
      </c>
      <c r="L74" s="6">
        <f t="shared" si="83"/>
        <v>0.16796241398197106</v>
      </c>
      <c r="M74">
        <f t="shared" si="84"/>
        <v>1.2350532655854574</v>
      </c>
      <c r="N74" s="6">
        <f t="shared" si="85"/>
        <v>0.17298911378157797</v>
      </c>
      <c r="O74">
        <f t="shared" si="86"/>
        <v>1.2651027431983819</v>
      </c>
      <c r="P74" s="6">
        <f t="shared" si="87"/>
        <v>0.18011734662496245</v>
      </c>
      <c r="Q74">
        <f t="shared" si="88"/>
        <v>1.3039259549998876</v>
      </c>
      <c r="R74" s="6">
        <f t="shared" si="89"/>
        <v>0.18927721437065972</v>
      </c>
      <c r="S74">
        <f t="shared" si="90"/>
        <v>1.3515389921450283</v>
      </c>
      <c r="T74" s="6">
        <f t="shared" si="91"/>
        <v>0.20112583989946259</v>
      </c>
      <c r="U74">
        <f t="shared" si="92"/>
        <v>1.4096237480240832</v>
      </c>
      <c r="V74" s="6">
        <f t="shared" si="93"/>
        <v>0.21634651394835258</v>
      </c>
      <c r="W74">
        <f t="shared" si="94"/>
        <v>1.480440887140146</v>
      </c>
      <c r="X74" s="6">
        <f t="shared" si="95"/>
        <v>0.23593099688297009</v>
      </c>
      <c r="Y74">
        <f t="shared" si="96"/>
        <v>1.5670701827446438</v>
      </c>
      <c r="Z74" s="6">
        <f t="shared" si="97"/>
        <v>0.26133491446641566</v>
      </c>
      <c r="AA74">
        <f t="shared" si="98"/>
        <v>1.6737745089769904</v>
      </c>
      <c r="AB74" s="6">
        <f t="shared" si="99"/>
        <v>0.29473931797010855</v>
      </c>
      <c r="AC74">
        <f t="shared" si="100"/>
        <v>1.8070072499883316</v>
      </c>
      <c r="AD74" s="6">
        <f t="shared" si="101"/>
        <v>0.34013106957137235</v>
      </c>
      <c r="AE74">
        <f t="shared" si="102"/>
        <v>1.9753498544455141</v>
      </c>
      <c r="AF74" s="6">
        <f t="shared" si="103"/>
        <v>0.40191498904670042</v>
      </c>
      <c r="AG74">
        <f t="shared" si="104"/>
        <v>2.191238525738413</v>
      </c>
      <c r="AH74" s="6">
        <f t="shared" si="105"/>
        <v>0.48931354037141256</v>
      </c>
      <c r="AI74">
        <f t="shared" si="106"/>
        <v>2.4719754898048354</v>
      </c>
      <c r="AJ74">
        <f t="shared" si="107"/>
        <v>0.63807020550316318</v>
      </c>
      <c r="AK74">
        <f t="shared" si="108"/>
        <v>2.8462719224462125</v>
      </c>
      <c r="AL74">
        <f t="shared" si="109"/>
        <v>0.8391422273792366</v>
      </c>
      <c r="AM74">
        <f t="shared" si="110"/>
        <v>3.266969163379108</v>
      </c>
      <c r="AN74">
        <f t="shared" si="111"/>
        <v>1.0983930216450595</v>
      </c>
      <c r="AO74">
        <f t="shared" si="112"/>
        <v>2.9743089536303771</v>
      </c>
      <c r="AP74">
        <f t="shared" si="113"/>
        <v>0.91397369377400861</v>
      </c>
    </row>
    <row r="75" spans="1:42" x14ac:dyDescent="0.25">
      <c r="A75" s="139">
        <v>0.45</v>
      </c>
      <c r="B75" s="259">
        <f>'Sub C_D_0'!AW79</f>
        <v>2.2803584569208939E-2</v>
      </c>
      <c r="C75" s="260">
        <f>'C_L vs. α'!X375</f>
        <v>0.12814761345673484</v>
      </c>
      <c r="D75" s="144">
        <v>12</v>
      </c>
      <c r="E75" s="14">
        <f t="shared" si="76"/>
        <v>1.3808429586583701</v>
      </c>
      <c r="F75" s="6">
        <f t="shared" si="77"/>
        <v>0.21831166268538055</v>
      </c>
      <c r="G75" s="14">
        <f t="shared" si="78"/>
        <v>1.3919036402321321</v>
      </c>
      <c r="H75" s="6">
        <f t="shared" si="79"/>
        <v>0.21789416256812433</v>
      </c>
      <c r="I75" s="14">
        <f t="shared" si="80"/>
        <v>1.4081262488173196</v>
      </c>
      <c r="J75" s="6">
        <f t="shared" si="81"/>
        <v>0.22057598242136361</v>
      </c>
      <c r="K75" s="14">
        <f t="shared" si="82"/>
        <v>1.4304408827503319</v>
      </c>
      <c r="L75" s="6">
        <f t="shared" si="83"/>
        <v>0.22561740242412587</v>
      </c>
      <c r="M75">
        <f t="shared" si="84"/>
        <v>1.4596084047828131</v>
      </c>
      <c r="N75" s="6">
        <f t="shared" si="85"/>
        <v>0.233019299088429</v>
      </c>
      <c r="O75">
        <f t="shared" si="86"/>
        <v>1.4951214237799058</v>
      </c>
      <c r="P75" s="6">
        <f t="shared" si="87"/>
        <v>0.24310419390843901</v>
      </c>
      <c r="Q75">
        <f t="shared" si="88"/>
        <v>1.5410034013635034</v>
      </c>
      <c r="R75" s="6">
        <f t="shared" si="89"/>
        <v>0.2561892186109927</v>
      </c>
      <c r="S75">
        <f t="shared" si="90"/>
        <v>1.5972733543532152</v>
      </c>
      <c r="T75" s="6">
        <f t="shared" si="91"/>
        <v>0.2730136453849516</v>
      </c>
      <c r="U75">
        <f t="shared" si="92"/>
        <v>1.6659189749375529</v>
      </c>
      <c r="V75" s="6">
        <f t="shared" si="93"/>
        <v>0.29454608180880015</v>
      </c>
      <c r="W75">
        <f t="shared" si="94"/>
        <v>1.7496119575292637</v>
      </c>
      <c r="X75" s="6">
        <f t="shared" si="95"/>
        <v>0.32218513256966586</v>
      </c>
      <c r="Y75">
        <f t="shared" si="96"/>
        <v>1.8519920341527607</v>
      </c>
      <c r="Z75" s="6">
        <f t="shared" si="97"/>
        <v>0.35797882546615212</v>
      </c>
      <c r="AA75">
        <f t="shared" si="98"/>
        <v>1.9780971469728068</v>
      </c>
      <c r="AB75" s="6">
        <f t="shared" si="99"/>
        <v>0.40499253590225182</v>
      </c>
      <c r="AC75">
        <f t="shared" si="100"/>
        <v>2.1355540227134826</v>
      </c>
      <c r="AD75" s="6">
        <f t="shared" si="101"/>
        <v>0.46863513120487993</v>
      </c>
      <c r="AE75">
        <f t="shared" si="102"/>
        <v>2.3345043734356077</v>
      </c>
      <c r="AF75" s="6">
        <f t="shared" si="103"/>
        <v>0.55547731682370471</v>
      </c>
      <c r="AG75">
        <f t="shared" si="104"/>
        <v>2.5896455304181245</v>
      </c>
      <c r="AH75" s="6">
        <f t="shared" si="105"/>
        <v>0.67827591341345461</v>
      </c>
      <c r="AI75">
        <f t="shared" si="106"/>
        <v>2.9214255788602599</v>
      </c>
      <c r="AJ75">
        <f t="shared" si="107"/>
        <v>0.88259400437717928</v>
      </c>
      <c r="AK75">
        <f t="shared" si="108"/>
        <v>3.3637759083455236</v>
      </c>
      <c r="AL75">
        <f t="shared" si="109"/>
        <v>1.16332175937339</v>
      </c>
      <c r="AM75">
        <f t="shared" si="110"/>
        <v>3.8609635567207645</v>
      </c>
      <c r="AN75">
        <f t="shared" si="111"/>
        <v>1.5254864451724273</v>
      </c>
      <c r="AO75">
        <f t="shared" si="112"/>
        <v>3.5150923997449914</v>
      </c>
      <c r="AP75">
        <f t="shared" si="113"/>
        <v>1.2679750864684805</v>
      </c>
    </row>
    <row r="76" spans="1:42" x14ac:dyDescent="0.25">
      <c r="A76" s="129">
        <v>0.5</v>
      </c>
      <c r="B76" s="259">
        <f>'Sub C_D_0'!AW80</f>
        <v>2.2453191505440354E-2</v>
      </c>
      <c r="C76" s="260">
        <f>'C_L vs. α'!X376</f>
        <v>0.13458553519455874</v>
      </c>
      <c r="D76" s="144">
        <v>14</v>
      </c>
      <c r="E76" s="14">
        <f t="shared" si="76"/>
        <v>1.593280336913504</v>
      </c>
      <c r="F76" s="6">
        <f t="shared" si="77"/>
        <v>0.28114243479736045</v>
      </c>
      <c r="G76" s="14">
        <f t="shared" si="78"/>
        <v>1.6060426618063062</v>
      </c>
      <c r="H76" s="6">
        <f t="shared" si="79"/>
        <v>0.28173568298458751</v>
      </c>
      <c r="I76" s="14">
        <f t="shared" si="80"/>
        <v>1.6247610563276766</v>
      </c>
      <c r="J76" s="6">
        <f t="shared" si="81"/>
        <v>0.28591430895947489</v>
      </c>
      <c r="K76" s="14">
        <f t="shared" si="82"/>
        <v>1.6505087108657677</v>
      </c>
      <c r="L76" s="6">
        <f t="shared" si="83"/>
        <v>0.29304296438581579</v>
      </c>
      <c r="M76">
        <f t="shared" si="84"/>
        <v>1.684163543980169</v>
      </c>
      <c r="N76" s="6">
        <f t="shared" si="85"/>
        <v>0.30322257564308364</v>
      </c>
      <c r="O76">
        <f t="shared" si="86"/>
        <v>1.7251401043614298</v>
      </c>
      <c r="P76" s="6">
        <f t="shared" si="87"/>
        <v>0.31676518766913397</v>
      </c>
      <c r="Q76">
        <f t="shared" si="88"/>
        <v>1.7780808477271193</v>
      </c>
      <c r="R76" s="6">
        <f t="shared" si="89"/>
        <v>0.33444055361323866</v>
      </c>
      <c r="S76">
        <f t="shared" si="90"/>
        <v>1.8430077165614021</v>
      </c>
      <c r="T76" s="6">
        <f t="shared" si="91"/>
        <v>0.35708401546160129</v>
      </c>
      <c r="U76">
        <f t="shared" si="92"/>
        <v>1.9222142018510227</v>
      </c>
      <c r="V76" s="6">
        <f t="shared" si="93"/>
        <v>0.38599784958244715</v>
      </c>
      <c r="W76">
        <f t="shared" si="94"/>
        <v>2.0187830279183809</v>
      </c>
      <c r="X76" s="6">
        <f t="shared" si="95"/>
        <v>0.42305645196942532</v>
      </c>
      <c r="Y76">
        <f t="shared" si="96"/>
        <v>2.1369138855608778</v>
      </c>
      <c r="Z76" s="6">
        <f t="shared" si="97"/>
        <v>0.47100064561489685</v>
      </c>
      <c r="AA76">
        <f t="shared" si="98"/>
        <v>2.2824197849686234</v>
      </c>
      <c r="AB76" s="6">
        <f t="shared" si="99"/>
        <v>0.53392999490660031</v>
      </c>
      <c r="AC76">
        <f t="shared" si="100"/>
        <v>2.4641007954386343</v>
      </c>
      <c r="AD76" s="6">
        <f t="shared" si="101"/>
        <v>0.61891635842240778</v>
      </c>
      <c r="AE76">
        <f t="shared" si="102"/>
        <v>2.693658892425701</v>
      </c>
      <c r="AF76" s="6">
        <f t="shared" si="103"/>
        <v>0.73506337869307492</v>
      </c>
      <c r="AG76">
        <f t="shared" si="104"/>
        <v>2.988052535097836</v>
      </c>
      <c r="AH76" s="6">
        <f t="shared" si="105"/>
        <v>0.89926120223757899</v>
      </c>
      <c r="AI76">
        <f t="shared" si="106"/>
        <v>3.3708756679156844</v>
      </c>
      <c r="AJ76">
        <f t="shared" si="107"/>
        <v>1.1678717697301979</v>
      </c>
      <c r="AK76">
        <f t="shared" si="108"/>
        <v>3.8812798942448352</v>
      </c>
      <c r="AL76">
        <f t="shared" si="109"/>
        <v>1.5415312133665693</v>
      </c>
      <c r="AM76">
        <f t="shared" si="110"/>
        <v>4.4549579500624201</v>
      </c>
      <c r="AN76">
        <f t="shared" si="111"/>
        <v>2.0237621059543551</v>
      </c>
      <c r="AO76">
        <f t="shared" si="112"/>
        <v>4.0558758458596049</v>
      </c>
      <c r="AP76">
        <f t="shared" si="113"/>
        <v>1.6809767112786971</v>
      </c>
    </row>
    <row r="77" spans="1:42" x14ac:dyDescent="0.25">
      <c r="A77" s="139">
        <v>0.55000000000000004</v>
      </c>
      <c r="B77" s="259">
        <f>'Sub C_D_0'!AW81</f>
        <v>2.2142660365622478E-2</v>
      </c>
      <c r="C77" s="260">
        <f>'C_L vs. α'!X377</f>
        <v>0.14246092570405852</v>
      </c>
      <c r="D77" s="144">
        <v>16</v>
      </c>
      <c r="E77" s="14">
        <f t="shared" si="76"/>
        <v>1.8057177151686379</v>
      </c>
      <c r="F77" s="6">
        <f t="shared" si="77"/>
        <v>0.35307797332442303</v>
      </c>
      <c r="G77" s="14">
        <f t="shared" si="78"/>
        <v>1.8201816833804805</v>
      </c>
      <c r="H77" s="6">
        <f t="shared" si="79"/>
        <v>0.35482841405792231</v>
      </c>
      <c r="I77" s="14">
        <f t="shared" si="80"/>
        <v>1.8413958638380334</v>
      </c>
      <c r="J77" s="6">
        <f t="shared" si="81"/>
        <v>0.36072074816917066</v>
      </c>
      <c r="K77" s="14">
        <f t="shared" si="82"/>
        <v>1.8705765389812032</v>
      </c>
      <c r="L77" s="6">
        <f t="shared" si="83"/>
        <v>0.37023909986704079</v>
      </c>
      <c r="M77">
        <f t="shared" si="84"/>
        <v>1.9087186831775249</v>
      </c>
      <c r="N77" s="6">
        <f t="shared" si="85"/>
        <v>0.38359894344554185</v>
      </c>
      <c r="O77">
        <f t="shared" si="86"/>
        <v>1.9551587849429537</v>
      </c>
      <c r="P77" s="6">
        <f t="shared" si="87"/>
        <v>0.40110032790704719</v>
      </c>
      <c r="Q77">
        <f t="shared" si="88"/>
        <v>2.0151582940907353</v>
      </c>
      <c r="R77" s="6">
        <f t="shared" si="89"/>
        <v>0.42403121937739779</v>
      </c>
      <c r="S77">
        <f t="shared" si="90"/>
        <v>2.088742078769589</v>
      </c>
      <c r="T77" s="6">
        <f t="shared" si="91"/>
        <v>0.45333695012941166</v>
      </c>
      <c r="U77">
        <f t="shared" si="92"/>
        <v>2.1785094287644924</v>
      </c>
      <c r="V77" s="6">
        <f t="shared" si="93"/>
        <v>0.49070181726929363</v>
      </c>
      <c r="W77">
        <f t="shared" si="94"/>
        <v>2.2879540983074986</v>
      </c>
      <c r="X77" s="6">
        <f t="shared" si="95"/>
        <v>0.53854495508224864</v>
      </c>
      <c r="Y77">
        <f t="shared" si="96"/>
        <v>2.4218357369689949</v>
      </c>
      <c r="Z77" s="6">
        <f t="shared" si="97"/>
        <v>0.60040037491264997</v>
      </c>
      <c r="AA77">
        <f t="shared" si="98"/>
        <v>2.5867424229644396</v>
      </c>
      <c r="AB77" s="6">
        <f t="shared" si="99"/>
        <v>0.68155169498315371</v>
      </c>
      <c r="AC77">
        <f t="shared" si="100"/>
        <v>2.792647568163785</v>
      </c>
      <c r="AD77" s="6">
        <f t="shared" si="101"/>
        <v>0.79097475122395489</v>
      </c>
      <c r="AE77">
        <f t="shared" si="102"/>
        <v>3.0528134114157948</v>
      </c>
      <c r="AF77" s="6">
        <f t="shared" si="103"/>
        <v>0.94067317465481159</v>
      </c>
      <c r="AG77">
        <f t="shared" si="104"/>
        <v>3.3864595397775474</v>
      </c>
      <c r="AH77" s="6">
        <f t="shared" si="105"/>
        <v>1.1522694068437851</v>
      </c>
      <c r="AI77">
        <f t="shared" si="106"/>
        <v>3.8203257569711093</v>
      </c>
      <c r="AJ77">
        <f t="shared" si="107"/>
        <v>1.4939035015622197</v>
      </c>
      <c r="AK77">
        <f t="shared" si="108"/>
        <v>4.3987838801441468</v>
      </c>
      <c r="AL77">
        <f t="shared" si="109"/>
        <v>1.9737705893587743</v>
      </c>
      <c r="AM77">
        <f t="shared" si="110"/>
        <v>5.0489523434040766</v>
      </c>
      <c r="AN77">
        <f t="shared" si="111"/>
        <v>2.5932200039908455</v>
      </c>
      <c r="AO77">
        <f t="shared" si="112"/>
        <v>4.5966592919742197</v>
      </c>
      <c r="AP77">
        <f t="shared" si="113"/>
        <v>2.1529785682046603</v>
      </c>
    </row>
    <row r="78" spans="1:42" x14ac:dyDescent="0.25">
      <c r="A78" s="129">
        <v>0.6</v>
      </c>
      <c r="B78" s="259">
        <f>'Sub C_D_0'!AW82</f>
        <v>2.1864375598388285E-2</v>
      </c>
      <c r="C78" s="260">
        <f>'C_L vs. α'!X378</f>
        <v>0.15216131899790822</v>
      </c>
      <c r="T78" s="6"/>
    </row>
    <row r="79" spans="1:42" x14ac:dyDescent="0.25">
      <c r="A79" s="139">
        <v>0.65</v>
      </c>
      <c r="B79" s="259">
        <f>'Sub C_D_0'!AW83</f>
        <v>2.2085814374865963E-2</v>
      </c>
      <c r="C79" s="260">
        <f>'C_L vs. α'!X379</f>
        <v>0.1642733863625756</v>
      </c>
    </row>
    <row r="80" spans="1:42" x14ac:dyDescent="0.25">
      <c r="A80" s="129">
        <v>0.7</v>
      </c>
      <c r="B80" s="259">
        <f>'Sub C_D_0'!AW84</f>
        <v>2.1851354622717648E-2</v>
      </c>
      <c r="C80" s="260">
        <f>'C_L vs. α'!X380</f>
        <v>0.17957725949504674</v>
      </c>
    </row>
    <row r="81" spans="1:42" x14ac:dyDescent="0.25">
      <c r="A81" s="139">
        <v>0.75</v>
      </c>
      <c r="B81" s="259">
        <f>'Sub C_D_0'!AW85</f>
        <v>2.163618810196891E-2</v>
      </c>
      <c r="C81" s="260">
        <f>'C_L vs. α'!X381</f>
        <v>0.19920350233985573</v>
      </c>
    </row>
    <row r="82" spans="1:42" x14ac:dyDescent="0.25">
      <c r="A82" s="129">
        <v>0.8</v>
      </c>
      <c r="B82" s="259">
        <f>'Sub C_D_0'!AW86</f>
        <v>2.143758047240259E-2</v>
      </c>
      <c r="C82" s="260">
        <f>'C_L vs. α'!X382</f>
        <v>0.2247250445277123</v>
      </c>
    </row>
    <row r="83" spans="1:42" x14ac:dyDescent="0.25">
      <c r="A83" s="139">
        <v>0.85</v>
      </c>
      <c r="B83" s="259">
        <f>'Sub C_D_0'!AW87</f>
        <v>2.1708690725908513E-2</v>
      </c>
      <c r="C83" s="260">
        <f>'C_L vs. α'!X383</f>
        <v>0.25875199294965567</v>
      </c>
    </row>
    <row r="84" spans="1:42" x14ac:dyDescent="0.25">
      <c r="A84" s="129">
        <v>0.9</v>
      </c>
      <c r="B84" s="259">
        <f>'Sub C_D_0'!AW88</f>
        <v>2.1533321791763739E-2</v>
      </c>
      <c r="C84" s="260">
        <f>'C_L vs. α'!X384</f>
        <v>0.29699719667082802</v>
      </c>
    </row>
    <row r="85" spans="1:42" x14ac:dyDescent="0.25">
      <c r="A85" s="139">
        <v>0.95</v>
      </c>
      <c r="B85" s="259">
        <f>'Sub C_D_0'!AW89</f>
        <v>2.1369251309039092E-2</v>
      </c>
      <c r="C85" s="260">
        <f>'C_L vs. α'!X385</f>
        <v>0.27039172305730702</v>
      </c>
    </row>
    <row r="87" spans="1:42" x14ac:dyDescent="0.25">
      <c r="A87" s="122" t="s">
        <v>537</v>
      </c>
      <c r="B87" s="122" t="s">
        <v>516</v>
      </c>
    </row>
    <row r="88" spans="1:42" x14ac:dyDescent="0.25">
      <c r="A88" s="122" t="s">
        <v>202</v>
      </c>
      <c r="B88" s="145">
        <v>15000</v>
      </c>
      <c r="C88" s="122" t="s">
        <v>538</v>
      </c>
      <c r="D88" s="122" t="s">
        <v>539</v>
      </c>
      <c r="E88" s="1" t="s">
        <v>536</v>
      </c>
      <c r="F88" s="140">
        <v>0.05</v>
      </c>
      <c r="G88" s="1" t="s">
        <v>536</v>
      </c>
      <c r="H88" s="140">
        <v>0.1</v>
      </c>
      <c r="I88" s="1" t="s">
        <v>536</v>
      </c>
      <c r="J88" s="140">
        <v>0.15</v>
      </c>
      <c r="K88" s="1" t="s">
        <v>536</v>
      </c>
      <c r="L88" s="140">
        <v>0.2</v>
      </c>
      <c r="M88" t="s">
        <v>536</v>
      </c>
      <c r="N88" s="141">
        <v>0.25</v>
      </c>
      <c r="O88" t="s">
        <v>536</v>
      </c>
      <c r="P88" s="141">
        <v>0.3</v>
      </c>
      <c r="Q88" t="s">
        <v>536</v>
      </c>
      <c r="R88" s="141">
        <v>0.35</v>
      </c>
      <c r="S88" t="s">
        <v>536</v>
      </c>
      <c r="T88" s="141">
        <v>0.4</v>
      </c>
      <c r="U88" t="s">
        <v>536</v>
      </c>
      <c r="V88" s="141">
        <v>0.45</v>
      </c>
      <c r="W88" t="s">
        <v>536</v>
      </c>
      <c r="X88" s="141">
        <v>0.5</v>
      </c>
      <c r="Y88" t="s">
        <v>536</v>
      </c>
      <c r="Z88" s="141">
        <v>0.55000000000000004</v>
      </c>
      <c r="AA88" t="s">
        <v>536</v>
      </c>
      <c r="AB88" s="141">
        <v>0.6</v>
      </c>
      <c r="AC88" t="s">
        <v>536</v>
      </c>
      <c r="AD88" s="141">
        <v>0.65</v>
      </c>
      <c r="AE88" t="s">
        <v>536</v>
      </c>
      <c r="AF88" s="141">
        <v>0.7</v>
      </c>
      <c r="AG88" t="s">
        <v>536</v>
      </c>
      <c r="AH88" s="141">
        <v>0.75</v>
      </c>
      <c r="AI88" t="s">
        <v>536</v>
      </c>
      <c r="AJ88" s="141">
        <v>0.8</v>
      </c>
      <c r="AK88" t="s">
        <v>536</v>
      </c>
      <c r="AL88" s="141">
        <v>0.85</v>
      </c>
      <c r="AM88" t="s">
        <v>536</v>
      </c>
      <c r="AN88" s="141">
        <v>0.9</v>
      </c>
      <c r="AO88" t="s">
        <v>536</v>
      </c>
      <c r="AP88" s="141">
        <v>0.95</v>
      </c>
    </row>
    <row r="89" spans="1:42" x14ac:dyDescent="0.25">
      <c r="A89" s="121" t="s">
        <v>182</v>
      </c>
      <c r="B89" s="121" t="s">
        <v>534</v>
      </c>
      <c r="C89" s="121" t="s">
        <v>535</v>
      </c>
      <c r="D89" s="121" t="s">
        <v>421</v>
      </c>
      <c r="E89" s="14" t="s">
        <v>244</v>
      </c>
      <c r="F89" s="6" t="s">
        <v>245</v>
      </c>
      <c r="G89" s="14" t="s">
        <v>244</v>
      </c>
      <c r="H89" s="6" t="s">
        <v>245</v>
      </c>
      <c r="I89" s="14" t="s">
        <v>244</v>
      </c>
      <c r="J89" s="6" t="s">
        <v>245</v>
      </c>
      <c r="K89" s="14" t="s">
        <v>244</v>
      </c>
      <c r="L89" s="6" t="s">
        <v>245</v>
      </c>
      <c r="M89" t="s">
        <v>244</v>
      </c>
      <c r="N89" t="s">
        <v>245</v>
      </c>
      <c r="O89" t="s">
        <v>244</v>
      </c>
      <c r="P89" t="s">
        <v>245</v>
      </c>
      <c r="Q89" t="s">
        <v>244</v>
      </c>
      <c r="R89" t="s">
        <v>245</v>
      </c>
      <c r="S89" t="s">
        <v>244</v>
      </c>
      <c r="T89" t="s">
        <v>245</v>
      </c>
      <c r="U89" t="s">
        <v>244</v>
      </c>
      <c r="V89" t="s">
        <v>245</v>
      </c>
      <c r="W89" t="s">
        <v>244</v>
      </c>
      <c r="X89" t="s">
        <v>245</v>
      </c>
      <c r="Y89" t="s">
        <v>244</v>
      </c>
      <c r="Z89" t="s">
        <v>245</v>
      </c>
      <c r="AA89" t="s">
        <v>244</v>
      </c>
      <c r="AB89" t="s">
        <v>245</v>
      </c>
      <c r="AC89" t="s">
        <v>244</v>
      </c>
      <c r="AD89" t="s">
        <v>245</v>
      </c>
      <c r="AE89" t="s">
        <v>244</v>
      </c>
      <c r="AF89" t="s">
        <v>245</v>
      </c>
      <c r="AG89" t="s">
        <v>244</v>
      </c>
      <c r="AH89" t="s">
        <v>245</v>
      </c>
      <c r="AI89" t="s">
        <v>244</v>
      </c>
      <c r="AJ89" t="s">
        <v>245</v>
      </c>
      <c r="AK89" t="s">
        <v>244</v>
      </c>
      <c r="AL89" t="s">
        <v>245</v>
      </c>
      <c r="AM89" t="s">
        <v>244</v>
      </c>
      <c r="AN89" t="s">
        <v>245</v>
      </c>
      <c r="AO89" t="s">
        <v>244</v>
      </c>
      <c r="AP89" t="s">
        <v>245</v>
      </c>
    </row>
    <row r="90" spans="1:42" x14ac:dyDescent="0.25">
      <c r="A90" s="129">
        <v>0</v>
      </c>
      <c r="B90" s="129" t="e">
        <f>'Sub C_D_0'!AW100</f>
        <v>#DIV/0!</v>
      </c>
      <c r="C90" s="129" t="e">
        <f>'C_L vs. α'!X391</f>
        <v>#NUM!</v>
      </c>
      <c r="D90" s="144">
        <v>-6</v>
      </c>
      <c r="E90" s="14">
        <f>(D90-$B$12)*$C$91</f>
        <v>-0.5311171599679837</v>
      </c>
      <c r="F90" s="6">
        <f t="shared" ref="F90:F101" si="114">$B$91+$B$7*E90^2+$B$8*(E90-E$93)^2</f>
        <v>6.2448282813667752E-2</v>
      </c>
      <c r="G90" s="14">
        <f>(D90-$B$12)*$C$92</f>
        <v>-0.53537135670082692</v>
      </c>
      <c r="H90" s="6">
        <f t="shared" ref="H90:H101" si="115">$B$92+$B$7*G90^2+$B$8*(G90-G$93)^2</f>
        <v>5.9539828046217741E-2</v>
      </c>
      <c r="I90" s="14">
        <f>(D90-$B$12)*$C$93</f>
        <v>-0.54160963167359299</v>
      </c>
      <c r="J90" s="6">
        <f t="shared" ref="J90:J101" si="116">$B$93+$B$7*I90^2+$B$8*(I90-I$93)^2</f>
        <v>5.8518475024190011E-2</v>
      </c>
      <c r="K90" s="14">
        <f>(D90-$B$12)*$C$94</f>
        <v>-0.55019085565702786</v>
      </c>
      <c r="L90" s="6">
        <f t="shared" ref="L90:L101" si="117">$B$94+$B$7*K90^2+$B$8*(K90-K$93)^2</f>
        <v>5.8390278212168613E-2</v>
      </c>
      <c r="M90">
        <f>(D90-$B$12)*$C$95</f>
        <v>-0.56140777605092107</v>
      </c>
      <c r="N90" s="6">
        <f t="shared" ref="N90:N101" si="118">$B$95+$B$7*M90^2+$B$8*(M90-M$93)^2</f>
        <v>5.890944935492988E-2</v>
      </c>
      <c r="O90">
        <f>(D90-$B$12)*$C$96</f>
        <v>-0.57506651917949003</v>
      </c>
      <c r="P90" s="6">
        <f t="shared" ref="P90:P101" si="119">$B$96+$B$7*O90^2+$B$8*(O90-O$93)^2</f>
        <v>6.0423773129784863E-2</v>
      </c>
      <c r="Q90">
        <f>(D90-$B$12)*$C$97</f>
        <v>-0.59271196272986859</v>
      </c>
      <c r="R90" s="6">
        <f t="shared" ref="R90:R101" si="120">$B$97+$B$7*Q90^2+$B$8*(Q90-Q$93)^2</f>
        <v>6.213114212805735E-2</v>
      </c>
      <c r="S90">
        <f>(D90-$B$12)*$C$98</f>
        <v>-0.61435247035322005</v>
      </c>
      <c r="T90" s="6">
        <f t="shared" ref="T90:T101" si="121">$B$98+$B$7*S90^2+$B$8*(S90-S$93)^2</f>
        <v>6.4531477647939511E-2</v>
      </c>
      <c r="U90">
        <f>(D90-$B$12)*$C$99</f>
        <v>-0.6407523934904904</v>
      </c>
      <c r="V90" s="6">
        <f t="shared" ref="V90:V101" si="122">$B$99+$B$7*U90^2+$B$8*(U90-U$93)^2</f>
        <v>6.7766273440783176E-2</v>
      </c>
      <c r="W90">
        <f>(D90-$B$12)*$C$100</f>
        <v>-0.67293907828867594</v>
      </c>
      <c r="X90" s="6">
        <f t="shared" ref="X90:X101" si="123">$B$100+$B$7*W90^2+$B$8*(W90-W$93)^2</f>
        <v>7.2054638287438133E-2</v>
      </c>
      <c r="Y90">
        <f>(D90-$B$12)*$C$101</f>
        <v>-0.71231205602249437</v>
      </c>
      <c r="Z90" s="6">
        <f t="shared" ref="Z90:Z101" si="124">$B$101+$B$7*Y90^2+$B$8*(Y90-Y$93)^2</f>
        <v>7.7727086539834081E-2</v>
      </c>
      <c r="AA90">
        <f>(D90-$B$12)*$C$102</f>
        <v>-0.76080838871322909</v>
      </c>
      <c r="AB90" s="6">
        <f t="shared" ref="AB90:AB101" si="125">$B$102+$B$7*AA90^2+$B$8*(AA90-AA$93)^2</f>
        <v>8.5285072196783857E-2</v>
      </c>
      <c r="AC90">
        <f>(D90-$B$12)*$C$103</f>
        <v>-0.8213597943543266</v>
      </c>
      <c r="AD90" s="6">
        <f t="shared" ref="AD90:AD101" si="126">$B$103+$B$7*AC90^2+$B$8*(AC90-AC$93)^2</f>
        <v>9.6013168674816421E-2</v>
      </c>
      <c r="AE90">
        <f>(D90-$B$12)*$C$104</f>
        <v>-0.89786484607251693</v>
      </c>
      <c r="AF90" s="6">
        <f t="shared" ref="AF90:AF101" si="127">$B$104+$B$7*AE90^2+$B$8*(AE90-AE$93)^2</f>
        <v>0.11020490495897374</v>
      </c>
      <c r="AG90">
        <f>(D90-$B$12)*$C$105</f>
        <v>-0.9959720080236133</v>
      </c>
      <c r="AH90" s="6">
        <f t="shared" ref="AH90:AH101" si="128">$B$105+$B$7*AG90^2+$B$8*(AG90-AG$93)^2</f>
        <v>0.13036778986828162</v>
      </c>
      <c r="AI90">
        <f>(D90-$B$12)*$C$106</f>
        <v>-1.1235356379775607</v>
      </c>
      <c r="AJ90">
        <f t="shared" ref="AJ90:AJ101" si="129">$B$106+$B$9*AI90^2</f>
        <v>0.14871407037851775</v>
      </c>
      <c r="AK90">
        <f>(D90-$B$12)*$C$107</f>
        <v>-1.2935673658282085</v>
      </c>
      <c r="AL90">
        <f t="shared" ref="AL90:AL101" si="130">$B$107+$B$9*AK90^2</f>
        <v>0.19044203921866132</v>
      </c>
      <c r="AM90">
        <f>(D90-$B$12)*$C$108</f>
        <v>-1.4845408331353789</v>
      </c>
      <c r="AN90">
        <f t="shared" ref="AN90:AN101" si="131">$B$108+$B$9*AM90^2</f>
        <v>0.24378525294882175</v>
      </c>
      <c r="AO90">
        <f>(D90-$B$12)*$C$109</f>
        <v>-1.3505028679667821</v>
      </c>
      <c r="AP90">
        <f t="shared" ref="AP90:AP101" si="132">$B$109+$B$9*AO90^2</f>
        <v>0.20528954159066284</v>
      </c>
    </row>
    <row r="91" spans="1:42" x14ac:dyDescent="0.25">
      <c r="A91" s="139">
        <v>0.05</v>
      </c>
      <c r="B91" s="259">
        <f>'Sub C_D_0'!AW101</f>
        <v>3.1510994951956757E-2</v>
      </c>
      <c r="C91" s="260">
        <f>'C_L vs. α'!X392</f>
        <v>0.10622343199359674</v>
      </c>
      <c r="D91" s="144">
        <v>-4</v>
      </c>
      <c r="E91" s="14">
        <f t="shared" ref="E91:E101" si="133">(D91-$B$12)*$C$91</f>
        <v>-0.31867029598079022</v>
      </c>
      <c r="F91" s="6">
        <f t="shared" si="114"/>
        <v>4.333445036644621E-2</v>
      </c>
      <c r="G91" s="14">
        <f t="shared" ref="G91:G101" si="134">(D91-$B$12)*$C$92</f>
        <v>-0.32122281402049613</v>
      </c>
      <c r="H91" s="6">
        <f t="shared" si="115"/>
        <v>4.0118569410095929E-2</v>
      </c>
      <c r="I91" s="14">
        <f t="shared" ref="I91:I101" si="135">(D91-$B$12)*$C$93</f>
        <v>-0.3249657790041558</v>
      </c>
      <c r="J91" s="6">
        <f t="shared" si="116"/>
        <v>3.8641977180544046E-2</v>
      </c>
      <c r="K91" s="14">
        <f t="shared" ref="K91:K101" si="136">(D91-$B$12)*$C$94</f>
        <v>-0.33011451339421671</v>
      </c>
      <c r="L91" s="6">
        <f t="shared" si="117"/>
        <v>3.7878947170589698E-2</v>
      </c>
      <c r="M91">
        <f t="shared" ref="M91:M101" si="137">(D91-$B$12)*$C$95</f>
        <v>-0.33684466563055265</v>
      </c>
      <c r="N91" s="6">
        <f t="shared" si="118"/>
        <v>3.7553250531279038E-2</v>
      </c>
      <c r="O91">
        <f t="shared" ref="O91:O101" si="138">(D91-$B$12)*$C$96</f>
        <v>-0.34503991150769397</v>
      </c>
      <c r="P91" s="6">
        <f t="shared" si="119"/>
        <v>3.8015763900890891E-2</v>
      </c>
      <c r="Q91">
        <f t="shared" ref="Q91:Q101" si="139">(D91-$B$12)*$C$97</f>
        <v>-0.35562717763792118</v>
      </c>
      <c r="R91" s="6">
        <f t="shared" si="120"/>
        <v>3.8326892640892687E-2</v>
      </c>
      <c r="S91">
        <f t="shared" ref="S91:S101" si="140">(D91-$B$12)*$C$98</f>
        <v>-0.36861148221193207</v>
      </c>
      <c r="T91" s="6">
        <f t="shared" si="121"/>
        <v>3.8957261829730368E-2</v>
      </c>
      <c r="U91">
        <f t="shared" ref="U91:U101" si="141">(D91-$B$12)*$C$99</f>
        <v>-0.38445143609429427</v>
      </c>
      <c r="V91" s="6">
        <f t="shared" si="122"/>
        <v>3.9946884766740964E-2</v>
      </c>
      <c r="W91">
        <f t="shared" ref="W91:W101" si="142">(D91-$B$12)*$C$100</f>
        <v>-0.4037634469732056</v>
      </c>
      <c r="X91" s="6">
        <f t="shared" si="123"/>
        <v>4.13701697288653E-2</v>
      </c>
      <c r="Y91">
        <f t="shared" ref="Y91:Y101" si="143">(D91-$B$12)*$C$101</f>
        <v>-0.42738723361349662</v>
      </c>
      <c r="Z91" s="6">
        <f t="shared" si="124"/>
        <v>4.3346942032164618E-2</v>
      </c>
      <c r="AA91">
        <f t="shared" ref="AA91:AA101" si="144">(D91-$B$12)*$C$102</f>
        <v>-0.45648503322793749</v>
      </c>
      <c r="AB91" s="6">
        <f t="shared" si="125"/>
        <v>4.6064159753897757E-2</v>
      </c>
      <c r="AC91">
        <f t="shared" ref="AC91:AC101" si="145">(D91-$B$12)*$C$103</f>
        <v>-0.49281587661259596</v>
      </c>
      <c r="AD91" s="6">
        <f t="shared" si="126"/>
        <v>5.0300772336720971E-2</v>
      </c>
      <c r="AE91">
        <f t="shared" ref="AE91:AE101" si="146">(D91-$B$12)*$C$104</f>
        <v>-0.53871890764351016</v>
      </c>
      <c r="AF91" s="6">
        <f t="shared" si="127"/>
        <v>5.5580207574994975E-2</v>
      </c>
      <c r="AG91">
        <f t="shared" ref="AG91:AG101" si="147">(D91-$B$12)*$C$105</f>
        <v>-0.59758320481416793</v>
      </c>
      <c r="AH91" s="6">
        <f t="shared" si="128"/>
        <v>6.3153537346793659E-2</v>
      </c>
      <c r="AI91">
        <f t="shared" ref="AI91:AI101" si="148">(D91-$B$12)*$C$106</f>
        <v>-0.67412138278653644</v>
      </c>
      <c r="AJ91">
        <f t="shared" si="129"/>
        <v>6.7219133870420361E-2</v>
      </c>
      <c r="AK91">
        <f t="shared" ref="AK91:AK101" si="149">(D91-$B$12)*$C$107</f>
        <v>-0.77614041949692503</v>
      </c>
      <c r="AL91">
        <f t="shared" si="130"/>
        <v>8.2414366041616061E-2</v>
      </c>
      <c r="AM91">
        <f t="shared" ref="AM91:AM101" si="150">(D91-$B$12)*$C$108</f>
        <v>-0.89072449988122726</v>
      </c>
      <c r="AN91">
        <f t="shared" si="131"/>
        <v>0.10150611807120991</v>
      </c>
      <c r="AO91">
        <f t="shared" ref="AO91:AO101" si="151">(D91-$B$12)*$C$109</f>
        <v>-0.81030172078006935</v>
      </c>
      <c r="AP91">
        <f t="shared" si="132"/>
        <v>8.754305906320628E-2</v>
      </c>
    </row>
    <row r="92" spans="1:42" x14ac:dyDescent="0.25">
      <c r="A92" s="129">
        <v>0.1</v>
      </c>
      <c r="B92" s="259">
        <f>'Sub C_D_0'!AW102</f>
        <v>2.8104945966889811E-2</v>
      </c>
      <c r="C92" s="260">
        <f>'C_L vs. α'!X393</f>
        <v>0.10707427134016538</v>
      </c>
      <c r="D92" s="144">
        <v>-2</v>
      </c>
      <c r="E92" s="14">
        <f t="shared" si="133"/>
        <v>-0.10622343199359674</v>
      </c>
      <c r="F92" s="6">
        <f t="shared" si="114"/>
        <v>3.3326197442655511E-2</v>
      </c>
      <c r="G92" s="14">
        <f t="shared" si="134"/>
        <v>-0.10707427134016538</v>
      </c>
      <c r="H92" s="6">
        <f t="shared" si="115"/>
        <v>2.9949344108713926E-2</v>
      </c>
      <c r="I92" s="14">
        <f t="shared" si="135"/>
        <v>-0.1083219263347186</v>
      </c>
      <c r="J92" s="6">
        <f t="shared" si="116"/>
        <v>2.8234382669726495E-2</v>
      </c>
      <c r="K92" s="14">
        <f t="shared" si="136"/>
        <v>-0.11003817113140557</v>
      </c>
      <c r="L92" s="6">
        <f t="shared" si="117"/>
        <v>2.7138945685562466E-2</v>
      </c>
      <c r="M92">
        <f t="shared" si="137"/>
        <v>-0.11228155521018422</v>
      </c>
      <c r="N92" s="6">
        <f t="shared" si="118"/>
        <v>2.6370865213836907E-2</v>
      </c>
      <c r="O92">
        <f t="shared" si="138"/>
        <v>-0.115013303835898</v>
      </c>
      <c r="P92" s="6">
        <f t="shared" si="119"/>
        <v>2.6282636884073965E-2</v>
      </c>
      <c r="Q92">
        <f t="shared" si="139"/>
        <v>-0.11854239254597372</v>
      </c>
      <c r="R92" s="6">
        <f t="shared" si="120"/>
        <v>2.5862675944089409E-2</v>
      </c>
      <c r="S92">
        <f t="shared" si="140"/>
        <v>-0.12287049407064402</v>
      </c>
      <c r="T92" s="6">
        <f t="shared" si="121"/>
        <v>2.5566267588099226E-2</v>
      </c>
      <c r="U92">
        <f t="shared" si="141"/>
        <v>-0.12815047869809809</v>
      </c>
      <c r="V92" s="6">
        <f t="shared" si="122"/>
        <v>2.5380288622097784E-2</v>
      </c>
      <c r="W92">
        <f t="shared" si="142"/>
        <v>-0.1345878156577352</v>
      </c>
      <c r="X92" s="6">
        <f t="shared" si="123"/>
        <v>2.5303380244638057E-2</v>
      </c>
      <c r="Y92">
        <f t="shared" si="143"/>
        <v>-0.14246241120449887</v>
      </c>
      <c r="Z92" s="6">
        <f t="shared" si="124"/>
        <v>2.5345048234081895E-2</v>
      </c>
      <c r="AA92">
        <f t="shared" si="144"/>
        <v>-0.15216167774264583</v>
      </c>
      <c r="AB92" s="6">
        <f t="shared" si="125"/>
        <v>2.5527576485516425E-2</v>
      </c>
      <c r="AC92">
        <f t="shared" si="145"/>
        <v>-0.16427195887086532</v>
      </c>
      <c r="AD92" s="6">
        <f t="shared" si="126"/>
        <v>2.6365163108822399E-2</v>
      </c>
      <c r="AE92">
        <f t="shared" si="146"/>
        <v>-0.17957296921450339</v>
      </c>
      <c r="AF92" s="6">
        <f t="shared" si="127"/>
        <v>2.6978000832105067E-2</v>
      </c>
      <c r="AG92">
        <f t="shared" si="147"/>
        <v>-0.19919440160472265</v>
      </c>
      <c r="AH92" s="6">
        <f t="shared" si="128"/>
        <v>2.7959274700823135E-2</v>
      </c>
      <c r="AI92">
        <f t="shared" si="148"/>
        <v>-0.22470712759551215</v>
      </c>
      <c r="AJ92">
        <f t="shared" si="129"/>
        <v>2.6471665616371636E-2</v>
      </c>
      <c r="AK92">
        <f t="shared" si="149"/>
        <v>-0.25871347316564169</v>
      </c>
      <c r="AL92">
        <f t="shared" si="130"/>
        <v>2.8400529453093445E-2</v>
      </c>
      <c r="AM92">
        <f t="shared" si="150"/>
        <v>-0.29690816662707575</v>
      </c>
      <c r="AN92">
        <f t="shared" si="131"/>
        <v>3.0366550632403996E-2</v>
      </c>
      <c r="AO92">
        <f t="shared" si="151"/>
        <v>-0.27010057359335643</v>
      </c>
      <c r="AP92">
        <f t="shared" si="132"/>
        <v>2.8669817799477953E-2</v>
      </c>
    </row>
    <row r="93" spans="1:42" s="29" customFormat="1" x14ac:dyDescent="0.25">
      <c r="A93" s="139">
        <v>0.15</v>
      </c>
      <c r="B93" s="259">
        <f>'Sub C_D_0'!AW103</f>
        <v>2.6346751369631091E-2</v>
      </c>
      <c r="C93" s="260">
        <f>'C_L vs. α'!X394</f>
        <v>0.1083219263347186</v>
      </c>
      <c r="D93" s="143">
        <v>0</v>
      </c>
      <c r="E93" s="83">
        <f t="shared" si="133"/>
        <v>0.10622343199359674</v>
      </c>
      <c r="F93" s="21">
        <f t="shared" si="114"/>
        <v>3.2423524042295648E-2</v>
      </c>
      <c r="G93" s="83">
        <f t="shared" si="134"/>
        <v>0.10707427134016538</v>
      </c>
      <c r="H93" s="21">
        <f t="shared" si="115"/>
        <v>2.9032152142071738E-2</v>
      </c>
      <c r="I93" s="83">
        <f t="shared" si="135"/>
        <v>0.1083219263347186</v>
      </c>
      <c r="J93" s="21">
        <f t="shared" si="116"/>
        <v>2.729569149173736E-2</v>
      </c>
      <c r="K93" s="83">
        <f t="shared" si="136"/>
        <v>0.11003817113140557</v>
      </c>
      <c r="L93" s="21">
        <f t="shared" si="117"/>
        <v>2.6170273757086904E-2</v>
      </c>
      <c r="M93" s="99">
        <f t="shared" si="137"/>
        <v>0.11228155521018422</v>
      </c>
      <c r="N93" s="21">
        <f t="shared" si="118"/>
        <v>2.5362293402603497E-2</v>
      </c>
      <c r="O93" s="99">
        <f t="shared" si="138"/>
        <v>0.115013303835898</v>
      </c>
      <c r="P93" s="21">
        <f t="shared" si="119"/>
        <v>2.5224392079334079E-2</v>
      </c>
      <c r="Q93" s="99">
        <f t="shared" si="139"/>
        <v>0.11854239254597372</v>
      </c>
      <c r="R93" s="21">
        <f t="shared" si="120"/>
        <v>2.4738492037647511E-2</v>
      </c>
      <c r="S93" s="99">
        <f t="shared" si="140"/>
        <v>0.12287049407064402</v>
      </c>
      <c r="T93" s="21">
        <f t="shared" si="121"/>
        <v>2.4358494923046092E-2</v>
      </c>
      <c r="U93" s="99">
        <f t="shared" si="141"/>
        <v>0.12815047869809809</v>
      </c>
      <c r="V93" s="21">
        <f t="shared" si="122"/>
        <v>2.4066485006853648E-2</v>
      </c>
      <c r="W93" s="99">
        <f t="shared" si="142"/>
        <v>0.1345878156577352</v>
      </c>
      <c r="X93" s="21">
        <f t="shared" si="123"/>
        <v>2.3854269834756414E-2</v>
      </c>
      <c r="Y93" s="99">
        <f t="shared" si="143"/>
        <v>0.14246241120449887</v>
      </c>
      <c r="Z93" s="21">
        <f t="shared" si="124"/>
        <v>2.3721405145585916E-2</v>
      </c>
      <c r="AA93" s="99">
        <f t="shared" si="144"/>
        <v>0.15216167774264583</v>
      </c>
      <c r="AB93" s="21">
        <f t="shared" si="125"/>
        <v>2.3675322391639882E-2</v>
      </c>
      <c r="AC93" s="99">
        <f t="shared" si="145"/>
        <v>0.16427195887086532</v>
      </c>
      <c r="AD93" s="21">
        <f t="shared" si="126"/>
        <v>2.4206340991120699E-2</v>
      </c>
      <c r="AE93" s="99">
        <f t="shared" si="146"/>
        <v>0.17957296921450339</v>
      </c>
      <c r="AF93" s="21">
        <f t="shared" si="127"/>
        <v>2.4398284730304028E-2</v>
      </c>
      <c r="AG93" s="99">
        <f t="shared" si="147"/>
        <v>0.19919440160472265</v>
      </c>
      <c r="AH93" s="21">
        <f t="shared" si="128"/>
        <v>2.4785001930370053E-2</v>
      </c>
      <c r="AI93" s="99">
        <f t="shared" si="148"/>
        <v>0.22470712759551215</v>
      </c>
      <c r="AJ93" s="99">
        <f t="shared" si="129"/>
        <v>2.6471665616371636E-2</v>
      </c>
      <c r="AK93" s="99">
        <f t="shared" si="149"/>
        <v>0.25871347316564169</v>
      </c>
      <c r="AL93" s="99">
        <f t="shared" si="130"/>
        <v>2.8400529453093445E-2</v>
      </c>
      <c r="AM93" s="99">
        <f t="shared" si="150"/>
        <v>0.29690816662707575</v>
      </c>
      <c r="AN93" s="99">
        <f t="shared" si="131"/>
        <v>3.0366550632403996E-2</v>
      </c>
      <c r="AO93" s="99">
        <f t="shared" si="151"/>
        <v>0.27010057359335643</v>
      </c>
      <c r="AP93" s="99">
        <f t="shared" si="132"/>
        <v>2.8669817799477953E-2</v>
      </c>
    </row>
    <row r="94" spans="1:42" x14ac:dyDescent="0.25">
      <c r="A94" s="129">
        <v>0.2</v>
      </c>
      <c r="B94" s="259">
        <f>'Sub C_D_0'!AW104</f>
        <v>2.5191025544636834E-2</v>
      </c>
      <c r="C94" s="260">
        <f>'C_L vs. α'!X395</f>
        <v>0.11003817113140557</v>
      </c>
      <c r="D94" s="144">
        <v>2</v>
      </c>
      <c r="E94" s="14">
        <f t="shared" si="133"/>
        <v>0.31867029598079022</v>
      </c>
      <c r="F94" s="6">
        <f t="shared" si="114"/>
        <v>4.0626430165366628E-2</v>
      </c>
      <c r="G94" s="14">
        <f t="shared" si="134"/>
        <v>0.32122281402049613</v>
      </c>
      <c r="H94" s="6">
        <f t="shared" si="115"/>
        <v>3.7366993510169359E-2</v>
      </c>
      <c r="I94" s="14">
        <f t="shared" si="135"/>
        <v>0.3249657790041558</v>
      </c>
      <c r="J94" s="6">
        <f t="shared" si="116"/>
        <v>3.5825903646576639E-2</v>
      </c>
      <c r="K94" s="14">
        <f t="shared" si="136"/>
        <v>0.33011451339421671</v>
      </c>
      <c r="L94" s="6">
        <f t="shared" si="117"/>
        <v>3.4972931385163018E-2</v>
      </c>
      <c r="M94">
        <f t="shared" si="137"/>
        <v>0.33684466563055265</v>
      </c>
      <c r="N94" s="6">
        <f t="shared" si="118"/>
        <v>3.4527535097578804E-2</v>
      </c>
      <c r="O94">
        <f t="shared" si="138"/>
        <v>0.34503991150769397</v>
      </c>
      <c r="P94" s="6">
        <f t="shared" si="119"/>
        <v>3.4841029486671227E-2</v>
      </c>
      <c r="Q94">
        <f t="shared" si="139"/>
        <v>0.35562717763792118</v>
      </c>
      <c r="R94" s="6">
        <f t="shared" si="120"/>
        <v>3.4954340921566997E-2</v>
      </c>
      <c r="S94">
        <f t="shared" si="140"/>
        <v>0.36861148221193207</v>
      </c>
      <c r="T94" s="6">
        <f t="shared" si="121"/>
        <v>3.5333943834570967E-2</v>
      </c>
      <c r="U94">
        <f t="shared" si="141"/>
        <v>0.38445143609429427</v>
      </c>
      <c r="V94" s="6">
        <f t="shared" si="122"/>
        <v>3.6005473921008557E-2</v>
      </c>
      <c r="W94">
        <f t="shared" si="142"/>
        <v>0.4037634469732056</v>
      </c>
      <c r="X94" s="6">
        <f t="shared" si="123"/>
        <v>3.7022838499220376E-2</v>
      </c>
      <c r="Y94">
        <f t="shared" si="143"/>
        <v>0.42738723361349662</v>
      </c>
      <c r="Z94" s="6">
        <f t="shared" si="124"/>
        <v>3.8476012766676677E-2</v>
      </c>
      <c r="AA94">
        <f t="shared" si="144"/>
        <v>0.45648503322793749</v>
      </c>
      <c r="AB94" s="6">
        <f t="shared" si="125"/>
        <v>4.0507397472268128E-2</v>
      </c>
      <c r="AC94">
        <f t="shared" si="145"/>
        <v>0.49281587661259596</v>
      </c>
      <c r="AD94" s="6">
        <f t="shared" si="126"/>
        <v>4.3824305983615863E-2</v>
      </c>
      <c r="AE94">
        <f t="shared" si="146"/>
        <v>0.53871890764351016</v>
      </c>
      <c r="AF94" s="6">
        <f t="shared" si="127"/>
        <v>4.7841059269591854E-2</v>
      </c>
      <c r="AG94">
        <f t="shared" si="147"/>
        <v>0.59758320481416793</v>
      </c>
      <c r="AH94" s="6">
        <f t="shared" si="128"/>
        <v>5.3630719035434406E-2</v>
      </c>
      <c r="AI94">
        <f t="shared" si="148"/>
        <v>0.67412138278653644</v>
      </c>
      <c r="AJ94">
        <f t="shared" si="129"/>
        <v>6.7219133870420361E-2</v>
      </c>
      <c r="AK94">
        <f t="shared" si="149"/>
        <v>0.77614041949692503</v>
      </c>
      <c r="AL94">
        <f t="shared" si="130"/>
        <v>8.2414366041616061E-2</v>
      </c>
      <c r="AM94">
        <f t="shared" si="150"/>
        <v>0.89072449988122726</v>
      </c>
      <c r="AN94">
        <f t="shared" si="131"/>
        <v>0.10150611807120991</v>
      </c>
      <c r="AO94">
        <f t="shared" si="151"/>
        <v>0.81030172078006935</v>
      </c>
      <c r="AP94">
        <f t="shared" si="132"/>
        <v>8.754305906320628E-2</v>
      </c>
    </row>
    <row r="95" spans="1:42" x14ac:dyDescent="0.25">
      <c r="A95" s="139">
        <v>0.25</v>
      </c>
      <c r="B95" s="259">
        <f>'Sub C_D_0'!AW105</f>
        <v>2.434270966713576E-2</v>
      </c>
      <c r="C95" s="260">
        <f>'C_L vs. α'!X396</f>
        <v>0.11228155521018422</v>
      </c>
      <c r="D95" s="144">
        <v>4</v>
      </c>
      <c r="E95" s="14">
        <f t="shared" si="133"/>
        <v>0.5311171599679837</v>
      </c>
      <c r="F95" s="6">
        <f t="shared" si="114"/>
        <v>5.7934915811868444E-2</v>
      </c>
      <c r="G95" s="14">
        <f t="shared" si="134"/>
        <v>0.53537135670082692</v>
      </c>
      <c r="H95" s="6">
        <f t="shared" si="115"/>
        <v>5.4953868213006803E-2</v>
      </c>
      <c r="I95" s="14">
        <f t="shared" si="135"/>
        <v>0.54160963167359299</v>
      </c>
      <c r="J95" s="6">
        <f t="shared" si="116"/>
        <v>5.3825019134244326E-2</v>
      </c>
      <c r="K95" s="14">
        <f t="shared" si="136"/>
        <v>0.55019085565702786</v>
      </c>
      <c r="L95" s="6">
        <f t="shared" si="117"/>
        <v>5.3546918569790811E-2</v>
      </c>
      <c r="M95">
        <f t="shared" si="137"/>
        <v>0.56140777605092107</v>
      </c>
      <c r="N95" s="6">
        <f t="shared" si="118"/>
        <v>5.3866590298762819E-2</v>
      </c>
      <c r="O95">
        <f t="shared" si="138"/>
        <v>0.57506651917949003</v>
      </c>
      <c r="P95" s="6">
        <f t="shared" si="119"/>
        <v>5.5132549106085428E-2</v>
      </c>
      <c r="Q95">
        <f t="shared" si="139"/>
        <v>0.59271196272986859</v>
      </c>
      <c r="R95" s="6">
        <f t="shared" si="120"/>
        <v>5.6510222595847856E-2</v>
      </c>
      <c r="S95">
        <f t="shared" si="140"/>
        <v>0.61435247035322005</v>
      </c>
      <c r="T95" s="6">
        <f t="shared" si="121"/>
        <v>5.8492614322673844E-2</v>
      </c>
      <c r="U95">
        <f t="shared" si="141"/>
        <v>0.6407523934904904</v>
      </c>
      <c r="V95" s="6">
        <f t="shared" si="122"/>
        <v>6.1197255364562511E-2</v>
      </c>
      <c r="W95">
        <f t="shared" si="142"/>
        <v>0.67293907828867594</v>
      </c>
      <c r="X95" s="6">
        <f t="shared" si="123"/>
        <v>6.4809086238029945E-2</v>
      </c>
      <c r="Y95">
        <f t="shared" si="143"/>
        <v>0.71231205602249437</v>
      </c>
      <c r="Z95" s="6">
        <f t="shared" si="124"/>
        <v>6.9608871097354197E-2</v>
      </c>
      <c r="AA95">
        <f t="shared" si="144"/>
        <v>0.76080838871322909</v>
      </c>
      <c r="AB95" s="6">
        <f t="shared" si="125"/>
        <v>7.6023801727401141E-2</v>
      </c>
      <c r="AC95">
        <f t="shared" si="145"/>
        <v>0.8213597943543266</v>
      </c>
      <c r="AD95" s="6">
        <f t="shared" si="126"/>
        <v>8.5219058086307906E-2</v>
      </c>
      <c r="AE95">
        <f t="shared" si="146"/>
        <v>0.89786484607251693</v>
      </c>
      <c r="AF95" s="6">
        <f t="shared" si="127"/>
        <v>9.7306324449968548E-2</v>
      </c>
      <c r="AG95">
        <f t="shared" si="147"/>
        <v>0.9959720080236133</v>
      </c>
      <c r="AH95" s="6">
        <f t="shared" si="128"/>
        <v>0.11449642601601621</v>
      </c>
      <c r="AI95">
        <f t="shared" si="148"/>
        <v>1.1235356379775607</v>
      </c>
      <c r="AJ95">
        <f t="shared" si="129"/>
        <v>0.14871407037851775</v>
      </c>
      <c r="AK95">
        <f t="shared" si="149"/>
        <v>1.2935673658282085</v>
      </c>
      <c r="AL95">
        <f t="shared" si="130"/>
        <v>0.19044203921866132</v>
      </c>
      <c r="AM95">
        <f t="shared" si="150"/>
        <v>1.4845408331353789</v>
      </c>
      <c r="AN95">
        <f t="shared" si="131"/>
        <v>0.24378525294882175</v>
      </c>
      <c r="AO95">
        <f t="shared" si="151"/>
        <v>1.3505028679667821</v>
      </c>
      <c r="AP95">
        <f t="shared" si="132"/>
        <v>0.20528954159066284</v>
      </c>
    </row>
    <row r="96" spans="1:42" x14ac:dyDescent="0.25">
      <c r="A96" s="129">
        <v>0.3</v>
      </c>
      <c r="B96" s="259">
        <f>'Sub C_D_0'!AW106</f>
        <v>2.415459300400942E-2</v>
      </c>
      <c r="C96" s="260">
        <f>'C_L vs. α'!X397</f>
        <v>0.115013303835898</v>
      </c>
      <c r="D96" s="144">
        <v>6</v>
      </c>
      <c r="E96" s="14">
        <f t="shared" si="133"/>
        <v>0.74356402395517718</v>
      </c>
      <c r="F96" s="6">
        <f t="shared" si="114"/>
        <v>8.4348980981801103E-2</v>
      </c>
      <c r="G96" s="14">
        <f t="shared" si="134"/>
        <v>0.74951989938115771</v>
      </c>
      <c r="H96" s="6">
        <f t="shared" si="115"/>
        <v>8.1792776250584065E-2</v>
      </c>
      <c r="I96" s="14">
        <f t="shared" si="135"/>
        <v>0.75825348434303019</v>
      </c>
      <c r="J96" s="6">
        <f t="shared" si="116"/>
        <v>8.1293037954740438E-2</v>
      </c>
      <c r="K96" s="14">
        <f t="shared" si="136"/>
        <v>0.770267197919839</v>
      </c>
      <c r="L96" s="6">
        <f t="shared" si="117"/>
        <v>8.1892235310970285E-2</v>
      </c>
      <c r="M96">
        <f t="shared" si="137"/>
        <v>0.78597088647128954</v>
      </c>
      <c r="N96" s="6">
        <f t="shared" si="118"/>
        <v>8.3379459006155565E-2</v>
      </c>
      <c r="O96">
        <f t="shared" si="138"/>
        <v>0.80509312685128598</v>
      </c>
      <c r="P96" s="6">
        <f t="shared" si="119"/>
        <v>8.6098950937576663E-2</v>
      </c>
      <c r="Q96">
        <f t="shared" si="139"/>
        <v>0.82979674782181601</v>
      </c>
      <c r="R96" s="6">
        <f t="shared" si="120"/>
        <v>8.9406137060490082E-2</v>
      </c>
      <c r="S96">
        <f t="shared" si="140"/>
        <v>0.86009345849450813</v>
      </c>
      <c r="T96" s="6">
        <f t="shared" si="121"/>
        <v>9.3834506387354744E-2</v>
      </c>
      <c r="U96">
        <f t="shared" si="141"/>
        <v>0.8970533508866867</v>
      </c>
      <c r="V96" s="6">
        <f t="shared" si="122"/>
        <v>9.9641829337515531E-2</v>
      </c>
      <c r="W96">
        <f t="shared" si="142"/>
        <v>0.94211470960414645</v>
      </c>
      <c r="X96" s="6">
        <f t="shared" si="123"/>
        <v>0.10721301305118514</v>
      </c>
      <c r="Y96">
        <f t="shared" si="143"/>
        <v>0.99723687843149211</v>
      </c>
      <c r="Z96" s="6">
        <f t="shared" si="124"/>
        <v>0.11711998013761846</v>
      </c>
      <c r="AA96">
        <f t="shared" si="144"/>
        <v>1.0651317441985209</v>
      </c>
      <c r="AB96" s="6">
        <f t="shared" si="125"/>
        <v>0.13022453515703897</v>
      </c>
      <c r="AC96">
        <f t="shared" si="145"/>
        <v>1.1499037120960574</v>
      </c>
      <c r="AD96" s="6">
        <f t="shared" si="126"/>
        <v>0.14839059729919685</v>
      </c>
      <c r="AE96">
        <f t="shared" si="146"/>
        <v>1.2570107845015237</v>
      </c>
      <c r="AF96" s="6">
        <f t="shared" si="127"/>
        <v>0.17279408027143409</v>
      </c>
      <c r="AG96">
        <f t="shared" si="147"/>
        <v>1.3943608112330586</v>
      </c>
      <c r="AH96" s="6">
        <f t="shared" si="128"/>
        <v>0.20738212287211544</v>
      </c>
      <c r="AI96">
        <f t="shared" si="148"/>
        <v>1.572949893168585</v>
      </c>
      <c r="AJ96">
        <f t="shared" si="129"/>
        <v>0.27095647514066395</v>
      </c>
      <c r="AK96">
        <f t="shared" si="149"/>
        <v>1.8109943121594918</v>
      </c>
      <c r="AL96">
        <f t="shared" si="130"/>
        <v>0.35248354898422912</v>
      </c>
      <c r="AM96">
        <f t="shared" si="150"/>
        <v>2.0783571663895302</v>
      </c>
      <c r="AN96">
        <f t="shared" si="131"/>
        <v>0.45720395526523938</v>
      </c>
      <c r="AO96">
        <f t="shared" si="151"/>
        <v>1.8907040151534951</v>
      </c>
      <c r="AP96">
        <f t="shared" si="132"/>
        <v>0.38190926538184783</v>
      </c>
    </row>
    <row r="97" spans="1:42" x14ac:dyDescent="0.25">
      <c r="A97" s="139">
        <v>0.35</v>
      </c>
      <c r="B97" s="259">
        <f>'Sub C_D_0'!AW107</f>
        <v>2.3602033915462811E-2</v>
      </c>
      <c r="C97" s="260">
        <f>'C_L vs. α'!X398</f>
        <v>0.11854239254597372</v>
      </c>
      <c r="D97" s="144">
        <v>8</v>
      </c>
      <c r="E97" s="14">
        <f t="shared" si="133"/>
        <v>0.95601088794237066</v>
      </c>
      <c r="F97" s="6">
        <f t="shared" si="114"/>
        <v>0.11986862567516461</v>
      </c>
      <c r="G97" s="14">
        <f t="shared" si="134"/>
        <v>0.96366844206148838</v>
      </c>
      <c r="H97" s="6">
        <f t="shared" si="115"/>
        <v>0.11788371762290109</v>
      </c>
      <c r="I97" s="14">
        <f t="shared" si="135"/>
        <v>0.97489733701246739</v>
      </c>
      <c r="J97" s="6">
        <f t="shared" si="116"/>
        <v>0.11822996010806497</v>
      </c>
      <c r="K97" s="14">
        <f t="shared" si="136"/>
        <v>0.99034354018265014</v>
      </c>
      <c r="L97" s="6">
        <f t="shared" si="117"/>
        <v>0.12000888160870142</v>
      </c>
      <c r="M97">
        <f t="shared" si="137"/>
        <v>1.010533996891658</v>
      </c>
      <c r="N97" s="6">
        <f t="shared" si="118"/>
        <v>0.12306614121975704</v>
      </c>
      <c r="O97">
        <f t="shared" si="138"/>
        <v>1.035119734523082</v>
      </c>
      <c r="P97" s="6">
        <f t="shared" si="119"/>
        <v>0.12774023498114492</v>
      </c>
      <c r="Q97">
        <f t="shared" si="139"/>
        <v>1.0668815329137635</v>
      </c>
      <c r="R97" s="6">
        <f t="shared" si="120"/>
        <v>0.13364208431549374</v>
      </c>
      <c r="S97">
        <f t="shared" si="140"/>
        <v>1.1058344466357961</v>
      </c>
      <c r="T97" s="6">
        <f t="shared" si="121"/>
        <v>0.14135962002861363</v>
      </c>
      <c r="U97">
        <f t="shared" si="141"/>
        <v>1.1533543082828828</v>
      </c>
      <c r="V97" s="6">
        <f t="shared" si="122"/>
        <v>0.15133919583986757</v>
      </c>
      <c r="W97">
        <f t="shared" si="142"/>
        <v>1.2112903409196167</v>
      </c>
      <c r="X97" s="6">
        <f t="shared" si="123"/>
        <v>0.16423461893868588</v>
      </c>
      <c r="Y97">
        <f t="shared" si="143"/>
        <v>1.28216170084049</v>
      </c>
      <c r="Z97" s="6">
        <f t="shared" si="124"/>
        <v>0.18100933988746948</v>
      </c>
      <c r="AA97">
        <f t="shared" si="144"/>
        <v>1.3694550996838124</v>
      </c>
      <c r="AB97" s="6">
        <f t="shared" si="125"/>
        <v>0.20310959776118154</v>
      </c>
      <c r="AC97">
        <f t="shared" si="145"/>
        <v>1.4784476298377878</v>
      </c>
      <c r="AD97" s="6">
        <f t="shared" si="126"/>
        <v>0.23333892362228259</v>
      </c>
      <c r="AE97">
        <f t="shared" si="146"/>
        <v>1.6161567229305305</v>
      </c>
      <c r="AF97" s="6">
        <f t="shared" si="127"/>
        <v>0.27430432673398852</v>
      </c>
      <c r="AG97">
        <f t="shared" si="147"/>
        <v>1.7927496144425039</v>
      </c>
      <c r="AH97" s="6">
        <f t="shared" si="128"/>
        <v>0.33228780960373216</v>
      </c>
      <c r="AI97">
        <f t="shared" si="148"/>
        <v>2.0223641483596095</v>
      </c>
      <c r="AJ97">
        <f t="shared" si="129"/>
        <v>0.43394634815685884</v>
      </c>
      <c r="AK97">
        <f t="shared" si="149"/>
        <v>2.3284212584907751</v>
      </c>
      <c r="AL97">
        <f t="shared" si="130"/>
        <v>0.56853889533831958</v>
      </c>
      <c r="AM97">
        <f t="shared" si="150"/>
        <v>2.6721734996436819</v>
      </c>
      <c r="AN97">
        <f t="shared" si="131"/>
        <v>0.74176222502046318</v>
      </c>
      <c r="AO97">
        <f t="shared" si="151"/>
        <v>2.430905162340208</v>
      </c>
      <c r="AP97">
        <f t="shared" si="132"/>
        <v>0.61740223043676112</v>
      </c>
    </row>
    <row r="98" spans="1:42" x14ac:dyDescent="0.25">
      <c r="A98" s="129">
        <v>0.4</v>
      </c>
      <c r="B98" s="259">
        <f>'Sub C_D_0'!AW108</f>
        <v>2.3137535392237125E-2</v>
      </c>
      <c r="C98" s="260">
        <f>'C_L vs. α'!X399</f>
        <v>0.12287049407064402</v>
      </c>
      <c r="D98" s="144">
        <v>10</v>
      </c>
      <c r="E98" s="14">
        <f t="shared" si="133"/>
        <v>1.168457751929564</v>
      </c>
      <c r="F98" s="6">
        <f t="shared" si="114"/>
        <v>0.16449384989195892</v>
      </c>
      <c r="G98" s="14">
        <f t="shared" si="134"/>
        <v>1.1778169847418192</v>
      </c>
      <c r="H98" s="6">
        <f t="shared" si="115"/>
        <v>0.16322669232995798</v>
      </c>
      <c r="I98" s="14">
        <f t="shared" si="135"/>
        <v>1.1915411896819046</v>
      </c>
      <c r="J98" s="6">
        <f t="shared" si="116"/>
        <v>0.1646357855942179</v>
      </c>
      <c r="K98" s="14">
        <f t="shared" si="136"/>
        <v>1.2104198824454613</v>
      </c>
      <c r="L98" s="6">
        <f t="shared" si="117"/>
        <v>0.16789685746298424</v>
      </c>
      <c r="M98">
        <f t="shared" si="137"/>
        <v>1.2350971073120265</v>
      </c>
      <c r="N98" s="6">
        <f t="shared" si="118"/>
        <v>0.1729266369395672</v>
      </c>
      <c r="O98">
        <f t="shared" si="138"/>
        <v>1.2651463421948781</v>
      </c>
      <c r="P98" s="6">
        <f t="shared" si="119"/>
        <v>0.18005640123679029</v>
      </c>
      <c r="Q98">
        <f t="shared" si="139"/>
        <v>1.3039663180057108</v>
      </c>
      <c r="R98" s="6">
        <f t="shared" si="120"/>
        <v>0.1892180643608587</v>
      </c>
      <c r="S98">
        <f t="shared" si="140"/>
        <v>1.3515754347770841</v>
      </c>
      <c r="T98" s="6">
        <f t="shared" si="121"/>
        <v>0.20106795524645049</v>
      </c>
      <c r="U98">
        <f t="shared" si="141"/>
        <v>1.4096552656790791</v>
      </c>
      <c r="V98" s="6">
        <f t="shared" si="122"/>
        <v>0.21628935487161868</v>
      </c>
      <c r="W98">
        <f t="shared" si="142"/>
        <v>1.4804659722350872</v>
      </c>
      <c r="X98" s="6">
        <f t="shared" si="123"/>
        <v>0.23587390390053228</v>
      </c>
      <c r="Y98">
        <f t="shared" si="143"/>
        <v>1.5670865232494875</v>
      </c>
      <c r="Z98" s="6">
        <f t="shared" si="124"/>
        <v>0.26127695034690718</v>
      </c>
      <c r="AA98">
        <f t="shared" si="144"/>
        <v>1.6737784551691042</v>
      </c>
      <c r="AB98" s="6">
        <f t="shared" si="125"/>
        <v>0.29467898953982896</v>
      </c>
      <c r="AC98">
        <f t="shared" si="145"/>
        <v>1.8069915475795186</v>
      </c>
      <c r="AD98" s="6">
        <f t="shared" si="126"/>
        <v>0.34006403705556526</v>
      </c>
      <c r="AE98">
        <f t="shared" si="146"/>
        <v>1.9753026613595372</v>
      </c>
      <c r="AF98" s="6">
        <f t="shared" si="127"/>
        <v>0.40183706383763185</v>
      </c>
      <c r="AG98">
        <f t="shared" si="147"/>
        <v>2.1911384176519491</v>
      </c>
      <c r="AH98" s="6">
        <f t="shared" si="128"/>
        <v>0.48921348621086619</v>
      </c>
      <c r="AI98">
        <f t="shared" si="148"/>
        <v>2.4717784035506334</v>
      </c>
      <c r="AJ98">
        <f t="shared" si="129"/>
        <v>0.63768368942710218</v>
      </c>
      <c r="AK98">
        <f t="shared" si="149"/>
        <v>2.8458482048220586</v>
      </c>
      <c r="AL98">
        <f t="shared" si="130"/>
        <v>0.83860807828093265</v>
      </c>
      <c r="AM98">
        <f t="shared" si="150"/>
        <v>3.2659898328978332</v>
      </c>
      <c r="AN98">
        <f t="shared" si="131"/>
        <v>1.0974600622144925</v>
      </c>
      <c r="AO98">
        <f t="shared" si="151"/>
        <v>2.9711063095269208</v>
      </c>
      <c r="AP98">
        <f t="shared" si="132"/>
        <v>0.91176843675540276</v>
      </c>
    </row>
    <row r="99" spans="1:42" x14ac:dyDescent="0.25">
      <c r="A99" s="139">
        <v>0.45</v>
      </c>
      <c r="B99" s="259">
        <f>'Sub C_D_0'!AW109</f>
        <v>2.2738336844489802E-2</v>
      </c>
      <c r="C99" s="260">
        <f>'C_L vs. α'!X400</f>
        <v>0.12815047869809809</v>
      </c>
      <c r="D99" s="144">
        <v>12</v>
      </c>
      <c r="E99" s="14">
        <f t="shared" si="133"/>
        <v>1.3809046159167577</v>
      </c>
      <c r="F99" s="6">
        <f t="shared" si="114"/>
        <v>0.21822465363218413</v>
      </c>
      <c r="G99" s="14">
        <f t="shared" si="134"/>
        <v>1.3919655274221499</v>
      </c>
      <c r="H99" s="6">
        <f t="shared" si="115"/>
        <v>0.21782170037175463</v>
      </c>
      <c r="I99" s="14">
        <f t="shared" si="135"/>
        <v>1.4081850423513418</v>
      </c>
      <c r="J99" s="6">
        <f t="shared" si="116"/>
        <v>0.22051051441319924</v>
      </c>
      <c r="K99" s="14">
        <f t="shared" si="136"/>
        <v>1.4304962247082724</v>
      </c>
      <c r="L99" s="6">
        <f t="shared" si="117"/>
        <v>0.22555616287381874</v>
      </c>
      <c r="M99">
        <f t="shared" si="137"/>
        <v>1.459660217732395</v>
      </c>
      <c r="N99" s="6">
        <f t="shared" si="118"/>
        <v>0.23296094616558607</v>
      </c>
      <c r="O99">
        <f t="shared" si="138"/>
        <v>1.4951729498666739</v>
      </c>
      <c r="P99" s="6">
        <f t="shared" si="119"/>
        <v>0.24304744970451259</v>
      </c>
      <c r="Q99">
        <f t="shared" si="139"/>
        <v>1.5410511030976584</v>
      </c>
      <c r="R99" s="6">
        <f t="shared" si="120"/>
        <v>0.2561340771965851</v>
      </c>
      <c r="S99">
        <f t="shared" si="140"/>
        <v>1.5973164229183723</v>
      </c>
      <c r="T99" s="6">
        <f t="shared" si="121"/>
        <v>0.27295951204086544</v>
      </c>
      <c r="U99">
        <f t="shared" si="141"/>
        <v>1.6659562230752751</v>
      </c>
      <c r="V99" s="6">
        <f t="shared" si="122"/>
        <v>0.2944923064327688</v>
      </c>
      <c r="W99">
        <f t="shared" si="142"/>
        <v>1.7496416035505575</v>
      </c>
      <c r="X99" s="6">
        <f t="shared" si="123"/>
        <v>0.32213086793672424</v>
      </c>
      <c r="Y99">
        <f t="shared" si="143"/>
        <v>1.8520113456584855</v>
      </c>
      <c r="Z99" s="6">
        <f t="shared" si="124"/>
        <v>0.35792281151593175</v>
      </c>
      <c r="AA99">
        <f t="shared" si="144"/>
        <v>1.9781018106543957</v>
      </c>
      <c r="AB99" s="6">
        <f t="shared" si="125"/>
        <v>0.40493271049298107</v>
      </c>
      <c r="AC99">
        <f t="shared" si="145"/>
        <v>2.135535465321249</v>
      </c>
      <c r="AD99" s="6">
        <f t="shared" si="126"/>
        <v>0.46856593759904469</v>
      </c>
      <c r="AE99">
        <f t="shared" si="146"/>
        <v>2.3344485997885442</v>
      </c>
      <c r="AF99" s="6">
        <f t="shared" si="127"/>
        <v>0.55539229158236403</v>
      </c>
      <c r="AG99">
        <f t="shared" si="147"/>
        <v>2.5895272208613944</v>
      </c>
      <c r="AH99" s="6">
        <f t="shared" si="128"/>
        <v>0.67815915269351779</v>
      </c>
      <c r="AI99">
        <f t="shared" si="148"/>
        <v>2.9211926587416581</v>
      </c>
      <c r="AJ99">
        <f t="shared" si="129"/>
        <v>0.88216849895139471</v>
      </c>
      <c r="AK99">
        <f t="shared" si="149"/>
        <v>3.3632751511533421</v>
      </c>
      <c r="AL99">
        <f t="shared" si="130"/>
        <v>1.1626910978120686</v>
      </c>
      <c r="AM99">
        <f t="shared" si="150"/>
        <v>3.8598061661519849</v>
      </c>
      <c r="AN99">
        <f t="shared" si="131"/>
        <v>1.5242974668473281</v>
      </c>
      <c r="AO99">
        <f t="shared" si="151"/>
        <v>3.5113074567136335</v>
      </c>
      <c r="AP99">
        <f t="shared" si="132"/>
        <v>1.2650078843377723</v>
      </c>
    </row>
    <row r="100" spans="1:42" x14ac:dyDescent="0.25">
      <c r="A100" s="129">
        <v>0.5</v>
      </c>
      <c r="B100" s="259">
        <f>'Sub C_D_0'!AW110</f>
        <v>2.2389337552933625E-2</v>
      </c>
      <c r="C100" s="260">
        <f>'C_L vs. α'!X401</f>
        <v>0.1345878156577352</v>
      </c>
      <c r="D100" s="144">
        <v>14</v>
      </c>
      <c r="E100" s="14">
        <f t="shared" si="133"/>
        <v>1.593351479903951</v>
      </c>
      <c r="F100" s="6">
        <f t="shared" si="114"/>
        <v>0.28106103689584011</v>
      </c>
      <c r="G100" s="14">
        <f t="shared" si="134"/>
        <v>1.6061140701024808</v>
      </c>
      <c r="H100" s="6">
        <f t="shared" si="115"/>
        <v>0.28166874174829121</v>
      </c>
      <c r="I100" s="14">
        <f t="shared" si="135"/>
        <v>1.624828895020779</v>
      </c>
      <c r="J100" s="6">
        <f t="shared" si="116"/>
        <v>0.28585414656500902</v>
      </c>
      <c r="K100" s="14">
        <f t="shared" si="136"/>
        <v>1.6505725669710836</v>
      </c>
      <c r="L100" s="6">
        <f t="shared" si="117"/>
        <v>0.29298679784120496</v>
      </c>
      <c r="M100">
        <f t="shared" si="137"/>
        <v>1.6842233281527634</v>
      </c>
      <c r="N100" s="6">
        <f t="shared" si="118"/>
        <v>0.3031690688978137</v>
      </c>
      <c r="O100">
        <f t="shared" si="138"/>
        <v>1.72519955753847</v>
      </c>
      <c r="P100" s="6">
        <f t="shared" si="119"/>
        <v>0.31671338038431202</v>
      </c>
      <c r="Q100">
        <f t="shared" si="139"/>
        <v>1.7781358881896059</v>
      </c>
      <c r="R100" s="6">
        <f t="shared" si="120"/>
        <v>0.33439012282267289</v>
      </c>
      <c r="S100">
        <f t="shared" si="140"/>
        <v>1.8430574110596603</v>
      </c>
      <c r="T100" s="6">
        <f t="shared" si="121"/>
        <v>0.35703429041185836</v>
      </c>
      <c r="U100">
        <f t="shared" si="141"/>
        <v>1.9222571804714714</v>
      </c>
      <c r="V100" s="6">
        <f t="shared" si="122"/>
        <v>0.38594805052331799</v>
      </c>
      <c r="W100">
        <f t="shared" si="142"/>
        <v>2.0188172348660278</v>
      </c>
      <c r="X100" s="6">
        <f t="shared" si="123"/>
        <v>0.42300551104726181</v>
      </c>
      <c r="Y100">
        <f t="shared" si="143"/>
        <v>2.136936168067483</v>
      </c>
      <c r="Z100" s="6">
        <f t="shared" si="124"/>
        <v>0.47094692339454292</v>
      </c>
      <c r="AA100">
        <f t="shared" si="144"/>
        <v>2.2824251661396873</v>
      </c>
      <c r="AB100" s="6">
        <f t="shared" si="125"/>
        <v>0.53387076062063799</v>
      </c>
      <c r="AC100">
        <f t="shared" si="145"/>
        <v>2.4640793830629799</v>
      </c>
      <c r="AD100" s="6">
        <f t="shared" si="126"/>
        <v>0.61884462525272133</v>
      </c>
      <c r="AE100">
        <f t="shared" si="146"/>
        <v>2.6935945382175506</v>
      </c>
      <c r="AF100" s="6">
        <f t="shared" si="127"/>
        <v>0.73497000996818485</v>
      </c>
      <c r="AG100">
        <f t="shared" si="147"/>
        <v>2.9879160240708398</v>
      </c>
      <c r="AH100" s="6">
        <f t="shared" si="128"/>
        <v>0.89912480905168679</v>
      </c>
      <c r="AI100">
        <f t="shared" si="148"/>
        <v>3.370606913932682</v>
      </c>
      <c r="AJ100">
        <f t="shared" si="129"/>
        <v>1.1674007767297356</v>
      </c>
      <c r="AK100">
        <f t="shared" si="149"/>
        <v>3.8807020974846256</v>
      </c>
      <c r="AL100">
        <f t="shared" si="130"/>
        <v>1.5407879539317269</v>
      </c>
      <c r="AM100">
        <f t="shared" si="150"/>
        <v>4.4536224994061362</v>
      </c>
      <c r="AN100">
        <f t="shared" si="131"/>
        <v>2.0222744389189695</v>
      </c>
      <c r="AO100">
        <f t="shared" si="151"/>
        <v>4.0515086039003467</v>
      </c>
      <c r="AP100">
        <f t="shared" si="132"/>
        <v>1.677120573183871</v>
      </c>
    </row>
    <row r="101" spans="1:42" x14ac:dyDescent="0.25">
      <c r="A101" s="139">
        <v>0.55000000000000004</v>
      </c>
      <c r="B101" s="259">
        <f>'Sub C_D_0'!AW111</f>
        <v>2.2080034579011566E-2</v>
      </c>
      <c r="C101" s="260">
        <f>'C_L vs. α'!X402</f>
        <v>0.14246241120449887</v>
      </c>
      <c r="D101" s="144">
        <v>16</v>
      </c>
      <c r="E101" s="14">
        <f t="shared" si="133"/>
        <v>1.8057983438911447</v>
      </c>
      <c r="F101" s="6">
        <f t="shared" si="114"/>
        <v>0.35300299968292703</v>
      </c>
      <c r="G101" s="14">
        <f t="shared" si="134"/>
        <v>1.8202626127828114</v>
      </c>
      <c r="H101" s="6">
        <f t="shared" si="115"/>
        <v>0.35476781645956756</v>
      </c>
      <c r="I101" s="14">
        <f t="shared" si="135"/>
        <v>1.8414727476902162</v>
      </c>
      <c r="J101" s="6">
        <f t="shared" si="116"/>
        <v>0.36066668204964725</v>
      </c>
      <c r="K101" s="14">
        <f t="shared" si="136"/>
        <v>1.8706489092338947</v>
      </c>
      <c r="L101" s="6">
        <f t="shared" si="117"/>
        <v>0.37018876236514281</v>
      </c>
      <c r="M101">
        <f t="shared" si="137"/>
        <v>1.9087864385731317</v>
      </c>
      <c r="N101" s="6">
        <f t="shared" si="118"/>
        <v>0.38355100513624996</v>
      </c>
      <c r="O101">
        <f t="shared" si="138"/>
        <v>1.955226165210266</v>
      </c>
      <c r="P101" s="6">
        <f t="shared" si="119"/>
        <v>0.40105419327618841</v>
      </c>
      <c r="Q101">
        <f t="shared" si="139"/>
        <v>2.0152206732815534</v>
      </c>
      <c r="R101" s="6">
        <f t="shared" si="120"/>
        <v>0.42398620123912212</v>
      </c>
      <c r="S101">
        <f t="shared" si="140"/>
        <v>2.0887983992009485</v>
      </c>
      <c r="T101" s="6">
        <f t="shared" si="121"/>
        <v>0.45329229035942936</v>
      </c>
      <c r="U101">
        <f t="shared" si="141"/>
        <v>2.1785581378676677</v>
      </c>
      <c r="V101" s="6">
        <f t="shared" si="122"/>
        <v>0.49065658714326632</v>
      </c>
      <c r="W101">
        <f t="shared" si="142"/>
        <v>2.2879928661814986</v>
      </c>
      <c r="X101" s="6">
        <f t="shared" si="123"/>
        <v>0.53849783323214506</v>
      </c>
      <c r="Y101">
        <f t="shared" si="143"/>
        <v>2.421860990476481</v>
      </c>
      <c r="Z101" s="6">
        <f t="shared" si="124"/>
        <v>0.60034928598274095</v>
      </c>
      <c r="AA101">
        <f t="shared" si="144"/>
        <v>2.5867485216249793</v>
      </c>
      <c r="AB101" s="6">
        <f t="shared" si="125"/>
        <v>0.68149313992279992</v>
      </c>
      <c r="AC101">
        <f t="shared" si="145"/>
        <v>2.7926233008047103</v>
      </c>
      <c r="AD101" s="6">
        <f t="shared" si="126"/>
        <v>0.7909001000165945</v>
      </c>
      <c r="AE101">
        <f t="shared" si="146"/>
        <v>3.0527404766465578</v>
      </c>
      <c r="AF101" s="6">
        <f t="shared" si="127"/>
        <v>0.94057021899509496</v>
      </c>
      <c r="AG101">
        <f t="shared" si="147"/>
        <v>3.3863048272802851</v>
      </c>
      <c r="AH101" s="6">
        <f t="shared" si="128"/>
        <v>1.1521104552853734</v>
      </c>
      <c r="AI101">
        <f t="shared" si="148"/>
        <v>3.8200211691237067</v>
      </c>
      <c r="AJ101">
        <f t="shared" si="129"/>
        <v>1.4933805227621257</v>
      </c>
      <c r="AK101">
        <f t="shared" si="149"/>
        <v>4.3981290438159091</v>
      </c>
      <c r="AL101">
        <f t="shared" si="130"/>
        <v>1.9728986466399079</v>
      </c>
      <c r="AM101">
        <f t="shared" si="150"/>
        <v>5.0474388326602879</v>
      </c>
      <c r="AN101">
        <f t="shared" si="131"/>
        <v>2.5913909784294171</v>
      </c>
      <c r="AO101">
        <f t="shared" si="151"/>
        <v>4.591709751087059</v>
      </c>
      <c r="AP101">
        <f t="shared" si="132"/>
        <v>2.1481065032936968</v>
      </c>
    </row>
    <row r="102" spans="1:42" x14ac:dyDescent="0.25">
      <c r="A102" s="129">
        <v>0.6</v>
      </c>
      <c r="B102" s="259">
        <f>'Sub C_D_0'!AW112</f>
        <v>2.1802844768295922E-2</v>
      </c>
      <c r="C102" s="260">
        <f>'C_L vs. α'!X403</f>
        <v>0.15216167774264583</v>
      </c>
    </row>
    <row r="103" spans="1:42" x14ac:dyDescent="0.25">
      <c r="A103" s="139">
        <v>0.65</v>
      </c>
      <c r="B103" s="259">
        <f>'Sub C_D_0'!AW113</f>
        <v>2.2023948131771515E-2</v>
      </c>
      <c r="C103" s="260">
        <f>'C_L vs. α'!X404</f>
        <v>0.16427195887086532</v>
      </c>
    </row>
    <row r="104" spans="1:42" x14ac:dyDescent="0.25">
      <c r="A104" s="129">
        <v>0.7</v>
      </c>
      <c r="B104" s="259">
        <f>'Sub C_D_0'!AW114</f>
        <v>2.179040242561818E-2</v>
      </c>
      <c r="C104" s="260">
        <f>'C_L vs. α'!X405</f>
        <v>0.17957296921450339</v>
      </c>
    </row>
    <row r="105" spans="1:42" x14ac:dyDescent="0.25">
      <c r="A105" s="139">
        <v>0.75</v>
      </c>
      <c r="B105" s="259">
        <f>'Sub C_D_0'!AW115</f>
        <v>2.1576071388543644E-2</v>
      </c>
      <c r="C105" s="260">
        <f>'C_L vs. α'!X406</f>
        <v>0.19919440160472265</v>
      </c>
    </row>
    <row r="106" spans="1:42" x14ac:dyDescent="0.25">
      <c r="A106" s="129">
        <v>0.8</v>
      </c>
      <c r="B106" s="259">
        <f>'Sub C_D_0'!AW116</f>
        <v>2.1378232084615548E-2</v>
      </c>
      <c r="C106" s="260">
        <f>'C_L vs. α'!X407</f>
        <v>0.22470712759551215</v>
      </c>
    </row>
    <row r="107" spans="1:42" x14ac:dyDescent="0.25">
      <c r="A107" s="139">
        <v>0.85</v>
      </c>
      <c r="B107" s="259">
        <f>'Sub C_D_0'!AW117</f>
        <v>2.164879987952812E-2</v>
      </c>
      <c r="C107" s="260">
        <f>'C_L vs. α'!X408</f>
        <v>0.25871347316564169</v>
      </c>
    </row>
    <row r="108" spans="1:42" x14ac:dyDescent="0.25">
      <c r="A108" s="129">
        <v>0.9</v>
      </c>
      <c r="B108" s="259">
        <f>'Sub C_D_0'!AW118</f>
        <v>2.1474104702553256E-2</v>
      </c>
      <c r="C108" s="260">
        <f>'C_L vs. α'!X409</f>
        <v>0.29690816662707575</v>
      </c>
    </row>
    <row r="109" spans="1:42" x14ac:dyDescent="0.25">
      <c r="A109" s="139">
        <v>0.95</v>
      </c>
      <c r="B109" s="259">
        <f>'Sub C_D_0'!AW119</f>
        <v>2.1310662641511914E-2</v>
      </c>
      <c r="C109" s="260">
        <f>'C_L vs. α'!X410</f>
        <v>0.27010057359335643</v>
      </c>
    </row>
    <row r="110" spans="1:42" s="29" customFormat="1" x14ac:dyDescent="0.25">
      <c r="A110" s="11"/>
      <c r="B110" s="11"/>
      <c r="C110" s="11"/>
    </row>
    <row r="111" spans="1:42" s="29" customFormat="1" x14ac:dyDescent="0.25">
      <c r="A111" s="122" t="s">
        <v>537</v>
      </c>
      <c r="B111" s="122" t="s">
        <v>516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</row>
    <row r="112" spans="1:42" s="29" customFormat="1" x14ac:dyDescent="0.25">
      <c r="A112" s="122" t="s">
        <v>202</v>
      </c>
      <c r="B112" s="145">
        <v>20000</v>
      </c>
      <c r="C112" s="122" t="s">
        <v>538</v>
      </c>
      <c r="D112" s="122" t="s">
        <v>539</v>
      </c>
      <c r="E112" s="1" t="s">
        <v>536</v>
      </c>
      <c r="F112" s="140">
        <v>0.05</v>
      </c>
      <c r="G112" s="1" t="s">
        <v>536</v>
      </c>
      <c r="H112" s="140">
        <v>0.1</v>
      </c>
      <c r="I112" s="1" t="s">
        <v>536</v>
      </c>
      <c r="J112" s="140">
        <v>0.15</v>
      </c>
      <c r="K112" s="1" t="s">
        <v>536</v>
      </c>
      <c r="L112" s="140">
        <v>0.2</v>
      </c>
      <c r="M112" t="s">
        <v>536</v>
      </c>
      <c r="N112" s="141">
        <v>0.25</v>
      </c>
      <c r="O112" t="s">
        <v>536</v>
      </c>
      <c r="P112" s="141">
        <v>0.3</v>
      </c>
      <c r="Q112" t="s">
        <v>536</v>
      </c>
      <c r="R112" s="141">
        <v>0.35</v>
      </c>
      <c r="S112" t="s">
        <v>536</v>
      </c>
      <c r="T112" s="141">
        <v>0.4</v>
      </c>
      <c r="U112" t="s">
        <v>536</v>
      </c>
      <c r="V112" s="141">
        <v>0.45</v>
      </c>
      <c r="W112" t="s">
        <v>536</v>
      </c>
      <c r="X112" s="141">
        <v>0.5</v>
      </c>
      <c r="Y112" t="s">
        <v>536</v>
      </c>
      <c r="Z112" s="141">
        <v>0.55000000000000004</v>
      </c>
      <c r="AA112" t="s">
        <v>536</v>
      </c>
      <c r="AB112" s="141">
        <v>0.6</v>
      </c>
      <c r="AC112" t="s">
        <v>536</v>
      </c>
      <c r="AD112" s="141">
        <v>0.65</v>
      </c>
      <c r="AE112" t="s">
        <v>536</v>
      </c>
      <c r="AF112" s="141">
        <v>0.7</v>
      </c>
      <c r="AG112" t="s">
        <v>536</v>
      </c>
      <c r="AH112" s="141">
        <v>0.75</v>
      </c>
      <c r="AI112" t="s">
        <v>536</v>
      </c>
      <c r="AJ112" s="141">
        <v>0.8</v>
      </c>
      <c r="AK112" t="s">
        <v>536</v>
      </c>
      <c r="AL112" s="141">
        <v>0.85</v>
      </c>
      <c r="AM112" t="s">
        <v>536</v>
      </c>
      <c r="AN112" s="141">
        <v>0.9</v>
      </c>
      <c r="AO112" t="s">
        <v>536</v>
      </c>
      <c r="AP112" s="141">
        <v>0.95</v>
      </c>
    </row>
    <row r="113" spans="1:42" s="29" customFormat="1" x14ac:dyDescent="0.25">
      <c r="A113" s="121" t="s">
        <v>182</v>
      </c>
      <c r="B113" s="121" t="s">
        <v>534</v>
      </c>
      <c r="C113" s="121" t="s">
        <v>535</v>
      </c>
      <c r="D113" s="121" t="s">
        <v>421</v>
      </c>
      <c r="E113" s="14" t="s">
        <v>244</v>
      </c>
      <c r="F113" s="6" t="s">
        <v>245</v>
      </c>
      <c r="G113" s="14" t="s">
        <v>244</v>
      </c>
      <c r="H113" s="6" t="s">
        <v>245</v>
      </c>
      <c r="I113" s="14" t="s">
        <v>244</v>
      </c>
      <c r="J113" s="6" t="s">
        <v>245</v>
      </c>
      <c r="K113" s="14" t="s">
        <v>244</v>
      </c>
      <c r="L113" s="6" t="s">
        <v>245</v>
      </c>
      <c r="M113" t="s">
        <v>244</v>
      </c>
      <c r="N113" t="s">
        <v>245</v>
      </c>
      <c r="O113" t="s">
        <v>244</v>
      </c>
      <c r="P113" t="s">
        <v>245</v>
      </c>
      <c r="Q113" t="s">
        <v>244</v>
      </c>
      <c r="R113" t="s">
        <v>245</v>
      </c>
      <c r="S113" t="s">
        <v>244</v>
      </c>
      <c r="T113" t="s">
        <v>245</v>
      </c>
      <c r="U113" t="s">
        <v>244</v>
      </c>
      <c r="V113" t="s">
        <v>245</v>
      </c>
      <c r="W113" t="s">
        <v>244</v>
      </c>
      <c r="X113" t="s">
        <v>245</v>
      </c>
      <c r="Y113" t="s">
        <v>244</v>
      </c>
      <c r="Z113" t="s">
        <v>245</v>
      </c>
      <c r="AA113" t="s">
        <v>244</v>
      </c>
      <c r="AB113" t="s">
        <v>245</v>
      </c>
      <c r="AC113" t="s">
        <v>244</v>
      </c>
      <c r="AD113" t="s">
        <v>245</v>
      </c>
      <c r="AE113" t="s">
        <v>244</v>
      </c>
      <c r="AF113" t="s">
        <v>245</v>
      </c>
      <c r="AG113" t="s">
        <v>244</v>
      </c>
      <c r="AH113" t="s">
        <v>245</v>
      </c>
      <c r="AI113" t="s">
        <v>244</v>
      </c>
      <c r="AJ113" t="s">
        <v>245</v>
      </c>
      <c r="AK113" t="s">
        <v>244</v>
      </c>
      <c r="AL113" t="s">
        <v>245</v>
      </c>
      <c r="AM113" t="s">
        <v>244</v>
      </c>
      <c r="AN113" t="s">
        <v>245</v>
      </c>
      <c r="AO113" t="s">
        <v>244</v>
      </c>
      <c r="AP113" t="s">
        <v>245</v>
      </c>
    </row>
    <row r="114" spans="1:42" s="29" customFormat="1" x14ac:dyDescent="0.25">
      <c r="A114" s="129">
        <v>0</v>
      </c>
      <c r="B114" s="129" t="e">
        <f>'Sub C_D_0'!AW130</f>
        <v>#DIV/0!</v>
      </c>
      <c r="C114" s="129" t="e">
        <f>'C_L vs. α'!X416</f>
        <v>#NUM!</v>
      </c>
      <c r="D114" s="144">
        <v>-6</v>
      </c>
      <c r="E114" s="14">
        <f>(D90-$B$12)*$C$115</f>
        <v>-0.53036156480613783</v>
      </c>
      <c r="F114" s="6">
        <f t="shared" ref="F114:F125" si="152">$B$91+$B$7*E114^2+$B$8*(E114-E$93)^2</f>
        <v>6.2364166955909836E-2</v>
      </c>
      <c r="G114" s="14">
        <f>(D90-$B$12)*$C$116</f>
        <v>-0.53455971110627809</v>
      </c>
      <c r="H114" s="6">
        <f t="shared" ref="H114:H125" si="153">$B$92+$B$7*G114^2+$B$8*(G114-G$93)^2</f>
        <v>5.9448752785278836E-2</v>
      </c>
      <c r="I114" s="14">
        <f>(D90-$B$12)*$C$117</f>
        <v>-0.5408188203815798</v>
      </c>
      <c r="J114" s="6">
        <f t="shared" ref="J114:J125" si="154">$B$93+$B$7*I114^2+$B$8*(I114-I$93)^2</f>
        <v>5.8428701187218483E-2</v>
      </c>
      <c r="K114" s="14">
        <f>(D90-$B$12)*$C$118</f>
        <v>-0.54943570808744879</v>
      </c>
      <c r="L114" s="6">
        <f t="shared" ref="L114:L125" si="155">$B$94+$B$7*K114^2+$B$8*(K114-K$93)^2</f>
        <v>5.8303191067560586E-2</v>
      </c>
      <c r="M114">
        <f>(D90-$B$12)*$C$119</f>
        <v>-0.56069392025683906</v>
      </c>
      <c r="N114" s="6">
        <f t="shared" ref="N114:N125" si="156">$B$95+$B$7*M114^2+$B$8*(M114-M$93)^2</f>
        <v>5.8825441698350772E-2</v>
      </c>
      <c r="O114">
        <f>(D90-$B$12)*$C$120</f>
        <v>-0.57436834237939349</v>
      </c>
      <c r="P114" s="6">
        <f t="shared" ref="P114:P125" si="157">$B$96+$B$7*O114^2+$B$8*(O114-O$93)^2</f>
        <v>6.0339609304900822E-2</v>
      </c>
      <c r="Q114">
        <f>(D90-$B$12)*$C$121</f>
        <v>-0.59206118574642441</v>
      </c>
      <c r="R114" s="6">
        <f t="shared" ref="R114:R125" si="158">$B$97+$B$7*Q114^2+$B$8*(Q114-Q$93)^2</f>
        <v>6.2050280569034034E-2</v>
      </c>
      <c r="S114">
        <f>(D90-$B$12)*$C$122</f>
        <v>-0.61376167773855217</v>
      </c>
      <c r="T114" s="6">
        <f t="shared" ref="T114:T125" si="159">$B$98+$B$7*S114^2+$B$8*(S114-S$93)^2</f>
        <v>6.4455384178650918E-2</v>
      </c>
      <c r="U114">
        <f>(D90-$B$12)*$C$123</f>
        <v>-0.64023911999598104</v>
      </c>
      <c r="V114" s="6">
        <f t="shared" ref="V114:V125" si="160">$B$99+$B$7*U114^2+$B$8*(U114-U$93)^2</f>
        <v>6.7697318188461586E-2</v>
      </c>
      <c r="W114">
        <f>(D90-$B$12)*$C$124</f>
        <v>-0.67252898508824444</v>
      </c>
      <c r="X114" s="6">
        <f t="shared" ref="X114:X125" si="161">$B$100+$B$7*W114^2+$B$8*(W114-W$93)^2</f>
        <v>7.1996771864704684E-2</v>
      </c>
      <c r="Y114">
        <f>(D90-$B$12)*$C$125</f>
        <v>-0.71204402915096998</v>
      </c>
      <c r="Z114" s="6">
        <f t="shared" ref="Z114:Z125" si="162">$B$101+$B$7*Y114^2+$B$8*(Y114-Y$93)^2</f>
        <v>7.7687049159465379E-2</v>
      </c>
      <c r="AA114">
        <f>(D90-$B$12)*$C$126</f>
        <v>-0.76074347135376252</v>
      </c>
      <c r="AB114" s="6">
        <f t="shared" ref="AB114:AB125" si="163">$B$102+$B$7*AA114^2+$B$8*(AA114-AA$93)^2</f>
        <v>8.5274713289715309E-2</v>
      </c>
      <c r="AC114">
        <f>(D90-$B$12)*$C$127</f>
        <v>-0.82161316956188113</v>
      </c>
      <c r="AD114" s="6">
        <f t="shared" ref="AD114:AD125" si="164">$B$103+$B$7*AC114^2+$B$8*(AC114-AC$93)^2</f>
        <v>9.6056826048320124E-2</v>
      </c>
      <c r="AE114">
        <f>(D90-$B$12)*$C$128</f>
        <v>-0.89862849913771381</v>
      </c>
      <c r="AF114" s="6">
        <f t="shared" ref="AF114:AF125" si="165">$B$104+$B$7*AE114^2+$B$8*(AE114-AE$93)^2</f>
        <v>0.11034877828885283</v>
      </c>
      <c r="AG114">
        <f>(D90-$B$12)*$C$129</f>
        <v>-0.99759600101138379</v>
      </c>
      <c r="AH114" s="6">
        <f t="shared" ref="AH114:AH125" si="166">$B$105+$B$7*AG114^2+$B$8*(AG114-AG$93)^2</f>
        <v>0.13070731141140887</v>
      </c>
      <c r="AI114">
        <f>(D90-$B$12)*$C$130</f>
        <v>-1.1267401821825895</v>
      </c>
      <c r="AJ114">
        <f t="shared" ref="AJ114:AJ125" si="167">$B$106+$B$9*AI114^2</f>
        <v>0.14944147987577983</v>
      </c>
      <c r="AK114">
        <f>(D90-$B$12)*$C$131</f>
        <v>-1.3003243638634014</v>
      </c>
      <c r="AL114">
        <f t="shared" ref="AL114:AL125" si="168">$B$107+$B$9*AK114^2</f>
        <v>0.19221004053370974</v>
      </c>
      <c r="AM114">
        <f>(D90-$B$12)*$C$132</f>
        <v>-1.500194823498231</v>
      </c>
      <c r="AN114">
        <f t="shared" ref="AN114:AN125" si="169">$B$108+$B$9*AM114^2</f>
        <v>0.24849836627635546</v>
      </c>
      <c r="AO114">
        <f>(D90-$B$12)*$C$133</f>
        <v>-1.4018055583044036</v>
      </c>
      <c r="AP114">
        <f t="shared" ref="AP114:AP125" si="170">$B$109+$B$9*AO114^2</f>
        <v>0.21953295850823046</v>
      </c>
    </row>
    <row r="115" spans="1:42" s="29" customFormat="1" x14ac:dyDescent="0.25">
      <c r="A115" s="139">
        <v>0.05</v>
      </c>
      <c r="B115" s="259">
        <f>'Sub C_D_0'!AW131</f>
        <v>3.5308840303329841E-2</v>
      </c>
      <c r="C115" s="260">
        <f>'C_L vs. α'!X417</f>
        <v>0.10607231296122756</v>
      </c>
      <c r="D115" s="144">
        <v>-4</v>
      </c>
      <c r="E115" s="14">
        <f t="shared" ref="E115:E125" si="171">(D91-$B$12)*$C$115</f>
        <v>-0.31821693888368269</v>
      </c>
      <c r="F115" s="6">
        <f t="shared" si="152"/>
        <v>4.3303398143304986E-2</v>
      </c>
      <c r="G115" s="14">
        <f t="shared" ref="G115:G125" si="172">(D91-$B$12)*$C$116</f>
        <v>-0.32073582666376682</v>
      </c>
      <c r="H115" s="6">
        <f t="shared" si="153"/>
        <v>4.0084948015095941E-2</v>
      </c>
      <c r="I115" s="14">
        <f t="shared" ref="I115:I125" si="173">(D91-$B$12)*$C$117</f>
        <v>-0.32449129222894785</v>
      </c>
      <c r="J115" s="6">
        <f t="shared" si="154"/>
        <v>3.8608836242090119E-2</v>
      </c>
      <c r="K115" s="14">
        <f t="shared" ref="K115:K125" si="174">(D91-$B$12)*$C$118</f>
        <v>-0.3296614248524693</v>
      </c>
      <c r="L115" s="6">
        <f t="shared" si="155"/>
        <v>3.7846798085978899E-2</v>
      </c>
      <c r="M115">
        <f t="shared" ref="M115:M125" si="175">(D91-$B$12)*$C$119</f>
        <v>-0.33641635215410348</v>
      </c>
      <c r="N115" s="6">
        <f t="shared" si="156"/>
        <v>3.7522238307658509E-2</v>
      </c>
      <c r="O115">
        <f t="shared" ref="O115:O125" si="176">(D91-$B$12)*$C$120</f>
        <v>-0.34462100542763607</v>
      </c>
      <c r="P115" s="6">
        <f t="shared" si="157"/>
        <v>3.7984694047576414E-2</v>
      </c>
      <c r="Q115">
        <f t="shared" ref="Q115:Q125" si="177">(D91-$B$12)*$C$121</f>
        <v>-0.35523671144785463</v>
      </c>
      <c r="R115" s="6">
        <f t="shared" si="158"/>
        <v>3.8297041890902231E-2</v>
      </c>
      <c r="S115">
        <f t="shared" ref="S115:S125" si="178">(D91-$B$12)*$C$122</f>
        <v>-0.36825700664313127</v>
      </c>
      <c r="T115" s="6">
        <f t="shared" si="159"/>
        <v>3.8929171307374083E-2</v>
      </c>
      <c r="U115">
        <f t="shared" ref="U115:U125" si="179">(D91-$B$12)*$C$123</f>
        <v>-0.38414347199758858</v>
      </c>
      <c r="V115" s="6">
        <f t="shared" si="160"/>
        <v>3.9921429423962547E-2</v>
      </c>
      <c r="W115">
        <f t="shared" ref="W115:W125" si="180">(D91-$B$12)*$C$124</f>
        <v>-0.40351739105294671</v>
      </c>
      <c r="X115" s="6">
        <f t="shared" si="161"/>
        <v>4.1348807958619858E-2</v>
      </c>
      <c r="Y115">
        <f t="shared" ref="Y115:Y125" si="181">(D91-$B$12)*$C$125</f>
        <v>-0.42722641749058199</v>
      </c>
      <c r="Z115" s="6">
        <f t="shared" si="162"/>
        <v>4.3332162011189793E-2</v>
      </c>
      <c r="AA115">
        <f t="shared" ref="AA115:AA125" si="182">(D91-$B$12)*$C$126</f>
        <v>-0.45644608281225751</v>
      </c>
      <c r="AB115" s="6">
        <f t="shared" si="163"/>
        <v>4.6060335719183498E-2</v>
      </c>
      <c r="AC115">
        <f t="shared" ref="AC115:AC125" si="183">(D91-$B$12)*$C$127</f>
        <v>-0.49296790173712868</v>
      </c>
      <c r="AD115" s="6">
        <f t="shared" si="164"/>
        <v>5.0316888566622385E-2</v>
      </c>
      <c r="AE115">
        <f t="shared" ref="AE115:AE125" si="184">(D91-$B$12)*$C$128</f>
        <v>-0.53917709948262837</v>
      </c>
      <c r="AF115" s="6">
        <f t="shared" si="165"/>
        <v>5.5633318435655776E-2</v>
      </c>
      <c r="AG115">
        <f t="shared" ref="AG115:AG125" si="185">(D91-$B$12)*$C$129</f>
        <v>-0.59855760060683028</v>
      </c>
      <c r="AH115" s="6">
        <f t="shared" si="166"/>
        <v>6.3278870609308993E-2</v>
      </c>
      <c r="AI115">
        <f t="shared" ref="AI115:AI125" si="186">(D91-$B$12)*$C$130</f>
        <v>-0.67604410930955372</v>
      </c>
      <c r="AJ115">
        <f t="shared" si="167"/>
        <v>6.7481001289434683E-2</v>
      </c>
      <c r="AK115">
        <f t="shared" ref="AK115:AK125" si="187">(D91-$B$12)*$C$131</f>
        <v>-0.78019461831804093</v>
      </c>
      <c r="AL115">
        <f t="shared" si="168"/>
        <v>8.3050846515033527E-2</v>
      </c>
      <c r="AM115">
        <f t="shared" ref="AM115:AM125" si="188">(D91-$B$12)*$C$132</f>
        <v>-0.90011689409893858</v>
      </c>
      <c r="AN115">
        <f t="shared" si="169"/>
        <v>0.10320283886912206</v>
      </c>
      <c r="AO115">
        <f t="shared" ref="AO115:AO125" si="189">(D91-$B$12)*$C$133</f>
        <v>-0.84108333498264221</v>
      </c>
      <c r="AP115">
        <f t="shared" si="170"/>
        <v>9.2670689153530605E-2</v>
      </c>
    </row>
    <row r="116" spans="1:42" s="29" customFormat="1" x14ac:dyDescent="0.25">
      <c r="A116" s="129">
        <v>0.1</v>
      </c>
      <c r="B116" s="259">
        <f>'Sub C_D_0'!AW132</f>
        <v>3.1331544788876856E-2</v>
      </c>
      <c r="C116" s="260">
        <f>'C_L vs. α'!X418</f>
        <v>0.10691194222125561</v>
      </c>
      <c r="D116" s="144">
        <v>-2</v>
      </c>
      <c r="E116" s="14">
        <f t="shared" si="171"/>
        <v>-0.10607231296122756</v>
      </c>
      <c r="F116" s="6">
        <f t="shared" si="152"/>
        <v>3.3322319132112942E-2</v>
      </c>
      <c r="G116" s="14">
        <f t="shared" si="172"/>
        <v>-0.10691194222125561</v>
      </c>
      <c r="H116" s="6">
        <f t="shared" si="153"/>
        <v>2.9945144897568384E-2</v>
      </c>
      <c r="I116" s="14">
        <f t="shared" si="173"/>
        <v>-0.10816376407631595</v>
      </c>
      <c r="J116" s="6">
        <f t="shared" si="154"/>
        <v>2.8230243478151517E-2</v>
      </c>
      <c r="K116" s="14">
        <f t="shared" si="174"/>
        <v>-0.10988714161748976</v>
      </c>
      <c r="L116" s="6">
        <f t="shared" si="155"/>
        <v>2.7134930391410201E-2</v>
      </c>
      <c r="M116">
        <f t="shared" si="175"/>
        <v>-0.11213878405136782</v>
      </c>
      <c r="N116" s="6">
        <f t="shared" si="156"/>
        <v>2.6366991929405711E-2</v>
      </c>
      <c r="O116">
        <f t="shared" si="176"/>
        <v>-0.1148736684758787</v>
      </c>
      <c r="P116" s="6">
        <f t="shared" si="157"/>
        <v>2.6278756413507784E-2</v>
      </c>
      <c r="Q116">
        <f t="shared" si="177"/>
        <v>-0.11841223714928488</v>
      </c>
      <c r="R116" s="6">
        <f t="shared" si="158"/>
        <v>2.5858947755900436E-2</v>
      </c>
      <c r="S116">
        <f t="shared" si="178"/>
        <v>-0.12275233554771042</v>
      </c>
      <c r="T116" s="6">
        <f t="shared" si="159"/>
        <v>2.5562759267052752E-2</v>
      </c>
      <c r="U116">
        <f t="shared" si="179"/>
        <v>-0.1280478239991962</v>
      </c>
      <c r="V116" s="6">
        <f t="shared" si="160"/>
        <v>2.5377109444043162E-2</v>
      </c>
      <c r="W116">
        <f t="shared" si="180"/>
        <v>-0.13450579701764889</v>
      </c>
      <c r="X116" s="6">
        <f t="shared" si="161"/>
        <v>2.5300712349021121E-2</v>
      </c>
      <c r="Y116">
        <f t="shared" si="181"/>
        <v>-0.142408805830194</v>
      </c>
      <c r="Z116" s="6">
        <f t="shared" si="162"/>
        <v>2.5343202362839084E-2</v>
      </c>
      <c r="AA116">
        <f t="shared" si="182"/>
        <v>-0.1521486942707525</v>
      </c>
      <c r="AB116" s="6">
        <f t="shared" si="163"/>
        <v>2.5527098910453967E-2</v>
      </c>
      <c r="AC116">
        <f t="shared" si="183"/>
        <v>-0.16432263391237623</v>
      </c>
      <c r="AD116" s="6">
        <f t="shared" si="164"/>
        <v>2.6367175787389265E-2</v>
      </c>
      <c r="AE116">
        <f t="shared" si="184"/>
        <v>-0.17972569982754277</v>
      </c>
      <c r="AF116" s="6">
        <f t="shared" si="165"/>
        <v>2.6984633406569782E-2</v>
      </c>
      <c r="AG116">
        <f t="shared" si="185"/>
        <v>-0.19951920020227676</v>
      </c>
      <c r="AH116" s="6">
        <f t="shared" si="166"/>
        <v>2.7974925900541243E-2</v>
      </c>
      <c r="AI116">
        <f t="shared" si="186"/>
        <v>-0.22534803643651791</v>
      </c>
      <c r="AJ116">
        <f t="shared" si="167"/>
        <v>2.6500761996262119E-2</v>
      </c>
      <c r="AK116">
        <f t="shared" si="187"/>
        <v>-0.26006487277268031</v>
      </c>
      <c r="AL116">
        <f t="shared" si="168"/>
        <v>2.8471249505695385E-2</v>
      </c>
      <c r="AM116">
        <f t="shared" si="188"/>
        <v>-0.30003896469964619</v>
      </c>
      <c r="AN116">
        <f t="shared" si="169"/>
        <v>3.0555075165505343E-2</v>
      </c>
      <c r="AO116">
        <f t="shared" si="189"/>
        <v>-0.28036111166088074</v>
      </c>
      <c r="AP116">
        <f t="shared" si="170"/>
        <v>2.9239554476180658E-2</v>
      </c>
    </row>
    <row r="117" spans="1:42" s="29" customFormat="1" x14ac:dyDescent="0.25">
      <c r="A117" s="139">
        <v>0.15</v>
      </c>
      <c r="B117" s="259">
        <f>'Sub C_D_0'!AW133</f>
        <v>2.9289729771875564E-2</v>
      </c>
      <c r="C117" s="260">
        <f>'C_L vs. α'!X419</f>
        <v>0.10816376407631595</v>
      </c>
      <c r="D117" s="143">
        <v>0</v>
      </c>
      <c r="E117" s="83">
        <f t="shared" si="171"/>
        <v>0.10607231296122756</v>
      </c>
      <c r="F117" s="21">
        <f t="shared" si="152"/>
        <v>3.2420929922333704E-2</v>
      </c>
      <c r="G117" s="83">
        <f t="shared" si="172"/>
        <v>0.10691194222125561</v>
      </c>
      <c r="H117" s="21">
        <f t="shared" si="153"/>
        <v>2.9029343432696159E-2</v>
      </c>
      <c r="I117" s="83">
        <f t="shared" si="173"/>
        <v>0.10816376407631595</v>
      </c>
      <c r="J117" s="21">
        <f t="shared" si="154"/>
        <v>2.7292922895402669E-2</v>
      </c>
      <c r="K117" s="83">
        <f t="shared" si="174"/>
        <v>0.10988714161748976</v>
      </c>
      <c r="L117" s="21">
        <f t="shared" si="155"/>
        <v>2.6167587983854493E-2</v>
      </c>
      <c r="M117" s="99">
        <f t="shared" si="175"/>
        <v>0.11213878405136782</v>
      </c>
      <c r="N117" s="21">
        <f t="shared" si="156"/>
        <v>2.5359702563592386E-2</v>
      </c>
      <c r="O117" s="99">
        <f t="shared" si="176"/>
        <v>0.1148736684758787</v>
      </c>
      <c r="P117" s="21">
        <f t="shared" si="157"/>
        <v>2.5221796402694948E-2</v>
      </c>
      <c r="Q117" s="99">
        <f t="shared" si="177"/>
        <v>0.11841223714928488</v>
      </c>
      <c r="R117" s="21">
        <f t="shared" si="158"/>
        <v>2.473599816402864E-2</v>
      </c>
      <c r="S117" s="99">
        <f t="shared" si="178"/>
        <v>0.12275233554771042</v>
      </c>
      <c r="T117" s="21">
        <f t="shared" si="159"/>
        <v>2.435614805768694E-2</v>
      </c>
      <c r="U117" s="99">
        <f t="shared" si="179"/>
        <v>0.1280478239991962</v>
      </c>
      <c r="V117" s="21">
        <f t="shared" si="160"/>
        <v>2.4064358248703416E-2</v>
      </c>
      <c r="W117" s="99">
        <f t="shared" si="180"/>
        <v>0.13450579701764889</v>
      </c>
      <c r="X117" s="21">
        <f t="shared" si="161"/>
        <v>2.3852485035908474E-2</v>
      </c>
      <c r="Y117" s="99">
        <f t="shared" si="181"/>
        <v>0.142408805830194</v>
      </c>
      <c r="Z117" s="21">
        <f t="shared" si="162"/>
        <v>2.3720170214413264E-2</v>
      </c>
      <c r="AA117" s="99">
        <f t="shared" si="182"/>
        <v>0.1521486942707525</v>
      </c>
      <c r="AB117" s="21">
        <f t="shared" si="163"/>
        <v>2.3675002863526719E-2</v>
      </c>
      <c r="AC117" s="99">
        <f t="shared" si="183"/>
        <v>0.16432263391237623</v>
      </c>
      <c r="AD117" s="21">
        <f t="shared" si="164"/>
        <v>2.4207687710620776E-2</v>
      </c>
      <c r="AE117" s="99">
        <f t="shared" si="184"/>
        <v>0.17972569982754277</v>
      </c>
      <c r="AF117" s="21">
        <f t="shared" si="165"/>
        <v>2.4402723201594867E-2</v>
      </c>
      <c r="AG117" s="99">
        <f t="shared" si="185"/>
        <v>0.19951920020227676</v>
      </c>
      <c r="AH117" s="21">
        <f t="shared" si="166"/>
        <v>2.4795477285105616E-2</v>
      </c>
      <c r="AI117" s="99">
        <f t="shared" si="186"/>
        <v>0.22534803643651791</v>
      </c>
      <c r="AJ117" s="99">
        <f t="shared" si="167"/>
        <v>2.6500761996262119E-2</v>
      </c>
      <c r="AK117" s="99">
        <f t="shared" si="187"/>
        <v>0.26006487277268031</v>
      </c>
      <c r="AL117" s="99">
        <f t="shared" si="168"/>
        <v>2.8471249505695385E-2</v>
      </c>
      <c r="AM117" s="99">
        <f t="shared" si="188"/>
        <v>0.30003896469964619</v>
      </c>
      <c r="AN117" s="99">
        <f t="shared" si="169"/>
        <v>3.0555075165505343E-2</v>
      </c>
      <c r="AO117" s="99">
        <f t="shared" si="189"/>
        <v>0.28036111166088074</v>
      </c>
      <c r="AP117" s="99">
        <f t="shared" si="170"/>
        <v>2.9239554476180658E-2</v>
      </c>
    </row>
    <row r="118" spans="1:42" s="29" customFormat="1" x14ac:dyDescent="0.25">
      <c r="A118" s="129">
        <v>0.2</v>
      </c>
      <c r="B118" s="259">
        <f>'Sub C_D_0'!AW134</f>
        <v>2.7951913973968241E-2</v>
      </c>
      <c r="C118" s="260">
        <f>'C_L vs. α'!X420</f>
        <v>0.10988714161748976</v>
      </c>
      <c r="D118" s="144">
        <v>2</v>
      </c>
      <c r="E118" s="14">
        <f t="shared" si="171"/>
        <v>0.31821693888368269</v>
      </c>
      <c r="F118" s="6">
        <f t="shared" si="152"/>
        <v>4.0599230513967278E-2</v>
      </c>
      <c r="G118" s="14">
        <f t="shared" si="172"/>
        <v>0.32073582666376682</v>
      </c>
      <c r="H118" s="6">
        <f t="shared" si="153"/>
        <v>3.7337543620479266E-2</v>
      </c>
      <c r="I118" s="14">
        <f t="shared" si="173"/>
        <v>0.32449129222894785</v>
      </c>
      <c r="J118" s="6">
        <f t="shared" si="154"/>
        <v>3.5796874493843577E-2</v>
      </c>
      <c r="K118" s="14">
        <f t="shared" si="174"/>
        <v>0.3296614248524693</v>
      </c>
      <c r="L118" s="6">
        <f t="shared" si="155"/>
        <v>3.4944770863311776E-2</v>
      </c>
      <c r="M118">
        <f t="shared" si="175"/>
        <v>0.33641635215410348</v>
      </c>
      <c r="N118" s="6">
        <f t="shared" si="156"/>
        <v>3.4500370210218533E-2</v>
      </c>
      <c r="O118">
        <f t="shared" si="176"/>
        <v>0.34462100542763607</v>
      </c>
      <c r="P118" s="6">
        <f t="shared" si="157"/>
        <v>3.4813814015137903E-2</v>
      </c>
      <c r="Q118">
        <f t="shared" si="177"/>
        <v>0.35523671144785463</v>
      </c>
      <c r="R118" s="6">
        <f t="shared" si="158"/>
        <v>3.4928193115286839E-2</v>
      </c>
      <c r="S118">
        <f t="shared" si="178"/>
        <v>0.36825700664313127</v>
      </c>
      <c r="T118" s="6">
        <f t="shared" si="159"/>
        <v>3.5309337679276645E-2</v>
      </c>
      <c r="U118">
        <f t="shared" si="179"/>
        <v>0.38414347199758858</v>
      </c>
      <c r="V118" s="6">
        <f t="shared" si="160"/>
        <v>3.5983175837943311E-2</v>
      </c>
      <c r="W118">
        <f t="shared" si="180"/>
        <v>0.40351739105294671</v>
      </c>
      <c r="X118" s="6">
        <f t="shared" si="161"/>
        <v>3.7004126019281915E-2</v>
      </c>
      <c r="Y118">
        <f t="shared" si="181"/>
        <v>0.42722641749058199</v>
      </c>
      <c r="Z118" s="6">
        <f t="shared" si="162"/>
        <v>3.8463065565912335E-2</v>
      </c>
      <c r="AA118">
        <f t="shared" si="182"/>
        <v>0.45644608281225751</v>
      </c>
      <c r="AB118" s="6">
        <f t="shared" si="163"/>
        <v>4.0504047578401751E-2</v>
      </c>
      <c r="AC118">
        <f t="shared" si="183"/>
        <v>0.49296790173712868</v>
      </c>
      <c r="AD118" s="6">
        <f t="shared" si="164"/>
        <v>4.3838424336316913E-2</v>
      </c>
      <c r="AE118">
        <f t="shared" si="184"/>
        <v>0.53917709948262837</v>
      </c>
      <c r="AF118" s="6">
        <f t="shared" si="165"/>
        <v>4.7887587820731034E-2</v>
      </c>
      <c r="AG118">
        <f t="shared" si="185"/>
        <v>0.59855760060683028</v>
      </c>
      <c r="AH118" s="6">
        <f t="shared" si="166"/>
        <v>5.3740524763002104E-2</v>
      </c>
      <c r="AI118">
        <f t="shared" si="186"/>
        <v>0.67604410930955372</v>
      </c>
      <c r="AJ118">
        <f t="shared" si="167"/>
        <v>6.7481001289434683E-2</v>
      </c>
      <c r="AK118">
        <f t="shared" si="187"/>
        <v>0.78019461831804093</v>
      </c>
      <c r="AL118">
        <f t="shared" si="168"/>
        <v>8.3050846515033527E-2</v>
      </c>
      <c r="AM118">
        <f t="shared" si="188"/>
        <v>0.90011689409893858</v>
      </c>
      <c r="AN118">
        <f t="shared" si="169"/>
        <v>0.10320283886912206</v>
      </c>
      <c r="AO118">
        <f t="shared" si="189"/>
        <v>0.84108333498264221</v>
      </c>
      <c r="AP118">
        <f t="shared" si="170"/>
        <v>9.2670689153530605E-2</v>
      </c>
    </row>
    <row r="119" spans="1:42" s="29" customFormat="1" x14ac:dyDescent="0.25">
      <c r="A119" s="139">
        <v>0.25</v>
      </c>
      <c r="B119" s="259">
        <f>'Sub C_D_0'!AW135</f>
        <v>2.6972191476001262E-2</v>
      </c>
      <c r="C119" s="260">
        <f>'C_L vs. α'!X421</f>
        <v>0.11213878405136782</v>
      </c>
      <c r="D119" s="144">
        <v>4</v>
      </c>
      <c r="E119" s="14">
        <f t="shared" si="171"/>
        <v>0.53036156480613783</v>
      </c>
      <c r="F119" s="6">
        <f t="shared" si="152"/>
        <v>5.7857220907013653E-2</v>
      </c>
      <c r="G119" s="14">
        <f t="shared" si="172"/>
        <v>0.53455971110627809</v>
      </c>
      <c r="H119" s="6">
        <f t="shared" si="153"/>
        <v>5.4869745460917711E-2</v>
      </c>
      <c r="I119" s="14">
        <f t="shared" si="173"/>
        <v>0.5408188203815798</v>
      </c>
      <c r="J119" s="6">
        <f t="shared" si="154"/>
        <v>5.3742098273474252E-2</v>
      </c>
      <c r="K119" s="14">
        <f t="shared" si="174"/>
        <v>0.54943570808744879</v>
      </c>
      <c r="L119" s="6">
        <f t="shared" si="155"/>
        <v>5.3466479029782049E-2</v>
      </c>
      <c r="M119">
        <f t="shared" si="175"/>
        <v>0.56069392025683906</v>
      </c>
      <c r="N119" s="6">
        <f t="shared" si="156"/>
        <v>5.3788994869284137E-2</v>
      </c>
      <c r="O119">
        <f t="shared" si="176"/>
        <v>0.57436834237939349</v>
      </c>
      <c r="P119" s="6">
        <f t="shared" si="157"/>
        <v>5.5054809250836639E-2</v>
      </c>
      <c r="Q119">
        <f t="shared" si="177"/>
        <v>0.59206118574642441</v>
      </c>
      <c r="R119" s="6">
        <f t="shared" si="158"/>
        <v>5.643553260967505E-2</v>
      </c>
      <c r="S119">
        <f t="shared" si="178"/>
        <v>0.61376167773855217</v>
      </c>
      <c r="T119" s="6">
        <f t="shared" si="159"/>
        <v>5.8422328131821855E-2</v>
      </c>
      <c r="U119">
        <f t="shared" si="179"/>
        <v>0.64023911999598104</v>
      </c>
      <c r="V119" s="6">
        <f t="shared" si="160"/>
        <v>6.1133562211762853E-2</v>
      </c>
      <c r="W119">
        <f t="shared" si="180"/>
        <v>0.67252898508824444</v>
      </c>
      <c r="X119" s="6">
        <f t="shared" si="161"/>
        <v>6.475563529914144E-2</v>
      </c>
      <c r="Y119">
        <f t="shared" si="181"/>
        <v>0.71204402915096998</v>
      </c>
      <c r="Z119" s="6">
        <f t="shared" si="162"/>
        <v>6.9571888417336289E-2</v>
      </c>
      <c r="AA119">
        <f t="shared" si="182"/>
        <v>0.76074347135376252</v>
      </c>
      <c r="AB119" s="6">
        <f t="shared" si="163"/>
        <v>7.6014233055079067E-2</v>
      </c>
      <c r="AC119">
        <f t="shared" si="183"/>
        <v>0.82161316956188113</v>
      </c>
      <c r="AD119" s="6">
        <f t="shared" si="164"/>
        <v>8.5259385664477674E-2</v>
      </c>
      <c r="AE119">
        <f t="shared" si="184"/>
        <v>0.89862849913771381</v>
      </c>
      <c r="AF119" s="6">
        <f t="shared" si="165"/>
        <v>9.7439227263978259E-2</v>
      </c>
      <c r="AG119">
        <f t="shared" si="185"/>
        <v>0.99759600101138379</v>
      </c>
      <c r="AH119" s="6">
        <f t="shared" si="166"/>
        <v>0.11481006833423071</v>
      </c>
      <c r="AI119">
        <f t="shared" si="186"/>
        <v>1.1267401821825895</v>
      </c>
      <c r="AJ119">
        <f t="shared" si="167"/>
        <v>0.14944147987577983</v>
      </c>
      <c r="AK119">
        <f t="shared" si="187"/>
        <v>1.3003243638634014</v>
      </c>
      <c r="AL119">
        <f t="shared" si="168"/>
        <v>0.19221004053370974</v>
      </c>
      <c r="AM119">
        <f t="shared" si="188"/>
        <v>1.500194823498231</v>
      </c>
      <c r="AN119">
        <f t="shared" si="169"/>
        <v>0.24849836627635546</v>
      </c>
      <c r="AO119">
        <f t="shared" si="189"/>
        <v>1.4018055583044036</v>
      </c>
      <c r="AP119">
        <f t="shared" si="170"/>
        <v>0.21953295850823046</v>
      </c>
    </row>
    <row r="120" spans="1:42" s="29" customFormat="1" x14ac:dyDescent="0.25">
      <c r="A120" s="129">
        <v>0.3</v>
      </c>
      <c r="B120" s="259">
        <f>'Sub C_D_0'!AW136</f>
        <v>2.6733130634183498E-2</v>
      </c>
      <c r="C120" s="260">
        <f>'C_L vs. α'!X422</f>
        <v>0.1148736684758787</v>
      </c>
      <c r="D120" s="144">
        <v>6</v>
      </c>
      <c r="E120" s="14">
        <f t="shared" si="171"/>
        <v>0.74250619072859292</v>
      </c>
      <c r="F120" s="6">
        <f t="shared" si="152"/>
        <v>8.4194901101472833E-2</v>
      </c>
      <c r="G120" s="14">
        <f t="shared" si="172"/>
        <v>0.74838359554878919</v>
      </c>
      <c r="H120" s="6">
        <f t="shared" si="153"/>
        <v>8.1625948954011471E-2</v>
      </c>
      <c r="I120" s="14">
        <f t="shared" si="173"/>
        <v>0.75714634853421159</v>
      </c>
      <c r="J120" s="6">
        <f t="shared" si="154"/>
        <v>8.1128594234294638E-2</v>
      </c>
      <c r="K120" s="14">
        <f t="shared" si="174"/>
        <v>0.76920999132242829</v>
      </c>
      <c r="L120" s="6">
        <f t="shared" si="155"/>
        <v>8.1732712483265302E-2</v>
      </c>
      <c r="M120">
        <f t="shared" si="175"/>
        <v>0.78497148835957475</v>
      </c>
      <c r="N120" s="6">
        <f t="shared" si="156"/>
        <v>8.3225576540789215E-2</v>
      </c>
      <c r="O120">
        <f t="shared" si="176"/>
        <v>0.80411567933115091</v>
      </c>
      <c r="P120" s="6">
        <f t="shared" si="157"/>
        <v>8.5944782109791173E-2</v>
      </c>
      <c r="Q120">
        <f t="shared" si="177"/>
        <v>0.8288856600449942</v>
      </c>
      <c r="R120" s="6">
        <f t="shared" si="158"/>
        <v>8.9258016647193253E-2</v>
      </c>
      <c r="S120">
        <f t="shared" si="178"/>
        <v>0.8592663488339729</v>
      </c>
      <c r="T120" s="6">
        <f t="shared" si="159"/>
        <v>9.3695119415322561E-2</v>
      </c>
      <c r="U120">
        <f t="shared" si="179"/>
        <v>0.89633476799437339</v>
      </c>
      <c r="V120" s="6">
        <f t="shared" si="160"/>
        <v>9.9515517370162024E-2</v>
      </c>
      <c r="W120">
        <f t="shared" si="180"/>
        <v>0.94154057912354228</v>
      </c>
      <c r="X120" s="6">
        <f t="shared" si="161"/>
        <v>0.10710701287548709</v>
      </c>
      <c r="Y120">
        <f t="shared" si="181"/>
        <v>0.99686164081135797</v>
      </c>
      <c r="Z120" s="6">
        <f t="shared" si="162"/>
        <v>0.11704663876868515</v>
      </c>
      <c r="AA120">
        <f t="shared" si="182"/>
        <v>1.0650408598952676</v>
      </c>
      <c r="AB120" s="6">
        <f t="shared" si="163"/>
        <v>0.1302055592935587</v>
      </c>
      <c r="AC120">
        <f t="shared" si="183"/>
        <v>1.1502584373866336</v>
      </c>
      <c r="AD120" s="6">
        <f t="shared" si="164"/>
        <v>0.14847057169510308</v>
      </c>
      <c r="AE120">
        <f t="shared" si="184"/>
        <v>1.2580798987927995</v>
      </c>
      <c r="AF120" s="6">
        <f t="shared" si="165"/>
        <v>0.17305764153133663</v>
      </c>
      <c r="AG120">
        <f t="shared" si="185"/>
        <v>1.3966344014159373</v>
      </c>
      <c r="AH120" s="6">
        <f t="shared" si="166"/>
        <v>0.2080041079987914</v>
      </c>
      <c r="AI120">
        <f t="shared" si="186"/>
        <v>1.5774362550556253</v>
      </c>
      <c r="AJ120">
        <f t="shared" si="167"/>
        <v>0.27238219775529748</v>
      </c>
      <c r="AK120">
        <f t="shared" si="187"/>
        <v>1.8204541094087623</v>
      </c>
      <c r="AL120">
        <f t="shared" si="168"/>
        <v>0.35594883156172424</v>
      </c>
      <c r="AM120">
        <f t="shared" si="188"/>
        <v>2.1002727528975234</v>
      </c>
      <c r="AN120">
        <f t="shared" si="169"/>
        <v>0.46644165738720561</v>
      </c>
      <c r="AO120">
        <f t="shared" si="189"/>
        <v>1.9625277816261653</v>
      </c>
      <c r="AP120">
        <f t="shared" si="170"/>
        <v>0.40982636254028043</v>
      </c>
    </row>
    <row r="121" spans="1:42" s="29" customFormat="1" x14ac:dyDescent="0.25">
      <c r="A121" s="139">
        <v>0.35</v>
      </c>
      <c r="B121" s="259">
        <f>'Sub C_D_0'!AW137</f>
        <v>2.6097034167366886E-2</v>
      </c>
      <c r="C121" s="260">
        <f>'C_L vs. α'!X423</f>
        <v>0.11841223714928488</v>
      </c>
      <c r="D121" s="144">
        <v>8</v>
      </c>
      <c r="E121" s="14">
        <f t="shared" si="171"/>
        <v>0.95465081665104801</v>
      </c>
      <c r="F121" s="6">
        <f t="shared" si="152"/>
        <v>0.11961227109734483</v>
      </c>
      <c r="G121" s="14">
        <f t="shared" si="172"/>
        <v>0.96220747999130052</v>
      </c>
      <c r="H121" s="6">
        <f t="shared" si="153"/>
        <v>0.11760615409976059</v>
      </c>
      <c r="I121" s="14">
        <f t="shared" si="173"/>
        <v>0.9734738766868436</v>
      </c>
      <c r="J121" s="6">
        <f t="shared" si="154"/>
        <v>0.11795636237630484</v>
      </c>
      <c r="K121" s="14">
        <f t="shared" si="174"/>
        <v>0.98898427455740789</v>
      </c>
      <c r="L121" s="6">
        <f t="shared" si="155"/>
        <v>0.11974347122376156</v>
      </c>
      <c r="M121">
        <f t="shared" si="175"/>
        <v>1.0092490564623104</v>
      </c>
      <c r="N121" s="6">
        <f t="shared" si="156"/>
        <v>0.1228101152247338</v>
      </c>
      <c r="O121">
        <f t="shared" si="176"/>
        <v>1.0338630162829083</v>
      </c>
      <c r="P121" s="6">
        <f t="shared" si="157"/>
        <v>0.12748373259200152</v>
      </c>
      <c r="Q121">
        <f t="shared" si="177"/>
        <v>1.065710134343564</v>
      </c>
      <c r="R121" s="6">
        <f t="shared" si="158"/>
        <v>0.13339564522784148</v>
      </c>
      <c r="S121">
        <f t="shared" si="178"/>
        <v>1.1047710199293939</v>
      </c>
      <c r="T121" s="6">
        <f t="shared" si="159"/>
        <v>0.14112771152977882</v>
      </c>
      <c r="U121">
        <f t="shared" si="179"/>
        <v>1.1524304159927659</v>
      </c>
      <c r="V121" s="6">
        <f t="shared" si="160"/>
        <v>0.15112904131314087</v>
      </c>
      <c r="W121">
        <f t="shared" si="180"/>
        <v>1.21055217315884</v>
      </c>
      <c r="X121" s="6">
        <f t="shared" si="161"/>
        <v>0.16405825874831881</v>
      </c>
      <c r="Y121">
        <f t="shared" si="181"/>
        <v>1.281679252471746</v>
      </c>
      <c r="Z121" s="6">
        <f t="shared" si="162"/>
        <v>0.18088731661995885</v>
      </c>
      <c r="AA121">
        <f t="shared" si="182"/>
        <v>1.3693382484367724</v>
      </c>
      <c r="AB121" s="6">
        <f t="shared" si="163"/>
        <v>0.20307802629384053</v>
      </c>
      <c r="AC121">
        <f t="shared" si="183"/>
        <v>1.478903705211386</v>
      </c>
      <c r="AD121" s="6">
        <f t="shared" si="164"/>
        <v>0.23347198242819309</v>
      </c>
      <c r="AE121">
        <f t="shared" si="184"/>
        <v>1.6175312984478849</v>
      </c>
      <c r="AF121" s="6">
        <f t="shared" si="165"/>
        <v>0.27474283062280597</v>
      </c>
      <c r="AG121">
        <f t="shared" si="185"/>
        <v>1.7956728018204908</v>
      </c>
      <c r="AH121" s="6">
        <f t="shared" si="166"/>
        <v>0.33332264375668419</v>
      </c>
      <c r="AI121">
        <f t="shared" si="186"/>
        <v>2.0281323279286614</v>
      </c>
      <c r="AJ121">
        <f t="shared" si="167"/>
        <v>0.43630315492798782</v>
      </c>
      <c r="AK121">
        <f t="shared" si="187"/>
        <v>2.3405838549541227</v>
      </c>
      <c r="AL121">
        <f t="shared" si="168"/>
        <v>0.57426721959907667</v>
      </c>
      <c r="AM121">
        <f t="shared" si="188"/>
        <v>2.7003506822968157</v>
      </c>
      <c r="AN121">
        <f t="shared" si="169"/>
        <v>0.75703271220167245</v>
      </c>
      <c r="AO121">
        <f t="shared" si="189"/>
        <v>2.5232500049479265</v>
      </c>
      <c r="AP121">
        <f t="shared" si="170"/>
        <v>0.66355090124968008</v>
      </c>
    </row>
    <row r="122" spans="1:42" s="29" customFormat="1" x14ac:dyDescent="0.25">
      <c r="A122" s="129">
        <v>0.4</v>
      </c>
      <c r="B122" s="259">
        <f>'Sub C_D_0'!AW138</f>
        <v>2.5562953235110084E-2</v>
      </c>
      <c r="C122" s="260">
        <f>'C_L vs. α'!X424</f>
        <v>0.12275233554771042</v>
      </c>
      <c r="D122" s="144">
        <v>10</v>
      </c>
      <c r="E122" s="14">
        <f t="shared" si="171"/>
        <v>1.1667954425735032</v>
      </c>
      <c r="F122" s="6">
        <f t="shared" si="152"/>
        <v>0.16410933089462965</v>
      </c>
      <c r="G122" s="14">
        <f t="shared" si="172"/>
        <v>1.1760313644338116</v>
      </c>
      <c r="H122" s="6">
        <f t="shared" si="153"/>
        <v>0.16281036089816497</v>
      </c>
      <c r="I122" s="14">
        <f t="shared" si="173"/>
        <v>1.1898014048394754</v>
      </c>
      <c r="J122" s="6">
        <f t="shared" si="154"/>
        <v>0.16422540269950475</v>
      </c>
      <c r="K122" s="14">
        <f t="shared" si="174"/>
        <v>1.2087585577923874</v>
      </c>
      <c r="L122" s="6">
        <f t="shared" si="155"/>
        <v>0.16749875525127078</v>
      </c>
      <c r="M122">
        <f t="shared" si="175"/>
        <v>1.233526624565046</v>
      </c>
      <c r="N122" s="6">
        <f t="shared" si="156"/>
        <v>0.17254261092111781</v>
      </c>
      <c r="O122">
        <f t="shared" si="176"/>
        <v>1.2636103532346656</v>
      </c>
      <c r="P122" s="6">
        <f t="shared" si="157"/>
        <v>0.17967166069746759</v>
      </c>
      <c r="Q122">
        <f t="shared" si="177"/>
        <v>1.3025346086421337</v>
      </c>
      <c r="R122" s="6">
        <f t="shared" si="158"/>
        <v>0.18884841835161967</v>
      </c>
      <c r="S122">
        <f t="shared" si="178"/>
        <v>1.3502756910248146</v>
      </c>
      <c r="T122" s="6">
        <f t="shared" si="159"/>
        <v>0.20072010447519054</v>
      </c>
      <c r="U122">
        <f t="shared" si="179"/>
        <v>1.4085260639911583</v>
      </c>
      <c r="V122" s="6">
        <f t="shared" si="160"/>
        <v>0.21597413404069932</v>
      </c>
      <c r="W122">
        <f t="shared" si="180"/>
        <v>1.4795637671941377</v>
      </c>
      <c r="X122" s="6">
        <f t="shared" si="161"/>
        <v>0.23560937291763662</v>
      </c>
      <c r="Y122">
        <f t="shared" si="181"/>
        <v>1.566496864132134</v>
      </c>
      <c r="Z122" s="6">
        <f t="shared" si="162"/>
        <v>0.26109392197115749</v>
      </c>
      <c r="AA122">
        <f t="shared" si="182"/>
        <v>1.6736356369782777</v>
      </c>
      <c r="AB122" s="6">
        <f t="shared" si="163"/>
        <v>0.29463163405592474</v>
      </c>
      <c r="AC122">
        <f t="shared" si="183"/>
        <v>1.8075489730361385</v>
      </c>
      <c r="AD122" s="6">
        <f t="shared" si="164"/>
        <v>0.34026361786374776</v>
      </c>
      <c r="AE122">
        <f t="shared" si="184"/>
        <v>1.9769826981029706</v>
      </c>
      <c r="AF122" s="6">
        <f t="shared" si="165"/>
        <v>0.40249479453838644</v>
      </c>
      <c r="AG122">
        <f t="shared" si="185"/>
        <v>2.1947112022250446</v>
      </c>
      <c r="AH122" s="6">
        <f t="shared" si="166"/>
        <v>0.49076567560790935</v>
      </c>
      <c r="AI122">
        <f t="shared" si="186"/>
        <v>2.4788284008016968</v>
      </c>
      <c r="AJ122">
        <f t="shared" si="167"/>
        <v>0.64120435139385046</v>
      </c>
      <c r="AK122">
        <f t="shared" si="187"/>
        <v>2.8607136004994835</v>
      </c>
      <c r="AL122">
        <f t="shared" si="168"/>
        <v>0.84716520464576761</v>
      </c>
      <c r="AM122">
        <f t="shared" si="188"/>
        <v>3.3004286116961081</v>
      </c>
      <c r="AN122">
        <f t="shared" si="169"/>
        <v>1.1202715307197559</v>
      </c>
      <c r="AO122">
        <f t="shared" si="189"/>
        <v>3.0839722282696882</v>
      </c>
      <c r="AP122">
        <f t="shared" si="170"/>
        <v>0.98070657463642996</v>
      </c>
    </row>
    <row r="123" spans="1:42" s="29" customFormat="1" x14ac:dyDescent="0.25">
      <c r="A123" s="139">
        <v>0.45</v>
      </c>
      <c r="B123" s="259">
        <f>'Sub C_D_0'!AW139</f>
        <v>2.5104427697581495E-2</v>
      </c>
      <c r="C123" s="260">
        <f>'C_L vs. α'!X425</f>
        <v>0.1280478239991962</v>
      </c>
      <c r="D123" s="144">
        <v>12</v>
      </c>
      <c r="E123" s="14">
        <f t="shared" si="171"/>
        <v>1.3789400684959583</v>
      </c>
      <c r="F123" s="6">
        <f t="shared" si="152"/>
        <v>0.21768608049332722</v>
      </c>
      <c r="G123" s="14">
        <f t="shared" si="172"/>
        <v>1.3898552488763229</v>
      </c>
      <c r="H123" s="6">
        <f t="shared" si="153"/>
        <v>0.21723856934922478</v>
      </c>
      <c r="I123" s="14">
        <f t="shared" si="173"/>
        <v>1.4061289329921074</v>
      </c>
      <c r="J123" s="6">
        <f t="shared" si="154"/>
        <v>0.21993571520389446</v>
      </c>
      <c r="K123" s="14">
        <f t="shared" si="174"/>
        <v>1.428532841027367</v>
      </c>
      <c r="L123" s="6">
        <f t="shared" si="155"/>
        <v>0.22499856456579306</v>
      </c>
      <c r="M123">
        <f t="shared" si="175"/>
        <v>1.4578041926677816</v>
      </c>
      <c r="N123" s="6">
        <f t="shared" si="156"/>
        <v>0.23242306362994128</v>
      </c>
      <c r="O123">
        <f t="shared" si="176"/>
        <v>1.4933576901864229</v>
      </c>
      <c r="P123" s="6">
        <f t="shared" si="157"/>
        <v>0.24250856642618951</v>
      </c>
      <c r="Q123">
        <f t="shared" si="177"/>
        <v>1.5393590829407033</v>
      </c>
      <c r="R123" s="6">
        <f t="shared" si="158"/>
        <v>0.25561633601852785</v>
      </c>
      <c r="S123">
        <f t="shared" si="178"/>
        <v>1.5957803621202356</v>
      </c>
      <c r="T123" s="6">
        <f t="shared" si="159"/>
        <v>0.27247229825155778</v>
      </c>
      <c r="U123">
        <f t="shared" si="179"/>
        <v>1.6646217119895506</v>
      </c>
      <c r="V123" s="6">
        <f t="shared" si="160"/>
        <v>0.29405079555283736</v>
      </c>
      <c r="W123">
        <f t="shared" si="180"/>
        <v>1.7485753612294357</v>
      </c>
      <c r="X123" s="6">
        <f t="shared" si="161"/>
        <v>0.3217603553834405</v>
      </c>
      <c r="Y123">
        <f t="shared" si="181"/>
        <v>1.851314475792522</v>
      </c>
      <c r="Z123" s="6">
        <f t="shared" si="162"/>
        <v>0.35766645482228104</v>
      </c>
      <c r="AA123">
        <f t="shared" si="182"/>
        <v>1.9779330255197825</v>
      </c>
      <c r="AB123" s="6">
        <f t="shared" si="163"/>
        <v>0.40486638257981106</v>
      </c>
      <c r="AC123">
        <f t="shared" si="183"/>
        <v>2.1361942408608909</v>
      </c>
      <c r="AD123" s="6">
        <f t="shared" si="164"/>
        <v>0.46884547800176701</v>
      </c>
      <c r="AE123">
        <f t="shared" si="184"/>
        <v>2.336434097758056</v>
      </c>
      <c r="AF123" s="6">
        <f t="shared" si="165"/>
        <v>0.55631353327807798</v>
      </c>
      <c r="AG123">
        <f t="shared" si="185"/>
        <v>2.5937496026295976</v>
      </c>
      <c r="AH123" s="6">
        <f t="shared" si="166"/>
        <v>0.68033320355246618</v>
      </c>
      <c r="AI123">
        <f t="shared" si="186"/>
        <v>2.929524473674733</v>
      </c>
      <c r="AJ123">
        <f t="shared" si="167"/>
        <v>0.88708578715288611</v>
      </c>
      <c r="AK123">
        <f t="shared" si="187"/>
        <v>3.3808433460448439</v>
      </c>
      <c r="AL123">
        <f t="shared" si="168"/>
        <v>1.1746427867017961</v>
      </c>
      <c r="AM123">
        <f t="shared" si="188"/>
        <v>3.9005065410954005</v>
      </c>
      <c r="AN123">
        <f t="shared" si="169"/>
        <v>1.5561581129414561</v>
      </c>
      <c r="AO123">
        <f t="shared" si="189"/>
        <v>3.6446944515914494</v>
      </c>
      <c r="AP123">
        <f t="shared" si="170"/>
        <v>1.3612933827005294</v>
      </c>
    </row>
    <row r="124" spans="1:42" s="29" customFormat="1" x14ac:dyDescent="0.25">
      <c r="A124" s="129">
        <v>0.5</v>
      </c>
      <c r="B124" s="259">
        <f>'Sub C_D_0'!AW140</f>
        <v>2.4703923698993421E-2</v>
      </c>
      <c r="C124" s="260">
        <f>'C_L vs. α'!X426</f>
        <v>0.13450579701764889</v>
      </c>
      <c r="D124" s="144">
        <v>14</v>
      </c>
      <c r="E124" s="14">
        <f t="shared" si="171"/>
        <v>1.5910846944184134</v>
      </c>
      <c r="F124" s="6">
        <f t="shared" si="152"/>
        <v>0.28034251989343761</v>
      </c>
      <c r="G124" s="14">
        <f t="shared" si="172"/>
        <v>1.603679133318834</v>
      </c>
      <c r="H124" s="6">
        <f t="shared" si="153"/>
        <v>0.28089077945293983</v>
      </c>
      <c r="I124" s="14">
        <f t="shared" si="173"/>
        <v>1.6224564611447392</v>
      </c>
      <c r="J124" s="6">
        <f t="shared" si="154"/>
        <v>0.2850872998894739</v>
      </c>
      <c r="K124" s="14">
        <f t="shared" si="174"/>
        <v>1.6483071242623464</v>
      </c>
      <c r="L124" s="6">
        <f t="shared" si="155"/>
        <v>0.29224289916732826</v>
      </c>
      <c r="M124">
        <f t="shared" si="175"/>
        <v>1.6820817607705172</v>
      </c>
      <c r="N124" s="6">
        <f t="shared" si="156"/>
        <v>0.30245147335120426</v>
      </c>
      <c r="O124">
        <f t="shared" si="176"/>
        <v>1.7231050271381805</v>
      </c>
      <c r="P124" s="6">
        <f t="shared" si="157"/>
        <v>0.31599444977816721</v>
      </c>
      <c r="Q124">
        <f t="shared" si="177"/>
        <v>1.7761835572392732</v>
      </c>
      <c r="R124" s="6">
        <f t="shared" si="158"/>
        <v>0.33369939822856609</v>
      </c>
      <c r="S124">
        <f t="shared" si="178"/>
        <v>1.8412850332156563</v>
      </c>
      <c r="T124" s="6">
        <f t="shared" si="159"/>
        <v>0.35638429285888051</v>
      </c>
      <c r="U124">
        <f t="shared" si="179"/>
        <v>1.920717359987943</v>
      </c>
      <c r="V124" s="6">
        <f t="shared" si="160"/>
        <v>0.38535902584955506</v>
      </c>
      <c r="W124">
        <f t="shared" si="180"/>
        <v>2.0175869552647332</v>
      </c>
      <c r="X124" s="6">
        <f t="shared" si="161"/>
        <v>0.4225112061457304</v>
      </c>
      <c r="Y124">
        <f t="shared" si="181"/>
        <v>2.1361320874529097</v>
      </c>
      <c r="Z124" s="6">
        <f t="shared" si="162"/>
        <v>0.47060491517332936</v>
      </c>
      <c r="AA124">
        <f t="shared" si="182"/>
        <v>2.2822304140612877</v>
      </c>
      <c r="AB124" s="6">
        <f t="shared" si="163"/>
        <v>0.53378227186549987</v>
      </c>
      <c r="AC124">
        <f t="shared" si="183"/>
        <v>2.4648395086856434</v>
      </c>
      <c r="AD124" s="6">
        <f t="shared" si="164"/>
        <v>0.61921756284225093</v>
      </c>
      <c r="AE124">
        <f t="shared" si="184"/>
        <v>2.6958854974131414</v>
      </c>
      <c r="AF124" s="6">
        <f t="shared" si="165"/>
        <v>0.73619904684188042</v>
      </c>
      <c r="AG124">
        <f t="shared" si="185"/>
        <v>2.9927880030341516</v>
      </c>
      <c r="AH124" s="6">
        <f t="shared" si="166"/>
        <v>0.90202522759035575</v>
      </c>
      <c r="AI124">
        <f t="shared" si="186"/>
        <v>3.3802205465477684</v>
      </c>
      <c r="AJ124">
        <f t="shared" si="167"/>
        <v>1.1739474622050938</v>
      </c>
      <c r="AK124">
        <f t="shared" si="187"/>
        <v>3.9009730915902048</v>
      </c>
      <c r="AL124">
        <f t="shared" si="168"/>
        <v>1.5566999657671632</v>
      </c>
      <c r="AM124">
        <f t="shared" si="188"/>
        <v>4.5005844704946929</v>
      </c>
      <c r="AN124">
        <f t="shared" si="169"/>
        <v>2.064692458866773</v>
      </c>
      <c r="AO124">
        <f t="shared" si="189"/>
        <v>4.2054166749132111</v>
      </c>
      <c r="AP124">
        <f t="shared" si="170"/>
        <v>1.8053113254419793</v>
      </c>
    </row>
    <row r="125" spans="1:42" s="29" customFormat="1" x14ac:dyDescent="0.25">
      <c r="A125" s="139">
        <v>0.55000000000000004</v>
      </c>
      <c r="B125" s="259">
        <f>'Sub C_D_0'!AW141</f>
        <v>2.4349258895927265E-2</v>
      </c>
      <c r="C125" s="260">
        <f>'C_L vs. α'!X427</f>
        <v>0.142408805830194</v>
      </c>
      <c r="D125" s="144">
        <v>16</v>
      </c>
      <c r="E125" s="14">
        <f t="shared" si="171"/>
        <v>1.8032293203408685</v>
      </c>
      <c r="F125" s="6">
        <f t="shared" si="152"/>
        <v>0.35207864909496089</v>
      </c>
      <c r="G125" s="14">
        <f t="shared" si="172"/>
        <v>1.8175030177613454</v>
      </c>
      <c r="H125" s="6">
        <f t="shared" si="153"/>
        <v>0.35376699120931027</v>
      </c>
      <c r="I125" s="14">
        <f t="shared" si="173"/>
        <v>1.8387839892973712</v>
      </c>
      <c r="J125" s="6">
        <f t="shared" si="154"/>
        <v>0.3596801567562431</v>
      </c>
      <c r="K125" s="14">
        <f t="shared" si="174"/>
        <v>1.868081407497326</v>
      </c>
      <c r="L125" s="6">
        <f t="shared" si="155"/>
        <v>0.36923175905587646</v>
      </c>
      <c r="M125">
        <f t="shared" si="175"/>
        <v>1.906359328873253</v>
      </c>
      <c r="N125" s="6">
        <f t="shared" si="156"/>
        <v>0.38262784008490669</v>
      </c>
      <c r="O125">
        <f t="shared" si="176"/>
        <v>1.9528523640899378</v>
      </c>
      <c r="P125" s="6">
        <f t="shared" si="157"/>
        <v>0.40012931075340064</v>
      </c>
      <c r="Q125">
        <f t="shared" si="177"/>
        <v>2.0130080315378431</v>
      </c>
      <c r="R125" s="6">
        <f t="shared" si="158"/>
        <v>0.42309760498173443</v>
      </c>
      <c r="S125">
        <f t="shared" si="178"/>
        <v>2.086789704311077</v>
      </c>
      <c r="T125" s="6">
        <f t="shared" si="159"/>
        <v>0.45245608829715872</v>
      </c>
      <c r="U125">
        <f t="shared" si="179"/>
        <v>2.1768130079863353</v>
      </c>
      <c r="V125" s="6">
        <f t="shared" si="160"/>
        <v>0.48989882493085241</v>
      </c>
      <c r="W125">
        <f t="shared" si="180"/>
        <v>2.2865985493000314</v>
      </c>
      <c r="X125" s="6">
        <f t="shared" si="161"/>
        <v>0.5378619252045066</v>
      </c>
      <c r="Y125">
        <f t="shared" si="181"/>
        <v>2.4209496991132982</v>
      </c>
      <c r="Z125" s="6">
        <f t="shared" si="162"/>
        <v>0.59990930302430279</v>
      </c>
      <c r="AA125">
        <f t="shared" si="182"/>
        <v>2.5865278026027925</v>
      </c>
      <c r="AB125" s="6">
        <f t="shared" si="163"/>
        <v>0.68137930191299079</v>
      </c>
      <c r="AC125">
        <f t="shared" si="183"/>
        <v>2.7934847765103958</v>
      </c>
      <c r="AD125" s="6">
        <f t="shared" si="164"/>
        <v>0.79137987238519947</v>
      </c>
      <c r="AE125">
        <f t="shared" si="184"/>
        <v>3.0553368970682273</v>
      </c>
      <c r="AF125" s="6">
        <f t="shared" si="165"/>
        <v>0.94215133522979433</v>
      </c>
      <c r="AG125">
        <f t="shared" si="185"/>
        <v>3.3918264034387047</v>
      </c>
      <c r="AH125" s="6">
        <f t="shared" si="166"/>
        <v>1.1558417477215768</v>
      </c>
      <c r="AI125">
        <f t="shared" si="186"/>
        <v>3.8309166194208046</v>
      </c>
      <c r="AJ125">
        <f t="shared" si="167"/>
        <v>1.5017893765504748</v>
      </c>
      <c r="AK125">
        <f t="shared" si="187"/>
        <v>4.4211028371355656</v>
      </c>
      <c r="AL125">
        <f t="shared" si="168"/>
        <v>1.9933367418418684</v>
      </c>
      <c r="AM125">
        <f t="shared" si="188"/>
        <v>5.1006623998939853</v>
      </c>
      <c r="AN125">
        <f t="shared" si="169"/>
        <v>2.6458745684957066</v>
      </c>
      <c r="AO125">
        <f t="shared" si="189"/>
        <v>4.7661388982349724</v>
      </c>
      <c r="AP125">
        <f t="shared" si="170"/>
        <v>2.3127604028607789</v>
      </c>
    </row>
    <row r="126" spans="1:42" s="29" customFormat="1" x14ac:dyDescent="0.25">
      <c r="A126" s="129">
        <v>0.6</v>
      </c>
      <c r="B126" s="259">
        <f>'Sub C_D_0'!AW142</f>
        <v>2.4031645823104679E-2</v>
      </c>
      <c r="C126" s="260">
        <f>'C_L vs. α'!X428</f>
        <v>0.1521486942707525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</row>
    <row r="127" spans="1:42" s="29" customFormat="1" x14ac:dyDescent="0.25">
      <c r="A127" s="139">
        <v>0.65</v>
      </c>
      <c r="B127" s="259">
        <f>'Sub C_D_0'!AW143</f>
        <v>2.4264184988616783E-2</v>
      </c>
      <c r="C127" s="260">
        <f>'C_L vs. α'!X429</f>
        <v>0.16432263391237623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</row>
    <row r="128" spans="1:42" s="29" customFormat="1" x14ac:dyDescent="0.25">
      <c r="A128" s="129">
        <v>0.7</v>
      </c>
      <c r="B128" s="259">
        <f>'Sub C_D_0'!AW144</f>
        <v>2.3996922207037395E-2</v>
      </c>
      <c r="C128" s="260">
        <f>'C_L vs. α'!X430</f>
        <v>0.17972569982754277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</row>
    <row r="129" spans="1:42" s="29" customFormat="1" x14ac:dyDescent="0.25">
      <c r="A129" s="139">
        <v>0.75</v>
      </c>
      <c r="B129" s="259">
        <f>'Sub C_D_0'!AW145</f>
        <v>2.375178284617456E-2</v>
      </c>
      <c r="C129" s="260">
        <f>'C_L vs. α'!X431</f>
        <v>0.19951920020227676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</row>
    <row r="130" spans="1:42" s="29" customFormat="1" x14ac:dyDescent="0.25">
      <c r="A130" s="129">
        <v>0.8</v>
      </c>
      <c r="B130" s="259">
        <f>'Sub C_D_0'!AW146</f>
        <v>2.3525620821679208E-2</v>
      </c>
      <c r="C130" s="260">
        <f>'C_L vs. α'!X432</f>
        <v>0.22534803643651791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</row>
    <row r="131" spans="1:42" s="29" customFormat="1" x14ac:dyDescent="0.25">
      <c r="A131" s="139">
        <v>0.85</v>
      </c>
      <c r="B131" s="259">
        <f>'Sub C_D_0'!AW147</f>
        <v>2.3815304841135247E-2</v>
      </c>
      <c r="C131" s="260">
        <f>'C_L vs. α'!X433</f>
        <v>0.26006487277268031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9" customFormat="1" x14ac:dyDescent="0.25">
      <c r="A132" s="129">
        <v>0.9</v>
      </c>
      <c r="B132" s="259">
        <f>'Sub C_D_0'!AW148</f>
        <v>2.3615787841557663E-2</v>
      </c>
      <c r="C132" s="260">
        <f>'C_L vs. α'!X434</f>
        <v>0.30003896469964619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</row>
    <row r="133" spans="1:42" s="29" customFormat="1" x14ac:dyDescent="0.25">
      <c r="A133" s="139">
        <v>0.95</v>
      </c>
      <c r="B133" s="259">
        <f>'Sub C_D_0'!AW149</f>
        <v>2.3429200260870371E-2</v>
      </c>
      <c r="C133" s="260">
        <f>'C_L vs. α'!X435</f>
        <v>0.28036111166088074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9" customFormat="1" x14ac:dyDescent="0.25">
      <c r="A134" s="11"/>
      <c r="B134" s="11"/>
      <c r="C134" s="11"/>
    </row>
    <row r="136" spans="1:42" x14ac:dyDescent="0.25">
      <c r="A136" s="122" t="s">
        <v>537</v>
      </c>
      <c r="B136" s="122" t="s">
        <v>516</v>
      </c>
    </row>
    <row r="137" spans="1:42" x14ac:dyDescent="0.25">
      <c r="A137" s="122" t="s">
        <v>202</v>
      </c>
      <c r="B137" s="145">
        <v>30000</v>
      </c>
      <c r="C137" s="122" t="s">
        <v>538</v>
      </c>
      <c r="D137" s="122" t="s">
        <v>539</v>
      </c>
      <c r="E137" s="1" t="s">
        <v>536</v>
      </c>
      <c r="F137" s="140">
        <v>0.05</v>
      </c>
      <c r="G137" s="1" t="s">
        <v>536</v>
      </c>
      <c r="H137" s="140">
        <v>0.1</v>
      </c>
      <c r="I137" s="1" t="s">
        <v>536</v>
      </c>
      <c r="J137" s="140">
        <v>0.15</v>
      </c>
      <c r="K137" s="1" t="s">
        <v>536</v>
      </c>
      <c r="L137" s="140">
        <v>0.2</v>
      </c>
      <c r="M137" t="s">
        <v>536</v>
      </c>
      <c r="N137" s="141">
        <v>0.25</v>
      </c>
      <c r="O137" t="s">
        <v>536</v>
      </c>
      <c r="P137" s="141">
        <v>0.3</v>
      </c>
      <c r="Q137" t="s">
        <v>536</v>
      </c>
      <c r="R137" s="141">
        <v>0.35</v>
      </c>
      <c r="S137" t="s">
        <v>536</v>
      </c>
      <c r="T137" s="141">
        <v>0.4</v>
      </c>
      <c r="U137" t="s">
        <v>536</v>
      </c>
      <c r="V137" s="141">
        <v>0.45</v>
      </c>
      <c r="W137" t="s">
        <v>536</v>
      </c>
      <c r="X137" s="141">
        <v>0.5</v>
      </c>
      <c r="Y137" t="s">
        <v>536</v>
      </c>
      <c r="Z137" s="141">
        <v>0.55000000000000004</v>
      </c>
      <c r="AA137" t="s">
        <v>536</v>
      </c>
      <c r="AB137" s="141">
        <v>0.6</v>
      </c>
      <c r="AC137" t="s">
        <v>536</v>
      </c>
      <c r="AD137" s="141">
        <v>0.65</v>
      </c>
      <c r="AE137" t="s">
        <v>536</v>
      </c>
      <c r="AF137" s="141">
        <v>0.7</v>
      </c>
      <c r="AG137" t="s">
        <v>536</v>
      </c>
      <c r="AH137" s="141">
        <v>0.75</v>
      </c>
      <c r="AI137" t="s">
        <v>536</v>
      </c>
      <c r="AJ137" s="141">
        <v>0.8</v>
      </c>
      <c r="AK137" t="s">
        <v>536</v>
      </c>
      <c r="AL137" s="141">
        <v>0.85</v>
      </c>
      <c r="AM137" t="s">
        <v>536</v>
      </c>
      <c r="AN137" s="141">
        <v>0.9</v>
      </c>
      <c r="AO137" t="s">
        <v>536</v>
      </c>
      <c r="AP137" s="141">
        <v>0.95</v>
      </c>
    </row>
    <row r="138" spans="1:42" x14ac:dyDescent="0.25">
      <c r="A138" s="121" t="s">
        <v>182</v>
      </c>
      <c r="B138" s="121" t="s">
        <v>534</v>
      </c>
      <c r="C138" s="121" t="s">
        <v>535</v>
      </c>
      <c r="D138" s="121" t="s">
        <v>421</v>
      </c>
      <c r="E138" s="14" t="s">
        <v>244</v>
      </c>
      <c r="F138" s="6" t="s">
        <v>245</v>
      </c>
      <c r="G138" s="14" t="s">
        <v>244</v>
      </c>
      <c r="H138" s="6" t="s">
        <v>245</v>
      </c>
      <c r="I138" s="14" t="s">
        <v>244</v>
      </c>
      <c r="J138" s="6" t="s">
        <v>245</v>
      </c>
      <c r="K138" s="14" t="s">
        <v>244</v>
      </c>
      <c r="L138" s="6" t="s">
        <v>245</v>
      </c>
      <c r="M138" t="s">
        <v>244</v>
      </c>
      <c r="N138" t="s">
        <v>245</v>
      </c>
      <c r="O138" t="s">
        <v>244</v>
      </c>
      <c r="P138" t="s">
        <v>245</v>
      </c>
      <c r="Q138" t="s">
        <v>244</v>
      </c>
      <c r="R138" t="s">
        <v>245</v>
      </c>
      <c r="S138" t="s">
        <v>244</v>
      </c>
      <c r="T138" t="s">
        <v>245</v>
      </c>
      <c r="U138" t="s">
        <v>244</v>
      </c>
      <c r="V138" t="s">
        <v>245</v>
      </c>
      <c r="W138" t="s">
        <v>244</v>
      </c>
      <c r="X138" t="s">
        <v>245</v>
      </c>
      <c r="Y138" t="s">
        <v>244</v>
      </c>
      <c r="Z138" t="s">
        <v>245</v>
      </c>
      <c r="AA138" t="s">
        <v>244</v>
      </c>
      <c r="AB138" t="s">
        <v>245</v>
      </c>
      <c r="AC138" t="s">
        <v>244</v>
      </c>
      <c r="AD138" t="s">
        <v>245</v>
      </c>
      <c r="AE138" t="s">
        <v>244</v>
      </c>
      <c r="AF138" t="s">
        <v>245</v>
      </c>
      <c r="AG138" t="s">
        <v>244</v>
      </c>
      <c r="AH138" t="s">
        <v>245</v>
      </c>
      <c r="AI138" t="s">
        <v>244</v>
      </c>
      <c r="AJ138" t="s">
        <v>245</v>
      </c>
      <c r="AK138" t="s">
        <v>244</v>
      </c>
      <c r="AL138" t="s">
        <v>245</v>
      </c>
      <c r="AM138" t="s">
        <v>244</v>
      </c>
      <c r="AN138" t="s">
        <v>245</v>
      </c>
      <c r="AO138" t="s">
        <v>244</v>
      </c>
      <c r="AP138" t="s">
        <v>245</v>
      </c>
    </row>
    <row r="139" spans="1:42" x14ac:dyDescent="0.25">
      <c r="A139" s="129">
        <v>0</v>
      </c>
      <c r="B139" s="129" t="e">
        <f>'Sub C_D_0'!AW160</f>
        <v>#DIV/0!</v>
      </c>
      <c r="C139" s="129" t="e">
        <f>'C_L vs. α'!X441</f>
        <v>#NUM!</v>
      </c>
      <c r="D139" s="144">
        <v>-6</v>
      </c>
      <c r="E139" s="14">
        <f>(D139-$B$12)*$C$140</f>
        <v>-0.53126263485977143</v>
      </c>
      <c r="F139" s="6">
        <f t="shared" ref="F139:F150" si="190">$B$140+$B$7*E139^2+$B$8*(E139-E$142)^2</f>
        <v>6.1843510616827087E-2</v>
      </c>
      <c r="G139" s="14">
        <f>(D90-$B$12)*$C$141</f>
        <v>-0.53551568935020843</v>
      </c>
      <c r="H139" s="6">
        <f t="shared" ref="H139:H150" si="191">$B$141+$B$7*G139^2+$B$8*(G139-G$142)^2</f>
        <v>5.9026357792447623E-2</v>
      </c>
      <c r="I139" s="14">
        <f>(D90-$B$12)*$C$142</f>
        <v>-0.54174613167662611</v>
      </c>
      <c r="J139" s="6">
        <f t="shared" ref="J139:J150" si="192">$B$142+$B$7*I139^2+$B$8*(I139-I$142)^2</f>
        <v>5.8049793228818598E-2</v>
      </c>
      <c r="K139" s="14">
        <f>(D90-$B$12)*$C$143</f>
        <v>-0.55031900679526591</v>
      </c>
      <c r="L139" s="6">
        <f t="shared" ref="L139:L150" si="193">$B$143+$B$7*K139^2+$B$8*(K139-K$142)^2</f>
        <v>5.7950144049980473E-2</v>
      </c>
      <c r="M139">
        <f>(D90-$B$12)*$C$144</f>
        <v>-0.56152754182081688</v>
      </c>
      <c r="N139" s="6">
        <f t="shared" ref="N139:N150" si="194">$B$144+$B$7*M139^2+$B$8*(M139-M$142)^2</f>
        <v>5.8489778306343609E-2</v>
      </c>
      <c r="O139">
        <f>(D90-$B$12)*$C$145</f>
        <v>-0.57518600983374135</v>
      </c>
      <c r="P139" s="6">
        <f t="shared" ref="P139:P150" si="195">$B$145+$B$7*O139^2+$B$8*(O139-O$142)^2</f>
        <v>6.0012441625352915E-2</v>
      </c>
      <c r="Q139">
        <f>(D90-$B$12)*$C$146</f>
        <v>-0.59282244600848555</v>
      </c>
      <c r="R139" s="6">
        <f t="shared" ref="R139:R150" si="196">$B$146+$B$7*Q139^2+$B$8*(Q139-Q$142)^2</f>
        <v>6.1732600005405494E-2</v>
      </c>
      <c r="S139">
        <f>(D90-$B$12)*$C$147</f>
        <v>-0.61445212160883278</v>
      </c>
      <c r="T139" s="6">
        <f t="shared" ref="T139:T150" si="197">$B$147+$B$7*S139^2+$B$8*(S139-S$142)^2</f>
        <v>6.4143253654453225E-2</v>
      </c>
      <c r="U139">
        <f>(D90-$B$12)*$C$148</f>
        <v>-0.64083850480831661</v>
      </c>
      <c r="V139" s="6">
        <f t="shared" ref="V139:V150" si="198">$B$148+$B$7*U139^2+$B$8*(U139-U$142)^2</f>
        <v>6.7386325808297495E-2</v>
      </c>
      <c r="W139">
        <f>(D90-$B$12)*$C$149</f>
        <v>-0.67300756547032325</v>
      </c>
      <c r="X139" s="6">
        <f t="shared" ref="X139:X150" si="199">$B$149+$B$7*W139^2+$B$8*(W139-W$142)^2</f>
        <v>7.1681039096380725E-2</v>
      </c>
      <c r="Y139">
        <f>(D90-$B$12)*$C$150</f>
        <v>-0.71235664087061346</v>
      </c>
      <c r="Z139" s="6">
        <f t="shared" ref="Z139:Z150" si="200">$B$150+$B$7*Y139^2+$B$8*(Y139-Y$142)^2</f>
        <v>7.7357695729286094E-2</v>
      </c>
      <c r="AA139">
        <f>(D90-$B$12)*$C$151</f>
        <v>-0.7608191499083099</v>
      </c>
      <c r="AB139" s="6">
        <f t="shared" ref="AB139:AB150" si="201">$B$151+$B$7*AA139^2+$B$8*(AA139-AA$142)^2</f>
        <v>8.4917065928419924E-2</v>
      </c>
      <c r="AC139">
        <f>(D90-$B$12)*$C$152</f>
        <v>-0.82131681196568496</v>
      </c>
      <c r="AD139" s="6">
        <f t="shared" ref="AD139:AD150" si="202">$B$152+$B$7*AC139^2+$B$8*(AC139-AC$142)^2</f>
        <v>9.5633582956228952E-2</v>
      </c>
      <c r="AE139">
        <f>(D90-$B$12)*$C$153</f>
        <v>-0.89773573144003305</v>
      </c>
      <c r="AF139" s="6">
        <f t="shared" ref="AF139:AF150" si="203">$B$153+$B$7*AE139^2+$B$8*(AE139-AE$142)^2</f>
        <v>0.1098131092227627</v>
      </c>
      <c r="AG139">
        <f>(D90-$B$12)*$C$154</f>
        <v>-0.99569825350747698</v>
      </c>
      <c r="AH139" s="6">
        <f t="shared" ref="AH139:AH150" si="204">$B$154+$B$7*AG139^2+$B$8*(AG139-AG$142)^2</f>
        <v>0.12994662634897206</v>
      </c>
      <c r="AI139">
        <f>(D90-$B$12)*$C$155</f>
        <v>-1.1229969191984597</v>
      </c>
      <c r="AJ139">
        <f t="shared" ref="AJ139:AJ150" si="205">$B$155+$B$9*AI139^2</f>
        <v>0.1482352229371974</v>
      </c>
      <c r="AK139">
        <f>(D90-$B$12)*$C$156</f>
        <v>-1.2924047999753883</v>
      </c>
      <c r="AL139">
        <f t="shared" ref="AL139:AL150" si="206">$B$156+$B$9*AK139^2</f>
        <v>0.18977873331150799</v>
      </c>
      <c r="AM139">
        <f>(D90-$B$12)*$C$157</f>
        <v>-1.481854981946771</v>
      </c>
      <c r="AN139">
        <f t="shared" ref="AN139:AN150" si="207">$B$157+$B$9*AM139^2</f>
        <v>0.24262555552436904</v>
      </c>
      <c r="AO139">
        <f>(D90-$B$12)*$C$158</f>
        <v>-1.3417230013545796</v>
      </c>
      <c r="AP139">
        <f t="shared" ref="AP139:AP150" si="208">$B$158+$B$9*AO139^2</f>
        <v>0.20255291209443355</v>
      </c>
    </row>
    <row r="140" spans="1:42" x14ac:dyDescent="0.25">
      <c r="A140" s="139">
        <v>0.05</v>
      </c>
      <c r="B140" s="259">
        <f>'Sub C_D_0'!AW161</f>
        <v>3.0889272766269203E-2</v>
      </c>
      <c r="C140" s="261">
        <f>'C_L vs. α'!X442</f>
        <v>0.10625252697195428</v>
      </c>
      <c r="D140" s="144">
        <v>-4</v>
      </c>
      <c r="E140" s="14">
        <f t="shared" ref="E140:E150" si="209">(D140-$B$12)*$C$140</f>
        <v>-0.31875758091586281</v>
      </c>
      <c r="F140" s="6">
        <f t="shared" si="190"/>
        <v>4.271920604133593E-2</v>
      </c>
      <c r="G140" s="14">
        <f t="shared" ref="G140:G150" si="210">(D91-$B$12)*$C$141</f>
        <v>-0.32130941361012511</v>
      </c>
      <c r="H140" s="6">
        <f t="shared" si="191"/>
        <v>3.9594626053759109E-2</v>
      </c>
      <c r="I140" s="14">
        <f t="shared" ref="I140:I150" si="211">(D91-$B$12)*$C$142</f>
        <v>-0.32504767900597564</v>
      </c>
      <c r="J140" s="6">
        <f t="shared" si="192"/>
        <v>3.8163275312599471E-2</v>
      </c>
      <c r="K140" s="14">
        <f t="shared" ref="K140:K150" si="212">(D91-$B$12)*$C$143</f>
        <v>-0.33019140407715952</v>
      </c>
      <c r="L140" s="6">
        <f t="shared" si="193"/>
        <v>3.742925684615226E-2</v>
      </c>
      <c r="M140">
        <f t="shared" ref="M140:M150" si="213">(D91-$B$12)*$C$144</f>
        <v>-0.33691652509249015</v>
      </c>
      <c r="N140" s="6">
        <f t="shared" si="194"/>
        <v>3.7124466625599338E-2</v>
      </c>
      <c r="O140">
        <f t="shared" ref="O140:O150" si="214">(D91-$B$12)*$C$145</f>
        <v>-0.34511160590024481</v>
      </c>
      <c r="P140" s="6">
        <f t="shared" si="195"/>
        <v>3.759511929694051E-2</v>
      </c>
      <c r="Q140">
        <f t="shared" ref="Q140:Q150" si="215">(D91-$B$12)*$C$146</f>
        <v>-0.35569346760509135</v>
      </c>
      <c r="R140" s="6">
        <f t="shared" si="196"/>
        <v>3.7919475324855123E-2</v>
      </c>
      <c r="S140">
        <f t="shared" ref="S140:S150" si="216">(D91-$B$12)*$C$147</f>
        <v>-0.36867127296529967</v>
      </c>
      <c r="T140" s="6">
        <f t="shared" si="197"/>
        <v>3.8560740614271442E-2</v>
      </c>
      <c r="U140">
        <f t="shared" ref="U140:U150" si="217">(D91-$B$12)*$C$148</f>
        <v>-0.38450310288499001</v>
      </c>
      <c r="V140" s="6">
        <f t="shared" si="198"/>
        <v>3.955945928410521E-2</v>
      </c>
      <c r="W140">
        <f t="shared" ref="W140:W150" si="218">(D91-$B$12)*$C$149</f>
        <v>-0.40380453928219395</v>
      </c>
      <c r="X140" s="6">
        <f t="shared" si="199"/>
        <v>4.0990324505209758E-2</v>
      </c>
      <c r="Y140">
        <f t="shared" ref="Y140:Y150" si="219">(D91-$B$12)*$C$150</f>
        <v>-0.42741398452236812</v>
      </c>
      <c r="Z140" s="6">
        <f t="shared" si="200"/>
        <v>4.2973247261071289E-2</v>
      </c>
      <c r="AA140">
        <f t="shared" ref="AA140:AA150" si="220">(D91-$B$12)*$C$151</f>
        <v>-0.4564914899449859</v>
      </c>
      <c r="AB140" s="6">
        <f t="shared" si="201"/>
        <v>4.5695043963395958E-2</v>
      </c>
      <c r="AC140">
        <f t="shared" ref="AC140:AC150" si="221">(D91-$B$12)*$C$152</f>
        <v>-0.49279008717941097</v>
      </c>
      <c r="AD140" s="6">
        <f t="shared" si="202"/>
        <v>4.992597082254227E-2</v>
      </c>
      <c r="AE140">
        <f t="shared" ref="AE140:AE150" si="222">(D91-$B$12)*$C$153</f>
        <v>-0.53864143886401983</v>
      </c>
      <c r="AF140" s="6">
        <f t="shared" si="203"/>
        <v>5.5204120975079485E-2</v>
      </c>
      <c r="AG140">
        <f t="shared" ref="AG140:AG150" si="223">(D91-$B$12)*$C$154</f>
        <v>-0.59741895210448615</v>
      </c>
      <c r="AH140" s="6">
        <f t="shared" si="204"/>
        <v>6.2769317991120871E-2</v>
      </c>
      <c r="AI140">
        <f t="shared" ref="AI140:AI150" si="224">(D91-$B$12)*$C$155</f>
        <v>-0.67379815151907585</v>
      </c>
      <c r="AJ140">
        <f t="shared" si="205"/>
        <v>6.6818418934789195E-2</v>
      </c>
      <c r="AK140">
        <f t="shared" ref="AK140:AK150" si="225">(D91-$B$12)*$C$156</f>
        <v>-0.77544287998523287</v>
      </c>
      <c r="AL140">
        <f t="shared" si="206"/>
        <v>8.1945147975540505E-2</v>
      </c>
      <c r="AM140">
        <f t="shared" ref="AM140:AM149" si="226">(D91-$B$12)*$C$157</f>
        <v>-0.8891129891680627</v>
      </c>
      <c r="AN140">
        <f t="shared" si="207"/>
        <v>0.10086078156976927</v>
      </c>
      <c r="AO140">
        <f t="shared" ref="AO140:AO150" si="227">(D91-$B$12)*$C$158</f>
        <v>-0.80503380081274767</v>
      </c>
      <c r="AP140">
        <f t="shared" si="208"/>
        <v>8.63324358845311E-2</v>
      </c>
    </row>
    <row r="141" spans="1:42" x14ac:dyDescent="0.25">
      <c r="A141" s="129">
        <v>0.1</v>
      </c>
      <c r="B141" s="259">
        <f>'Sub C_D_0'!AW162</f>
        <v>2.757452414729394E-2</v>
      </c>
      <c r="C141" s="261">
        <f>'C_L vs. α'!X443</f>
        <v>0.10710313787004169</v>
      </c>
      <c r="D141" s="144">
        <v>-2</v>
      </c>
      <c r="E141" s="14">
        <f t="shared" si="209"/>
        <v>-0.10625252697195428</v>
      </c>
      <c r="F141" s="6">
        <f t="shared" si="190"/>
        <v>3.2705469774073327E-2</v>
      </c>
      <c r="G141" s="14">
        <f t="shared" si="210"/>
        <v>-0.10710313787004169</v>
      </c>
      <c r="H141" s="6">
        <f t="shared" si="191"/>
        <v>2.9419916898750478E-2</v>
      </c>
      <c r="I141" s="14">
        <f t="shared" si="211"/>
        <v>-0.10834922633532522</v>
      </c>
      <c r="J141" s="6">
        <f t="shared" si="192"/>
        <v>2.7750434160591367E-2</v>
      </c>
      <c r="K141" s="14">
        <f t="shared" si="212"/>
        <v>-0.11006380135905318</v>
      </c>
      <c r="L141" s="6">
        <f t="shared" si="193"/>
        <v>2.6684251629453939E-2</v>
      </c>
      <c r="M141">
        <f t="shared" si="213"/>
        <v>-0.11230550836416338</v>
      </c>
      <c r="N141" s="6">
        <f t="shared" si="194"/>
        <v>2.593730969686987E-2</v>
      </c>
      <c r="O141">
        <f t="shared" si="214"/>
        <v>-0.11503720196674827</v>
      </c>
      <c r="P141" s="6">
        <f t="shared" si="195"/>
        <v>2.5857115819280775E-2</v>
      </c>
      <c r="Q141">
        <f t="shared" si="215"/>
        <v>-0.11856448920169711</v>
      </c>
      <c r="R141" s="6">
        <f t="shared" si="196"/>
        <v>2.5450611460593558E-2</v>
      </c>
      <c r="S141">
        <f t="shared" si="216"/>
        <v>-0.12289042432176656</v>
      </c>
      <c r="T141" s="6">
        <f t="shared" si="197"/>
        <v>2.5165401838581198E-2</v>
      </c>
      <c r="U141">
        <f t="shared" si="217"/>
        <v>-0.12816770096166333</v>
      </c>
      <c r="V141" s="6">
        <f t="shared" si="198"/>
        <v>2.4988947639217128E-2</v>
      </c>
      <c r="W141">
        <f t="shared" si="218"/>
        <v>-0.13460151309406465</v>
      </c>
      <c r="X141" s="6">
        <f t="shared" si="199"/>
        <v>2.4920264516535801E-2</v>
      </c>
      <c r="Y141">
        <f t="shared" si="219"/>
        <v>-0.1424713281741227</v>
      </c>
      <c r="Z141" s="6">
        <f t="shared" si="200"/>
        <v>2.496909985289595E-2</v>
      </c>
      <c r="AA141">
        <f t="shared" si="220"/>
        <v>-0.15216382998166197</v>
      </c>
      <c r="AB141" s="6">
        <f t="shared" si="201"/>
        <v>2.5157879734696464E-2</v>
      </c>
      <c r="AC141">
        <f t="shared" si="221"/>
        <v>-0.16426336239313699</v>
      </c>
      <c r="AD141" s="6">
        <f t="shared" si="202"/>
        <v>2.5992866666710971E-2</v>
      </c>
      <c r="AE141">
        <f t="shared" si="222"/>
        <v>-0.17954714628800661</v>
      </c>
      <c r="AF141" s="6">
        <f t="shared" si="203"/>
        <v>2.6610139741631213E-2</v>
      </c>
      <c r="AG141">
        <f t="shared" si="223"/>
        <v>-0.19913965070149539</v>
      </c>
      <c r="AH141" s="6">
        <f t="shared" si="204"/>
        <v>2.7594399792934741E-2</v>
      </c>
      <c r="AI141">
        <f t="shared" si="224"/>
        <v>-0.22459938383969194</v>
      </c>
      <c r="AJ141">
        <f t="shared" si="205"/>
        <v>2.6110016933585084E-2</v>
      </c>
      <c r="AK141">
        <f t="shared" si="225"/>
        <v>-0.25848095999507764</v>
      </c>
      <c r="AL141">
        <f t="shared" si="206"/>
        <v>2.8028355307556766E-2</v>
      </c>
      <c r="AM141">
        <f t="shared" si="226"/>
        <v>-0.29637099638935421</v>
      </c>
      <c r="AN141">
        <f t="shared" si="207"/>
        <v>2.9978394592469367E-2</v>
      </c>
      <c r="AO141">
        <f t="shared" si="227"/>
        <v>-0.26834460027091589</v>
      </c>
      <c r="AP141">
        <f t="shared" si="208"/>
        <v>2.822219777957986E-2</v>
      </c>
    </row>
    <row r="142" spans="1:42" s="29" customFormat="1" x14ac:dyDescent="0.25">
      <c r="A142" s="139">
        <v>0.15</v>
      </c>
      <c r="B142" s="259">
        <f>'Sub C_D_0'!AW163</f>
        <v>2.5861851274217178E-2</v>
      </c>
      <c r="C142" s="261">
        <f>'C_L vs. α'!X444</f>
        <v>0.10834922633532522</v>
      </c>
      <c r="D142" s="143">
        <v>0</v>
      </c>
      <c r="E142" s="83">
        <f t="shared" si="209"/>
        <v>0.10625252697195428</v>
      </c>
      <c r="F142" s="21">
        <f t="shared" si="190"/>
        <v>3.1802301815039256E-2</v>
      </c>
      <c r="G142" s="83">
        <f t="shared" si="210"/>
        <v>0.10710313787004169</v>
      </c>
      <c r="H142" s="21">
        <f t="shared" si="191"/>
        <v>2.8502230327421746E-2</v>
      </c>
      <c r="I142" s="83">
        <f t="shared" si="211"/>
        <v>0.10834922633532522</v>
      </c>
      <c r="J142" s="21">
        <f t="shared" si="192"/>
        <v>2.6811269772794286E-2</v>
      </c>
      <c r="K142" s="83">
        <f t="shared" si="212"/>
        <v>0.11006380135905318</v>
      </c>
      <c r="L142" s="21">
        <f t="shared" si="193"/>
        <v>2.5715128399885531E-2</v>
      </c>
      <c r="M142" s="99">
        <f t="shared" si="213"/>
        <v>0.11230550836416338</v>
      </c>
      <c r="N142" s="21">
        <f t="shared" si="194"/>
        <v>2.4928307520155214E-2</v>
      </c>
      <c r="O142" s="99">
        <f t="shared" si="214"/>
        <v>0.11503720196674827</v>
      </c>
      <c r="P142" s="21">
        <f t="shared" si="195"/>
        <v>2.47984311923737E-2</v>
      </c>
      <c r="Q142" s="99">
        <f t="shared" si="215"/>
        <v>0.11856448920169711</v>
      </c>
      <c r="R142" s="21">
        <f t="shared" si="196"/>
        <v>2.4326008412620809E-2</v>
      </c>
      <c r="S142" s="99">
        <f t="shared" si="216"/>
        <v>0.12289042432176656</v>
      </c>
      <c r="T142" s="21">
        <f t="shared" si="197"/>
        <v>2.3957237327382492E-2</v>
      </c>
      <c r="U142" s="99">
        <f t="shared" si="217"/>
        <v>0.12816770096166333</v>
      </c>
      <c r="V142" s="21">
        <f t="shared" si="198"/>
        <v>2.3674790873633261E-2</v>
      </c>
      <c r="W142" s="99">
        <f t="shared" si="218"/>
        <v>0.13460151309406465</v>
      </c>
      <c r="X142" s="21">
        <f t="shared" si="199"/>
        <v>2.347085913035887E-2</v>
      </c>
      <c r="Y142" s="99">
        <f t="shared" si="219"/>
        <v>0.1424713281741227</v>
      </c>
      <c r="Z142" s="21">
        <f t="shared" si="200"/>
        <v>2.3345253504760063E-2</v>
      </c>
      <c r="AA142" s="99">
        <f t="shared" si="220"/>
        <v>0.15216382998166197</v>
      </c>
      <c r="AB142" s="21">
        <f t="shared" si="201"/>
        <v>2.3305573242321413E-2</v>
      </c>
      <c r="AC142" s="99">
        <f t="shared" si="221"/>
        <v>0.16426336239313699</v>
      </c>
      <c r="AD142" s="21">
        <f t="shared" si="202"/>
        <v>2.3834270488735047E-2</v>
      </c>
      <c r="AE142" s="99">
        <f t="shared" si="222"/>
        <v>0.17954714628800661</v>
      </c>
      <c r="AF142" s="21">
        <f t="shared" si="203"/>
        <v>2.4031165522417866E-2</v>
      </c>
      <c r="AG142" s="99">
        <f t="shared" si="223"/>
        <v>0.19913965070149539</v>
      </c>
      <c r="AH142" s="21">
        <f t="shared" si="204"/>
        <v>2.4421871754413654E-2</v>
      </c>
      <c r="AI142" s="99">
        <f t="shared" si="224"/>
        <v>0.22459938383969194</v>
      </c>
      <c r="AJ142" s="99">
        <f t="shared" si="205"/>
        <v>2.6110016933585084E-2</v>
      </c>
      <c r="AK142" s="99">
        <f t="shared" si="225"/>
        <v>0.25848095999507764</v>
      </c>
      <c r="AL142" s="99">
        <f t="shared" si="206"/>
        <v>2.8028355307556766E-2</v>
      </c>
      <c r="AM142" s="99">
        <f t="shared" si="226"/>
        <v>0.29637099638935421</v>
      </c>
      <c r="AN142" s="99">
        <f t="shared" si="207"/>
        <v>2.9978394592469367E-2</v>
      </c>
      <c r="AO142" s="99">
        <f t="shared" si="227"/>
        <v>0.26834460027091589</v>
      </c>
      <c r="AP142" s="99">
        <f t="shared" si="208"/>
        <v>2.822219777957986E-2</v>
      </c>
    </row>
    <row r="143" spans="1:42" x14ac:dyDescent="0.25">
      <c r="A143" s="129">
        <v>0.2</v>
      </c>
      <c r="B143" s="259">
        <f>'Sub C_D_0'!AW164</f>
        <v>2.4735423958886397E-2</v>
      </c>
      <c r="C143" s="261">
        <f>'C_L vs. α'!X445</f>
        <v>0.11006380135905318</v>
      </c>
      <c r="D143" s="144">
        <v>2</v>
      </c>
      <c r="E143" s="14">
        <f t="shared" si="209"/>
        <v>0.31875758091586281</v>
      </c>
      <c r="F143" s="6">
        <f t="shared" si="190"/>
        <v>4.0009702164233725E-2</v>
      </c>
      <c r="G143" s="14">
        <f t="shared" si="210"/>
        <v>0.32130941361012511</v>
      </c>
      <c r="H143" s="6">
        <f t="shared" si="191"/>
        <v>3.684156633977291E-2</v>
      </c>
      <c r="I143" s="14">
        <f t="shared" si="211"/>
        <v>0.32504767900597564</v>
      </c>
      <c r="J143" s="6">
        <f t="shared" si="192"/>
        <v>3.5345782149208228E-2</v>
      </c>
      <c r="K143" s="14">
        <f t="shared" si="212"/>
        <v>0.33019140407715952</v>
      </c>
      <c r="L143" s="6">
        <f t="shared" si="193"/>
        <v>3.4521887157447029E-2</v>
      </c>
      <c r="M143">
        <f t="shared" si="213"/>
        <v>0.33691652509249015</v>
      </c>
      <c r="N143" s="6">
        <f t="shared" si="194"/>
        <v>3.4097460095455376E-2</v>
      </c>
      <c r="O143">
        <f t="shared" si="214"/>
        <v>0.34511160590024481</v>
      </c>
      <c r="P143" s="6">
        <f t="shared" si="195"/>
        <v>3.4419065416219287E-2</v>
      </c>
      <c r="Q143">
        <f t="shared" si="215"/>
        <v>0.35569346760509135</v>
      </c>
      <c r="R143" s="6">
        <f t="shared" si="196"/>
        <v>3.4545666180936872E-2</v>
      </c>
      <c r="S143">
        <f t="shared" si="216"/>
        <v>0.36867127296529967</v>
      </c>
      <c r="T143" s="6">
        <f t="shared" si="197"/>
        <v>3.4936247080675324E-2</v>
      </c>
      <c r="U143">
        <f t="shared" si="217"/>
        <v>0.38450310288499001</v>
      </c>
      <c r="V143" s="6">
        <f t="shared" si="198"/>
        <v>3.5616988987353604E-2</v>
      </c>
      <c r="W143">
        <f t="shared" si="218"/>
        <v>0.40380453928219395</v>
      </c>
      <c r="X143" s="6">
        <f t="shared" si="199"/>
        <v>3.6642108346678956E-2</v>
      </c>
      <c r="Y143">
        <f t="shared" si="219"/>
        <v>0.42741398452236812</v>
      </c>
      <c r="Z143" s="6">
        <f t="shared" si="200"/>
        <v>3.8101708216663636E-2</v>
      </c>
      <c r="AA143">
        <f t="shared" si="220"/>
        <v>0.4564914899449859</v>
      </c>
      <c r="AB143" s="6">
        <f t="shared" si="201"/>
        <v>4.0138124486270806E-2</v>
      </c>
      <c r="AC143">
        <f t="shared" si="221"/>
        <v>0.49279008717941097</v>
      </c>
      <c r="AD143" s="6">
        <f t="shared" si="202"/>
        <v>4.3450182288614497E-2</v>
      </c>
      <c r="AE143">
        <f t="shared" si="222"/>
        <v>0.53864143886401983</v>
      </c>
      <c r="AF143" s="6">
        <f t="shared" si="203"/>
        <v>4.7467198317439445E-2</v>
      </c>
      <c r="AG143">
        <f t="shared" si="223"/>
        <v>0.59741895210448615</v>
      </c>
      <c r="AH143" s="6">
        <f t="shared" si="204"/>
        <v>5.3251733875557615E-2</v>
      </c>
      <c r="AI143">
        <f t="shared" si="224"/>
        <v>0.67379815151907585</v>
      </c>
      <c r="AJ143">
        <f t="shared" si="205"/>
        <v>6.6818418934789195E-2</v>
      </c>
      <c r="AK143">
        <f t="shared" si="225"/>
        <v>0.77544287998523287</v>
      </c>
      <c r="AL143">
        <f t="shared" si="206"/>
        <v>8.1945147975540505E-2</v>
      </c>
      <c r="AM143">
        <f t="shared" si="226"/>
        <v>0.8891129891680627</v>
      </c>
      <c r="AN143">
        <f t="shared" si="207"/>
        <v>0.10086078156976927</v>
      </c>
      <c r="AO143">
        <f t="shared" si="227"/>
        <v>0.80503380081274767</v>
      </c>
      <c r="AP143">
        <f t="shared" si="208"/>
        <v>8.63324358845311E-2</v>
      </c>
    </row>
    <row r="144" spans="1:42" x14ac:dyDescent="0.25">
      <c r="A144" s="139">
        <v>0.25</v>
      </c>
      <c r="B144" s="259">
        <f>'Sub C_D_0'!AW165</f>
        <v>2.3908288720332026E-2</v>
      </c>
      <c r="C144" s="261">
        <f>'C_L vs. α'!X446</f>
        <v>0.11230550836416338</v>
      </c>
      <c r="D144" s="144">
        <v>4</v>
      </c>
      <c r="E144" s="14">
        <f t="shared" si="209"/>
        <v>0.53126263485977143</v>
      </c>
      <c r="F144" s="6">
        <f t="shared" si="190"/>
        <v>5.7327670821656733E-2</v>
      </c>
      <c r="G144" s="14">
        <f t="shared" si="210"/>
        <v>0.53551568935020843</v>
      </c>
      <c r="H144" s="6">
        <f t="shared" si="191"/>
        <v>5.4437924935803968E-2</v>
      </c>
      <c r="I144" s="14">
        <f t="shared" si="211"/>
        <v>0.54174613167662611</v>
      </c>
      <c r="J144" s="6">
        <f t="shared" si="192"/>
        <v>5.3353971289833185E-2</v>
      </c>
      <c r="K144" s="14">
        <f t="shared" si="212"/>
        <v>0.55031900679526591</v>
      </c>
      <c r="L144" s="6">
        <f t="shared" si="193"/>
        <v>5.3104527902138432E-2</v>
      </c>
      <c r="M144">
        <f t="shared" si="213"/>
        <v>0.56152754182081688</v>
      </c>
      <c r="N144" s="6">
        <f t="shared" si="194"/>
        <v>5.3444767422770344E-2</v>
      </c>
      <c r="O144">
        <f t="shared" si="214"/>
        <v>0.57518600983374135</v>
      </c>
      <c r="P144" s="6">
        <f t="shared" si="195"/>
        <v>5.4719018490817548E-2</v>
      </c>
      <c r="Q144">
        <f t="shared" si="215"/>
        <v>0.59282244600848555</v>
      </c>
      <c r="R144" s="6">
        <f t="shared" si="196"/>
        <v>5.6109584765541759E-2</v>
      </c>
      <c r="S144">
        <f t="shared" si="216"/>
        <v>0.61445212160883278</v>
      </c>
      <c r="T144" s="6">
        <f t="shared" si="197"/>
        <v>5.8102431098459695E-2</v>
      </c>
      <c r="U144">
        <f t="shared" si="217"/>
        <v>0.64083850480831661</v>
      </c>
      <c r="V144" s="6">
        <f t="shared" si="198"/>
        <v>6.0815541980378154E-2</v>
      </c>
      <c r="W144">
        <f t="shared" si="218"/>
        <v>0.67300756547032325</v>
      </c>
      <c r="X144" s="6">
        <f t="shared" si="199"/>
        <v>6.443401216549606E-2</v>
      </c>
      <c r="Y144">
        <f t="shared" si="219"/>
        <v>0.71235664087061346</v>
      </c>
      <c r="Z144" s="6">
        <f t="shared" si="200"/>
        <v>6.9238463988606669E-2</v>
      </c>
      <c r="AA144">
        <f t="shared" si="220"/>
        <v>0.7608191499083099</v>
      </c>
      <c r="AB144" s="6">
        <f t="shared" si="201"/>
        <v>7.5655533466544675E-2</v>
      </c>
      <c r="AC144">
        <f t="shared" si="221"/>
        <v>0.82131681196568496</v>
      </c>
      <c r="AD144" s="6">
        <f t="shared" si="202"/>
        <v>8.484060206634933E-2</v>
      </c>
      <c r="AE144">
        <f t="shared" si="222"/>
        <v>0.89773573144003305</v>
      </c>
      <c r="AF144" s="6">
        <f t="shared" si="203"/>
        <v>9.6918238126695963E-2</v>
      </c>
      <c r="AG144">
        <f t="shared" si="223"/>
        <v>0.99569825350747698</v>
      </c>
      <c r="AH144" s="6">
        <f t="shared" si="204"/>
        <v>0.11408398615636661</v>
      </c>
      <c r="AI144">
        <f t="shared" si="224"/>
        <v>1.1229969191984597</v>
      </c>
      <c r="AJ144">
        <f t="shared" si="205"/>
        <v>0.1482352229371974</v>
      </c>
      <c r="AK144">
        <f t="shared" si="225"/>
        <v>1.2924047999753883</v>
      </c>
      <c r="AL144">
        <f t="shared" si="206"/>
        <v>0.18977873331150799</v>
      </c>
      <c r="AM144">
        <f t="shared" si="226"/>
        <v>1.481854981946771</v>
      </c>
      <c r="AN144">
        <f t="shared" si="207"/>
        <v>0.24262555552436904</v>
      </c>
      <c r="AO144">
        <f t="shared" si="227"/>
        <v>1.3417230013545796</v>
      </c>
      <c r="AP144">
        <f t="shared" si="208"/>
        <v>0.20255291209443355</v>
      </c>
    </row>
    <row r="145" spans="1:42" x14ac:dyDescent="0.25">
      <c r="A145" s="129">
        <v>0.3</v>
      </c>
      <c r="B145" s="259">
        <f>'Sub C_D_0'!AW166</f>
        <v>2.3728187492756386E-2</v>
      </c>
      <c r="C145" s="261">
        <f>'C_L vs. α'!X447</f>
        <v>0.11503720196674827</v>
      </c>
      <c r="D145" s="144">
        <v>6</v>
      </c>
      <c r="E145" s="14">
        <f t="shared" si="209"/>
        <v>0.74376768880367994</v>
      </c>
      <c r="F145" s="6">
        <f t="shared" si="190"/>
        <v>8.3756207787308273E-2</v>
      </c>
      <c r="G145" s="14">
        <f t="shared" si="210"/>
        <v>0.74972196509029188</v>
      </c>
      <c r="H145" s="6">
        <f t="shared" si="191"/>
        <v>8.1291306115514939E-2</v>
      </c>
      <c r="I145" s="14">
        <f t="shared" si="211"/>
        <v>0.75844458434727657</v>
      </c>
      <c r="J145" s="6">
        <f t="shared" si="192"/>
        <v>8.0835837194669177E-2</v>
      </c>
      <c r="K145" s="14">
        <f t="shared" si="212"/>
        <v>0.77044660951337229</v>
      </c>
      <c r="L145" s="6">
        <f t="shared" si="193"/>
        <v>8.1463050633959741E-2</v>
      </c>
      <c r="M145">
        <f t="shared" si="213"/>
        <v>0.78613855854914361</v>
      </c>
      <c r="N145" s="6">
        <f t="shared" si="194"/>
        <v>8.2970229502100118E-2</v>
      </c>
      <c r="O145">
        <f t="shared" si="214"/>
        <v>0.80526041376723789</v>
      </c>
      <c r="P145" s="6">
        <f t="shared" si="195"/>
        <v>8.5698290416168457E-2</v>
      </c>
      <c r="Q145">
        <f t="shared" si="215"/>
        <v>0.82995142441187975</v>
      </c>
      <c r="R145" s="6">
        <f t="shared" si="196"/>
        <v>8.9017764166435448E-2</v>
      </c>
      <c r="S145">
        <f t="shared" si="216"/>
        <v>0.86023297025236589</v>
      </c>
      <c r="T145" s="6">
        <f t="shared" si="197"/>
        <v>9.3455789380735593E-2</v>
      </c>
      <c r="U145">
        <f t="shared" si="217"/>
        <v>0.89717390673164332</v>
      </c>
      <c r="V145" s="6">
        <f t="shared" si="198"/>
        <v>9.9270449852706916E-2</v>
      </c>
      <c r="W145">
        <f t="shared" si="218"/>
        <v>0.94221059165845256</v>
      </c>
      <c r="X145" s="6">
        <f t="shared" si="199"/>
        <v>0.10684657058681019</v>
      </c>
      <c r="Y145">
        <f t="shared" si="219"/>
        <v>0.9972992972188589</v>
      </c>
      <c r="Z145" s="6">
        <f t="shared" si="200"/>
        <v>0.11675552082058915</v>
      </c>
      <c r="AA145">
        <f t="shared" si="220"/>
        <v>1.0651468098716339</v>
      </c>
      <c r="AB145" s="6">
        <f t="shared" si="201"/>
        <v>0.129857800183143</v>
      </c>
      <c r="AC145">
        <f t="shared" si="221"/>
        <v>1.149843536751959</v>
      </c>
      <c r="AD145" s="6">
        <f t="shared" si="202"/>
        <v>0.14800552982193954</v>
      </c>
      <c r="AE145">
        <f t="shared" si="222"/>
        <v>1.2568300240160464</v>
      </c>
      <c r="AF145" s="6">
        <f t="shared" si="203"/>
        <v>0.17238428495018743</v>
      </c>
      <c r="AG145">
        <f t="shared" si="223"/>
        <v>1.3939775549104678</v>
      </c>
      <c r="AH145" s="6">
        <f t="shared" si="204"/>
        <v>0.20691862859684065</v>
      </c>
      <c r="AI145">
        <f t="shared" si="224"/>
        <v>1.5721956868778435</v>
      </c>
      <c r="AJ145">
        <f t="shared" si="205"/>
        <v>0.27036042894080969</v>
      </c>
      <c r="AK145">
        <f t="shared" si="225"/>
        <v>1.8093667199655434</v>
      </c>
      <c r="AL145">
        <f t="shared" si="206"/>
        <v>0.35152911131545922</v>
      </c>
      <c r="AM145">
        <f t="shared" si="226"/>
        <v>2.0745969747254795</v>
      </c>
      <c r="AN145">
        <f t="shared" si="207"/>
        <v>0.45527271645626877</v>
      </c>
      <c r="AO145">
        <f t="shared" si="227"/>
        <v>1.8784122018964111</v>
      </c>
      <c r="AP145">
        <f t="shared" si="208"/>
        <v>0.37688362640928719</v>
      </c>
    </row>
    <row r="146" spans="1:42" x14ac:dyDescent="0.25">
      <c r="A146" s="139">
        <v>0.35</v>
      </c>
      <c r="B146" s="259">
        <f>'Sub C_D_0'!AW167</f>
        <v>2.3189126572577892E-2</v>
      </c>
      <c r="C146" s="261">
        <f>'C_L vs. α'!X448</f>
        <v>0.11856448920169711</v>
      </c>
      <c r="D146" s="144">
        <v>8</v>
      </c>
      <c r="E146" s="14">
        <f t="shared" si="209"/>
        <v>0.95627274274758856</v>
      </c>
      <c r="F146" s="6">
        <f t="shared" si="190"/>
        <v>0.11929531306118839</v>
      </c>
      <c r="G146" s="14">
        <f t="shared" si="210"/>
        <v>0.9639282408303752</v>
      </c>
      <c r="H146" s="6">
        <f t="shared" si="191"/>
        <v>0.11740170987890576</v>
      </c>
      <c r="I146" s="14">
        <f t="shared" si="211"/>
        <v>0.97514303701792693</v>
      </c>
      <c r="J146" s="6">
        <f t="shared" si="192"/>
        <v>0.11779137986371618</v>
      </c>
      <c r="K146" s="14">
        <f t="shared" si="212"/>
        <v>0.99057421223147857</v>
      </c>
      <c r="L146" s="6">
        <f t="shared" si="193"/>
        <v>0.11959745535291093</v>
      </c>
      <c r="M146">
        <f t="shared" si="213"/>
        <v>1.0107495752774704</v>
      </c>
      <c r="N146" s="6">
        <f t="shared" si="194"/>
        <v>0.12267384633344475</v>
      </c>
      <c r="O146">
        <f t="shared" si="214"/>
        <v>1.0353348177007344</v>
      </c>
      <c r="P146" s="6">
        <f t="shared" si="195"/>
        <v>0.12735688119227204</v>
      </c>
      <c r="Q146">
        <f t="shared" si="215"/>
        <v>1.0670804028152741</v>
      </c>
      <c r="R146" s="6">
        <f t="shared" si="196"/>
        <v>0.13327020438361797</v>
      </c>
      <c r="S146">
        <f t="shared" si="216"/>
        <v>1.106013818895899</v>
      </c>
      <c r="T146" s="6">
        <f t="shared" si="197"/>
        <v>0.14099632192750303</v>
      </c>
      <c r="U146">
        <f t="shared" si="217"/>
        <v>1.1535093086549699</v>
      </c>
      <c r="V146" s="6">
        <f t="shared" si="198"/>
        <v>0.1509817126043399</v>
      </c>
      <c r="W146">
        <f t="shared" si="218"/>
        <v>1.2114136178465817</v>
      </c>
      <c r="X146" s="6">
        <f t="shared" si="199"/>
        <v>0.16387978361062133</v>
      </c>
      <c r="Y146">
        <f t="shared" si="219"/>
        <v>1.2822419535671044</v>
      </c>
      <c r="Z146" s="6">
        <f t="shared" si="200"/>
        <v>0.18065287871261113</v>
      </c>
      <c r="AA146">
        <f t="shared" si="220"/>
        <v>1.3694744698349577</v>
      </c>
      <c r="AB146" s="6">
        <f t="shared" si="201"/>
        <v>0.20274492463606572</v>
      </c>
      <c r="AC146">
        <f t="shared" si="221"/>
        <v>1.4783702615382328</v>
      </c>
      <c r="AD146" s="6">
        <f t="shared" si="202"/>
        <v>0.23294496555538508</v>
      </c>
      <c r="AE146">
        <f t="shared" si="222"/>
        <v>1.6159243165920594</v>
      </c>
      <c r="AF146" s="6">
        <f t="shared" si="203"/>
        <v>0.27386533878791375</v>
      </c>
      <c r="AG146">
        <f t="shared" si="223"/>
        <v>1.7922568563134584</v>
      </c>
      <c r="AH146" s="6">
        <f t="shared" si="204"/>
        <v>0.33175566119697969</v>
      </c>
      <c r="AI146">
        <f t="shared" si="224"/>
        <v>2.0213944545572273</v>
      </c>
      <c r="AJ146">
        <f t="shared" si="205"/>
        <v>0.43319403694562608</v>
      </c>
      <c r="AK146">
        <f t="shared" si="225"/>
        <v>2.3263286399556988</v>
      </c>
      <c r="AL146">
        <f t="shared" si="206"/>
        <v>0.56719628198739414</v>
      </c>
      <c r="AM146">
        <f t="shared" si="226"/>
        <v>2.6673389675041879</v>
      </c>
      <c r="AN146">
        <f t="shared" si="207"/>
        <v>0.73880226436546836</v>
      </c>
      <c r="AO146">
        <f t="shared" si="227"/>
        <v>2.4151014024382431</v>
      </c>
      <c r="AP146">
        <f t="shared" si="208"/>
        <v>0.60932457882909219</v>
      </c>
    </row>
    <row r="147" spans="1:42" x14ac:dyDescent="0.25">
      <c r="A147" s="129">
        <v>0.4</v>
      </c>
      <c r="B147" s="259">
        <f>'Sub C_D_0'!AW168</f>
        <v>2.2735881672120727E-2</v>
      </c>
      <c r="C147" s="261">
        <f>'C_L vs. α'!X449</f>
        <v>0.12289042432176656</v>
      </c>
      <c r="D147" s="144">
        <v>10</v>
      </c>
      <c r="E147" s="14">
        <f t="shared" si="209"/>
        <v>1.1687777966914972</v>
      </c>
      <c r="F147" s="6">
        <f t="shared" si="190"/>
        <v>0.16394498664329704</v>
      </c>
      <c r="G147" s="14">
        <f t="shared" si="210"/>
        <v>1.1781345165704586</v>
      </c>
      <c r="H147" s="6">
        <f t="shared" si="191"/>
        <v>0.16276913622597652</v>
      </c>
      <c r="I147" s="14">
        <f t="shared" si="211"/>
        <v>1.1918414896885774</v>
      </c>
      <c r="J147" s="6">
        <f t="shared" si="192"/>
        <v>0.16422059929697422</v>
      </c>
      <c r="K147" s="14">
        <f t="shared" si="212"/>
        <v>1.210701814949585</v>
      </c>
      <c r="L147" s="6">
        <f t="shared" si="193"/>
        <v>0.16750774205899205</v>
      </c>
      <c r="M147">
        <f t="shared" si="213"/>
        <v>1.2353605920057971</v>
      </c>
      <c r="N147" s="6">
        <f t="shared" si="194"/>
        <v>0.17255561791680413</v>
      </c>
      <c r="O147">
        <f t="shared" si="214"/>
        <v>1.265409221634231</v>
      </c>
      <c r="P147" s="6">
        <f t="shared" si="195"/>
        <v>0.17969479081912826</v>
      </c>
      <c r="Q147">
        <f t="shared" si="215"/>
        <v>1.3042093812186681</v>
      </c>
      <c r="R147" s="6">
        <f t="shared" si="196"/>
        <v>0.18886690541708928</v>
      </c>
      <c r="S147">
        <f t="shared" si="216"/>
        <v>1.3517946675394321</v>
      </c>
      <c r="T147" s="6">
        <f t="shared" si="197"/>
        <v>0.20072402873876205</v>
      </c>
      <c r="U147">
        <f t="shared" si="217"/>
        <v>1.4098447105782965</v>
      </c>
      <c r="V147" s="6">
        <f t="shared" si="198"/>
        <v>0.21594933023527704</v>
      </c>
      <c r="W147">
        <f t="shared" si="218"/>
        <v>1.4806166440347113</v>
      </c>
      <c r="X147" s="6">
        <f t="shared" si="199"/>
        <v>0.23553365123692954</v>
      </c>
      <c r="Y147">
        <f t="shared" si="219"/>
        <v>1.5671846099153497</v>
      </c>
      <c r="Z147" s="6">
        <f t="shared" si="200"/>
        <v>0.2609305376646725</v>
      </c>
      <c r="AA147">
        <f t="shared" si="220"/>
        <v>1.6738021297982817</v>
      </c>
      <c r="AB147" s="6">
        <f t="shared" si="201"/>
        <v>0.29431690682531297</v>
      </c>
      <c r="AC147">
        <f t="shared" si="221"/>
        <v>1.806896986324507</v>
      </c>
      <c r="AD147" s="6">
        <f t="shared" si="202"/>
        <v>0.33965890926668607</v>
      </c>
      <c r="AE147">
        <f t="shared" si="222"/>
        <v>1.9750186091680728</v>
      </c>
      <c r="AF147" s="6">
        <f t="shared" si="203"/>
        <v>0.4013613996398751</v>
      </c>
      <c r="AG147">
        <f t="shared" si="223"/>
        <v>2.1905361577164495</v>
      </c>
      <c r="AH147" s="6">
        <f t="shared" si="204"/>
        <v>0.48859508395678397</v>
      </c>
      <c r="AI147">
        <f t="shared" si="224"/>
        <v>2.4705932222366114</v>
      </c>
      <c r="AJ147">
        <f t="shared" si="205"/>
        <v>0.63673604695164665</v>
      </c>
      <c r="AK147">
        <f t="shared" si="225"/>
        <v>2.8432905599458542</v>
      </c>
      <c r="AL147">
        <f t="shared" si="206"/>
        <v>0.83678024532731299</v>
      </c>
      <c r="AM147">
        <f t="shared" si="226"/>
        <v>3.2600809602828962</v>
      </c>
      <c r="AN147">
        <f t="shared" si="207"/>
        <v>1.0932141992519677</v>
      </c>
      <c r="AO147">
        <f t="shared" si="227"/>
        <v>2.9517906029800747</v>
      </c>
      <c r="AP147">
        <f t="shared" si="208"/>
        <v>0.89987576935384805</v>
      </c>
    </row>
    <row r="148" spans="1:42" x14ac:dyDescent="0.25">
      <c r="A148" s="139">
        <v>0.45</v>
      </c>
      <c r="B148" s="259">
        <f>'Sub C_D_0'!AW169</f>
        <v>2.2346285705116202E-2</v>
      </c>
      <c r="C148" s="261">
        <f>'C_L vs. α'!X450</f>
        <v>0.12816770096166333</v>
      </c>
      <c r="D148" s="144">
        <v>12</v>
      </c>
      <c r="E148" s="14">
        <f t="shared" si="209"/>
        <v>1.3812828506354056</v>
      </c>
      <c r="F148" s="6">
        <f t="shared" si="190"/>
        <v>0.21770522853363417</v>
      </c>
      <c r="G148" s="14">
        <f t="shared" si="210"/>
        <v>1.392340792310542</v>
      </c>
      <c r="H148" s="6">
        <f t="shared" si="191"/>
        <v>0.21739358515672713</v>
      </c>
      <c r="I148" s="14">
        <f t="shared" si="211"/>
        <v>1.4085399423592277</v>
      </c>
      <c r="J148" s="6">
        <f t="shared" si="192"/>
        <v>0.22012349549444321</v>
      </c>
      <c r="K148" s="14">
        <f t="shared" si="212"/>
        <v>1.4308294176676912</v>
      </c>
      <c r="L148" s="6">
        <f t="shared" si="193"/>
        <v>0.22519391075220305</v>
      </c>
      <c r="M148">
        <f t="shared" si="213"/>
        <v>1.4599716087341239</v>
      </c>
      <c r="N148" s="6">
        <f t="shared" si="194"/>
        <v>0.23261554425217834</v>
      </c>
      <c r="O148">
        <f t="shared" si="214"/>
        <v>1.4954836255677275</v>
      </c>
      <c r="P148" s="6">
        <f t="shared" si="195"/>
        <v>0.24271201929673716</v>
      </c>
      <c r="Q148">
        <f t="shared" si="215"/>
        <v>1.5413383596220624</v>
      </c>
      <c r="R148" s="6">
        <f t="shared" si="196"/>
        <v>0.25580786726684945</v>
      </c>
      <c r="S148">
        <f t="shared" si="216"/>
        <v>1.5975755161829652</v>
      </c>
      <c r="T148" s="6">
        <f t="shared" si="197"/>
        <v>0.27263890981451255</v>
      </c>
      <c r="U148">
        <f t="shared" si="217"/>
        <v>1.6661801125016233</v>
      </c>
      <c r="V148" s="6">
        <f t="shared" si="198"/>
        <v>0.29417330274551845</v>
      </c>
      <c r="W148">
        <f t="shared" si="218"/>
        <v>1.7498196702228404</v>
      </c>
      <c r="X148" s="6">
        <f t="shared" si="199"/>
        <v>0.32180817346573465</v>
      </c>
      <c r="Y148">
        <f t="shared" si="219"/>
        <v>1.852127266263595</v>
      </c>
      <c r="Z148" s="6">
        <f t="shared" si="200"/>
        <v>0.35758849767677336</v>
      </c>
      <c r="AA148">
        <f t="shared" si="220"/>
        <v>1.9781297897616057</v>
      </c>
      <c r="AB148" s="6">
        <f t="shared" si="201"/>
        <v>0.4045737467508847</v>
      </c>
      <c r="AC148">
        <f t="shared" si="221"/>
        <v>2.1354237111107808</v>
      </c>
      <c r="AD148" s="6">
        <f t="shared" si="202"/>
        <v>0.46814736095584236</v>
      </c>
      <c r="AE148">
        <f t="shared" si="222"/>
        <v>2.3341129017440858</v>
      </c>
      <c r="AF148" s="6">
        <f t="shared" si="203"/>
        <v>0.55487246750607122</v>
      </c>
      <c r="AG148">
        <f t="shared" si="223"/>
        <v>2.5888154591194401</v>
      </c>
      <c r="AH148" s="6">
        <f t="shared" si="204"/>
        <v>0.67743689687625297</v>
      </c>
      <c r="AI148">
        <f t="shared" si="224"/>
        <v>2.9197919899159954</v>
      </c>
      <c r="AJ148">
        <f t="shared" si="205"/>
        <v>0.8809864589588714</v>
      </c>
      <c r="AK148">
        <f t="shared" si="225"/>
        <v>3.3602524799360092</v>
      </c>
      <c r="AL148">
        <f t="shared" si="206"/>
        <v>1.1602810013352154</v>
      </c>
      <c r="AM148">
        <f t="shared" si="226"/>
        <v>3.8528229530616049</v>
      </c>
      <c r="AN148">
        <f t="shared" si="207"/>
        <v>1.5185085211157674</v>
      </c>
      <c r="AO148">
        <f t="shared" si="227"/>
        <v>3.4884798035219067</v>
      </c>
      <c r="AP148">
        <f t="shared" si="208"/>
        <v>1.2485371979835558</v>
      </c>
    </row>
    <row r="149" spans="1:42" x14ac:dyDescent="0.25">
      <c r="A149" s="129">
        <v>0.5</v>
      </c>
      <c r="B149" s="259">
        <f>'Sub C_D_0'!AW170</f>
        <v>2.2005628651590975E-2</v>
      </c>
      <c r="C149" s="261">
        <f>'C_L vs. α'!X451</f>
        <v>0.13460151309406465</v>
      </c>
      <c r="D149" s="144">
        <v>14</v>
      </c>
      <c r="E149" s="14">
        <f t="shared" si="209"/>
        <v>1.5937879045793142</v>
      </c>
      <c r="F149" s="6">
        <f t="shared" si="190"/>
        <v>0.28057603873219988</v>
      </c>
      <c r="G149" s="14">
        <f t="shared" si="210"/>
        <v>1.6065470680506253</v>
      </c>
      <c r="H149" s="6">
        <f t="shared" si="191"/>
        <v>0.28127505667115765</v>
      </c>
      <c r="I149" s="14">
        <f t="shared" si="211"/>
        <v>1.6252383950298783</v>
      </c>
      <c r="J149" s="6">
        <f t="shared" si="192"/>
        <v>0.28550006845612336</v>
      </c>
      <c r="K149" s="14">
        <f t="shared" si="212"/>
        <v>1.6509570203857977</v>
      </c>
      <c r="L149" s="6">
        <f t="shared" si="193"/>
        <v>0.29265596143254402</v>
      </c>
      <c r="M149">
        <f t="shared" si="213"/>
        <v>1.6845826254624507</v>
      </c>
      <c r="N149" s="6">
        <f t="shared" si="194"/>
        <v>0.30285362533956739</v>
      </c>
      <c r="O149">
        <f t="shared" si="214"/>
        <v>1.7255580295012241</v>
      </c>
      <c r="P149" s="6">
        <f t="shared" si="195"/>
        <v>0.31640856662509875</v>
      </c>
      <c r="Q149">
        <f t="shared" si="215"/>
        <v>1.7784673380254568</v>
      </c>
      <c r="R149" s="6">
        <f t="shared" si="196"/>
        <v>0.33409308993289843</v>
      </c>
      <c r="S149">
        <f t="shared" si="216"/>
        <v>1.8433563648264983</v>
      </c>
      <c r="T149" s="6">
        <f t="shared" si="197"/>
        <v>0.35674096515475462</v>
      </c>
      <c r="U149">
        <f t="shared" si="217"/>
        <v>1.9225155144249499</v>
      </c>
      <c r="V149" s="6">
        <f t="shared" si="198"/>
        <v>0.38565363013506404</v>
      </c>
      <c r="W149">
        <f t="shared" si="218"/>
        <v>2.0190226964109699</v>
      </c>
      <c r="X149" s="6">
        <f t="shared" si="199"/>
        <v>0.42270335029703698</v>
      </c>
      <c r="Y149">
        <f t="shared" si="219"/>
        <v>2.1370699226118406</v>
      </c>
      <c r="Z149" s="6">
        <f t="shared" si="200"/>
        <v>0.47062675874891374</v>
      </c>
      <c r="AA149">
        <f t="shared" si="220"/>
        <v>2.2824574497249297</v>
      </c>
      <c r="AB149" s="6">
        <f t="shared" si="201"/>
        <v>0.53351544441278076</v>
      </c>
      <c r="AC149">
        <f t="shared" si="221"/>
        <v>2.463950435897055</v>
      </c>
      <c r="AD149" s="6">
        <f t="shared" si="202"/>
        <v>0.61841032062285417</v>
      </c>
      <c r="AE149">
        <f t="shared" si="222"/>
        <v>2.6932071943200993</v>
      </c>
      <c r="AF149" s="6">
        <f t="shared" si="203"/>
        <v>0.73439854238650248</v>
      </c>
      <c r="AG149">
        <f t="shared" si="223"/>
        <v>2.9870947605224307</v>
      </c>
      <c r="AH149" s="6">
        <f t="shared" si="204"/>
        <v>0.89828109995538719</v>
      </c>
      <c r="AI149">
        <f t="shared" si="224"/>
        <v>3.368990757595379</v>
      </c>
      <c r="AJ149">
        <f t="shared" si="205"/>
        <v>1.1659452729673001</v>
      </c>
      <c r="AK149">
        <f t="shared" si="225"/>
        <v>3.8772143999261646</v>
      </c>
      <c r="AL149">
        <f t="shared" si="206"/>
        <v>1.5376985500111016</v>
      </c>
      <c r="AM149">
        <f t="shared" si="226"/>
        <v>4.4455649458403128</v>
      </c>
      <c r="AN149">
        <f t="shared" si="207"/>
        <v>2.0146852299568661</v>
      </c>
      <c r="AO149">
        <f t="shared" si="227"/>
        <v>4.0251690040637387</v>
      </c>
      <c r="AP149">
        <f t="shared" si="208"/>
        <v>1.6553088647182146</v>
      </c>
    </row>
    <row r="150" spans="1:42" x14ac:dyDescent="0.25">
      <c r="A150" s="139">
        <v>0.55000000000000004</v>
      </c>
      <c r="B150" s="259">
        <f>'Sub C_D_0'!AW171</f>
        <v>2.1703677459289101E-2</v>
      </c>
      <c r="C150" s="261">
        <f>'C_L vs. α'!X452</f>
        <v>0.1424713281741227</v>
      </c>
      <c r="D150" s="144">
        <v>16</v>
      </c>
      <c r="E150" s="14">
        <f t="shared" si="209"/>
        <v>1.8062929585232228</v>
      </c>
      <c r="F150" s="6">
        <f t="shared" si="190"/>
        <v>0.35255741723899414</v>
      </c>
      <c r="G150" s="14">
        <f t="shared" si="210"/>
        <v>1.8207533437907089</v>
      </c>
      <c r="H150" s="6">
        <f t="shared" si="191"/>
        <v>0.35441355076926812</v>
      </c>
      <c r="I150" s="14">
        <f t="shared" si="211"/>
        <v>1.8419368477005287</v>
      </c>
      <c r="J150" s="6">
        <f t="shared" si="192"/>
        <v>0.36035031818201446</v>
      </c>
      <c r="K150" s="14">
        <f t="shared" si="212"/>
        <v>1.871084623103904</v>
      </c>
      <c r="L150" s="6">
        <f t="shared" si="193"/>
        <v>0.36989389410001483</v>
      </c>
      <c r="M150">
        <f t="shared" si="213"/>
        <v>1.9091936421907774</v>
      </c>
      <c r="N150" s="6">
        <f t="shared" si="194"/>
        <v>0.38326986117897122</v>
      </c>
      <c r="O150">
        <f t="shared" si="214"/>
        <v>1.9556324334347206</v>
      </c>
      <c r="P150" s="6">
        <f t="shared" si="195"/>
        <v>0.400784432804213</v>
      </c>
      <c r="Q150">
        <f t="shared" si="215"/>
        <v>2.0155963164288511</v>
      </c>
      <c r="R150" s="6">
        <f t="shared" si="196"/>
        <v>0.42372257341523623</v>
      </c>
      <c r="S150">
        <f t="shared" si="216"/>
        <v>2.0891372134700315</v>
      </c>
      <c r="T150" s="6">
        <f t="shared" si="197"/>
        <v>0.45303019475948819</v>
      </c>
      <c r="U150">
        <f t="shared" si="217"/>
        <v>2.1788509163482765</v>
      </c>
      <c r="V150" s="6">
        <f t="shared" si="198"/>
        <v>0.49039031240391384</v>
      </c>
      <c r="W150">
        <f t="shared" si="218"/>
        <v>2.288225722599099</v>
      </c>
      <c r="X150" s="6">
        <f t="shared" si="199"/>
        <v>0.53821918173083605</v>
      </c>
      <c r="Y150">
        <f t="shared" si="219"/>
        <v>2.4220125789600857</v>
      </c>
      <c r="Z150" s="6">
        <f t="shared" si="200"/>
        <v>0.60004532088109341</v>
      </c>
      <c r="AA150">
        <f t="shared" si="220"/>
        <v>2.5867851096882535</v>
      </c>
      <c r="AB150" s="6">
        <f t="shared" si="201"/>
        <v>0.68114199981100132</v>
      </c>
      <c r="AC150">
        <f t="shared" si="221"/>
        <v>2.7924771606833287</v>
      </c>
      <c r="AD150" s="6">
        <f t="shared" si="202"/>
        <v>0.79044778826772122</v>
      </c>
      <c r="AE150">
        <f t="shared" si="222"/>
        <v>3.0523014868961122</v>
      </c>
      <c r="AF150" s="6">
        <f t="shared" si="203"/>
        <v>0.9399396242811684</v>
      </c>
      <c r="AG150">
        <f t="shared" si="223"/>
        <v>3.3853740619254218</v>
      </c>
      <c r="AH150" s="6">
        <f t="shared" si="204"/>
        <v>1.1511276931941865</v>
      </c>
      <c r="AI150">
        <f t="shared" si="224"/>
        <v>3.8181895252747631</v>
      </c>
      <c r="AJ150">
        <f t="shared" si="205"/>
        <v>1.4916124889769331</v>
      </c>
      <c r="AK150">
        <f t="shared" si="225"/>
        <v>4.39417631991632</v>
      </c>
      <c r="AL150">
        <f t="shared" si="206"/>
        <v>1.9690328913549717</v>
      </c>
      <c r="AM150">
        <f>(D101-$B$12)*$C$157</f>
        <v>5.038306938619022</v>
      </c>
      <c r="AN150">
        <f t="shared" si="207"/>
        <v>2.5817443257752659</v>
      </c>
      <c r="AO150">
        <f t="shared" si="227"/>
        <v>4.5618582046055698</v>
      </c>
      <c r="AP150">
        <f t="shared" si="208"/>
        <v>2.1201907695578237</v>
      </c>
    </row>
    <row r="151" spans="1:42" x14ac:dyDescent="0.25">
      <c r="A151" s="129">
        <v>0.6</v>
      </c>
      <c r="B151" s="259">
        <f>'Sub C_D_0'!AW172</f>
        <v>2.1433042648374617E-2</v>
      </c>
      <c r="C151" s="261">
        <f>'C_L vs. α'!X453</f>
        <v>0.15216382998166197</v>
      </c>
      <c r="N151" s="6"/>
    </row>
    <row r="152" spans="1:42" x14ac:dyDescent="0.25">
      <c r="A152" s="139">
        <v>0.65</v>
      </c>
      <c r="B152" s="259">
        <f>'Sub C_D_0'!AW173</f>
        <v>2.1652106035997105E-2</v>
      </c>
      <c r="C152" s="261">
        <f>'C_L vs. α'!X454</f>
        <v>0.16426336239313699</v>
      </c>
    </row>
    <row r="153" spans="1:42" x14ac:dyDescent="0.25">
      <c r="A153" s="129">
        <v>0.7</v>
      </c>
      <c r="B153" s="259">
        <f>'Sub C_D_0'!AW174</f>
        <v>2.1424033200441835E-2</v>
      </c>
      <c r="C153" s="261">
        <f>'C_L vs. α'!X455</f>
        <v>0.17954714628800661</v>
      </c>
    </row>
    <row r="154" spans="1:42" x14ac:dyDescent="0.25">
      <c r="A154" s="139">
        <v>0.75</v>
      </c>
      <c r="B154" s="259">
        <f>'Sub C_D_0'!AW175</f>
        <v>2.1214704994085797E-2</v>
      </c>
      <c r="C154" s="261">
        <f>'C_L vs. α'!X456</f>
        <v>0.19913965070149539</v>
      </c>
    </row>
    <row r="155" spans="1:42" x14ac:dyDescent="0.25">
      <c r="A155" s="129">
        <v>0.8</v>
      </c>
      <c r="B155" s="259">
        <f>'Sub C_D_0'!AW176</f>
        <v>2.1021466683434572E-2</v>
      </c>
      <c r="C155" s="261">
        <f>'C_L vs. α'!X457</f>
        <v>0.22459938383969194</v>
      </c>
    </row>
    <row r="156" spans="1:42" x14ac:dyDescent="0.25">
      <c r="A156" s="139">
        <v>0.85</v>
      </c>
      <c r="B156" s="259">
        <f>'Sub C_D_0'!AW177</f>
        <v>2.1288756224058798E-2</v>
      </c>
      <c r="C156" s="261">
        <f>'C_L vs. α'!X458</f>
        <v>0.25848095999507764</v>
      </c>
    </row>
    <row r="157" spans="1:42" x14ac:dyDescent="0.25">
      <c r="A157" s="129">
        <v>0.9</v>
      </c>
      <c r="B157" s="259">
        <f>'Sub C_D_0'!AW178</f>
        <v>2.111809622030688E-2</v>
      </c>
      <c r="C157" s="261">
        <f>'C_L vs. α'!X459</f>
        <v>0.29637099638935421</v>
      </c>
    </row>
    <row r="158" spans="1:42" x14ac:dyDescent="0.25">
      <c r="A158" s="139">
        <v>0.95</v>
      </c>
      <c r="B158" s="259">
        <f>'Sub C_D_0'!AW179</f>
        <v>2.0958418016460957E-2</v>
      </c>
      <c r="C158" s="261">
        <f>'C_L vs. α'!X460</f>
        <v>0.26834460027091589</v>
      </c>
    </row>
    <row r="160" spans="1:42" x14ac:dyDescent="0.25">
      <c r="A160" s="122" t="s">
        <v>537</v>
      </c>
      <c r="B160" s="122" t="s">
        <v>516</v>
      </c>
    </row>
    <row r="161" spans="1:42" x14ac:dyDescent="0.25">
      <c r="A161" s="122" t="s">
        <v>202</v>
      </c>
      <c r="B161" s="145">
        <v>36000</v>
      </c>
      <c r="C161" s="122" t="s">
        <v>538</v>
      </c>
      <c r="D161" s="122" t="s">
        <v>539</v>
      </c>
      <c r="E161" s="1" t="s">
        <v>536</v>
      </c>
      <c r="F161" s="140">
        <v>0.05</v>
      </c>
      <c r="G161" s="1" t="s">
        <v>536</v>
      </c>
      <c r="H161" s="140">
        <v>0.1</v>
      </c>
      <c r="I161" s="1" t="s">
        <v>536</v>
      </c>
      <c r="J161" s="140">
        <v>0.15</v>
      </c>
      <c r="K161" s="1" t="s">
        <v>536</v>
      </c>
      <c r="L161" s="140">
        <v>0.2</v>
      </c>
      <c r="M161" t="s">
        <v>536</v>
      </c>
      <c r="N161" s="141">
        <v>0.25</v>
      </c>
      <c r="O161" t="s">
        <v>536</v>
      </c>
      <c r="P161" s="141">
        <v>0.3</v>
      </c>
      <c r="Q161" t="s">
        <v>536</v>
      </c>
      <c r="R161" s="141">
        <v>0.35</v>
      </c>
      <c r="S161" t="s">
        <v>536</v>
      </c>
      <c r="T161" s="141">
        <v>0.4</v>
      </c>
      <c r="U161" t="s">
        <v>536</v>
      </c>
      <c r="V161" s="141">
        <v>0.45</v>
      </c>
      <c r="W161" t="s">
        <v>536</v>
      </c>
      <c r="X161" s="141">
        <v>0.5</v>
      </c>
      <c r="Y161" t="s">
        <v>536</v>
      </c>
      <c r="Z161" s="141">
        <v>0.55000000000000004</v>
      </c>
      <c r="AA161" t="s">
        <v>536</v>
      </c>
      <c r="AB161" s="141">
        <v>0.6</v>
      </c>
      <c r="AC161" t="s">
        <v>536</v>
      </c>
      <c r="AD161" s="141">
        <v>0.65</v>
      </c>
      <c r="AE161" t="s">
        <v>536</v>
      </c>
      <c r="AF161" s="141">
        <v>0.7</v>
      </c>
      <c r="AG161" t="s">
        <v>536</v>
      </c>
      <c r="AH161" s="141">
        <v>0.75</v>
      </c>
      <c r="AI161" t="s">
        <v>536</v>
      </c>
      <c r="AJ161" s="141">
        <v>0.8</v>
      </c>
      <c r="AK161" t="s">
        <v>536</v>
      </c>
      <c r="AL161" s="141">
        <v>0.85</v>
      </c>
      <c r="AM161" t="s">
        <v>536</v>
      </c>
      <c r="AN161" s="141">
        <v>0.9</v>
      </c>
      <c r="AO161" t="s">
        <v>536</v>
      </c>
      <c r="AP161" s="141">
        <v>0.95</v>
      </c>
    </row>
    <row r="162" spans="1:42" x14ac:dyDescent="0.25">
      <c r="A162" s="121" t="s">
        <v>182</v>
      </c>
      <c r="B162" s="121" t="s">
        <v>534</v>
      </c>
      <c r="C162" s="121" t="s">
        <v>535</v>
      </c>
      <c r="D162" s="121" t="s">
        <v>421</v>
      </c>
      <c r="E162" s="14" t="s">
        <v>244</v>
      </c>
      <c r="F162" s="6" t="s">
        <v>245</v>
      </c>
      <c r="G162" s="14" t="s">
        <v>244</v>
      </c>
      <c r="H162" s="6" t="s">
        <v>245</v>
      </c>
      <c r="I162" s="14" t="s">
        <v>244</v>
      </c>
      <c r="J162" s="6" t="s">
        <v>245</v>
      </c>
      <c r="K162" s="14" t="s">
        <v>244</v>
      </c>
      <c r="L162" s="6" t="s">
        <v>245</v>
      </c>
      <c r="M162" t="s">
        <v>244</v>
      </c>
      <c r="N162" t="s">
        <v>245</v>
      </c>
      <c r="O162" t="s">
        <v>244</v>
      </c>
      <c r="P162" t="s">
        <v>245</v>
      </c>
      <c r="Q162" t="s">
        <v>244</v>
      </c>
      <c r="R162" t="s">
        <v>245</v>
      </c>
      <c r="S162" t="s">
        <v>244</v>
      </c>
      <c r="T162" t="s">
        <v>245</v>
      </c>
      <c r="U162" t="s">
        <v>244</v>
      </c>
      <c r="V162" t="s">
        <v>245</v>
      </c>
      <c r="W162" t="s">
        <v>244</v>
      </c>
      <c r="X162" t="s">
        <v>245</v>
      </c>
      <c r="Y162" t="s">
        <v>244</v>
      </c>
      <c r="Z162" t="s">
        <v>245</v>
      </c>
      <c r="AA162" t="s">
        <v>244</v>
      </c>
      <c r="AB162" t="s">
        <v>245</v>
      </c>
      <c r="AC162" t="s">
        <v>244</v>
      </c>
      <c r="AD162" t="s">
        <v>245</v>
      </c>
      <c r="AE162" t="s">
        <v>244</v>
      </c>
      <c r="AF162" t="s">
        <v>245</v>
      </c>
      <c r="AG162" t="s">
        <v>244</v>
      </c>
      <c r="AH162" t="s">
        <v>245</v>
      </c>
      <c r="AI162" t="s">
        <v>244</v>
      </c>
      <c r="AJ162" t="s">
        <v>245</v>
      </c>
      <c r="AK162" t="s">
        <v>244</v>
      </c>
      <c r="AL162" t="s">
        <v>245</v>
      </c>
      <c r="AM162" t="s">
        <v>244</v>
      </c>
      <c r="AN162" t="s">
        <v>245</v>
      </c>
      <c r="AO162" t="s">
        <v>244</v>
      </c>
      <c r="AP162" t="s">
        <v>245</v>
      </c>
    </row>
    <row r="163" spans="1:42" x14ac:dyDescent="0.25">
      <c r="A163" s="129">
        <v>0</v>
      </c>
      <c r="B163" s="129" t="e">
        <f>'Sub C_D_0'!AW190</f>
        <v>#DIV/0!</v>
      </c>
      <c r="C163" s="129" t="e">
        <f>'C_L vs. α'!X466</f>
        <v>#NUM!</v>
      </c>
      <c r="D163" s="144">
        <v>-6</v>
      </c>
      <c r="E163" s="14">
        <f>(D163-$B$12)*$C$164</f>
        <v>-0.53128535299205581</v>
      </c>
      <c r="F163" s="6">
        <f t="shared" ref="F163:F174" si="228">$B$164+$B$7*E163^2+$B$8*(E163-E$166)^2</f>
        <v>6.1751128481822251E-2</v>
      </c>
      <c r="G163" s="14">
        <f>(D163-$B$12)*$C$165</f>
        <v>-0.53553798169851552</v>
      </c>
      <c r="H163" s="6">
        <f t="shared" ref="H163:H174" si="229">$B$165+$B$7*G163^2+$B$8*(G163-G$166)^2</f>
        <v>5.8947845321016726E-2</v>
      </c>
      <c r="I163" s="14">
        <f>(D163-$B$12)*$C$166</f>
        <v>-0.54176712266256621</v>
      </c>
      <c r="J163" s="6">
        <f t="shared" ref="J163:J174" si="230">$B$166+$B$7*I163^2+$B$8*(I163-I$166)^2</f>
        <v>5.7978091127101061E-2</v>
      </c>
      <c r="K163" s="14">
        <f>(D163-$B$12)*$C$167</f>
        <v>-0.55033866395242814</v>
      </c>
      <c r="L163" s="6">
        <f t="shared" ref="L163:L174" si="231">$B$167+$B$7*K163^2+$B$8*(K163-K$166)^2</f>
        <v>5.7882785442182068E-2</v>
      </c>
      <c r="M163">
        <f>(D163-$B$12)*$C$168</f>
        <v>-0.56154588087175217</v>
      </c>
      <c r="N163" s="6">
        <f t="shared" ref="N163:N174" si="232">$B$168+$B$7*M163^2+$B$8*(M163-M$166)^2</f>
        <v>5.8425534503946129E-2</v>
      </c>
      <c r="O163">
        <f>(D163-$B$12)*$C$169</f>
        <v>-0.57520436545948939</v>
      </c>
      <c r="P163" s="6">
        <f t="shared" ref="P163:P174" si="233">$B$169+$B$7*O163^2+$B$8*(O163-O$166)^2</f>
        <v>5.9949471582269126E-2</v>
      </c>
      <c r="Q163">
        <f>(D163-$B$12)*$C$170</f>
        <v>-0.5928393972765702</v>
      </c>
      <c r="R163" s="6">
        <f t="shared" ref="R163:R174" si="234">$B$170+$B$7*Q163^2+$B$8*(Q163-Q$166)^2</f>
        <v>6.1671576896692462E-2</v>
      </c>
      <c r="S163">
        <f>(D163-$B$12)*$C$171</f>
        <v>-0.61446739584155285</v>
      </c>
      <c r="T163" s="6">
        <f t="shared" ref="T163:T174" si="235">$B$171+$B$7*S163^2+$B$8*(S163-S$166)^2</f>
        <v>6.4083801438613711E-2</v>
      </c>
      <c r="U163">
        <f>(D163-$B$12)*$C$172</f>
        <v>-0.64085169280018595</v>
      </c>
      <c r="V163" s="6">
        <f t="shared" ref="V163:V174" si="236">$B$172+$B$7*U163^2+$B$8*(U163-U$166)^2</f>
        <v>6.7328133599845852E-2</v>
      </c>
      <c r="W163">
        <f>(D163-$B$12)*$C$173</f>
        <v>-0.67301804692845424</v>
      </c>
      <c r="X163" s="6">
        <f t="shared" ref="X163:X174" si="237">$B$173+$B$7*W163^2+$B$8*(W163-W$166)^2</f>
        <v>7.1623813141022244E-2</v>
      </c>
      <c r="Y163">
        <f>(D163-$B$12)*$C$174</f>
        <v>-0.71236346007140061</v>
      </c>
      <c r="Z163" s="6">
        <f t="shared" ref="Z163:Z174" si="238">$B$174+$B$7*Y163^2+$B$8*(Y163-Y$166)^2</f>
        <v>7.7301109745888247E-2</v>
      </c>
      <c r="AA163">
        <f>(D163-$B$12)*$C$175</f>
        <v>-0.76082079493027577</v>
      </c>
      <c r="AB163" s="6">
        <f t="shared" ref="AB163:AB174" si="239">$B$175+$B$7*AA163^2+$B$8*(AA163-AA$166)^2</f>
        <v>8.4860689214143553E-2</v>
      </c>
      <c r="AC163">
        <f>(D163-$B$12)*$C$176</f>
        <v>-0.82131021685919126</v>
      </c>
      <c r="AD163" s="6">
        <f t="shared" ref="AD163:AD174" si="240">$B$176+$B$7*AC163^2+$B$8*(AC163-AC$166)^2</f>
        <v>9.5575427406257185E-2</v>
      </c>
      <c r="AE163">
        <f>(D163-$B$12)*$C$177</f>
        <v>-0.89771593053439713</v>
      </c>
      <c r="AF163" s="6">
        <f t="shared" ref="AF163:AF174" si="241">$B$177+$B$7*AE163^2+$B$8*(AE163-AE$166)^2</f>
        <v>0.10975307801141743</v>
      </c>
      <c r="AG163">
        <f>(D163-$B$12)*$C$178</f>
        <v>-0.99565629010468493</v>
      </c>
      <c r="AH163" s="6">
        <f t="shared" ref="AH163:AH174" si="242">$B$178+$B$7*AG163^2+$B$8*(AG163-AG$166)^2</f>
        <v>0.12988209303892093</v>
      </c>
      <c r="AI163">
        <f>(D163-$B$12)*$C$179</f>
        <v>-1.1229143744711729</v>
      </c>
      <c r="AJ163">
        <f t="shared" ref="AJ163:AJ174" si="243">$B$179+$B$9*AI163^2</f>
        <v>0.1481618559431585</v>
      </c>
      <c r="AK163">
        <f>(D163-$B$12)*$C$180</f>
        <v>-1.2922260063787632</v>
      </c>
      <c r="AL163">
        <f t="shared" ref="AL163:AL174" si="244">$B$180+$B$9*AK163^2</f>
        <v>0.18967694691873366</v>
      </c>
      <c r="AM163">
        <f>(D163-$B$12)*$C$181</f>
        <v>-1.4814420930783068</v>
      </c>
      <c r="AN163">
        <f t="shared" ref="AN163:AN174" si="245">$B$181+$B$9*AM163^2</f>
        <v>0.24244758039395783</v>
      </c>
      <c r="AO163">
        <f>(D163-$B$12)*$C$182</f>
        <v>-1.3403738199248305</v>
      </c>
      <c r="AP163">
        <f t="shared" ref="AP163:AP174" si="246">$B$182+$B$9*AO163^2</f>
        <v>0.2021339072415117</v>
      </c>
    </row>
    <row r="164" spans="1:42" x14ac:dyDescent="0.25">
      <c r="A164" s="139">
        <v>0.05</v>
      </c>
      <c r="B164" s="259">
        <f>'Sub C_D_0'!AW191</f>
        <v>3.0794243211852985E-2</v>
      </c>
      <c r="C164" s="260">
        <f>'C_L vs. α'!X467</f>
        <v>0.10625707059841116</v>
      </c>
      <c r="D164" s="144">
        <v>-4</v>
      </c>
      <c r="E164" s="14">
        <f t="shared" ref="E164:E174" si="247">(D164-$B$12)*$C$164</f>
        <v>-0.31877121179523349</v>
      </c>
      <c r="F164" s="6">
        <f t="shared" si="228"/>
        <v>4.2625188264212993E-2</v>
      </c>
      <c r="G164" s="14">
        <f t="shared" ref="G164:G174" si="248">(D164-$B$12)*$C$165</f>
        <v>-0.32132278901910932</v>
      </c>
      <c r="H164" s="6">
        <f t="shared" si="229"/>
        <v>3.9514495747568594E-2</v>
      </c>
      <c r="I164" s="14">
        <f t="shared" ref="I164:I174" si="249">(D164-$B$12)*$C$166</f>
        <v>-0.32506027359753975</v>
      </c>
      <c r="J164" s="6">
        <f t="shared" si="230"/>
        <v>3.8090032098981812E-2</v>
      </c>
      <c r="K164" s="14">
        <f t="shared" ref="K164:K174" si="250">(D164-$B$12)*$C$167</f>
        <v>-0.3302031983714569</v>
      </c>
      <c r="L164" s="6">
        <f t="shared" si="231"/>
        <v>3.7360432217721395E-2</v>
      </c>
      <c r="M164">
        <f t="shared" ref="M164:M174" si="251">(D164-$B$12)*$C$168</f>
        <v>-0.3369275285230513</v>
      </c>
      <c r="N164" s="6">
        <f t="shared" si="232"/>
        <v>3.7058827251628811E-2</v>
      </c>
      <c r="O164">
        <f t="shared" ref="O164:O174" si="252">(D164-$B$12)*$C$169</f>
        <v>-0.3451226192756936</v>
      </c>
      <c r="P164" s="6">
        <f t="shared" si="233"/>
        <v>3.7530718445256933E-2</v>
      </c>
      <c r="Q164">
        <f t="shared" ref="Q164:Q173" si="253">(D164-$B$12)*$C$170</f>
        <v>-0.3557036383659421</v>
      </c>
      <c r="R164" s="6">
        <f t="shared" si="234"/>
        <v>3.7857090363417674E-2</v>
      </c>
      <c r="S164">
        <f t="shared" ref="S164:S174" si="254">(D164-$B$12)*$C$171</f>
        <v>-0.36868043750493174</v>
      </c>
      <c r="T164" s="6">
        <f t="shared" si="235"/>
        <v>3.8500016507260169E-2</v>
      </c>
      <c r="U164">
        <f t="shared" ref="U164:U174" si="255">(D164-$B$12)*$C$172</f>
        <v>-0.38451101568011153</v>
      </c>
      <c r="V164" s="6">
        <f t="shared" si="236"/>
        <v>3.9500121750387321E-2</v>
      </c>
      <c r="W164">
        <f t="shared" ref="W164:W174" si="256">(D164-$B$12)*$C$173</f>
        <v>-0.40381082815707259</v>
      </c>
      <c r="X164" s="6">
        <f t="shared" si="237"/>
        <v>4.0932142584535404E-2</v>
      </c>
      <c r="Y164">
        <f t="shared" ref="Y164:Y174" si="257">(D164-$B$12)*$C$174</f>
        <v>-0.42741807604284032</v>
      </c>
      <c r="Z164" s="6">
        <f t="shared" si="238"/>
        <v>4.2916002968150138E-2</v>
      </c>
      <c r="AA164">
        <f t="shared" ref="AA164:AA174" si="258">(D164-$B$12)*$C$175</f>
        <v>-0.45649247695816542</v>
      </c>
      <c r="AB164" s="6">
        <f t="shared" si="239"/>
        <v>4.5638497639410254E-2</v>
      </c>
      <c r="AC164">
        <f t="shared" ref="AC164:AC174" si="259">(D164-$B$12)*$C$176</f>
        <v>-0.49278613011551475</v>
      </c>
      <c r="AD164" s="6">
        <f t="shared" si="240"/>
        <v>4.9868549326360492E-2</v>
      </c>
      <c r="AE164">
        <f t="shared" ref="AE164:AE174" si="260">(D164-$B$12)*$C$177</f>
        <v>-0.53862955832063819</v>
      </c>
      <c r="AF164" s="6">
        <f t="shared" si="241"/>
        <v>5.5146498703158978E-2</v>
      </c>
      <c r="AG164">
        <f t="shared" ref="AG164:AG174" si="261">(D164-$B$12)*$C$178</f>
        <v>-0.59739377406281091</v>
      </c>
      <c r="AH164" s="6">
        <f t="shared" si="242"/>
        <v>6.2710446896578231E-2</v>
      </c>
      <c r="AI164">
        <f t="shared" ref="AI164:AI174" si="262">(D164-$B$12)*$C$179</f>
        <v>-0.6737486246827038</v>
      </c>
      <c r="AJ164">
        <f t="shared" si="243"/>
        <v>6.6757020416843726E-2</v>
      </c>
      <c r="AK164">
        <f t="shared" ref="AK164:AK174" si="263">(D164-$B$12)*$C$180</f>
        <v>-0.77533560382725797</v>
      </c>
      <c r="AL164">
        <f t="shared" si="244"/>
        <v>8.1873195301965962E-2</v>
      </c>
      <c r="AM164">
        <f t="shared" ref="AM164:AM174" si="264">(D164-$B$12)*$C$181</f>
        <v>-0.88886525584698406</v>
      </c>
      <c r="AN164">
        <f t="shared" si="245"/>
        <v>0.10076179519775666</v>
      </c>
      <c r="AO164">
        <f t="shared" ref="AO164:AO174" si="265">(D164-$B$12)*$C$182</f>
        <v>-0.80422429195489831</v>
      </c>
      <c r="AP164">
        <f t="shared" si="246"/>
        <v>8.614704657077242E-2</v>
      </c>
    </row>
    <row r="165" spans="1:42" x14ac:dyDescent="0.25">
      <c r="A165" s="129">
        <v>0.1</v>
      </c>
      <c r="B165" s="259">
        <f>'Sub C_D_0'!AW192</f>
        <v>2.7493393079105477E-2</v>
      </c>
      <c r="C165" s="260">
        <f>'C_L vs. α'!X468</f>
        <v>0.10710759633970311</v>
      </c>
      <c r="D165" s="144">
        <v>-2</v>
      </c>
      <c r="E165" s="14">
        <f t="shared" si="247"/>
        <v>-0.10625707059841116</v>
      </c>
      <c r="F165" s="6">
        <f t="shared" si="228"/>
        <v>3.261059555332213E-2</v>
      </c>
      <c r="G165" s="14">
        <f t="shared" si="248"/>
        <v>-0.10710759633970311</v>
      </c>
      <c r="H165" s="6">
        <f t="shared" si="229"/>
        <v>2.9338939473097771E-2</v>
      </c>
      <c r="I165" s="14">
        <f t="shared" si="249"/>
        <v>-0.10835342453251325</v>
      </c>
      <c r="J165" s="6">
        <f t="shared" si="230"/>
        <v>2.7676384000605264E-2</v>
      </c>
      <c r="K165" s="14">
        <f t="shared" si="250"/>
        <v>-0.11006773279048564</v>
      </c>
      <c r="L165" s="6">
        <f t="shared" si="231"/>
        <v>2.661465937342555E-2</v>
      </c>
      <c r="M165">
        <f t="shared" si="251"/>
        <v>-0.11230917617435043</v>
      </c>
      <c r="N165" s="6">
        <f t="shared" si="232"/>
        <v>2.5870939583351699E-2</v>
      </c>
      <c r="O165">
        <f t="shared" si="252"/>
        <v>-0.11504087309189787</v>
      </c>
      <c r="P165" s="6">
        <f t="shared" si="233"/>
        <v>2.5791965777480989E-2</v>
      </c>
      <c r="Q165">
        <f t="shared" si="253"/>
        <v>-0.11856787945531404</v>
      </c>
      <c r="R165" s="6">
        <f t="shared" si="234"/>
        <v>2.538751341523909E-2</v>
      </c>
      <c r="S165">
        <f t="shared" si="254"/>
        <v>-0.12289347916831057</v>
      </c>
      <c r="T165" s="6">
        <f t="shared" si="235"/>
        <v>2.5104011752699721E-2</v>
      </c>
      <c r="U165">
        <f t="shared" si="255"/>
        <v>-0.12817033856003718</v>
      </c>
      <c r="V165" s="6">
        <f t="shared" si="236"/>
        <v>2.4929010398194285E-2</v>
      </c>
      <c r="W165">
        <f t="shared" si="256"/>
        <v>-0.13460360938569085</v>
      </c>
      <c r="X165" s="6">
        <f t="shared" si="237"/>
        <v>2.4861582039905756E-2</v>
      </c>
      <c r="Y165">
        <f t="shared" si="257"/>
        <v>-0.14247269201428012</v>
      </c>
      <c r="Z165" s="6">
        <f t="shared" si="238"/>
        <v>2.4911510860489244E-2</v>
      </c>
      <c r="AA165">
        <f t="shared" si="258"/>
        <v>-0.15216415898605515</v>
      </c>
      <c r="AB165" s="6">
        <f t="shared" si="239"/>
        <v>2.5101244600846277E-2</v>
      </c>
      <c r="AC165">
        <f t="shared" si="259"/>
        <v>-0.16426204337183825</v>
      </c>
      <c r="AD165" s="6">
        <f t="shared" si="240"/>
        <v>2.5935829530704474E-2</v>
      </c>
      <c r="AE165">
        <f t="shared" si="260"/>
        <v>-0.17954318610687942</v>
      </c>
      <c r="AF165" s="6">
        <f t="shared" si="241"/>
        <v>2.6553778821933376E-2</v>
      </c>
      <c r="AG165">
        <f t="shared" si="261"/>
        <v>-0.19913125802093698</v>
      </c>
      <c r="AH165" s="6">
        <f t="shared" si="242"/>
        <v>2.7538493508566859E-2</v>
      </c>
      <c r="AI165">
        <f t="shared" si="262"/>
        <v>-0.22458287489423459</v>
      </c>
      <c r="AJ165">
        <f t="shared" si="243"/>
        <v>2.605460265368632E-2</v>
      </c>
      <c r="AK165">
        <f t="shared" si="263"/>
        <v>-0.25844520127575266</v>
      </c>
      <c r="AL165">
        <f t="shared" si="244"/>
        <v>2.7971319493582093E-2</v>
      </c>
      <c r="AM165">
        <f t="shared" si="264"/>
        <v>-0.29628841861566135</v>
      </c>
      <c r="AN165">
        <f t="shared" si="245"/>
        <v>2.9918902599656062E-2</v>
      </c>
      <c r="AO165">
        <f t="shared" si="265"/>
        <v>-0.2680747639849661</v>
      </c>
      <c r="AP165">
        <f t="shared" si="246"/>
        <v>2.8153616235402773E-2</v>
      </c>
    </row>
    <row r="166" spans="1:42" s="29" customFormat="1" x14ac:dyDescent="0.25">
      <c r="A166" s="139">
        <v>0.15</v>
      </c>
      <c r="B166" s="259">
        <f>'Sub C_D_0'!AW193</f>
        <v>2.5787654757912046E-2</v>
      </c>
      <c r="C166" s="260">
        <f>'C_L vs. α'!X469</f>
        <v>0.10835342453251325</v>
      </c>
      <c r="D166" s="143">
        <v>0</v>
      </c>
      <c r="E166" s="83">
        <f t="shared" si="247"/>
        <v>0.10625707059841116</v>
      </c>
      <c r="F166" s="21">
        <f t="shared" si="228"/>
        <v>3.170735034914967E-2</v>
      </c>
      <c r="G166" s="83">
        <f t="shared" si="248"/>
        <v>0.10710759633970311</v>
      </c>
      <c r="H166" s="21">
        <f t="shared" si="229"/>
        <v>2.8421176497604266E-2</v>
      </c>
      <c r="I166" s="83">
        <f t="shared" si="249"/>
        <v>0.10835342453251325</v>
      </c>
      <c r="J166" s="21">
        <f t="shared" si="230"/>
        <v>2.6737146831971422E-2</v>
      </c>
      <c r="K166" s="83">
        <f t="shared" si="250"/>
        <v>0.11006773279048564</v>
      </c>
      <c r="L166" s="21">
        <f t="shared" si="231"/>
        <v>2.5645466909294531E-2</v>
      </c>
      <c r="M166" s="99">
        <f t="shared" si="251"/>
        <v>0.11230917617435043</v>
      </c>
      <c r="N166" s="21">
        <f t="shared" si="232"/>
        <v>2.4861871499114795E-2</v>
      </c>
      <c r="O166" s="99">
        <f t="shared" si="252"/>
        <v>0.11504087309189787</v>
      </c>
      <c r="P166" s="21">
        <f t="shared" si="233"/>
        <v>2.4733213578941298E-2</v>
      </c>
      <c r="Q166" s="99">
        <f t="shared" si="253"/>
        <v>0.11856787945531404</v>
      </c>
      <c r="R166" s="21">
        <f t="shared" si="234"/>
        <v>2.42628460521567E-2</v>
      </c>
      <c r="S166" s="99">
        <f t="shared" si="254"/>
        <v>0.12289347916831057</v>
      </c>
      <c r="T166" s="21">
        <f t="shared" si="235"/>
        <v>2.3895787174932362E-2</v>
      </c>
      <c r="U166" s="99">
        <f t="shared" si="255"/>
        <v>0.12817033856003718</v>
      </c>
      <c r="V166" s="21">
        <f t="shared" si="236"/>
        <v>2.3614799543266722E-2</v>
      </c>
      <c r="W166" s="99">
        <f t="shared" si="256"/>
        <v>0.13460360938569085</v>
      </c>
      <c r="X166" s="21">
        <f t="shared" si="237"/>
        <v>2.3412131507133303E-2</v>
      </c>
      <c r="Y166" s="99">
        <f t="shared" si="257"/>
        <v>0.14247269201428012</v>
      </c>
      <c r="Z166" s="21">
        <f t="shared" si="238"/>
        <v>2.328763342290557E-2</v>
      </c>
      <c r="AA166" s="99">
        <f t="shared" si="258"/>
        <v>0.15216415898605515</v>
      </c>
      <c r="AB166" s="21">
        <f t="shared" si="239"/>
        <v>2.3248930098451599E-2</v>
      </c>
      <c r="AC166" s="99">
        <f t="shared" si="259"/>
        <v>0.16426204337183825</v>
      </c>
      <c r="AD166" s="21">
        <f t="shared" si="240"/>
        <v>2.377726801928914E-2</v>
      </c>
      <c r="AE166" s="99">
        <f t="shared" si="260"/>
        <v>0.17954318610687942</v>
      </c>
      <c r="AF166" s="21">
        <f t="shared" si="241"/>
        <v>2.3974918367740614E-2</v>
      </c>
      <c r="AG166" s="99">
        <f t="shared" si="261"/>
        <v>0.19913125802093698</v>
      </c>
      <c r="AH166" s="21">
        <f t="shared" si="242"/>
        <v>2.4366232874886779E-2</v>
      </c>
      <c r="AI166" s="99">
        <f t="shared" si="262"/>
        <v>0.22458287489423459</v>
      </c>
      <c r="AJ166" s="99">
        <f t="shared" si="243"/>
        <v>2.605460265368632E-2</v>
      </c>
      <c r="AK166" s="99">
        <f t="shared" si="263"/>
        <v>0.25844520127575266</v>
      </c>
      <c r="AL166" s="99">
        <f t="shared" si="244"/>
        <v>2.7971319493582093E-2</v>
      </c>
      <c r="AM166" s="99">
        <f t="shared" si="264"/>
        <v>0.29628841861566135</v>
      </c>
      <c r="AN166" s="99">
        <f t="shared" si="245"/>
        <v>2.9918902599656062E-2</v>
      </c>
      <c r="AO166" s="99">
        <f t="shared" si="265"/>
        <v>0.2680747639849661</v>
      </c>
      <c r="AP166" s="99">
        <f t="shared" si="246"/>
        <v>2.8153616235402773E-2</v>
      </c>
    </row>
    <row r="167" spans="1:42" x14ac:dyDescent="0.25">
      <c r="A167" s="129">
        <v>0.2</v>
      </c>
      <c r="B167" s="259">
        <f>'Sub C_D_0'!AW194</f>
        <v>2.4665692477806683E-2</v>
      </c>
      <c r="C167" s="260">
        <f>'C_L vs. α'!X470</f>
        <v>0.11006773279048564</v>
      </c>
      <c r="D167" s="144">
        <v>2</v>
      </c>
      <c r="E167" s="14">
        <f t="shared" si="247"/>
        <v>0.31877121179523349</v>
      </c>
      <c r="F167" s="6">
        <f t="shared" si="228"/>
        <v>3.9915452651695618E-2</v>
      </c>
      <c r="G167" s="14">
        <f t="shared" si="248"/>
        <v>0.32132278901910932</v>
      </c>
      <c r="H167" s="6">
        <f t="shared" si="229"/>
        <v>3.6761206821088084E-2</v>
      </c>
      <c r="I167" s="14">
        <f t="shared" si="249"/>
        <v>0.32506027359753975</v>
      </c>
      <c r="J167" s="6">
        <f t="shared" si="230"/>
        <v>3.5272320593080282E-2</v>
      </c>
      <c r="K167" s="14">
        <f t="shared" si="250"/>
        <v>0.3302031983714569</v>
      </c>
      <c r="L167" s="6">
        <f t="shared" si="231"/>
        <v>3.4452854825328338E-2</v>
      </c>
      <c r="M167">
        <f t="shared" si="251"/>
        <v>0.3369275285230513</v>
      </c>
      <c r="N167" s="6">
        <f t="shared" si="232"/>
        <v>3.4031622998918105E-2</v>
      </c>
      <c r="O167">
        <f t="shared" si="252"/>
        <v>0.3451226192756936</v>
      </c>
      <c r="P167" s="6">
        <f t="shared" si="233"/>
        <v>3.4354461849637856E-2</v>
      </c>
      <c r="Q167">
        <f t="shared" si="253"/>
        <v>0.3557036383659421</v>
      </c>
      <c r="R167" s="6">
        <f t="shared" si="234"/>
        <v>3.4483088274170508E-2</v>
      </c>
      <c r="S167">
        <f t="shared" si="254"/>
        <v>0.36868043750493174</v>
      </c>
      <c r="T167" s="6">
        <f t="shared" si="235"/>
        <v>3.4875342773958096E-2</v>
      </c>
      <c r="U167">
        <f t="shared" si="255"/>
        <v>0.38451101568011153</v>
      </c>
      <c r="V167" s="6">
        <f t="shared" si="236"/>
        <v>3.5557489185604627E-2</v>
      </c>
      <c r="W167">
        <f t="shared" si="256"/>
        <v>0.40381082815707259</v>
      </c>
      <c r="X167" s="6">
        <f t="shared" si="237"/>
        <v>3.658379098621805E-2</v>
      </c>
      <c r="Y167">
        <f t="shared" si="257"/>
        <v>0.42741807604284032</v>
      </c>
      <c r="Z167" s="6">
        <f t="shared" si="238"/>
        <v>3.8044370655399118E-2</v>
      </c>
      <c r="AA167">
        <f t="shared" si="258"/>
        <v>0.45649247695816542</v>
      </c>
      <c r="AB167" s="6">
        <f t="shared" si="239"/>
        <v>4.0081554132226221E-2</v>
      </c>
      <c r="AC167">
        <f t="shared" si="259"/>
        <v>0.49278613011551475</v>
      </c>
      <c r="AD167" s="6">
        <f t="shared" si="240"/>
        <v>4.3392864792114488E-2</v>
      </c>
      <c r="AE167">
        <f t="shared" si="260"/>
        <v>0.53862955832063819</v>
      </c>
      <c r="AF167" s="6">
        <f t="shared" si="241"/>
        <v>4.7409917340580691E-2</v>
      </c>
      <c r="AG167">
        <f t="shared" si="261"/>
        <v>0.59739377406281091</v>
      </c>
      <c r="AH167" s="6">
        <f t="shared" si="242"/>
        <v>5.3193664995538001E-2</v>
      </c>
      <c r="AI167">
        <f t="shared" si="262"/>
        <v>0.6737486246827038</v>
      </c>
      <c r="AJ167">
        <f t="shared" si="243"/>
        <v>6.6757020416843726E-2</v>
      </c>
      <c r="AK167">
        <f t="shared" si="263"/>
        <v>0.77533560382725797</v>
      </c>
      <c r="AL167">
        <f t="shared" si="244"/>
        <v>8.1873195301965962E-2</v>
      </c>
      <c r="AM167">
        <f t="shared" si="264"/>
        <v>0.88886525584698406</v>
      </c>
      <c r="AN167">
        <f t="shared" si="245"/>
        <v>0.10076179519775666</v>
      </c>
      <c r="AO167">
        <f t="shared" si="265"/>
        <v>0.80422429195489831</v>
      </c>
      <c r="AP167">
        <f t="shared" si="246"/>
        <v>8.614704657077242E-2</v>
      </c>
    </row>
    <row r="168" spans="1:42" x14ac:dyDescent="0.25">
      <c r="A168" s="139">
        <v>0.25</v>
      </c>
      <c r="B168" s="259">
        <f>'Sub C_D_0'!AW195</f>
        <v>2.3841786072168997E-2</v>
      </c>
      <c r="C168" s="260">
        <f>'C_L vs. α'!X471</f>
        <v>0.11230917617435043</v>
      </c>
      <c r="D168" s="144">
        <v>4</v>
      </c>
      <c r="E168" s="14">
        <f t="shared" si="247"/>
        <v>0.53128535299205581</v>
      </c>
      <c r="F168" s="6">
        <f t="shared" si="228"/>
        <v>5.7234902460959962E-2</v>
      </c>
      <c r="G168" s="14">
        <f t="shared" si="248"/>
        <v>0.53553798169851552</v>
      </c>
      <c r="H168" s="6">
        <f t="shared" si="229"/>
        <v>5.4359030443549214E-2</v>
      </c>
      <c r="I168" s="14">
        <f t="shared" si="249"/>
        <v>0.54176712266256621</v>
      </c>
      <c r="J168" s="6">
        <f t="shared" si="230"/>
        <v>5.3281905283931841E-2</v>
      </c>
      <c r="K168" s="14">
        <f t="shared" si="250"/>
        <v>0.55033866395242814</v>
      </c>
      <c r="L168" s="6">
        <f t="shared" si="231"/>
        <v>5.3036823121526966E-2</v>
      </c>
      <c r="M168">
        <f t="shared" si="251"/>
        <v>0.56154588087175217</v>
      </c>
      <c r="N168" s="6">
        <f t="shared" si="232"/>
        <v>5.3380194082761616E-2</v>
      </c>
      <c r="O168">
        <f t="shared" si="252"/>
        <v>0.57520436545948939</v>
      </c>
      <c r="P168" s="6">
        <f t="shared" si="233"/>
        <v>5.4655710589570666E-2</v>
      </c>
      <c r="Q168">
        <f t="shared" si="253"/>
        <v>0.5928393972765702</v>
      </c>
      <c r="R168" s="6">
        <f t="shared" si="234"/>
        <v>5.6048240081280509E-2</v>
      </c>
      <c r="S168">
        <f t="shared" si="254"/>
        <v>0.61446739584155285</v>
      </c>
      <c r="T168" s="6">
        <f t="shared" si="235"/>
        <v>5.8042678549776919E-2</v>
      </c>
      <c r="U168">
        <f t="shared" si="255"/>
        <v>0.64085169280018595</v>
      </c>
      <c r="V168" s="6">
        <f t="shared" si="236"/>
        <v>6.0757079325208019E-2</v>
      </c>
      <c r="W168">
        <f t="shared" si="256"/>
        <v>0.67301804692845424</v>
      </c>
      <c r="X168" s="6">
        <f t="shared" si="237"/>
        <v>6.4376560477159991E-2</v>
      </c>
      <c r="Y168">
        <f t="shared" si="257"/>
        <v>0.71236346007140061</v>
      </c>
      <c r="Z168" s="6">
        <f t="shared" si="238"/>
        <v>6.918172255796988E-2</v>
      </c>
      <c r="AA168">
        <f t="shared" si="258"/>
        <v>0.76082079493027577</v>
      </c>
      <c r="AB168" s="6">
        <f t="shared" si="239"/>
        <v>7.5599116702170163E-2</v>
      </c>
      <c r="AC168">
        <f t="shared" si="259"/>
        <v>0.82131021685919126</v>
      </c>
      <c r="AD168" s="6">
        <f t="shared" si="240"/>
        <v>8.4782619849180521E-2</v>
      </c>
      <c r="AE168">
        <f t="shared" si="260"/>
        <v>0.89771593053439713</v>
      </c>
      <c r="AF168" s="6">
        <f t="shared" si="241"/>
        <v>9.6858775740453609E-2</v>
      </c>
      <c r="AG168">
        <f t="shared" si="261"/>
        <v>0.99565629010468493</v>
      </c>
      <c r="AH168" s="6">
        <f t="shared" si="242"/>
        <v>0.11402078987052053</v>
      </c>
      <c r="AI168">
        <f t="shared" si="262"/>
        <v>1.1229143744711729</v>
      </c>
      <c r="AJ168">
        <f t="shared" si="243"/>
        <v>0.1481618559431585</v>
      </c>
      <c r="AK168">
        <f t="shared" si="263"/>
        <v>1.2922260063787632</v>
      </c>
      <c r="AL168">
        <f t="shared" si="244"/>
        <v>0.18967694691873366</v>
      </c>
      <c r="AM168">
        <f t="shared" si="264"/>
        <v>1.4814420930783068</v>
      </c>
      <c r="AN168">
        <f t="shared" si="245"/>
        <v>0.24244758039395783</v>
      </c>
      <c r="AO168">
        <f t="shared" si="265"/>
        <v>1.3403738199248305</v>
      </c>
      <c r="AP168">
        <f t="shared" si="246"/>
        <v>0.2021339072415117</v>
      </c>
    </row>
    <row r="169" spans="1:42" x14ac:dyDescent="0.25">
      <c r="A169" s="129">
        <v>0.3</v>
      </c>
      <c r="B169" s="259">
        <f>'Sub C_D_0'!AW196</f>
        <v>2.366290156992169E-2</v>
      </c>
      <c r="C169" s="260">
        <f>'C_L vs. α'!X472</f>
        <v>0.11504087309189787</v>
      </c>
      <c r="D169" s="144">
        <v>6</v>
      </c>
      <c r="E169" s="14">
        <f t="shared" si="247"/>
        <v>0.74379949418887814</v>
      </c>
      <c r="F169" s="6">
        <f t="shared" si="228"/>
        <v>8.3665699776942701E-2</v>
      </c>
      <c r="G169" s="14">
        <f t="shared" si="248"/>
        <v>0.74975317437792177</v>
      </c>
      <c r="H169" s="6">
        <f t="shared" si="229"/>
        <v>8.1214647364987666E-2</v>
      </c>
      <c r="I169" s="14">
        <f t="shared" si="249"/>
        <v>0.75847397172759268</v>
      </c>
      <c r="J169" s="6">
        <f t="shared" si="230"/>
        <v>8.0765900904526094E-2</v>
      </c>
      <c r="K169" s="14">
        <f t="shared" si="250"/>
        <v>0.77047412953339944</v>
      </c>
      <c r="L169" s="6">
        <f t="shared" si="231"/>
        <v>8.1397371797890417E-2</v>
      </c>
      <c r="M169">
        <f t="shared" si="251"/>
        <v>0.78616423322045303</v>
      </c>
      <c r="N169" s="6">
        <f t="shared" si="232"/>
        <v>8.290758475064533E-2</v>
      </c>
      <c r="O169">
        <f t="shared" si="252"/>
        <v>0.80528611164328501</v>
      </c>
      <c r="P169" s="6">
        <f t="shared" si="233"/>
        <v>8.5636959798739698E-2</v>
      </c>
      <c r="Q169">
        <f t="shared" si="253"/>
        <v>0.8299751561871983</v>
      </c>
      <c r="R169" s="6">
        <f t="shared" si="234"/>
        <v>8.8958301473486712E-2</v>
      </c>
      <c r="S169">
        <f t="shared" si="254"/>
        <v>0.86025435417817397</v>
      </c>
      <c r="T169" s="6">
        <f t="shared" si="235"/>
        <v>9.3397794502388817E-2</v>
      </c>
      <c r="U169">
        <f t="shared" si="255"/>
        <v>0.89719236992026019</v>
      </c>
      <c r="V169" s="6">
        <f t="shared" si="236"/>
        <v>9.9213569962076864E-2</v>
      </c>
      <c r="W169">
        <f t="shared" si="256"/>
        <v>0.942225265699836</v>
      </c>
      <c r="X169" s="6">
        <f t="shared" si="237"/>
        <v>0.10679043997995914</v>
      </c>
      <c r="Y169">
        <f t="shared" si="257"/>
        <v>0.99730884409996079</v>
      </c>
      <c r="Z169" s="6">
        <f t="shared" si="238"/>
        <v>0.11669968913061786</v>
      </c>
      <c r="AA169">
        <f t="shared" si="258"/>
        <v>1.065149112902386</v>
      </c>
      <c r="AB169" s="6">
        <f t="shared" si="239"/>
        <v>0.12980161780828336</v>
      </c>
      <c r="AC169">
        <f t="shared" si="259"/>
        <v>1.1498343036028678</v>
      </c>
      <c r="AD169" s="6">
        <f t="shared" si="240"/>
        <v>0.14794653319048723</v>
      </c>
      <c r="AE169">
        <f t="shared" si="260"/>
        <v>1.2568023027481559</v>
      </c>
      <c r="AF169" s="6">
        <f t="shared" si="241"/>
        <v>0.17232149356735935</v>
      </c>
      <c r="AG169">
        <f t="shared" si="261"/>
        <v>1.3939188061465588</v>
      </c>
      <c r="AH169" s="6">
        <f t="shared" si="242"/>
        <v>0.20684760749983433</v>
      </c>
      <c r="AI169">
        <f t="shared" si="262"/>
        <v>1.5720801242596421</v>
      </c>
      <c r="AJ169">
        <f t="shared" si="243"/>
        <v>0.27026910923263064</v>
      </c>
      <c r="AK169">
        <f t="shared" si="263"/>
        <v>1.8091164089302687</v>
      </c>
      <c r="AL169">
        <f t="shared" si="244"/>
        <v>0.35138257434388531</v>
      </c>
      <c r="AM169">
        <f t="shared" si="264"/>
        <v>2.0740189303096295</v>
      </c>
      <c r="AN169">
        <f t="shared" si="245"/>
        <v>0.45497625818825954</v>
      </c>
      <c r="AO169">
        <f t="shared" si="265"/>
        <v>1.8765233478947627</v>
      </c>
      <c r="AP169">
        <f t="shared" si="246"/>
        <v>0.3761141982476206</v>
      </c>
    </row>
    <row r="170" spans="1:42" x14ac:dyDescent="0.25">
      <c r="A170" s="139">
        <v>0.35</v>
      </c>
      <c r="B170" s="259">
        <f>'Sub C_D_0'!AW197</f>
        <v>2.3125899194790273E-2</v>
      </c>
      <c r="C170" s="260">
        <f>'C_L vs. α'!X473</f>
        <v>0.11856787945531404</v>
      </c>
      <c r="D170" s="144">
        <v>8</v>
      </c>
      <c r="E170" s="14">
        <f t="shared" si="247"/>
        <v>0.95631363538570047</v>
      </c>
      <c r="F170" s="6">
        <f t="shared" si="228"/>
        <v>0.11920784459964387</v>
      </c>
      <c r="G170" s="14">
        <f t="shared" si="248"/>
        <v>0.96396836705732802</v>
      </c>
      <c r="H170" s="6">
        <f t="shared" si="229"/>
        <v>0.11732805758540343</v>
      </c>
      <c r="I170" s="14">
        <f t="shared" si="249"/>
        <v>0.97518082079261925</v>
      </c>
      <c r="J170" s="6">
        <f t="shared" si="230"/>
        <v>0.11772430745486308</v>
      </c>
      <c r="K170" s="14">
        <f t="shared" si="250"/>
        <v>0.99060959511437074</v>
      </c>
      <c r="L170" s="6">
        <f t="shared" si="231"/>
        <v>0.11953450085441872</v>
      </c>
      <c r="M170">
        <f t="shared" si="251"/>
        <v>1.0107825855691539</v>
      </c>
      <c r="N170" s="6">
        <f t="shared" si="232"/>
        <v>0.12261379500256928</v>
      </c>
      <c r="O170">
        <f t="shared" si="252"/>
        <v>1.0353678578270809</v>
      </c>
      <c r="P170" s="6">
        <f t="shared" si="233"/>
        <v>0.12729820947714504</v>
      </c>
      <c r="Q170">
        <f t="shared" si="253"/>
        <v>1.0671109150978264</v>
      </c>
      <c r="R170" s="6">
        <f t="shared" si="234"/>
        <v>0.13321327245078912</v>
      </c>
      <c r="S170">
        <f t="shared" si="254"/>
        <v>1.1060413125147952</v>
      </c>
      <c r="T170" s="6">
        <f t="shared" si="235"/>
        <v>0.14094069063179382</v>
      </c>
      <c r="U170">
        <f t="shared" si="255"/>
        <v>1.1535330470403347</v>
      </c>
      <c r="V170" s="6">
        <f t="shared" si="236"/>
        <v>0.1509269610962112</v>
      </c>
      <c r="W170">
        <f t="shared" si="256"/>
        <v>1.2114324844712177</v>
      </c>
      <c r="X170" s="6">
        <f t="shared" si="237"/>
        <v>0.16382542949461548</v>
      </c>
      <c r="Y170">
        <f t="shared" si="257"/>
        <v>1.282254228128521</v>
      </c>
      <c r="Z170" s="6">
        <f t="shared" si="238"/>
        <v>0.18059827037334306</v>
      </c>
      <c r="AA170">
        <f t="shared" si="258"/>
        <v>1.3694774308744964</v>
      </c>
      <c r="AB170" s="6">
        <f t="shared" si="239"/>
        <v>0.2026890574505659</v>
      </c>
      <c r="AC170">
        <f t="shared" si="259"/>
        <v>1.4783583903465443</v>
      </c>
      <c r="AD170" s="6">
        <f t="shared" si="240"/>
        <v>0.23288460481603462</v>
      </c>
      <c r="AE170">
        <f t="shared" si="260"/>
        <v>1.6158886749619148</v>
      </c>
      <c r="AF170" s="6">
        <f t="shared" si="241"/>
        <v>0.27379807082129798</v>
      </c>
      <c r="AG170">
        <f t="shared" si="261"/>
        <v>1.7921813221884328</v>
      </c>
      <c r="AH170" s="6">
        <f t="shared" si="242"/>
        <v>0.33167411788347945</v>
      </c>
      <c r="AI170">
        <f t="shared" si="262"/>
        <v>2.0212458740481112</v>
      </c>
      <c r="AJ170">
        <f t="shared" si="243"/>
        <v>0.43307878028526015</v>
      </c>
      <c r="AK170">
        <f t="shared" si="263"/>
        <v>2.3260068114817738</v>
      </c>
      <c r="AL170">
        <f t="shared" si="244"/>
        <v>0.5669900775774207</v>
      </c>
      <c r="AM170">
        <f t="shared" si="264"/>
        <v>2.6665957675409522</v>
      </c>
      <c r="AN170">
        <f t="shared" si="245"/>
        <v>0.73834782858066195</v>
      </c>
      <c r="AO170">
        <f t="shared" si="265"/>
        <v>2.4126728758646951</v>
      </c>
      <c r="AP170">
        <f t="shared" si="246"/>
        <v>0.60808791958909936</v>
      </c>
    </row>
    <row r="171" spans="1:42" x14ac:dyDescent="0.25">
      <c r="A171" s="129">
        <v>0.4</v>
      </c>
      <c r="B171" s="259">
        <f>'Sub C_D_0'!AW198</f>
        <v>2.2674370797275065E-2</v>
      </c>
      <c r="C171" s="260">
        <f>'C_L vs. α'!X474</f>
        <v>0.12289347916831057</v>
      </c>
      <c r="D171" s="144">
        <v>10</v>
      </c>
      <c r="E171" s="14">
        <f t="shared" si="247"/>
        <v>1.1688277765825228</v>
      </c>
      <c r="F171" s="6">
        <f t="shared" si="228"/>
        <v>0.16386133692906343</v>
      </c>
      <c r="G171" s="14">
        <f t="shared" si="248"/>
        <v>1.1781835597367343</v>
      </c>
      <c r="H171" s="6">
        <f t="shared" si="229"/>
        <v>0.16269926110479654</v>
      </c>
      <c r="I171" s="14">
        <f t="shared" si="249"/>
        <v>1.1918876698576457</v>
      </c>
      <c r="J171" s="6">
        <f t="shared" si="230"/>
        <v>0.16415712493494275</v>
      </c>
      <c r="K171" s="14">
        <f t="shared" si="250"/>
        <v>1.210745060695342</v>
      </c>
      <c r="L171" s="6">
        <f t="shared" si="231"/>
        <v>0.16744821029111182</v>
      </c>
      <c r="M171">
        <f t="shared" si="251"/>
        <v>1.2354009379178548</v>
      </c>
      <c r="N171" s="6">
        <f t="shared" si="232"/>
        <v>0.17249882483853338</v>
      </c>
      <c r="O171">
        <f t="shared" si="252"/>
        <v>1.2654496040108765</v>
      </c>
      <c r="P171" s="6">
        <f t="shared" si="233"/>
        <v>0.17963945962478653</v>
      </c>
      <c r="Q171">
        <f t="shared" si="253"/>
        <v>1.3042466740084544</v>
      </c>
      <c r="R171" s="6">
        <f t="shared" si="234"/>
        <v>0.18881315301318768</v>
      </c>
      <c r="S171">
        <f t="shared" si="254"/>
        <v>1.3518282708514162</v>
      </c>
      <c r="T171" s="6">
        <f t="shared" si="235"/>
        <v>0.20067136693799187</v>
      </c>
      <c r="U171">
        <f t="shared" si="255"/>
        <v>1.4098737241604089</v>
      </c>
      <c r="V171" s="6">
        <f t="shared" si="236"/>
        <v>0.21589725272761101</v>
      </c>
      <c r="W171">
        <f t="shared" si="256"/>
        <v>1.4806397032425993</v>
      </c>
      <c r="X171" s="6">
        <f t="shared" si="237"/>
        <v>0.23548152902112901</v>
      </c>
      <c r="Y171">
        <f t="shared" si="257"/>
        <v>1.5671996121570813</v>
      </c>
      <c r="Z171" s="6">
        <f t="shared" si="238"/>
        <v>0.2608774662861455</v>
      </c>
      <c r="AA171">
        <f t="shared" si="258"/>
        <v>1.6738057488466067</v>
      </c>
      <c r="AB171" s="6">
        <f t="shared" si="239"/>
        <v>0.29426143562901774</v>
      </c>
      <c r="AC171">
        <f t="shared" si="259"/>
        <v>1.8068824770902208</v>
      </c>
      <c r="AD171" s="6">
        <f t="shared" si="240"/>
        <v>0.33959683472582264</v>
      </c>
      <c r="AE171">
        <f t="shared" si="260"/>
        <v>1.9749750471756735</v>
      </c>
      <c r="AF171" s="6">
        <f t="shared" si="241"/>
        <v>0.40128850750226941</v>
      </c>
      <c r="AG171">
        <f t="shared" si="261"/>
        <v>2.1904438382303066</v>
      </c>
      <c r="AH171" s="6">
        <f t="shared" si="242"/>
        <v>0.4885003210214558</v>
      </c>
      <c r="AI171">
        <f t="shared" si="262"/>
        <v>2.4704116238365805</v>
      </c>
      <c r="AJ171">
        <f t="shared" si="243"/>
        <v>0.63659086910104734</v>
      </c>
      <c r="AK171">
        <f t="shared" si="263"/>
        <v>2.8428972140332793</v>
      </c>
      <c r="AL171">
        <f t="shared" si="244"/>
        <v>0.83649945661934011</v>
      </c>
      <c r="AM171">
        <f t="shared" si="264"/>
        <v>3.2591726047722749</v>
      </c>
      <c r="AN171">
        <f t="shared" si="245"/>
        <v>1.0925622915711648</v>
      </c>
      <c r="AO171">
        <f t="shared" si="265"/>
        <v>2.9488224038346269</v>
      </c>
      <c r="AP171">
        <f t="shared" si="246"/>
        <v>0.8980550712659473</v>
      </c>
    </row>
    <row r="172" spans="1:42" x14ac:dyDescent="0.25">
      <c r="A172" s="139">
        <v>0.45</v>
      </c>
      <c r="B172" s="259">
        <f>'Sub C_D_0'!AW199</f>
        <v>2.2286239694840428E-2</v>
      </c>
      <c r="C172" s="260">
        <f>'C_L vs. α'!X475</f>
        <v>0.12817033856003718</v>
      </c>
      <c r="D172" s="144">
        <v>12</v>
      </c>
      <c r="E172" s="14">
        <f t="shared" si="247"/>
        <v>1.3813419177793451</v>
      </c>
      <c r="F172" s="6">
        <f t="shared" si="228"/>
        <v>0.21762617676520135</v>
      </c>
      <c r="G172" s="14">
        <f t="shared" si="248"/>
        <v>1.3923987524161405</v>
      </c>
      <c r="H172" s="6">
        <f t="shared" si="229"/>
        <v>0.21732825792316696</v>
      </c>
      <c r="I172" s="14">
        <f t="shared" si="249"/>
        <v>1.4085945189226723</v>
      </c>
      <c r="J172" s="6">
        <f t="shared" si="230"/>
        <v>0.2200643533447651</v>
      </c>
      <c r="K172" s="14">
        <f t="shared" si="250"/>
        <v>1.4308805262763133</v>
      </c>
      <c r="L172" s="6">
        <f t="shared" si="231"/>
        <v>0.22513850010796976</v>
      </c>
      <c r="M172">
        <f t="shared" si="251"/>
        <v>1.4600192902665556</v>
      </c>
      <c r="N172" s="6">
        <f t="shared" si="232"/>
        <v>0.23256267425853774</v>
      </c>
      <c r="O172">
        <f t="shared" si="252"/>
        <v>1.4955313501946723</v>
      </c>
      <c r="P172" s="6">
        <f t="shared" si="233"/>
        <v>0.24266071024166436</v>
      </c>
      <c r="Q172">
        <f t="shared" si="253"/>
        <v>1.5413824329190824</v>
      </c>
      <c r="R172" s="6">
        <f t="shared" si="234"/>
        <v>0.25575794316068245</v>
      </c>
      <c r="S172">
        <f t="shared" si="254"/>
        <v>1.5976152291880374</v>
      </c>
      <c r="T172" s="6">
        <f t="shared" si="235"/>
        <v>0.27258982342098309</v>
      </c>
      <c r="U172">
        <f t="shared" si="255"/>
        <v>1.6662144012804834</v>
      </c>
      <c r="V172" s="6">
        <f t="shared" si="236"/>
        <v>0.29412444485627631</v>
      </c>
      <c r="W172">
        <f t="shared" si="256"/>
        <v>1.7498469220139812</v>
      </c>
      <c r="X172" s="6">
        <f t="shared" si="237"/>
        <v>0.32175873855949977</v>
      </c>
      <c r="Y172">
        <f t="shared" si="257"/>
        <v>1.8521449961856415</v>
      </c>
      <c r="Z172" s="6">
        <f t="shared" si="238"/>
        <v>0.35753727686902514</v>
      </c>
      <c r="AA172">
        <f t="shared" si="258"/>
        <v>1.9781340668187168</v>
      </c>
      <c r="AB172" s="6">
        <f t="shared" si="239"/>
        <v>0.40451875234363888</v>
      </c>
      <c r="AC172">
        <f t="shared" si="259"/>
        <v>2.1354065638338975</v>
      </c>
      <c r="AD172" s="6">
        <f t="shared" si="240"/>
        <v>0.46808322291985155</v>
      </c>
      <c r="AE172">
        <f t="shared" si="260"/>
        <v>2.3340614193894322</v>
      </c>
      <c r="AF172" s="6">
        <f t="shared" si="241"/>
        <v>0.55479280361027361</v>
      </c>
      <c r="AG172">
        <f t="shared" si="261"/>
        <v>2.5887063542721807</v>
      </c>
      <c r="AH172" s="6">
        <f t="shared" si="242"/>
        <v>0.67732621691376349</v>
      </c>
      <c r="AI172">
        <f t="shared" si="262"/>
        <v>2.9195773736250499</v>
      </c>
      <c r="AJ172">
        <f t="shared" si="243"/>
        <v>0.88080537567999162</v>
      </c>
      <c r="AK172">
        <f t="shared" si="263"/>
        <v>3.3597876165847844</v>
      </c>
      <c r="AL172">
        <f t="shared" si="244"/>
        <v>1.159910711469643</v>
      </c>
      <c r="AM172">
        <f t="shared" si="264"/>
        <v>3.8517494420035976</v>
      </c>
      <c r="AN172">
        <f t="shared" si="245"/>
        <v>1.5176196471597683</v>
      </c>
      <c r="AO172">
        <f t="shared" si="265"/>
        <v>3.4849719318045596</v>
      </c>
      <c r="AP172">
        <f t="shared" si="246"/>
        <v>1.2460156532781654</v>
      </c>
    </row>
    <row r="173" spans="1:42" x14ac:dyDescent="0.25">
      <c r="A173" s="129">
        <v>0.5</v>
      </c>
      <c r="B173" s="259">
        <f>'Sub C_D_0'!AW200</f>
        <v>2.1946855388844267E-2</v>
      </c>
      <c r="C173" s="260">
        <f>'C_L vs. α'!X476</f>
        <v>0.13460360938569085</v>
      </c>
      <c r="D173" s="144">
        <v>14</v>
      </c>
      <c r="E173" s="14">
        <f t="shared" si="247"/>
        <v>1.5938560589761674</v>
      </c>
      <c r="F173" s="6">
        <f t="shared" si="228"/>
        <v>0.28050236410805773</v>
      </c>
      <c r="G173" s="14">
        <f t="shared" si="248"/>
        <v>1.6066139450955468</v>
      </c>
      <c r="H173" s="6">
        <f t="shared" si="229"/>
        <v>0.28121504804051467</v>
      </c>
      <c r="I173" s="14">
        <f t="shared" si="249"/>
        <v>1.6253013679876986</v>
      </c>
      <c r="J173" s="6">
        <f t="shared" si="230"/>
        <v>0.28544599268433019</v>
      </c>
      <c r="K173" s="14">
        <f t="shared" si="250"/>
        <v>1.6510159918572846</v>
      </c>
      <c r="L173" s="6">
        <f t="shared" si="231"/>
        <v>0.29260537030499256</v>
      </c>
      <c r="M173">
        <f t="shared" si="251"/>
        <v>1.6846376426152565</v>
      </c>
      <c r="N173" s="6">
        <f t="shared" si="232"/>
        <v>0.30280534326258229</v>
      </c>
      <c r="O173">
        <f t="shared" si="252"/>
        <v>1.7256130963784679</v>
      </c>
      <c r="P173" s="6">
        <f t="shared" si="233"/>
        <v>0.31636196132777844</v>
      </c>
      <c r="Q173">
        <f t="shared" si="253"/>
        <v>1.7785181918297106</v>
      </c>
      <c r="R173" s="6">
        <f t="shared" si="234"/>
        <v>0.33404764289327349</v>
      </c>
      <c r="S173">
        <f t="shared" si="254"/>
        <v>1.8434021875246587</v>
      </c>
      <c r="T173" s="6">
        <f t="shared" si="235"/>
        <v>0.35669606008076743</v>
      </c>
      <c r="U173">
        <f t="shared" si="255"/>
        <v>1.9225550784005576</v>
      </c>
      <c r="V173" s="6">
        <f t="shared" si="236"/>
        <v>0.38560853748220703</v>
      </c>
      <c r="W173">
        <f t="shared" si="256"/>
        <v>2.0190541407853626</v>
      </c>
      <c r="X173" s="6">
        <f t="shared" si="237"/>
        <v>0.42265705810972765</v>
      </c>
      <c r="Y173">
        <f t="shared" si="257"/>
        <v>2.1370903802142016</v>
      </c>
      <c r="Z173" s="6">
        <f t="shared" si="238"/>
        <v>0.47057770212198197</v>
      </c>
      <c r="AA173">
        <f t="shared" si="258"/>
        <v>2.2824623847908274</v>
      </c>
      <c r="AB173" s="6">
        <f t="shared" si="239"/>
        <v>0.53346100759442949</v>
      </c>
      <c r="AC173">
        <f t="shared" si="259"/>
        <v>2.4639306505775735</v>
      </c>
      <c r="AD173" s="6">
        <f t="shared" si="240"/>
        <v>0.61834376939812075</v>
      </c>
      <c r="AE173">
        <f t="shared" si="260"/>
        <v>2.6931477916031912</v>
      </c>
      <c r="AF173" s="6">
        <f t="shared" si="241"/>
        <v>0.73431095914531097</v>
      </c>
      <c r="AG173">
        <f t="shared" si="261"/>
        <v>2.9869688703140547</v>
      </c>
      <c r="AH173" s="6">
        <f t="shared" si="242"/>
        <v>0.89815180556040264</v>
      </c>
      <c r="AI173">
        <f t="shared" si="262"/>
        <v>3.3687431234135188</v>
      </c>
      <c r="AJ173">
        <f t="shared" si="243"/>
        <v>1.1657223000220933</v>
      </c>
      <c r="AK173">
        <f t="shared" si="263"/>
        <v>3.87667801913629</v>
      </c>
      <c r="AL173">
        <f t="shared" si="244"/>
        <v>1.5372238421283304</v>
      </c>
      <c r="AM173">
        <f t="shared" si="264"/>
        <v>4.4443262792349199</v>
      </c>
      <c r="AN173">
        <f t="shared" si="245"/>
        <v>2.0135198953464721</v>
      </c>
      <c r="AO173">
        <f t="shared" si="265"/>
        <v>4.0211214597744913</v>
      </c>
      <c r="AP173">
        <f t="shared" si="246"/>
        <v>1.6519696656257525</v>
      </c>
    </row>
    <row r="174" spans="1:42" x14ac:dyDescent="0.25">
      <c r="A174" s="139">
        <v>0.55000000000000004</v>
      </c>
      <c r="B174" s="259">
        <f>'Sub C_D_0'!AW201</f>
        <v>2.1646025948541835E-2</v>
      </c>
      <c r="C174" s="260">
        <f>'C_L vs. α'!X477</f>
        <v>0.14247269201428012</v>
      </c>
      <c r="D174" s="144">
        <v>16</v>
      </c>
      <c r="E174" s="14">
        <f t="shared" si="247"/>
        <v>1.8063702001729898</v>
      </c>
      <c r="F174" s="6">
        <f t="shared" si="228"/>
        <v>0.3524898989576325</v>
      </c>
      <c r="G174" s="14">
        <f t="shared" si="248"/>
        <v>1.8208291377749528</v>
      </c>
      <c r="H174" s="6">
        <f t="shared" si="229"/>
        <v>0.35435963145683969</v>
      </c>
      <c r="I174" s="14">
        <f t="shared" si="249"/>
        <v>1.8420082170527252</v>
      </c>
      <c r="J174" s="6">
        <f t="shared" si="230"/>
        <v>0.36030204295363799</v>
      </c>
      <c r="K174" s="14">
        <f t="shared" si="250"/>
        <v>1.8711514574382557</v>
      </c>
      <c r="L174" s="6">
        <f t="shared" si="231"/>
        <v>0.36984882088218007</v>
      </c>
      <c r="M174">
        <f t="shared" si="251"/>
        <v>1.9092559949639574</v>
      </c>
      <c r="N174" s="6">
        <f t="shared" si="232"/>
        <v>0.38322683185066697</v>
      </c>
      <c r="O174">
        <f t="shared" si="252"/>
        <v>1.9556948425622638</v>
      </c>
      <c r="P174" s="6">
        <f t="shared" si="233"/>
        <v>0.40074321288312875</v>
      </c>
      <c r="Q174">
        <f>(D174-$B$12)*$C$170</f>
        <v>2.0156539507403388</v>
      </c>
      <c r="R174" s="6">
        <f t="shared" si="234"/>
        <v>0.42368225221096073</v>
      </c>
      <c r="S174">
        <f t="shared" si="254"/>
        <v>2.0891891458612797</v>
      </c>
      <c r="T174" s="6">
        <f t="shared" si="235"/>
        <v>0.45299007691734472</v>
      </c>
      <c r="U174">
        <f t="shared" si="255"/>
        <v>2.1788957555206321</v>
      </c>
      <c r="V174" s="6">
        <f t="shared" si="236"/>
        <v>0.49034953060540332</v>
      </c>
      <c r="W174">
        <f t="shared" si="256"/>
        <v>2.2882613595567447</v>
      </c>
      <c r="X174" s="6">
        <f t="shared" si="237"/>
        <v>0.53817648767181292</v>
      </c>
      <c r="Y174">
        <f t="shared" si="257"/>
        <v>2.4220357642427621</v>
      </c>
      <c r="Z174" s="6">
        <f t="shared" si="238"/>
        <v>0.59999874204501613</v>
      </c>
      <c r="AA174">
        <f t="shared" si="258"/>
        <v>2.5867907027629373</v>
      </c>
      <c r="AB174" s="6">
        <f t="shared" si="239"/>
        <v>0.68108820138138892</v>
      </c>
      <c r="AC174">
        <f t="shared" si="259"/>
        <v>2.7924547373212505</v>
      </c>
      <c r="AD174" s="6">
        <f t="shared" si="240"/>
        <v>0.79037847416063112</v>
      </c>
      <c r="AE174">
        <f t="shared" si="260"/>
        <v>3.0522341638169501</v>
      </c>
      <c r="AF174" s="6">
        <f t="shared" si="241"/>
        <v>0.93984297410738082</v>
      </c>
      <c r="AG174">
        <f t="shared" si="261"/>
        <v>3.3852313863559287</v>
      </c>
      <c r="AH174" s="6">
        <f t="shared" si="242"/>
        <v>1.1509770869613729</v>
      </c>
      <c r="AI174">
        <f t="shared" si="262"/>
        <v>3.8179088732019881</v>
      </c>
      <c r="AJ174">
        <f t="shared" si="243"/>
        <v>1.4913416421273527</v>
      </c>
      <c r="AK174">
        <f t="shared" si="263"/>
        <v>4.393568421687795</v>
      </c>
      <c r="AL174">
        <f t="shared" si="244"/>
        <v>1.9684388485954012</v>
      </c>
      <c r="AM174">
        <f t="shared" si="264"/>
        <v>5.0369031164662434</v>
      </c>
      <c r="AN174">
        <f t="shared" si="245"/>
        <v>2.5802630361312779</v>
      </c>
      <c r="AO174">
        <f t="shared" si="265"/>
        <v>4.557270987744424</v>
      </c>
      <c r="AP174">
        <f t="shared" si="246"/>
        <v>2.1159171083087105</v>
      </c>
    </row>
    <row r="175" spans="1:42" x14ac:dyDescent="0.25">
      <c r="A175" s="129">
        <v>0.6</v>
      </c>
      <c r="B175" s="259">
        <f>'Sub C_D_0'!AW202</f>
        <v>2.1376391407029106E-2</v>
      </c>
      <c r="C175" s="260">
        <f>'C_L vs. α'!X478</f>
        <v>0.15216415898605515</v>
      </c>
    </row>
    <row r="176" spans="1:42" x14ac:dyDescent="0.25">
      <c r="A176" s="139">
        <v>0.65</v>
      </c>
      <c r="B176" s="259">
        <f>'Sub C_D_0'!AW203</f>
        <v>2.1595138611612889E-2</v>
      </c>
      <c r="C176" s="260">
        <f>'C_L vs. α'!X479</f>
        <v>0.16426204337183825</v>
      </c>
    </row>
    <row r="177" spans="1:42" x14ac:dyDescent="0.25">
      <c r="A177" s="129">
        <v>0.7</v>
      </c>
      <c r="B177" s="259">
        <f>'Sub C_D_0'!AW204</f>
        <v>2.1367901052909699E-2</v>
      </c>
      <c r="C177" s="260">
        <f>'C_L vs. α'!X480</f>
        <v>0.17954318610687942</v>
      </c>
    </row>
    <row r="178" spans="1:42" x14ac:dyDescent="0.25">
      <c r="A178" s="139">
        <v>0.75</v>
      </c>
      <c r="B178" s="259">
        <f>'Sub C_D_0'!AW205</f>
        <v>2.1159336439015387E-2</v>
      </c>
      <c r="C178" s="260">
        <f>'C_L vs. α'!X481</f>
        <v>0.19913125802093698</v>
      </c>
    </row>
    <row r="179" spans="1:42" x14ac:dyDescent="0.25">
      <c r="A179" s="129">
        <v>0.8</v>
      </c>
      <c r="B179" s="259">
        <f>'Sub C_D_0'!AW206</f>
        <v>2.0966800433291646E-2</v>
      </c>
      <c r="C179" s="260">
        <f>'C_L vs. α'!X482</f>
        <v>0.22458287489423459</v>
      </c>
    </row>
    <row r="180" spans="1:42" x14ac:dyDescent="0.25">
      <c r="A180" s="139">
        <v>0.85</v>
      </c>
      <c r="B180" s="259">
        <f>'Sub C_D_0'!AW207</f>
        <v>2.1233585017534112E-2</v>
      </c>
      <c r="C180" s="260">
        <f>'C_L vs. α'!X483</f>
        <v>0.25844520127575266</v>
      </c>
    </row>
    <row r="181" spans="1:42" x14ac:dyDescent="0.25">
      <c r="A181" s="129">
        <v>0.9</v>
      </c>
      <c r="B181" s="259">
        <f>'Sub C_D_0'!AW208</f>
        <v>2.1063541024893488E-2</v>
      </c>
      <c r="C181" s="260">
        <f>'C_L vs. α'!X484</f>
        <v>0.29628841861566135</v>
      </c>
    </row>
    <row r="182" spans="1:42" x14ac:dyDescent="0.25">
      <c r="A182" s="139">
        <v>0.95</v>
      </c>
      <c r="B182" s="259">
        <f>'Sub C_D_0'!AW209</f>
        <v>2.0904437443481569E-2</v>
      </c>
      <c r="C182" s="260">
        <f>'C_L vs. α'!X485</f>
        <v>0.2680747639849661</v>
      </c>
    </row>
    <row r="184" spans="1:42" x14ac:dyDescent="0.25">
      <c r="A184" s="122" t="s">
        <v>537</v>
      </c>
      <c r="B184" s="122" t="s">
        <v>516</v>
      </c>
    </row>
    <row r="185" spans="1:42" x14ac:dyDescent="0.25">
      <c r="A185" s="122" t="s">
        <v>202</v>
      </c>
      <c r="B185" s="145">
        <v>40000</v>
      </c>
      <c r="C185" s="122" t="s">
        <v>538</v>
      </c>
      <c r="D185" s="122" t="s">
        <v>539</v>
      </c>
      <c r="E185" s="1" t="s">
        <v>536</v>
      </c>
      <c r="F185" s="140">
        <v>0.05</v>
      </c>
      <c r="G185" s="1" t="s">
        <v>536</v>
      </c>
      <c r="H185" s="140">
        <v>0.1</v>
      </c>
      <c r="I185" s="1" t="s">
        <v>536</v>
      </c>
      <c r="J185" s="140">
        <v>0.15</v>
      </c>
      <c r="K185" s="1" t="s">
        <v>536</v>
      </c>
      <c r="L185" s="140">
        <v>0.2</v>
      </c>
      <c r="M185" t="s">
        <v>536</v>
      </c>
      <c r="N185" s="141">
        <v>0.25</v>
      </c>
      <c r="O185" t="s">
        <v>536</v>
      </c>
      <c r="P185" s="141">
        <v>0.3</v>
      </c>
      <c r="Q185" t="s">
        <v>536</v>
      </c>
      <c r="R185" s="141">
        <v>0.35</v>
      </c>
      <c r="S185" t="s">
        <v>536</v>
      </c>
      <c r="T185" s="141">
        <v>0.4</v>
      </c>
      <c r="U185" t="s">
        <v>536</v>
      </c>
      <c r="V185" s="141">
        <v>0.45</v>
      </c>
      <c r="W185" t="s">
        <v>536</v>
      </c>
      <c r="X185" s="141">
        <v>0.5</v>
      </c>
      <c r="Y185" t="s">
        <v>536</v>
      </c>
      <c r="Z185" s="141">
        <v>0.55000000000000004</v>
      </c>
      <c r="AA185" t="s">
        <v>536</v>
      </c>
      <c r="AB185" s="141">
        <v>0.6</v>
      </c>
      <c r="AC185" t="s">
        <v>536</v>
      </c>
      <c r="AD185" s="141">
        <v>0.65</v>
      </c>
      <c r="AE185" t="s">
        <v>536</v>
      </c>
      <c r="AF185" s="141">
        <v>0.7</v>
      </c>
      <c r="AG185" t="s">
        <v>536</v>
      </c>
      <c r="AH185" s="141">
        <v>0.75</v>
      </c>
      <c r="AI185" t="s">
        <v>536</v>
      </c>
      <c r="AJ185" s="141">
        <v>0.8</v>
      </c>
      <c r="AK185" t="s">
        <v>536</v>
      </c>
      <c r="AL185" s="141">
        <v>0.85</v>
      </c>
      <c r="AM185" t="s">
        <v>536</v>
      </c>
      <c r="AN185" s="141">
        <v>0.9</v>
      </c>
      <c r="AO185" t="s">
        <v>536</v>
      </c>
      <c r="AP185" s="141">
        <v>0.95</v>
      </c>
    </row>
    <row r="186" spans="1:42" x14ac:dyDescent="0.25">
      <c r="A186" s="121" t="s">
        <v>182</v>
      </c>
      <c r="B186" s="121" t="s">
        <v>534</v>
      </c>
      <c r="C186" s="121" t="s">
        <v>535</v>
      </c>
      <c r="D186" s="121" t="s">
        <v>421</v>
      </c>
      <c r="E186" s="14" t="s">
        <v>244</v>
      </c>
      <c r="F186" s="6" t="s">
        <v>245</v>
      </c>
      <c r="G186" s="14" t="s">
        <v>244</v>
      </c>
      <c r="H186" s="6" t="s">
        <v>245</v>
      </c>
      <c r="I186" s="14" t="s">
        <v>244</v>
      </c>
      <c r="J186" s="6" t="s">
        <v>245</v>
      </c>
      <c r="K186" s="14" t="s">
        <v>244</v>
      </c>
      <c r="L186" s="6" t="s">
        <v>245</v>
      </c>
      <c r="M186" t="s">
        <v>244</v>
      </c>
      <c r="N186" t="s">
        <v>245</v>
      </c>
      <c r="O186" t="s">
        <v>244</v>
      </c>
      <c r="P186" t="s">
        <v>245</v>
      </c>
      <c r="Q186" t="s">
        <v>244</v>
      </c>
      <c r="R186" t="s">
        <v>245</v>
      </c>
      <c r="S186" t="s">
        <v>244</v>
      </c>
      <c r="T186" t="s">
        <v>245</v>
      </c>
      <c r="U186" t="s">
        <v>244</v>
      </c>
      <c r="V186" t="s">
        <v>245</v>
      </c>
      <c r="W186" t="s">
        <v>244</v>
      </c>
      <c r="X186" t="s">
        <v>245</v>
      </c>
      <c r="Y186" t="s">
        <v>244</v>
      </c>
      <c r="Z186" t="s">
        <v>245</v>
      </c>
      <c r="AA186" t="s">
        <v>244</v>
      </c>
      <c r="AB186" t="s">
        <v>245</v>
      </c>
      <c r="AC186" t="s">
        <v>244</v>
      </c>
      <c r="AD186" t="s">
        <v>245</v>
      </c>
      <c r="AE186" t="s">
        <v>244</v>
      </c>
      <c r="AF186" t="s">
        <v>245</v>
      </c>
      <c r="AG186" t="s">
        <v>244</v>
      </c>
      <c r="AH186" t="s">
        <v>245</v>
      </c>
      <c r="AI186" t="s">
        <v>244</v>
      </c>
      <c r="AJ186" t="s">
        <v>245</v>
      </c>
      <c r="AK186" t="s">
        <v>244</v>
      </c>
      <c r="AL186" t="s">
        <v>245</v>
      </c>
      <c r="AM186" t="s">
        <v>244</v>
      </c>
      <c r="AN186" t="s">
        <v>245</v>
      </c>
      <c r="AO186" t="s">
        <v>244</v>
      </c>
      <c r="AP186" t="s">
        <v>245</v>
      </c>
    </row>
    <row r="187" spans="1:42" x14ac:dyDescent="0.25">
      <c r="A187" s="129">
        <v>0</v>
      </c>
      <c r="B187" s="129" t="e">
        <f>'Sub C_D_0'!AW220</f>
        <v>#DIV/0!</v>
      </c>
      <c r="C187" s="129" t="e">
        <f>'C_L vs. α'!X491</f>
        <v>#NUM!</v>
      </c>
      <c r="D187" s="144">
        <v>-6</v>
      </c>
      <c r="E187" s="14">
        <f>(D187-$B$12)*$C$188</f>
        <v>-0.53142156643688421</v>
      </c>
      <c r="F187" s="6">
        <f t="shared" ref="F187:F198" si="266">$B$188+$B$7*E187^2+$B$8*(E187-E$190)^2</f>
        <v>6.1207632725003479E-2</v>
      </c>
      <c r="G187" s="14">
        <f>(D187-$B$12)*$C$189</f>
        <v>-0.53567035246122652</v>
      </c>
      <c r="H187" s="6">
        <f t="shared" ref="H187:H198" si="267">$B$189+$B$7*G187^2+$B$8*(G187-G$190)^2</f>
        <v>5.848552818866766E-2</v>
      </c>
      <c r="I187" s="14">
        <f>(D187-$B$12)*$C$190</f>
        <v>-0.54189128441526069</v>
      </c>
      <c r="J187" s="6">
        <f t="shared" ref="J187:J198" si="268">$B$190+$B$7*I187^2+$B$8*(I187-I$190)^2</f>
        <v>5.7555670734039055E-2</v>
      </c>
      <c r="K187" s="14">
        <f>(D187-$B$12)*$C$191</f>
        <v>-0.55045467258878689</v>
      </c>
      <c r="L187" s="6">
        <f t="shared" ref="L187:L198" si="269">$B$191+$B$7*K187^2+$B$8*(K187-K$190)^2</f>
        <v>5.7485824660771019E-2</v>
      </c>
      <c r="M187">
        <f>(D187-$B$12)*$C$192</f>
        <v>-0.56165394198934249</v>
      </c>
      <c r="N187" s="6">
        <f t="shared" ref="N187:N198" si="270">$B$192+$B$7*M187^2+$B$8*(M187-M$190)^2</f>
        <v>5.8046838743581117E-2</v>
      </c>
      <c r="O187">
        <f>(D187-$B$12)*$C$193</f>
        <v>-0.57531284110323644</v>
      </c>
      <c r="P187" s="6">
        <f t="shared" ref="P187:P198" si="271">$B$193+$B$7*O187^2+$B$8*(O187-O$190)^2</f>
        <v>5.9578267967251332E-2</v>
      </c>
      <c r="Q187">
        <f>(D187-$B$12)*$C$194</f>
        <v>-0.59293946414242549</v>
      </c>
      <c r="R187" s="6">
        <f t="shared" ref="R187:R198" si="272">$B$194+$B$7*Q187^2+$B$8*(Q187-Q$190)^2</f>
        <v>6.131179112428245E-2</v>
      </c>
      <c r="S187">
        <f>(D187-$B$12)*$C$195</f>
        <v>-0.61455748281419853</v>
      </c>
      <c r="T187" s="6">
        <f t="shared" ref="T187:T198" si="273">$B$195+$B$7*S187^2+$B$8*(S187-S$190)^2</f>
        <v>6.3733229231533656E-2</v>
      </c>
      <c r="U187">
        <f>(D187-$B$12)*$C$196</f>
        <v>-0.64092941745577159</v>
      </c>
      <c r="V187" s="6">
        <f t="shared" ref="V187:V198" si="274">$B$196+$B$7*U187^2+$B$8*(U187-U$190)^2</f>
        <v>6.6984951642255347E-2</v>
      </c>
      <c r="W187">
        <f>(D187-$B$12)*$C$197</f>
        <v>-0.6730797811408793</v>
      </c>
      <c r="X187" s="6">
        <f t="shared" ref="X187:X198" si="275">$B$197+$B$7*W187^2+$B$8*(W187-W$190)^2</f>
        <v>7.1286297628346221E-2</v>
      </c>
      <c r="Y187">
        <f>(D187-$B$12)*$C$198</f>
        <v>-0.712403601914256</v>
      </c>
      <c r="Z187" s="6">
        <f t="shared" ref="Z187:Z198" si="276">$B$198+$B$7*Y187^2+$B$8*(Y187-Y$190)^2</f>
        <v>7.6967345091066078E-2</v>
      </c>
      <c r="AA187">
        <f>(D187-$B$12)*$C$199</f>
        <v>-0.7608304737650522</v>
      </c>
      <c r="AB187" s="6">
        <f t="shared" ref="AB187:AB198" si="277">$B$199+$B$7*AA187^2+$B$8*(AA187-AA$190)^2</f>
        <v>8.452814608412057E-2</v>
      </c>
      <c r="AC187">
        <f>(D187-$B$12)*$C$200</f>
        <v>-0.82127128061632959</v>
      </c>
      <c r="AD187" s="6">
        <f t="shared" ref="AD187:AD198" si="278">$B$200+$B$7*AC187^2+$B$8*(AC187-AC$190)^2</f>
        <v>9.5232369748737999E-2</v>
      </c>
      <c r="AE187">
        <f>(D187-$B$12)*$C$201</f>
        <v>-0.89759908347829942</v>
      </c>
      <c r="AF187" s="6">
        <f t="shared" ref="AF187:AF198" si="279">$B$201+$B$7*AE187^2+$B$8*(AE187-AE$190)^2</f>
        <v>0.10939893747003474</v>
      </c>
      <c r="AG187">
        <f>(D187-$B$12)*$C$202</f>
        <v>-0.9954087628192626</v>
      </c>
      <c r="AH187" s="6">
        <f t="shared" ref="AH187:AH198" si="280">$B$202+$B$7*AG187^2+$B$8*(AG187-AG$190)^2</f>
        <v>0.12950139647463987</v>
      </c>
      <c r="AI187">
        <f>(D187-$B$12)*$C$203</f>
        <v>-1.1224276564227389</v>
      </c>
      <c r="AJ187">
        <f t="shared" ref="AJ187:AJ198" si="281">$B$203+$B$9*AI187^2</f>
        <v>0.14772910049387539</v>
      </c>
      <c r="AK187">
        <f>(D187-$B$12)*$C$204</f>
        <v>-1.2911682043819241</v>
      </c>
      <c r="AL187">
        <f t="shared" ref="AL187:AL198" si="282">$B$204+$B$9*AK187^2</f>
        <v>0.1890757785152431</v>
      </c>
      <c r="AM187">
        <f>(D187-$B$12)*$C$205</f>
        <v>-1.4790002308818497</v>
      </c>
      <c r="AN187">
        <f t="shared" ref="AN187:AN198" si="283">$B$205+$B$9*AM187^2</f>
        <v>0.24139647921421414</v>
      </c>
      <c r="AO187">
        <f>(D187-$B$12)*$C$206</f>
        <v>-1.3323974242911165</v>
      </c>
      <c r="AP187">
        <f t="shared" ref="AP187:AP198" si="284">$B$206+$B$9*AO187^2</f>
        <v>0.19966486862273161</v>
      </c>
    </row>
    <row r="188" spans="1:42" x14ac:dyDescent="0.25">
      <c r="A188" s="139">
        <v>0.05</v>
      </c>
      <c r="B188" s="257">
        <f>'Sub C_D_0'!AW221</f>
        <v>3.0234871675608385E-2</v>
      </c>
      <c r="C188" s="261">
        <f>'C_L vs. α'!X492</f>
        <v>0.10628431328737685</v>
      </c>
      <c r="D188" s="144">
        <v>-4</v>
      </c>
      <c r="E188" s="14">
        <f t="shared" ref="E188:E198" si="285">(D188-$B$12)*$C$188</f>
        <v>-0.31885293986213054</v>
      </c>
      <c r="F188" s="6">
        <f t="shared" si="266"/>
        <v>4.2071884052649555E-2</v>
      </c>
      <c r="G188" s="14">
        <f t="shared" ref="G188:G198" si="286">(D188-$B$12)*$C$189</f>
        <v>-0.32140221147673592</v>
      </c>
      <c r="H188" s="6">
        <f t="shared" si="267"/>
        <v>3.9042570612394842E-2</v>
      </c>
      <c r="I188" s="14">
        <f t="shared" ref="I188:I198" si="287">(D188-$B$12)*$C$190</f>
        <v>-0.32513477064915641</v>
      </c>
      <c r="J188" s="6">
        <f t="shared" si="268"/>
        <v>3.7658494802646936E-2</v>
      </c>
      <c r="K188" s="14">
        <f t="shared" ref="K188:K198" si="288">(D188-$B$12)*$C$191</f>
        <v>-0.3302728035532721</v>
      </c>
      <c r="L188" s="6">
        <f t="shared" si="269"/>
        <v>3.6954818505685542E-2</v>
      </c>
      <c r="M188">
        <f t="shared" ref="M188:M198" si="289">(D188-$B$12)*$C$192</f>
        <v>-0.33699236519360548</v>
      </c>
      <c r="N188" s="6">
        <f t="shared" si="270"/>
        <v>3.6671907292667692E-2</v>
      </c>
      <c r="O188">
        <f t="shared" ref="O188:O198" si="290">(D188-$B$12)*$C$193</f>
        <v>-0.34518770466194182</v>
      </c>
      <c r="P188" s="6">
        <f t="shared" si="271"/>
        <v>3.7151058295014458E-2</v>
      </c>
      <c r="Q188">
        <f t="shared" ref="Q188:Q198" si="291">(D188-$B$12)*$C$194</f>
        <v>-0.35576367848545531</v>
      </c>
      <c r="R188" s="6">
        <f t="shared" si="272"/>
        <v>3.7489264497315995E-2</v>
      </c>
      <c r="S188">
        <f t="shared" ref="S188:S198" si="292">(D188-$B$12)*$C$195</f>
        <v>-0.36873448968851907</v>
      </c>
      <c r="T188" s="6">
        <f t="shared" si="273"/>
        <v>3.8141942080535722E-2</v>
      </c>
      <c r="U188">
        <f t="shared" ref="U188:U198" si="293">(D188-$B$12)*$C$196</f>
        <v>-0.38455765047346291</v>
      </c>
      <c r="V188" s="6">
        <f t="shared" si="274"/>
        <v>3.9150189233114419E-2</v>
      </c>
      <c r="W188">
        <f t="shared" ref="W188:W198" si="294">(D188-$B$12)*$C$197</f>
        <v>-0.40384786868452754</v>
      </c>
      <c r="X188" s="6">
        <f t="shared" si="275"/>
        <v>4.0588996277803741E-2</v>
      </c>
      <c r="Y188">
        <f t="shared" ref="Y188:Y198" si="295">(D188-$B$12)*$C$198</f>
        <v>-0.4274421611485536</v>
      </c>
      <c r="Z188" s="6">
        <f t="shared" si="276"/>
        <v>4.2578362986981803E-2</v>
      </c>
      <c r="AA188">
        <f t="shared" ref="AA188:AA198" si="296">(D188-$B$12)*$C$199</f>
        <v>-0.45649828425903127</v>
      </c>
      <c r="AB188" s="6">
        <f t="shared" si="277"/>
        <v>4.5304956567351347E-2</v>
      </c>
      <c r="AC188">
        <f t="shared" ref="AC188:AC198" si="297">(D188-$B$12)*$C$200</f>
        <v>-0.49276276836979771</v>
      </c>
      <c r="AD188" s="6">
        <f t="shared" si="278"/>
        <v>4.9529825261397153E-2</v>
      </c>
      <c r="AE188">
        <f t="shared" ref="AE188:AE198" si="298">(D188-$B$12)*$C$201</f>
        <v>-0.5385594500869797</v>
      </c>
      <c r="AF188" s="6">
        <f t="shared" si="279"/>
        <v>5.4806572464022353E-2</v>
      </c>
      <c r="AG188">
        <f t="shared" ref="AG188:AG198" si="299">(D188-$B$12)*$C$202</f>
        <v>-0.59724525769155756</v>
      </c>
      <c r="AH188" s="6">
        <f t="shared" si="280"/>
        <v>6.2363144885456759E-2</v>
      </c>
      <c r="AI188">
        <f t="shared" ref="AI188:AI198" si="300">(D188-$B$12)*$C$203</f>
        <v>-0.67345659385364343</v>
      </c>
      <c r="AJ188">
        <f t="shared" si="281"/>
        <v>6.6394818193769065E-2</v>
      </c>
      <c r="AK188">
        <f t="shared" ref="AK188:AK198" si="301">(D188-$B$12)*$C$204</f>
        <v>-0.77470092262915458</v>
      </c>
      <c r="AL188">
        <f t="shared" si="282"/>
        <v>8.1448448591362188E-2</v>
      </c>
      <c r="AM188">
        <f t="shared" ref="AM188:AM198" si="302">(D188-$B$12)*$C$205</f>
        <v>-0.88740013852910993</v>
      </c>
      <c r="AN188">
        <f t="shared" si="283"/>
        <v>0.10017739066048457</v>
      </c>
      <c r="AO188">
        <f t="shared" ref="AO188:AO198" si="303">(D188-$B$12)*$C$206</f>
        <v>-0.79943845457467</v>
      </c>
      <c r="AP188">
        <f t="shared" si="284"/>
        <v>8.5054346893719324E-2</v>
      </c>
    </row>
    <row r="189" spans="1:42" x14ac:dyDescent="0.25">
      <c r="A189" s="129">
        <v>0.1</v>
      </c>
      <c r="B189" s="257">
        <f>'Sub C_D_0'!AW222</f>
        <v>2.7015524615018827E-2</v>
      </c>
      <c r="C189" s="261">
        <f>'C_L vs. α'!X493</f>
        <v>0.10713407049224531</v>
      </c>
      <c r="D189" s="144">
        <v>-2</v>
      </c>
      <c r="E189" s="14">
        <f t="shared" si="285"/>
        <v>-0.10628431328737685</v>
      </c>
      <c r="F189" s="6">
        <f t="shared" si="266"/>
        <v>3.2052155506433817E-2</v>
      </c>
      <c r="G189" s="14">
        <f t="shared" si="286"/>
        <v>-0.10713407049224531</v>
      </c>
      <c r="H189" s="6">
        <f t="shared" si="267"/>
        <v>2.8861983461848935E-2</v>
      </c>
      <c r="I189" s="14">
        <f t="shared" si="287"/>
        <v>-0.10837825688305214</v>
      </c>
      <c r="J189" s="6">
        <f t="shared" si="268"/>
        <v>2.7240072974350514E-2</v>
      </c>
      <c r="K189" s="14">
        <f t="shared" si="288"/>
        <v>-0.11009093451775737</v>
      </c>
      <c r="L189" s="6">
        <f t="shared" si="269"/>
        <v>2.6204514873623078E-2</v>
      </c>
      <c r="M189">
        <f t="shared" si="289"/>
        <v>-0.11233078839786849</v>
      </c>
      <c r="N189" s="6">
        <f t="shared" si="270"/>
        <v>2.5479713326327511E-2</v>
      </c>
      <c r="O189">
        <f t="shared" si="290"/>
        <v>-0.11506256822064728</v>
      </c>
      <c r="P189" s="6">
        <f t="shared" si="271"/>
        <v>2.5407877674674784E-2</v>
      </c>
      <c r="Q189">
        <f t="shared" si="291"/>
        <v>-0.1185878928284851</v>
      </c>
      <c r="R189" s="6">
        <f t="shared" si="272"/>
        <v>2.5015477650812752E-2</v>
      </c>
      <c r="S189">
        <f t="shared" si="292"/>
        <v>-0.1229114965628397</v>
      </c>
      <c r="T189" s="6">
        <f t="shared" si="273"/>
        <v>2.4742009065544076E-2</v>
      </c>
      <c r="U189">
        <f t="shared" si="293"/>
        <v>-0.12818588349115431</v>
      </c>
      <c r="V189" s="6">
        <f t="shared" si="274"/>
        <v>2.4575543199487647E-2</v>
      </c>
      <c r="W189">
        <f t="shared" si="294"/>
        <v>-0.13461595622817585</v>
      </c>
      <c r="X189" s="6">
        <f t="shared" si="275"/>
        <v>2.4515487375683459E-2</v>
      </c>
      <c r="Y189">
        <f t="shared" si="295"/>
        <v>-0.1424807203828512</v>
      </c>
      <c r="Z189" s="6">
        <f t="shared" si="276"/>
        <v>2.4571841707707015E-2</v>
      </c>
      <c r="AA189">
        <f t="shared" si="296"/>
        <v>-0.15216609475301043</v>
      </c>
      <c r="AB189" s="6">
        <f t="shared" si="277"/>
        <v>2.4767180993271458E-2</v>
      </c>
      <c r="AC189">
        <f t="shared" si="297"/>
        <v>-0.16425425612326591</v>
      </c>
      <c r="AD189" s="6">
        <f t="shared" si="278"/>
        <v>2.5599374591542438E-2</v>
      </c>
      <c r="AE189">
        <f t="shared" si="298"/>
        <v>-0.17951981669565989</v>
      </c>
      <c r="AF189" s="6">
        <f t="shared" si="279"/>
        <v>2.6221295377558431E-2</v>
      </c>
      <c r="AG189">
        <f t="shared" si="299"/>
        <v>-0.19908175256385252</v>
      </c>
      <c r="AH189" s="6">
        <f t="shared" si="280"/>
        <v>2.7208677322709412E-2</v>
      </c>
      <c r="AI189">
        <f t="shared" si="300"/>
        <v>-0.22448553128454779</v>
      </c>
      <c r="AJ189">
        <f t="shared" si="281"/>
        <v>2.5727677043715889E-2</v>
      </c>
      <c r="AK189">
        <f t="shared" si="301"/>
        <v>-0.25823364087638484</v>
      </c>
      <c r="AL189">
        <f t="shared" si="282"/>
        <v>2.7634783629421702E-2</v>
      </c>
      <c r="AM189">
        <f t="shared" si="302"/>
        <v>-0.29580004617636996</v>
      </c>
      <c r="AN189">
        <f t="shared" si="283"/>
        <v>2.9567846383619763E-2</v>
      </c>
      <c r="AO189">
        <f t="shared" si="303"/>
        <v>-0.26647948485822331</v>
      </c>
      <c r="AP189">
        <f t="shared" si="284"/>
        <v>2.7749086029213148E-2</v>
      </c>
    </row>
    <row r="190" spans="1:42" s="29" customFormat="1" x14ac:dyDescent="0.25">
      <c r="A190" s="139">
        <v>0.15</v>
      </c>
      <c r="B190" s="257">
        <f>'Sub C_D_0'!AW223</f>
        <v>2.5350477917563022E-2</v>
      </c>
      <c r="C190" s="261">
        <f>'C_L vs. α'!X494</f>
        <v>0.10837825688305214</v>
      </c>
      <c r="D190" s="143">
        <v>0</v>
      </c>
      <c r="E190" s="83">
        <f t="shared" si="285"/>
        <v>0.10628431328737685</v>
      </c>
      <c r="F190" s="21">
        <f t="shared" si="266"/>
        <v>3.1148447086356276E-2</v>
      </c>
      <c r="G190" s="83">
        <f t="shared" si="286"/>
        <v>0.10713407049224531</v>
      </c>
      <c r="H190" s="21">
        <f t="shared" si="267"/>
        <v>2.7943766737029942E-2</v>
      </c>
      <c r="I190" s="83">
        <f t="shared" si="287"/>
        <v>0.10837825688305214</v>
      </c>
      <c r="J190" s="21">
        <f t="shared" si="268"/>
        <v>2.6300405249149807E-2</v>
      </c>
      <c r="K190" s="83">
        <f t="shared" si="288"/>
        <v>0.11009093451775737</v>
      </c>
      <c r="L190" s="21">
        <f t="shared" si="269"/>
        <v>2.5234913764583627E-2</v>
      </c>
      <c r="M190" s="99">
        <f t="shared" si="289"/>
        <v>0.11233078839786849</v>
      </c>
      <c r="N190" s="21">
        <f t="shared" si="270"/>
        <v>2.4470256844560574E-2</v>
      </c>
      <c r="O190" s="99">
        <f t="shared" si="290"/>
        <v>0.11506256822064728</v>
      </c>
      <c r="P190" s="21">
        <f t="shared" si="271"/>
        <v>2.4348726106232295E-2</v>
      </c>
      <c r="Q190" s="99">
        <f t="shared" si="291"/>
        <v>0.1185878928284851</v>
      </c>
      <c r="R190" s="21">
        <f t="shared" si="272"/>
        <v>2.3890430584772731E-2</v>
      </c>
      <c r="S190" s="99">
        <f t="shared" si="292"/>
        <v>0.1229114965628397</v>
      </c>
      <c r="T190" s="21">
        <f t="shared" si="273"/>
        <v>2.3533430186558721E-2</v>
      </c>
      <c r="U190" s="99">
        <f t="shared" si="293"/>
        <v>0.12818588349115431</v>
      </c>
      <c r="V190" s="21">
        <f t="shared" si="274"/>
        <v>2.3261013541375025E-2</v>
      </c>
      <c r="W190" s="99">
        <f t="shared" si="294"/>
        <v>0.13461595622817585</v>
      </c>
      <c r="X190" s="21">
        <f t="shared" si="275"/>
        <v>2.3065770921985366E-2</v>
      </c>
      <c r="Y190" s="99">
        <f t="shared" si="295"/>
        <v>0.1424807203828512</v>
      </c>
      <c r="Z190" s="21">
        <f t="shared" si="276"/>
        <v>2.2947781253241716E-2</v>
      </c>
      <c r="AA190" s="99">
        <f t="shared" si="296"/>
        <v>0.15216609475301043</v>
      </c>
      <c r="AB190" s="21">
        <f t="shared" si="277"/>
        <v>2.2914819361880886E-2</v>
      </c>
      <c r="AC190" s="99">
        <f t="shared" si="297"/>
        <v>0.16425425612326591</v>
      </c>
      <c r="AD190" s="21">
        <f t="shared" si="278"/>
        <v>2.3441017739173842E-2</v>
      </c>
      <c r="AE190" s="99">
        <f t="shared" si="298"/>
        <v>0.17951981669565989</v>
      </c>
      <c r="AF190" s="21">
        <f t="shared" si="279"/>
        <v>2.3643106210642965E-2</v>
      </c>
      <c r="AG190" s="99">
        <f t="shared" si="299"/>
        <v>0.19908175256385252</v>
      </c>
      <c r="AH190" s="21">
        <f t="shared" si="280"/>
        <v>2.4037993786397812E-2</v>
      </c>
      <c r="AI190" s="99">
        <f t="shared" si="300"/>
        <v>0.22448553128454779</v>
      </c>
      <c r="AJ190" s="99">
        <f t="shared" si="281"/>
        <v>2.5727677043715889E-2</v>
      </c>
      <c r="AK190" s="99">
        <f t="shared" si="301"/>
        <v>0.25823364087638484</v>
      </c>
      <c r="AL190" s="99">
        <f t="shared" si="282"/>
        <v>2.7634783629421702E-2</v>
      </c>
      <c r="AM190" s="99">
        <f t="shared" si="302"/>
        <v>0.29580004617636996</v>
      </c>
      <c r="AN190" s="99">
        <f t="shared" si="283"/>
        <v>2.9567846383619763E-2</v>
      </c>
      <c r="AO190" s="99">
        <f t="shared" si="303"/>
        <v>0.26647948485822331</v>
      </c>
      <c r="AP190" s="99">
        <f t="shared" si="284"/>
        <v>2.7749086029213148E-2</v>
      </c>
    </row>
    <row r="191" spans="1:42" x14ac:dyDescent="0.25">
      <c r="A191" s="129">
        <v>0.2</v>
      </c>
      <c r="B191" s="257">
        <f>'Sub C_D_0'!AW224</f>
        <v>2.4254726226465614E-2</v>
      </c>
      <c r="C191" s="261">
        <f>'C_L vs. α'!X495</f>
        <v>0.11009093451775737</v>
      </c>
      <c r="D191" s="144">
        <v>2</v>
      </c>
      <c r="E191" s="14">
        <f t="shared" si="285"/>
        <v>0.31885293986213054</v>
      </c>
      <c r="F191" s="6">
        <f t="shared" si="266"/>
        <v>3.9360758792416926E-2</v>
      </c>
      <c r="G191" s="14">
        <f t="shared" si="286"/>
        <v>0.32140221147673592</v>
      </c>
      <c r="H191" s="6">
        <f t="shared" si="267"/>
        <v>3.6287920437937868E-2</v>
      </c>
      <c r="I191" s="14">
        <f t="shared" si="287"/>
        <v>0.32513477064915641</v>
      </c>
      <c r="J191" s="6">
        <f t="shared" si="268"/>
        <v>3.4839491627044819E-2</v>
      </c>
      <c r="K191" s="14">
        <f t="shared" si="288"/>
        <v>0.3302728035532721</v>
      </c>
      <c r="L191" s="6">
        <f t="shared" si="269"/>
        <v>3.4046015178567188E-2</v>
      </c>
      <c r="M191">
        <f t="shared" si="289"/>
        <v>0.33699236519360548</v>
      </c>
      <c r="N191" s="6">
        <f t="shared" si="270"/>
        <v>3.3643537847366886E-2</v>
      </c>
      <c r="O191">
        <f t="shared" si="290"/>
        <v>0.34518770466194182</v>
      </c>
      <c r="P191" s="6">
        <f t="shared" si="271"/>
        <v>3.3973603589686992E-2</v>
      </c>
      <c r="Q191">
        <f t="shared" si="291"/>
        <v>0.35576367848545531</v>
      </c>
      <c r="R191" s="6">
        <f t="shared" si="272"/>
        <v>3.4114123299195935E-2</v>
      </c>
      <c r="S191">
        <f t="shared" si="292"/>
        <v>0.36873448968851907</v>
      </c>
      <c r="T191" s="6">
        <f t="shared" si="273"/>
        <v>3.4516205443579653E-2</v>
      </c>
      <c r="U191">
        <f t="shared" si="293"/>
        <v>0.38455765047346291</v>
      </c>
      <c r="V191" s="6">
        <f t="shared" si="274"/>
        <v>3.5206600258776546E-2</v>
      </c>
      <c r="W191">
        <f t="shared" si="294"/>
        <v>0.40384786868452754</v>
      </c>
      <c r="X191" s="6">
        <f t="shared" si="275"/>
        <v>3.6239846916709458E-2</v>
      </c>
      <c r="Y191">
        <f t="shared" si="295"/>
        <v>0.4274421611485536</v>
      </c>
      <c r="Z191" s="6">
        <f t="shared" si="276"/>
        <v>3.7706181623585903E-2</v>
      </c>
      <c r="AA191">
        <f t="shared" si="296"/>
        <v>0.45649828425903127</v>
      </c>
      <c r="AB191" s="6">
        <f t="shared" si="277"/>
        <v>3.9747871673179627E-2</v>
      </c>
      <c r="AC191">
        <f t="shared" si="297"/>
        <v>0.49276276836979771</v>
      </c>
      <c r="AD191" s="6">
        <f t="shared" si="278"/>
        <v>4.3054754704291362E-2</v>
      </c>
      <c r="AE191">
        <f t="shared" si="298"/>
        <v>0.5385594500869797</v>
      </c>
      <c r="AF191" s="6">
        <f t="shared" si="279"/>
        <v>4.707200496327596E-2</v>
      </c>
      <c r="AG191">
        <f t="shared" si="299"/>
        <v>0.59724525769155756</v>
      </c>
      <c r="AH191" s="6">
        <f t="shared" si="280"/>
        <v>5.2851094276521959E-2</v>
      </c>
      <c r="AI191">
        <f t="shared" si="300"/>
        <v>0.67345659385364343</v>
      </c>
      <c r="AJ191">
        <f t="shared" si="281"/>
        <v>6.6394818193769065E-2</v>
      </c>
      <c r="AK191">
        <f t="shared" si="301"/>
        <v>0.77470092262915458</v>
      </c>
      <c r="AL191">
        <f t="shared" si="282"/>
        <v>8.1448448591362188E-2</v>
      </c>
      <c r="AM191">
        <f t="shared" si="302"/>
        <v>0.88740013852910993</v>
      </c>
      <c r="AN191">
        <f t="shared" si="283"/>
        <v>0.10017739066048457</v>
      </c>
      <c r="AO191">
        <f t="shared" si="303"/>
        <v>0.79943845457467</v>
      </c>
      <c r="AP191">
        <f t="shared" si="284"/>
        <v>8.5054346893719324E-2</v>
      </c>
    </row>
    <row r="192" spans="1:42" x14ac:dyDescent="0.25">
      <c r="A192" s="139">
        <v>0.25</v>
      </c>
      <c r="B192" s="257">
        <f>'Sub C_D_0'!AW225</f>
        <v>2.3449778779430653E-2</v>
      </c>
      <c r="C192" s="261">
        <f>'C_L vs. α'!X496</f>
        <v>0.11233078839786849</v>
      </c>
      <c r="D192" s="144">
        <v>4</v>
      </c>
      <c r="E192" s="14">
        <f t="shared" si="285"/>
        <v>0.53142156643688421</v>
      </c>
      <c r="F192" s="6">
        <f t="shared" si="266"/>
        <v>5.6689090624615773E-2</v>
      </c>
      <c r="G192" s="14">
        <f t="shared" si="286"/>
        <v>0.53567035246122652</v>
      </c>
      <c r="H192" s="6">
        <f t="shared" si="267"/>
        <v>5.3894444564572701E-2</v>
      </c>
      <c r="I192" s="14">
        <f t="shared" si="287"/>
        <v>0.54189128441526069</v>
      </c>
      <c r="J192" s="6">
        <f t="shared" si="268"/>
        <v>5.2857332108035518E-2</v>
      </c>
      <c r="K192" s="14">
        <f t="shared" si="288"/>
        <v>0.55045467258878689</v>
      </c>
      <c r="L192" s="6">
        <f t="shared" si="269"/>
        <v>5.2637819115573761E-2</v>
      </c>
      <c r="M192">
        <f t="shared" si="289"/>
        <v>0.56165394198934249</v>
      </c>
      <c r="N192" s="6">
        <f t="shared" si="270"/>
        <v>5.2999556334746442E-2</v>
      </c>
      <c r="O192">
        <f t="shared" si="290"/>
        <v>0.57531284110323644</v>
      </c>
      <c r="P192" s="6">
        <f t="shared" si="271"/>
        <v>5.4282510125038888E-2</v>
      </c>
      <c r="Q192">
        <f t="shared" si="291"/>
        <v>0.59293946414242549</v>
      </c>
      <c r="R192" s="6">
        <f t="shared" si="272"/>
        <v>5.568655579408234E-2</v>
      </c>
      <c r="S192">
        <f t="shared" si="292"/>
        <v>0.61455748281419853</v>
      </c>
      <c r="T192" s="6">
        <f t="shared" si="273"/>
        <v>5.7690334836606877E-2</v>
      </c>
      <c r="U192">
        <f t="shared" si="293"/>
        <v>0.64092941745577159</v>
      </c>
      <c r="V192" s="6">
        <f t="shared" si="274"/>
        <v>6.0412303351692238E-2</v>
      </c>
      <c r="W192">
        <f t="shared" si="294"/>
        <v>0.6730797811408793</v>
      </c>
      <c r="X192" s="6">
        <f t="shared" si="275"/>
        <v>6.4037715359855751E-2</v>
      </c>
      <c r="Y192">
        <f t="shared" si="295"/>
        <v>0.712403601914256</v>
      </c>
      <c r="Z192" s="6">
        <f t="shared" si="276"/>
        <v>6.8847042818739587E-2</v>
      </c>
      <c r="AA192">
        <f t="shared" si="296"/>
        <v>0.7608304737650522</v>
      </c>
      <c r="AB192" s="6">
        <f t="shared" si="277"/>
        <v>7.5266337927167706E-2</v>
      </c>
      <c r="AC192">
        <f t="shared" si="297"/>
        <v>0.82127128061632959</v>
      </c>
      <c r="AD192" s="6">
        <f t="shared" si="278"/>
        <v>8.4440585486895023E-2</v>
      </c>
      <c r="AE192">
        <f t="shared" si="298"/>
        <v>0.89759908347829942</v>
      </c>
      <c r="AF192" s="6">
        <f t="shared" si="279"/>
        <v>9.6507991635457396E-2</v>
      </c>
      <c r="AG192">
        <f t="shared" si="299"/>
        <v>0.9954087628192626</v>
      </c>
      <c r="AH192" s="6">
        <f t="shared" si="280"/>
        <v>0.11364797879308186</v>
      </c>
      <c r="AI192">
        <f t="shared" si="300"/>
        <v>1.1224276564227389</v>
      </c>
      <c r="AJ192">
        <f t="shared" si="281"/>
        <v>0.14772910049387539</v>
      </c>
      <c r="AK192">
        <f t="shared" si="301"/>
        <v>1.2911682043819241</v>
      </c>
      <c r="AL192">
        <f t="shared" si="282"/>
        <v>0.1890757785152431</v>
      </c>
      <c r="AM192">
        <f t="shared" si="302"/>
        <v>1.4790002308818497</v>
      </c>
      <c r="AN192">
        <f t="shared" si="283"/>
        <v>0.24139647921421414</v>
      </c>
      <c r="AO192">
        <f t="shared" si="303"/>
        <v>1.3323974242911165</v>
      </c>
      <c r="AP192">
        <f t="shared" si="284"/>
        <v>0.19966486862273161</v>
      </c>
    </row>
    <row r="193" spans="1:42" x14ac:dyDescent="0.25">
      <c r="A193" s="129">
        <v>0.3</v>
      </c>
      <c r="B193" s="257">
        <f>'Sub C_D_0'!AW226</f>
        <v>2.327801036685577E-2</v>
      </c>
      <c r="C193" s="261">
        <f>'C_L vs. α'!X497</f>
        <v>0.11506256822064728</v>
      </c>
      <c r="D193" s="144">
        <v>6</v>
      </c>
      <c r="E193" s="14">
        <f t="shared" si="285"/>
        <v>0.74399019301163793</v>
      </c>
      <c r="F193" s="6">
        <f t="shared" si="266"/>
        <v>8.3133442582952813E-2</v>
      </c>
      <c r="G193" s="14">
        <f t="shared" si="286"/>
        <v>0.74993849344571717</v>
      </c>
      <c r="H193" s="6">
        <f t="shared" si="267"/>
        <v>8.0763339116934466E-2</v>
      </c>
      <c r="I193" s="14">
        <f t="shared" si="287"/>
        <v>0.75864779818136496</v>
      </c>
      <c r="J193" s="6">
        <f t="shared" si="268"/>
        <v>8.0353926692121949E-2</v>
      </c>
      <c r="K193" s="14">
        <f t="shared" si="288"/>
        <v>0.77063654162430151</v>
      </c>
      <c r="L193" s="6">
        <f t="shared" si="269"/>
        <v>8.1010325575603323E-2</v>
      </c>
      <c r="M193">
        <f t="shared" si="289"/>
        <v>0.78631551878507944</v>
      </c>
      <c r="N193" s="6">
        <f t="shared" si="270"/>
        <v>8.2538312306699224E-2</v>
      </c>
      <c r="O193">
        <f t="shared" si="290"/>
        <v>0.80543797754453095</v>
      </c>
      <c r="P193" s="6">
        <f t="shared" si="271"/>
        <v>8.5275445712287956E-2</v>
      </c>
      <c r="Q193">
        <f t="shared" si="291"/>
        <v>0.83011524979939566</v>
      </c>
      <c r="R193" s="6">
        <f t="shared" si="272"/>
        <v>8.8607728069431971E-2</v>
      </c>
      <c r="S193">
        <f t="shared" si="292"/>
        <v>0.86038047593987788</v>
      </c>
      <c r="T193" s="6">
        <f t="shared" si="273"/>
        <v>9.3055818365640391E-2</v>
      </c>
      <c r="U193">
        <f t="shared" si="293"/>
        <v>0.89730118443808016</v>
      </c>
      <c r="V193" s="6">
        <f t="shared" si="274"/>
        <v>9.8878122820122052E-2</v>
      </c>
      <c r="W193">
        <f t="shared" si="294"/>
        <v>0.94231169359723088</v>
      </c>
      <c r="X193" s="6">
        <f t="shared" si="275"/>
        <v>0.10645937625142422</v>
      </c>
      <c r="Y193">
        <f t="shared" si="295"/>
        <v>0.9973650426799584</v>
      </c>
      <c r="Z193" s="6">
        <f t="shared" si="276"/>
        <v>0.11637036483870274</v>
      </c>
      <c r="AA193">
        <f t="shared" si="296"/>
        <v>1.0651626632710731</v>
      </c>
      <c r="AB193" s="6">
        <f t="shared" si="277"/>
        <v>0.1294702181238451</v>
      </c>
      <c r="AC193">
        <f t="shared" si="297"/>
        <v>1.1497797928628615</v>
      </c>
      <c r="AD193" s="6">
        <f t="shared" si="278"/>
        <v>0.1475985100869848</v>
      </c>
      <c r="AE193">
        <f t="shared" si="298"/>
        <v>1.2566387168696191</v>
      </c>
      <c r="AF193" s="6">
        <f t="shared" si="279"/>
        <v>0.17195106622718728</v>
      </c>
      <c r="AG193">
        <f t="shared" si="299"/>
        <v>1.3935722679469675</v>
      </c>
      <c r="AH193" s="6">
        <f t="shared" si="280"/>
        <v>0.20642864733607749</v>
      </c>
      <c r="AI193">
        <f t="shared" si="300"/>
        <v>1.5713987189918346</v>
      </c>
      <c r="AJ193">
        <f t="shared" si="281"/>
        <v>0.26973052394403496</v>
      </c>
      <c r="AK193">
        <f t="shared" si="301"/>
        <v>1.8076354861346939</v>
      </c>
      <c r="AL193">
        <f t="shared" si="282"/>
        <v>0.35051677340106457</v>
      </c>
      <c r="AM193">
        <f t="shared" si="302"/>
        <v>2.0706003232345895</v>
      </c>
      <c r="AN193">
        <f t="shared" si="283"/>
        <v>0.45322511204480853</v>
      </c>
      <c r="AO193">
        <f t="shared" si="303"/>
        <v>1.8653563940075633</v>
      </c>
      <c r="AP193">
        <f t="shared" si="284"/>
        <v>0.37158065121625011</v>
      </c>
    </row>
    <row r="194" spans="1:42" x14ac:dyDescent="0.25">
      <c r="A194" s="139">
        <v>0.35</v>
      </c>
      <c r="B194" s="257">
        <f>'Sub C_D_0'!AW227</f>
        <v>2.2753099878724835E-2</v>
      </c>
      <c r="C194" s="261">
        <f>'C_L vs. α'!X498</f>
        <v>0.1185878928284851</v>
      </c>
      <c r="D194" s="144">
        <v>8</v>
      </c>
      <c r="E194" s="14">
        <f t="shared" si="285"/>
        <v>0.95655881958639166</v>
      </c>
      <c r="F194" s="6">
        <f t="shared" si="266"/>
        <v>0.11869381466742805</v>
      </c>
      <c r="G194" s="14">
        <f t="shared" si="286"/>
        <v>0.96420663443020782</v>
      </c>
      <c r="H194" s="6">
        <f t="shared" si="267"/>
        <v>0.11689460409502314</v>
      </c>
      <c r="I194" s="14">
        <f t="shared" si="287"/>
        <v>0.97540431194746924</v>
      </c>
      <c r="J194" s="6">
        <f t="shared" si="268"/>
        <v>0.11732927537930407</v>
      </c>
      <c r="K194" s="14">
        <f t="shared" si="288"/>
        <v>0.99081841065981635</v>
      </c>
      <c r="L194" s="6">
        <f t="shared" si="269"/>
        <v>0.11916353455865596</v>
      </c>
      <c r="M194">
        <f t="shared" si="289"/>
        <v>1.0109770955808164</v>
      </c>
      <c r="N194" s="6">
        <f t="shared" si="270"/>
        <v>0.12225980576322526</v>
      </c>
      <c r="O194">
        <f t="shared" si="290"/>
        <v>1.0355631139858255</v>
      </c>
      <c r="P194" s="6">
        <f t="shared" si="271"/>
        <v>0.1269524103514342</v>
      </c>
      <c r="Q194">
        <f t="shared" si="291"/>
        <v>1.0672910354563658</v>
      </c>
      <c r="R194" s="6">
        <f t="shared" si="272"/>
        <v>0.13287764012524481</v>
      </c>
      <c r="S194">
        <f t="shared" si="292"/>
        <v>1.1062034690655573</v>
      </c>
      <c r="T194" s="6">
        <f t="shared" si="273"/>
        <v>0.14061265603068018</v>
      </c>
      <c r="U194">
        <f t="shared" si="293"/>
        <v>1.1536729514203887</v>
      </c>
      <c r="V194" s="6">
        <f t="shared" si="274"/>
        <v>0.15060405866406604</v>
      </c>
      <c r="W194">
        <f t="shared" si="294"/>
        <v>1.2115436060535827</v>
      </c>
      <c r="X194" s="6">
        <f t="shared" si="275"/>
        <v>0.16350482959141491</v>
      </c>
      <c r="Y194">
        <f t="shared" si="295"/>
        <v>1.2823264834456607</v>
      </c>
      <c r="Z194" s="6">
        <f t="shared" si="276"/>
        <v>0.18027614768347539</v>
      </c>
      <c r="AA194">
        <f t="shared" si="296"/>
        <v>1.3694948527770938</v>
      </c>
      <c r="AB194" s="6">
        <f t="shared" si="277"/>
        <v>0.20235951226321178</v>
      </c>
      <c r="AC194">
        <f t="shared" si="297"/>
        <v>1.4782883051093931</v>
      </c>
      <c r="AD194" s="6">
        <f t="shared" si="278"/>
        <v>0.23252852850456068</v>
      </c>
      <c r="AE194">
        <f t="shared" si="298"/>
        <v>1.6156783502609391</v>
      </c>
      <c r="AF194" s="6">
        <f t="shared" si="279"/>
        <v>0.27340122873846567</v>
      </c>
      <c r="AG194">
        <f t="shared" si="299"/>
        <v>1.7917357730746728</v>
      </c>
      <c r="AH194" s="6">
        <f t="shared" si="280"/>
        <v>0.33119309990550894</v>
      </c>
      <c r="AI194">
        <f t="shared" si="300"/>
        <v>2.0203697815609303</v>
      </c>
      <c r="AJ194">
        <f t="shared" si="281"/>
        <v>0.43239908854424769</v>
      </c>
      <c r="AK194">
        <f t="shared" si="301"/>
        <v>2.3241027678874637</v>
      </c>
      <c r="AL194">
        <f t="shared" si="282"/>
        <v>0.56577143324882651</v>
      </c>
      <c r="AM194">
        <f t="shared" si="302"/>
        <v>2.6622004155873298</v>
      </c>
      <c r="AN194">
        <f t="shared" si="283"/>
        <v>0.73566328915226786</v>
      </c>
      <c r="AO194">
        <f t="shared" si="303"/>
        <v>2.3983153637240098</v>
      </c>
      <c r="AP194">
        <f t="shared" si="284"/>
        <v>0.6008016946742748</v>
      </c>
    </row>
    <row r="195" spans="1:42" x14ac:dyDescent="0.25">
      <c r="A195" s="129">
        <v>0.4</v>
      </c>
      <c r="B195" s="257">
        <f>'Sub C_D_0'!AW228</f>
        <v>2.2311655639304272E-2</v>
      </c>
      <c r="C195" s="261">
        <f>'C_L vs. α'!X499</f>
        <v>0.1229114965628397</v>
      </c>
      <c r="D195" s="144">
        <v>10</v>
      </c>
      <c r="E195" s="14">
        <f t="shared" si="285"/>
        <v>1.1691274461611454</v>
      </c>
      <c r="F195" s="6">
        <f t="shared" si="266"/>
        <v>0.16337020687804149</v>
      </c>
      <c r="G195" s="14">
        <f t="shared" si="286"/>
        <v>1.1784747754146985</v>
      </c>
      <c r="H195" s="6">
        <f t="shared" si="267"/>
        <v>0.16228823949883872</v>
      </c>
      <c r="I195" s="14">
        <f t="shared" si="287"/>
        <v>1.1921608257135734</v>
      </c>
      <c r="J195" s="6">
        <f t="shared" si="268"/>
        <v>0.16378337816958188</v>
      </c>
      <c r="K195" s="14">
        <f t="shared" si="288"/>
        <v>1.211000279695331</v>
      </c>
      <c r="L195" s="6">
        <f t="shared" si="269"/>
        <v>0.16709744606473154</v>
      </c>
      <c r="M195">
        <f t="shared" si="289"/>
        <v>1.2356386723765533</v>
      </c>
      <c r="N195" s="6">
        <f t="shared" si="270"/>
        <v>0.17216403670432451</v>
      </c>
      <c r="O195">
        <f t="shared" si="290"/>
        <v>1.2656882504271201</v>
      </c>
      <c r="P195" s="6">
        <f t="shared" si="271"/>
        <v>0.17931340404247764</v>
      </c>
      <c r="Q195">
        <f t="shared" si="291"/>
        <v>1.3044668211133361</v>
      </c>
      <c r="R195" s="6">
        <f t="shared" si="272"/>
        <v>0.1884962919615209</v>
      </c>
      <c r="S195">
        <f t="shared" si="292"/>
        <v>1.3520264621912368</v>
      </c>
      <c r="T195" s="6">
        <f t="shared" si="273"/>
        <v>0.20036084783172628</v>
      </c>
      <c r="U195">
        <f t="shared" si="293"/>
        <v>1.4100447184026974</v>
      </c>
      <c r="V195" s="6">
        <f t="shared" si="274"/>
        <v>0.21559011088352417</v>
      </c>
      <c r="W195">
        <f t="shared" si="294"/>
        <v>1.4807755185099343</v>
      </c>
      <c r="X195" s="6">
        <f t="shared" si="275"/>
        <v>0.23517407537982774</v>
      </c>
      <c r="Y195">
        <f t="shared" si="295"/>
        <v>1.5672879242113633</v>
      </c>
      <c r="Z195" s="6">
        <f t="shared" si="276"/>
        <v>0.26056439135305759</v>
      </c>
      <c r="AA195">
        <f t="shared" si="296"/>
        <v>1.6738270422831147</v>
      </c>
      <c r="AB195" s="6">
        <f t="shared" si="277"/>
        <v>0.29393422034526778</v>
      </c>
      <c r="AC195">
        <f t="shared" si="297"/>
        <v>1.806796817355925</v>
      </c>
      <c r="AD195" s="6">
        <f t="shared" si="278"/>
        <v>0.33923064073962267</v>
      </c>
      <c r="AE195">
        <f t="shared" si="298"/>
        <v>1.9747179836522588</v>
      </c>
      <c r="AF195" s="6">
        <f t="shared" si="279"/>
        <v>0.40085847916929246</v>
      </c>
      <c r="AG195">
        <f t="shared" si="299"/>
        <v>2.1898992782023776</v>
      </c>
      <c r="AH195" s="6">
        <f t="shared" si="280"/>
        <v>0.48794133650137606</v>
      </c>
      <c r="AI195">
        <f t="shared" si="300"/>
        <v>2.4693408441300257</v>
      </c>
      <c r="AJ195">
        <f t="shared" si="281"/>
        <v>0.63573479429451352</v>
      </c>
      <c r="AK195">
        <f t="shared" si="301"/>
        <v>2.8405700496402333</v>
      </c>
      <c r="AL195">
        <f t="shared" si="282"/>
        <v>0.83483975805852884</v>
      </c>
      <c r="AM195">
        <f t="shared" si="302"/>
        <v>3.2538005079400696</v>
      </c>
      <c r="AN195">
        <f t="shared" si="283"/>
        <v>1.0887110105365918</v>
      </c>
      <c r="AO195">
        <f t="shared" si="303"/>
        <v>2.9312743334404563</v>
      </c>
      <c r="AP195">
        <f t="shared" si="284"/>
        <v>0.88732799899680548</v>
      </c>
    </row>
    <row r="196" spans="1:42" x14ac:dyDescent="0.25">
      <c r="A196" s="139">
        <v>0.45</v>
      </c>
      <c r="B196" s="257">
        <f>'Sub C_D_0'!AW229</f>
        <v>2.1932131408963912E-2</v>
      </c>
      <c r="C196" s="261">
        <f>'C_L vs. α'!X500</f>
        <v>0.12818588349115431</v>
      </c>
      <c r="D196" s="144">
        <v>12</v>
      </c>
      <c r="E196" s="14">
        <f t="shared" si="285"/>
        <v>1.3816960727358991</v>
      </c>
      <c r="F196" s="6">
        <f t="shared" si="266"/>
        <v>0.21716261921479313</v>
      </c>
      <c r="G196" s="14">
        <f t="shared" si="286"/>
        <v>1.3927429163991891</v>
      </c>
      <c r="H196" s="6">
        <f t="shared" si="267"/>
        <v>0.21694424532838125</v>
      </c>
      <c r="I196" s="14">
        <f t="shared" si="287"/>
        <v>1.4089173394796779</v>
      </c>
      <c r="J196" s="6">
        <f t="shared" si="268"/>
        <v>0.21971623506295551</v>
      </c>
      <c r="K196" s="14">
        <f t="shared" si="288"/>
        <v>1.4311821487308458</v>
      </c>
      <c r="L196" s="6">
        <f t="shared" si="269"/>
        <v>0.22481206009383015</v>
      </c>
      <c r="M196">
        <f t="shared" si="289"/>
        <v>1.4603002491722903</v>
      </c>
      <c r="N196" s="6">
        <f t="shared" si="270"/>
        <v>0.23225100512999705</v>
      </c>
      <c r="O196">
        <f t="shared" si="290"/>
        <v>1.4958133868684147</v>
      </c>
      <c r="P196" s="6">
        <f t="shared" si="271"/>
        <v>0.24235842678541833</v>
      </c>
      <c r="Q196">
        <f t="shared" si="291"/>
        <v>1.5416426067703064</v>
      </c>
      <c r="R196" s="6">
        <f t="shared" si="272"/>
        <v>0.25546368357826021</v>
      </c>
      <c r="S196">
        <f t="shared" si="292"/>
        <v>1.597849455316916</v>
      </c>
      <c r="T196" s="6">
        <f t="shared" si="273"/>
        <v>0.27230039376877857</v>
      </c>
      <c r="U196">
        <f t="shared" si="293"/>
        <v>1.6664164853850061</v>
      </c>
      <c r="V196" s="6">
        <f t="shared" si="274"/>
        <v>0.29383627947849644</v>
      </c>
      <c r="W196">
        <f t="shared" si="294"/>
        <v>1.7500074309662861</v>
      </c>
      <c r="X196" s="6">
        <f t="shared" si="275"/>
        <v>0.32146711361666275</v>
      </c>
      <c r="Y196">
        <f t="shared" si="295"/>
        <v>1.8522493649770655</v>
      </c>
      <c r="Z196" s="6">
        <f t="shared" si="276"/>
        <v>0.35723509584744911</v>
      </c>
      <c r="AA196">
        <f t="shared" si="296"/>
        <v>1.9781592317891357</v>
      </c>
      <c r="AB196" s="6">
        <f t="shared" si="277"/>
        <v>0.40419434237001317</v>
      </c>
      <c r="AC196">
        <f t="shared" si="297"/>
        <v>2.1353053296024567</v>
      </c>
      <c r="AD196" s="6">
        <f t="shared" si="278"/>
        <v>0.46770484679217073</v>
      </c>
      <c r="AE196">
        <f t="shared" si="298"/>
        <v>2.3337576170435788</v>
      </c>
      <c r="AF196" s="6">
        <f t="shared" si="279"/>
        <v>0.55432281751966783</v>
      </c>
      <c r="AG196">
        <f t="shared" si="299"/>
        <v>2.5880627833300829</v>
      </c>
      <c r="AH196" s="6">
        <f t="shared" si="280"/>
        <v>0.67667335712367915</v>
      </c>
      <c r="AI196">
        <f t="shared" si="300"/>
        <v>2.9183119066991212</v>
      </c>
      <c r="AJ196">
        <f t="shared" si="281"/>
        <v>0.87973764119483255</v>
      </c>
      <c r="AK196">
        <f t="shared" si="301"/>
        <v>3.3570373313930029</v>
      </c>
      <c r="AL196">
        <f t="shared" si="282"/>
        <v>1.1577217478301716</v>
      </c>
      <c r="AM196">
        <f t="shared" si="302"/>
        <v>3.8454006002928094</v>
      </c>
      <c r="AN196">
        <f t="shared" si="283"/>
        <v>1.5123682761977804</v>
      </c>
      <c r="AO196">
        <f t="shared" si="303"/>
        <v>3.4642333031569033</v>
      </c>
      <c r="AP196">
        <f t="shared" si="284"/>
        <v>1.2311595641838426</v>
      </c>
    </row>
    <row r="197" spans="1:42" x14ac:dyDescent="0.25">
      <c r="A197" s="129">
        <v>0.5</v>
      </c>
      <c r="B197" s="257">
        <f>'Sub C_D_0'!AW230</f>
        <v>2.1600225979357117E-2</v>
      </c>
      <c r="C197" s="261">
        <f>'C_L vs. α'!X501</f>
        <v>0.13461595622817585</v>
      </c>
      <c r="D197" s="144">
        <v>14</v>
      </c>
      <c r="E197" s="14">
        <f t="shared" si="285"/>
        <v>1.5942646993106528</v>
      </c>
      <c r="F197" s="6">
        <f t="shared" si="266"/>
        <v>0.28007105167768298</v>
      </c>
      <c r="G197" s="14">
        <f t="shared" si="286"/>
        <v>1.6070110573836798</v>
      </c>
      <c r="H197" s="6">
        <f t="shared" si="267"/>
        <v>0.28086262158365072</v>
      </c>
      <c r="I197" s="14">
        <f t="shared" si="287"/>
        <v>1.625673853245782</v>
      </c>
      <c r="J197" s="6">
        <f t="shared" si="268"/>
        <v>0.28512784605942471</v>
      </c>
      <c r="K197" s="14">
        <f t="shared" si="288"/>
        <v>1.6513640177663604</v>
      </c>
      <c r="L197" s="6">
        <f t="shared" si="269"/>
        <v>0.29230737664595174</v>
      </c>
      <c r="M197">
        <f t="shared" si="289"/>
        <v>1.6849618259680272</v>
      </c>
      <c r="N197" s="6">
        <f t="shared" si="270"/>
        <v>0.30252071104024275</v>
      </c>
      <c r="O197">
        <f t="shared" si="290"/>
        <v>1.7259385233097093</v>
      </c>
      <c r="P197" s="6">
        <f t="shared" si="271"/>
        <v>0.31608747858025615</v>
      </c>
      <c r="Q197">
        <f t="shared" si="291"/>
        <v>1.7788183924272765</v>
      </c>
      <c r="R197" s="6">
        <f t="shared" si="272"/>
        <v>0.33377981497546266</v>
      </c>
      <c r="S197">
        <f t="shared" si="292"/>
        <v>1.8436724484425955</v>
      </c>
      <c r="T197" s="6">
        <f t="shared" si="273"/>
        <v>0.35643129384183725</v>
      </c>
      <c r="U197">
        <f t="shared" si="293"/>
        <v>1.9227882523673148</v>
      </c>
      <c r="V197" s="6">
        <f t="shared" si="274"/>
        <v>0.3853425644489829</v>
      </c>
      <c r="W197">
        <f t="shared" si="294"/>
        <v>2.0192393434226377</v>
      </c>
      <c r="X197" s="6">
        <f t="shared" si="275"/>
        <v>0.42238394430191994</v>
      </c>
      <c r="Y197">
        <f t="shared" si="295"/>
        <v>2.1372108057427681</v>
      </c>
      <c r="Z197" s="6">
        <f t="shared" si="276"/>
        <v>0.47028826116665035</v>
      </c>
      <c r="AA197">
        <f t="shared" si="296"/>
        <v>2.2824914212951564</v>
      </c>
      <c r="AB197" s="6">
        <f t="shared" si="277"/>
        <v>0.53313987833744769</v>
      </c>
      <c r="AC197">
        <f t="shared" si="297"/>
        <v>2.4638138418489888</v>
      </c>
      <c r="AD197" s="6">
        <f t="shared" si="278"/>
        <v>0.61795114666220519</v>
      </c>
      <c r="AE197">
        <f t="shared" si="298"/>
        <v>2.6927972504348983</v>
      </c>
      <c r="AF197" s="6">
        <f t="shared" si="279"/>
        <v>0.73379424378959135</v>
      </c>
      <c r="AG197">
        <f t="shared" si="299"/>
        <v>2.9862262884577877</v>
      </c>
      <c r="AH197" s="6">
        <f t="shared" si="280"/>
        <v>0.89738916177241768</v>
      </c>
      <c r="AI197">
        <f t="shared" si="300"/>
        <v>3.3672829692682167</v>
      </c>
      <c r="AJ197">
        <f t="shared" si="281"/>
        <v>1.1644076292452046</v>
      </c>
      <c r="AK197">
        <f t="shared" si="301"/>
        <v>3.8735046131457724</v>
      </c>
      <c r="AL197">
        <f t="shared" si="282"/>
        <v>1.5344174025637547</v>
      </c>
      <c r="AM197">
        <f t="shared" si="302"/>
        <v>4.4370006926455492</v>
      </c>
      <c r="AN197">
        <f t="shared" si="283"/>
        <v>2.0066350861358337</v>
      </c>
      <c r="AO197">
        <f t="shared" si="303"/>
        <v>3.9971922728733498</v>
      </c>
      <c r="AP197">
        <f t="shared" si="284"/>
        <v>1.6322963902353858</v>
      </c>
    </row>
    <row r="198" spans="1:42" x14ac:dyDescent="0.25">
      <c r="A198" s="139">
        <v>0.55000000000000004</v>
      </c>
      <c r="B198" s="257">
        <f>'Sub C_D_0'!AW231</f>
        <v>2.1305988763756854E-2</v>
      </c>
      <c r="C198" s="261">
        <f>'C_L vs. α'!X502</f>
        <v>0.1424807203828512</v>
      </c>
      <c r="D198" s="144">
        <v>16</v>
      </c>
      <c r="E198" s="14">
        <f t="shared" si="285"/>
        <v>1.8068333258854063</v>
      </c>
      <c r="F198" s="6">
        <f t="shared" si="266"/>
        <v>0.35209550426671093</v>
      </c>
      <c r="G198" s="14">
        <f t="shared" si="286"/>
        <v>1.8212791983681702</v>
      </c>
      <c r="H198" s="6">
        <f t="shared" si="267"/>
        <v>0.35404336826464694</v>
      </c>
      <c r="I198" s="14">
        <f t="shared" si="287"/>
        <v>1.8424303670118864</v>
      </c>
      <c r="J198" s="6">
        <f t="shared" si="268"/>
        <v>0.36001821115898969</v>
      </c>
      <c r="K198" s="14">
        <f t="shared" si="288"/>
        <v>1.8715458868018753</v>
      </c>
      <c r="L198" s="6">
        <f t="shared" si="269"/>
        <v>0.3695833957210965</v>
      </c>
      <c r="M198">
        <f t="shared" si="289"/>
        <v>1.9096234027637644</v>
      </c>
      <c r="N198" s="6">
        <f t="shared" si="270"/>
        <v>0.38297315443506186</v>
      </c>
      <c r="O198">
        <f t="shared" si="290"/>
        <v>1.9560636597510037</v>
      </c>
      <c r="P198" s="6">
        <f t="shared" si="271"/>
        <v>0.40050055942699114</v>
      </c>
      <c r="Q198">
        <f t="shared" si="291"/>
        <v>2.0159941780842465</v>
      </c>
      <c r="R198" s="6">
        <f t="shared" si="272"/>
        <v>0.4234446861531283</v>
      </c>
      <c r="S198">
        <f t="shared" si="292"/>
        <v>2.0894954415682747</v>
      </c>
      <c r="T198" s="6">
        <f t="shared" si="273"/>
        <v>0.45275354805090218</v>
      </c>
      <c r="U198">
        <f t="shared" si="293"/>
        <v>2.1791600193496232</v>
      </c>
      <c r="V198" s="6">
        <f t="shared" si="274"/>
        <v>0.49010896579498342</v>
      </c>
      <c r="W198">
        <f t="shared" si="294"/>
        <v>2.2884712558789895</v>
      </c>
      <c r="X198" s="6">
        <f t="shared" si="275"/>
        <v>0.53792456743559947</v>
      </c>
      <c r="Y198">
        <f t="shared" si="295"/>
        <v>2.4221722465084703</v>
      </c>
      <c r="Z198" s="6">
        <f t="shared" si="276"/>
        <v>0.59972388731066084</v>
      </c>
      <c r="AA198">
        <f t="shared" si="296"/>
        <v>2.5868236108011775</v>
      </c>
      <c r="AB198" s="6">
        <f t="shared" si="277"/>
        <v>0.68077082824757185</v>
      </c>
      <c r="AC198">
        <f t="shared" si="297"/>
        <v>2.7923223540955204</v>
      </c>
      <c r="AD198" s="6">
        <f t="shared" si="278"/>
        <v>0.78996954034972533</v>
      </c>
      <c r="AE198">
        <f t="shared" si="298"/>
        <v>3.0518368838262182</v>
      </c>
      <c r="AF198" s="6">
        <f t="shared" si="279"/>
        <v>0.93927275797906362</v>
      </c>
      <c r="AG198">
        <f t="shared" si="299"/>
        <v>3.384389793585493</v>
      </c>
      <c r="AH198" s="6">
        <f t="shared" si="280"/>
        <v>1.1500887504475921</v>
      </c>
      <c r="AI198">
        <f t="shared" si="300"/>
        <v>3.8162540318373126</v>
      </c>
      <c r="AJ198">
        <f t="shared" si="281"/>
        <v>1.4897447584456303</v>
      </c>
      <c r="AK198">
        <f t="shared" si="301"/>
        <v>4.389971894898542</v>
      </c>
      <c r="AL198">
        <f t="shared" si="282"/>
        <v>1.9649267222592786</v>
      </c>
      <c r="AM198">
        <f t="shared" si="302"/>
        <v>5.0286007849982894</v>
      </c>
      <c r="AN198">
        <f t="shared" si="283"/>
        <v>2.5715114403507524</v>
      </c>
      <c r="AO198">
        <f t="shared" si="303"/>
        <v>4.5301512425897963</v>
      </c>
      <c r="AP198">
        <f t="shared" si="284"/>
        <v>2.0907384771514348</v>
      </c>
    </row>
    <row r="199" spans="1:42" x14ac:dyDescent="0.25">
      <c r="A199" s="129">
        <v>0.6</v>
      </c>
      <c r="B199" s="257">
        <f>'Sub C_D_0'!AW232</f>
        <v>2.1042233026892364E-2</v>
      </c>
      <c r="C199" s="261">
        <f>'C_L vs. α'!X503</f>
        <v>0.15216609475301043</v>
      </c>
      <c r="I199" s="14"/>
    </row>
    <row r="200" spans="1:42" x14ac:dyDescent="0.25">
      <c r="A200" s="139">
        <v>0.65</v>
      </c>
      <c r="B200" s="257">
        <f>'Sub C_D_0'!AW233</f>
        <v>2.1259095225080224E-2</v>
      </c>
      <c r="C200" s="261">
        <f>'C_L vs. α'!X504</f>
        <v>0.16425425612326591</v>
      </c>
    </row>
    <row r="201" spans="1:42" x14ac:dyDescent="0.25">
      <c r="A201" s="129">
        <v>0.7</v>
      </c>
      <c r="B201" s="257">
        <f>'Sub C_D_0'!AW234</f>
        <v>2.1036767512428275E-2</v>
      </c>
      <c r="C201" s="261">
        <f>'C_L vs. α'!X505</f>
        <v>0.17951981669565989</v>
      </c>
    </row>
    <row r="202" spans="1:42" x14ac:dyDescent="0.25">
      <c r="A202" s="139">
        <v>0.75</v>
      </c>
      <c r="B202" s="257">
        <f>'Sub C_D_0'!AW235</f>
        <v>2.0832691667171242E-2</v>
      </c>
      <c r="C202" s="261">
        <f>'C_L vs. α'!X506</f>
        <v>0.19908175256385252</v>
      </c>
    </row>
    <row r="203" spans="1:42" x14ac:dyDescent="0.25">
      <c r="A203" s="129">
        <v>0.8</v>
      </c>
      <c r="B203" s="257">
        <f>'Sub C_D_0'!AW236</f>
        <v>2.0644284399959242E-2</v>
      </c>
      <c r="C203" s="261">
        <f>'C_L vs. α'!X507</f>
        <v>0.22448553128454779</v>
      </c>
    </row>
    <row r="204" spans="1:42" x14ac:dyDescent="0.25">
      <c r="A204" s="139">
        <v>0.85</v>
      </c>
      <c r="B204" s="257">
        <f>'Sub C_D_0'!AW237</f>
        <v>2.0908075509179141E-2</v>
      </c>
      <c r="C204" s="261">
        <f>'C_L vs. α'!X508</f>
        <v>0.25823364087638484</v>
      </c>
    </row>
    <row r="205" spans="1:42" x14ac:dyDescent="0.25">
      <c r="A205" s="129">
        <v>0.9</v>
      </c>
      <c r="B205" s="257">
        <f>'Sub C_D_0'!AW238</f>
        <v>2.0741653349011662E-2</v>
      </c>
      <c r="C205" s="261">
        <f>'C_L vs. α'!X509</f>
        <v>0.29580004617636996</v>
      </c>
    </row>
    <row r="206" spans="1:42" x14ac:dyDescent="0.25">
      <c r="A206" s="139">
        <v>0.95</v>
      </c>
      <c r="B206" s="257">
        <f>'Sub C_D_0'!AW239</f>
        <v>2.0585928421149879E-2</v>
      </c>
      <c r="C206" s="261">
        <f>'C_L vs. α'!X510</f>
        <v>0.26647948485822331</v>
      </c>
    </row>
    <row r="208" spans="1:42" x14ac:dyDescent="0.25">
      <c r="A208" s="122" t="s">
        <v>537</v>
      </c>
      <c r="B208" s="122" t="s">
        <v>516</v>
      </c>
    </row>
    <row r="209" spans="1:42" x14ac:dyDescent="0.25">
      <c r="A209" s="122" t="s">
        <v>202</v>
      </c>
      <c r="B209" s="145">
        <v>45000</v>
      </c>
      <c r="C209" s="122" t="s">
        <v>538</v>
      </c>
      <c r="D209" s="122" t="s">
        <v>539</v>
      </c>
      <c r="E209" s="1" t="s">
        <v>536</v>
      </c>
      <c r="F209" s="140">
        <v>0.05</v>
      </c>
      <c r="G209" s="1" t="s">
        <v>536</v>
      </c>
      <c r="H209" s="140">
        <v>0.1</v>
      </c>
      <c r="I209" s="1" t="s">
        <v>536</v>
      </c>
      <c r="J209" s="140">
        <v>0.15</v>
      </c>
      <c r="K209" s="1" t="s">
        <v>536</v>
      </c>
      <c r="L209" s="140">
        <v>0.2</v>
      </c>
      <c r="M209" t="s">
        <v>536</v>
      </c>
      <c r="N209" s="141">
        <v>0.25</v>
      </c>
      <c r="O209" t="s">
        <v>536</v>
      </c>
      <c r="P209" s="141">
        <v>0.3</v>
      </c>
      <c r="Q209" t="s">
        <v>536</v>
      </c>
      <c r="R209" s="141">
        <v>0.35</v>
      </c>
      <c r="S209" t="s">
        <v>536</v>
      </c>
      <c r="T209" s="141">
        <v>0.4</v>
      </c>
      <c r="U209" t="s">
        <v>536</v>
      </c>
      <c r="V209" s="141">
        <v>0.45</v>
      </c>
      <c r="W209" t="s">
        <v>536</v>
      </c>
      <c r="X209" s="141">
        <v>0.5</v>
      </c>
      <c r="Y209" t="s">
        <v>536</v>
      </c>
      <c r="Z209" s="141">
        <v>0.55000000000000004</v>
      </c>
      <c r="AA209" t="s">
        <v>536</v>
      </c>
      <c r="AB209" s="141">
        <v>0.6</v>
      </c>
      <c r="AC209" t="s">
        <v>536</v>
      </c>
      <c r="AD209" s="141">
        <v>0.65</v>
      </c>
      <c r="AE209" t="s">
        <v>536</v>
      </c>
      <c r="AF209" s="141">
        <v>0.7</v>
      </c>
      <c r="AG209" t="s">
        <v>536</v>
      </c>
      <c r="AH209" s="141">
        <v>0.75</v>
      </c>
      <c r="AI209" t="s">
        <v>536</v>
      </c>
      <c r="AJ209" s="141">
        <v>0.8</v>
      </c>
      <c r="AK209" t="s">
        <v>536</v>
      </c>
      <c r="AL209" s="141">
        <v>0.85</v>
      </c>
      <c r="AM209" t="s">
        <v>536</v>
      </c>
      <c r="AN209" s="141">
        <v>0.9</v>
      </c>
      <c r="AO209" t="s">
        <v>536</v>
      </c>
      <c r="AP209" s="141">
        <v>0.95</v>
      </c>
    </row>
    <row r="210" spans="1:42" x14ac:dyDescent="0.25">
      <c r="A210" s="121" t="s">
        <v>182</v>
      </c>
      <c r="B210" s="121" t="s">
        <v>534</v>
      </c>
      <c r="C210" s="121" t="s">
        <v>535</v>
      </c>
      <c r="D210" s="121" t="s">
        <v>421</v>
      </c>
      <c r="E210" s="14" t="s">
        <v>244</v>
      </c>
      <c r="F210" s="6" t="s">
        <v>245</v>
      </c>
      <c r="G210" s="14" t="s">
        <v>244</v>
      </c>
      <c r="H210" s="6" t="s">
        <v>245</v>
      </c>
      <c r="I210" s="14" t="s">
        <v>244</v>
      </c>
      <c r="J210" s="6" t="s">
        <v>245</v>
      </c>
      <c r="K210" s="14" t="s">
        <v>244</v>
      </c>
      <c r="L210" s="6" t="s">
        <v>245</v>
      </c>
      <c r="M210" t="s">
        <v>244</v>
      </c>
      <c r="N210" t="s">
        <v>245</v>
      </c>
      <c r="O210" t="s">
        <v>244</v>
      </c>
      <c r="P210" t="s">
        <v>245</v>
      </c>
      <c r="Q210" t="s">
        <v>244</v>
      </c>
      <c r="R210" t="s">
        <v>245</v>
      </c>
      <c r="S210" t="s">
        <v>244</v>
      </c>
      <c r="T210" t="s">
        <v>245</v>
      </c>
      <c r="U210" t="s">
        <v>244</v>
      </c>
      <c r="V210" t="s">
        <v>245</v>
      </c>
      <c r="W210" t="s">
        <v>244</v>
      </c>
      <c r="X210" t="s">
        <v>245</v>
      </c>
      <c r="Y210" t="s">
        <v>244</v>
      </c>
      <c r="Z210" t="s">
        <v>245</v>
      </c>
      <c r="AA210" t="s">
        <v>244</v>
      </c>
      <c r="AB210" t="s">
        <v>245</v>
      </c>
      <c r="AC210" t="s">
        <v>244</v>
      </c>
      <c r="AD210" t="s">
        <v>245</v>
      </c>
      <c r="AE210" t="s">
        <v>244</v>
      </c>
      <c r="AF210" t="s">
        <v>245</v>
      </c>
      <c r="AG210" t="s">
        <v>244</v>
      </c>
      <c r="AH210" t="s">
        <v>245</v>
      </c>
      <c r="AI210" t="s">
        <v>244</v>
      </c>
      <c r="AJ210" t="s">
        <v>245</v>
      </c>
      <c r="AK210" t="s">
        <v>244</v>
      </c>
      <c r="AL210" t="s">
        <v>245</v>
      </c>
      <c r="AM210" t="s">
        <v>244</v>
      </c>
      <c r="AN210" t="s">
        <v>245</v>
      </c>
      <c r="AO210" t="s">
        <v>244</v>
      </c>
      <c r="AP210" t="s">
        <v>245</v>
      </c>
    </row>
    <row r="211" spans="1:42" x14ac:dyDescent="0.25">
      <c r="A211" s="129">
        <v>0</v>
      </c>
      <c r="B211" s="129" t="e">
        <f>'Sub C_D_0'!AW250</f>
        <v>#DIV/0!</v>
      </c>
      <c r="C211" s="129" t="e">
        <f>'C_L vs. α'!X516</f>
        <v>#NUM!</v>
      </c>
      <c r="D211" s="144">
        <v>-6</v>
      </c>
      <c r="E211" s="14">
        <f>(D211-$B$12)*$C$212</f>
        <v>-0.53166131047017628</v>
      </c>
      <c r="F211" s="6">
        <f t="shared" ref="F211:F222" si="304">$B$212+$B$7*E211^2+$B$8*(E211-E$214)^2</f>
        <v>6.0288604386278297E-2</v>
      </c>
      <c r="G211" s="14">
        <f>(D211-$B$12)*$C$212</f>
        <v>-0.53166131047017628</v>
      </c>
      <c r="H211" s="6">
        <f t="shared" ref="H211:H222" si="305">$B$213+$B$7*G211^2+$B$8*(G211-G$214)^2</f>
        <v>5.7206024292153684E-2</v>
      </c>
      <c r="I211" s="14">
        <f>(D211-$B$12)*$C$214</f>
        <v>-0.54210341958264752</v>
      </c>
      <c r="J211" s="6">
        <f t="shared" ref="J211:J222" si="306">$B$214+$B$7*I211^2+$B$8*(I211-I$214)^2</f>
        <v>5.6839062464724248E-2</v>
      </c>
      <c r="K211" s="14">
        <f>(D211-$B$12)*$C$215</f>
        <v>-0.550651873047037</v>
      </c>
      <c r="L211" s="6">
        <f t="shared" ref="L211:L222" si="307">$B$215+$B$7*K211^2+$B$8*(K211-K$214)^2</f>
        <v>5.681189901955485E-2</v>
      </c>
      <c r="M211">
        <f>(D211-$B$12)*$C$216</f>
        <v>-0.56183698829887363</v>
      </c>
      <c r="N211" s="6">
        <f t="shared" ref="N211:N222" si="308">$B$216+$B$7*M211^2+$B$8*(M211-M$214)^2</f>
        <v>5.7403563516405534E-2</v>
      </c>
      <c r="O211">
        <f>(D211-$B$12)*$C$217</f>
        <v>-0.57549783145280375</v>
      </c>
      <c r="P211" s="6">
        <f t="shared" ref="P211:P222" si="309">$B$217+$B$7*O211^2+$B$8*(O211-O$214)^2</f>
        <v>5.8947651558832012E-2</v>
      </c>
      <c r="Q211">
        <f>(D211-$B$12)*$C$218</f>
        <v>-0.59310969543334346</v>
      </c>
      <c r="R211" s="6">
        <f t="shared" ref="R211:R222" si="310">$B$218+$B$7*Q211^2+$B$8*(Q211-Q$214)^2</f>
        <v>6.0700339998996093E-2</v>
      </c>
      <c r="S211">
        <f>(D211-$B$12)*$C$219</f>
        <v>-0.6147104300100148</v>
      </c>
      <c r="T211" s="6">
        <f t="shared" ref="T211:T222" si="311">$B$219+$B$7*S211^2+$B$8*(S211-S$214)^2</f>
        <v>6.3137248308445568E-2</v>
      </c>
      <c r="U211">
        <f>(D211-$B$12)*$C$220</f>
        <v>-0.64106115481239168</v>
      </c>
      <c r="V211" s="6">
        <f t="shared" ref="V211:V222" si="312">$B$220+$B$7*U211^2+$B$8*(U211-U$214)^2</f>
        <v>6.6401381144404595E-2</v>
      </c>
      <c r="W211">
        <f>(D211-$B$12)*$C$221</f>
        <v>-0.67318426527554143</v>
      </c>
      <c r="X211" s="6">
        <f t="shared" ref="X211:X222" si="313">$B$221+$B$7*W211^2+$B$8*(W211-W$214)^2</f>
        <v>7.0712241713751817E-2</v>
      </c>
      <c r="Y211">
        <f>(D211-$B$12)*$C$222</f>
        <v>-0.71247145591155991</v>
      </c>
      <c r="Z211" s="6">
        <f t="shared" ref="Z211:Z222" si="314">$B$222+$B$7*Y211^2+$B$8*(Y211-Y$214)^2</f>
        <v>7.6399583136895793E-2</v>
      </c>
      <c r="AA211">
        <f>(D211-$B$12)*$C$223</f>
        <v>-0.76084681622353978</v>
      </c>
      <c r="AB211" s="6">
        <f t="shared" ref="AB211:AB222" si="315">$B$223+$B$7*AA211^2+$B$8*(AA211-AA$214)^2</f>
        <v>8.3962424071991421E-2</v>
      </c>
      <c r="AC211">
        <f>(D211-$B$12)*$C$224</f>
        <v>-0.82120501862513162</v>
      </c>
      <c r="AD211" s="6">
        <f t="shared" ref="AD211:AD222" si="316">$B$224+$B$7*AC211^2+$B$8*(AC211-AC$214)^2</f>
        <v>9.4648698257906644E-2</v>
      </c>
      <c r="AE211">
        <f>(D211-$B$12)*$C$225</f>
        <v>-0.89740043855688356</v>
      </c>
      <c r="AF211" s="6">
        <f t="shared" ref="AF211:AF222" si="317">$B$225+$B$7*AE211^2+$B$8*(AE211-AE$214)^2</f>
        <v>0.1087963808502958</v>
      </c>
      <c r="AG211">
        <f>(D211-$B$12)*$C$226</f>
        <v>-0.99498835119726281</v>
      </c>
      <c r="AH211" s="6">
        <f t="shared" ref="AH211:AH222" si="318">$B$226+$B$7*AG211^2+$B$8*(AG211-AG$214)^2</f>
        <v>0.12885374795184787</v>
      </c>
      <c r="AI211">
        <f>(D211-$B$12)*$C$227</f>
        <v>-1.121601700496375</v>
      </c>
      <c r="AJ211">
        <f t="shared" ref="AJ211:AJ222" si="319">$B$227+$B$9*AI211^2</f>
        <v>0.14699322803378884</v>
      </c>
      <c r="AK211">
        <f>(D211-$B$12)*$C$228</f>
        <v>-1.2893591862852709</v>
      </c>
      <c r="AL211">
        <f t="shared" ref="AL211:AL222" si="320">$B$228+$B$9*AK211^2</f>
        <v>0.18805082055141822</v>
      </c>
      <c r="AM211">
        <f>(D211-$B$12)*$C$229</f>
        <v>-1.4748277929092191</v>
      </c>
      <c r="AN211">
        <f t="shared" ref="AN211:AN222" si="321">$B$229+$B$9*AM211^2</f>
        <v>0.23960530396292937</v>
      </c>
      <c r="AO211">
        <f>(D211-$B$12)*$C$230</f>
        <v>-1.318778775413614</v>
      </c>
      <c r="AP211">
        <f t="shared" ref="AP211:AP222" si="322">$B$230+$B$9*AO211^2</f>
        <v>0.19548054910227125</v>
      </c>
    </row>
    <row r="212" spans="1:42" x14ac:dyDescent="0.25">
      <c r="A212" s="139">
        <v>0.05</v>
      </c>
      <c r="B212" s="259">
        <f>'Sub C_D_0'!AW251</f>
        <v>2.9287891104257793E-2</v>
      </c>
      <c r="C212" s="260">
        <f>'C_L vs. α'!X517</f>
        <v>0.10633226209403525</v>
      </c>
      <c r="D212" s="144">
        <v>-4</v>
      </c>
      <c r="E212" s="14">
        <f t="shared" ref="E212:E222" si="323">(D212-$B$12)*$C$212</f>
        <v>-0.31899678628210576</v>
      </c>
      <c r="F212" s="6">
        <f t="shared" si="304"/>
        <v>4.1135586123476876E-2</v>
      </c>
      <c r="G212" s="14">
        <f t="shared" ref="G212:G222" si="324">(D212-$B$12)*$C$212</f>
        <v>-0.31899678628210576</v>
      </c>
      <c r="H212" s="6">
        <f t="shared" si="305"/>
        <v>3.8053006029352271E-2</v>
      </c>
      <c r="I212" s="14">
        <f t="shared" ref="I212:I222" si="325">(D212-$B$12)*$C$214</f>
        <v>-0.32526205174958855</v>
      </c>
      <c r="J212" s="6">
        <f t="shared" si="306"/>
        <v>3.6926305116734226E-2</v>
      </c>
      <c r="K212" s="14">
        <f t="shared" ref="K212:K222" si="326">(D212-$B$12)*$C$215</f>
        <v>-0.33039112382822222</v>
      </c>
      <c r="L212" s="6">
        <f t="shared" si="307"/>
        <v>3.6266179758189465E-2</v>
      </c>
      <c r="M212">
        <f t="shared" ref="M212:M222" si="327">(D212-$B$12)*$C$216</f>
        <v>-0.3371021929793242</v>
      </c>
      <c r="N212" s="6">
        <f t="shared" si="308"/>
        <v>3.6014697364438589E-2</v>
      </c>
      <c r="O212">
        <f t="shared" ref="O212:O222" si="328">(D212-$B$12)*$C$217</f>
        <v>-0.34529869887168224</v>
      </c>
      <c r="P212" s="6">
        <f t="shared" si="309"/>
        <v>3.6506016745762718E-2</v>
      </c>
      <c r="Q212">
        <f t="shared" ref="Q212:Q222" si="329">(D212-$B$12)*$C$218</f>
        <v>-0.3558658172600061</v>
      </c>
      <c r="R212" s="6">
        <f t="shared" si="310"/>
        <v>3.686413264458839E-2</v>
      </c>
      <c r="S212">
        <f t="shared" ref="S212:S222" si="330">(D212-$B$12)*$C$219</f>
        <v>-0.36882625800600888</v>
      </c>
      <c r="T212" s="6">
        <f t="shared" si="311"/>
        <v>3.753322157562896E-2</v>
      </c>
      <c r="U212">
        <f t="shared" ref="U212:U222" si="331">(D212-$B$12)*$C$220</f>
        <v>-0.38463669288743496</v>
      </c>
      <c r="V212" s="6">
        <f t="shared" si="312"/>
        <v>3.8555175182294572E-2</v>
      </c>
      <c r="W212">
        <f t="shared" ref="W212:W222" si="332">(D212-$B$12)*$C$221</f>
        <v>-0.40391055916532481</v>
      </c>
      <c r="X212" s="6">
        <f t="shared" si="313"/>
        <v>4.0005409160509486E-2</v>
      </c>
      <c r="Y212">
        <f t="shared" ref="Y212:Y221" si="333">(D212-$B$12)*$C$222</f>
        <v>-0.42748287354693598</v>
      </c>
      <c r="Z212" s="6">
        <f t="shared" si="314"/>
        <v>4.2004049855871112E-2</v>
      </c>
      <c r="AA212">
        <f t="shared" ref="AA212:AA222" si="334">(D212-$B$12)*$C$223</f>
        <v>-0.45650808973412382</v>
      </c>
      <c r="AB212" s="6">
        <f t="shared" si="315"/>
        <v>4.473754952747204E-2</v>
      </c>
      <c r="AC212">
        <f t="shared" ref="AC212:AC222" si="335">(D212-$B$12)*$C$224</f>
        <v>-0.49272301117507894</v>
      </c>
      <c r="AD212" s="6">
        <f t="shared" si="316"/>
        <v>4.8953528238674819E-2</v>
      </c>
      <c r="AE212">
        <f t="shared" ref="AE212:AE222" si="336">(D212-$B$12)*$C$225</f>
        <v>-0.53844026313413018</v>
      </c>
      <c r="AF212" s="6">
        <f t="shared" si="317"/>
        <v>5.4228176510832449E-2</v>
      </c>
      <c r="AG212">
        <f t="shared" ref="AG212:AG222" si="337">(D212-$B$12)*$C$226</f>
        <v>-0.59699301071835764</v>
      </c>
      <c r="AH212" s="6">
        <f t="shared" si="318"/>
        <v>6.1772196166263213E-2</v>
      </c>
      <c r="AI212">
        <f t="shared" ref="AI212:AI222" si="338">(D212-$B$12)*$C$227</f>
        <v>-0.6729610202978249</v>
      </c>
      <c r="AJ212">
        <f t="shared" si="319"/>
        <v>6.5778603895902107E-2</v>
      </c>
      <c r="AK212">
        <f t="shared" ref="AK212:AK222" si="339">(D212-$B$12)*$C$228</f>
        <v>-0.77361551177116261</v>
      </c>
      <c r="AL212">
        <f t="shared" si="320"/>
        <v>8.0724866378227025E-2</v>
      </c>
      <c r="AM212">
        <f t="shared" ref="AM212:AM222" si="340">(D212-$B$12)*$C$229</f>
        <v>-0.88489667574553144</v>
      </c>
      <c r="AN212">
        <f t="shared" si="321"/>
        <v>9.9181883636694779E-2</v>
      </c>
      <c r="AO212">
        <f t="shared" ref="AO212:AO222" si="341">$C$37*(RADIANS(D212-$B$12))+$E$10*RADIANS(D212)^2</f>
        <v>-1.0398478548845499E-2</v>
      </c>
      <c r="AP212">
        <f t="shared" si="322"/>
        <v>2.0054596859714696E-2</v>
      </c>
    </row>
    <row r="213" spans="1:42" x14ac:dyDescent="0.25">
      <c r="A213" s="129">
        <v>0.1</v>
      </c>
      <c r="B213" s="259">
        <f>'Sub C_D_0'!AW252</f>
        <v>2.6205311010133188E-2</v>
      </c>
      <c r="C213" s="260">
        <f>'C_L vs. α'!X518</f>
        <v>0.10717969289227106</v>
      </c>
      <c r="D213" s="144">
        <v>-2</v>
      </c>
      <c r="E213" s="14">
        <f t="shared" si="323"/>
        <v>-0.10633226209403525</v>
      </c>
      <c r="F213" s="6">
        <f t="shared" si="304"/>
        <v>3.1106814993594786E-2</v>
      </c>
      <c r="G213" s="14">
        <f t="shared" si="324"/>
        <v>-0.10633226209403525</v>
      </c>
      <c r="H213" s="6">
        <f t="shared" si="305"/>
        <v>2.8024234899470181E-2</v>
      </c>
      <c r="I213" s="14">
        <f t="shared" si="325"/>
        <v>-0.10842068391652951</v>
      </c>
      <c r="J213" s="6">
        <f t="shared" si="306"/>
        <v>2.6499724654702086E-2</v>
      </c>
      <c r="K213" s="14">
        <f t="shared" si="326"/>
        <v>-0.1101303746094074</v>
      </c>
      <c r="L213" s="6">
        <f t="shared" si="307"/>
        <v>2.5508172151042428E-2</v>
      </c>
      <c r="M213">
        <f t="shared" si="327"/>
        <v>-0.11236739765977473</v>
      </c>
      <c r="N213" s="6">
        <f t="shared" si="308"/>
        <v>2.4815207006181915E-2</v>
      </c>
      <c r="O213">
        <f t="shared" si="328"/>
        <v>-0.11509956629056074</v>
      </c>
      <c r="P213" s="6">
        <f t="shared" si="309"/>
        <v>2.4755282932817063E-2</v>
      </c>
      <c r="Q213">
        <f t="shared" si="329"/>
        <v>-0.1186219390866687</v>
      </c>
      <c r="R213" s="6">
        <f t="shared" si="310"/>
        <v>2.4383182390077283E-2</v>
      </c>
      <c r="S213">
        <f t="shared" si="330"/>
        <v>-0.12294208600200296</v>
      </c>
      <c r="T213" s="6">
        <f t="shared" si="311"/>
        <v>2.4126617948799698E-2</v>
      </c>
      <c r="U213">
        <f t="shared" si="331"/>
        <v>-0.12821223096247833</v>
      </c>
      <c r="V213" s="6">
        <f t="shared" si="312"/>
        <v>2.3974537154504521E-2</v>
      </c>
      <c r="W213">
        <f t="shared" si="332"/>
        <v>-0.13463685305510828</v>
      </c>
      <c r="X213" s="6">
        <f t="shared" si="313"/>
        <v>2.3926909595864999E-2</v>
      </c>
      <c r="Y213">
        <f t="shared" si="333"/>
        <v>-0.14249429118231199</v>
      </c>
      <c r="Z213" s="6">
        <f t="shared" si="314"/>
        <v>2.3994098294576778E-2</v>
      </c>
      <c r="AA213">
        <f t="shared" si="334"/>
        <v>-0.15216936324470795</v>
      </c>
      <c r="AB213" s="6">
        <f t="shared" si="315"/>
        <v>2.4198891650800372E-2</v>
      </c>
      <c r="AC213">
        <f t="shared" si="335"/>
        <v>-0.16424100372502631</v>
      </c>
      <c r="AD213" s="6">
        <f t="shared" si="316"/>
        <v>2.5026938936874746E-2</v>
      </c>
      <c r="AE213">
        <f t="shared" si="336"/>
        <v>-0.17948008771137672</v>
      </c>
      <c r="AF213" s="6">
        <f t="shared" si="317"/>
        <v>2.5655550265705429E-2</v>
      </c>
      <c r="AG213">
        <f t="shared" si="337"/>
        <v>-0.19899767023945256</v>
      </c>
      <c r="AH213" s="6">
        <f t="shared" si="318"/>
        <v>2.664741736304169E-2</v>
      </c>
      <c r="AI213">
        <f t="shared" si="338"/>
        <v>-0.22432034009927498</v>
      </c>
      <c r="AJ213">
        <f t="shared" si="319"/>
        <v>2.5171291826958757E-2</v>
      </c>
      <c r="AK213">
        <f t="shared" si="339"/>
        <v>-0.2578718372570542</v>
      </c>
      <c r="AL213">
        <f t="shared" si="320"/>
        <v>2.7061889291631416E-2</v>
      </c>
      <c r="AM213">
        <f t="shared" si="340"/>
        <v>-0.29496555858184381</v>
      </c>
      <c r="AN213">
        <f t="shared" si="321"/>
        <v>2.8970173473577499E-2</v>
      </c>
      <c r="AO213">
        <f t="shared" si="341"/>
        <v>-3.7910847640543225E-3</v>
      </c>
      <c r="AP213">
        <f t="shared" si="322"/>
        <v>2.0045139363693801E-2</v>
      </c>
    </row>
    <row r="214" spans="1:42" s="29" customFormat="1" x14ac:dyDescent="0.25">
      <c r="A214" s="139">
        <v>0.15</v>
      </c>
      <c r="B214" s="259">
        <f>'Sub C_D_0'!AW253</f>
        <v>2.4608649861901671E-2</v>
      </c>
      <c r="C214" s="260">
        <f>'C_L vs. α'!X519</f>
        <v>0.10842068391652951</v>
      </c>
      <c r="D214" s="143">
        <v>0</v>
      </c>
      <c r="E214" s="83">
        <f t="shared" si="323"/>
        <v>0.10633226209403525</v>
      </c>
      <c r="F214" s="21">
        <f t="shared" si="304"/>
        <v>3.0202290996632016E-2</v>
      </c>
      <c r="G214" s="83">
        <f t="shared" si="324"/>
        <v>0.10633226209403525</v>
      </c>
      <c r="H214" s="21">
        <f t="shared" si="305"/>
        <v>2.7119710902507411E-2</v>
      </c>
      <c r="I214" s="83">
        <f t="shared" si="325"/>
        <v>0.10842068391652951</v>
      </c>
      <c r="J214" s="21">
        <f t="shared" si="306"/>
        <v>2.5559321078627847E-2</v>
      </c>
      <c r="K214" s="83">
        <f t="shared" si="326"/>
        <v>0.1101303746094074</v>
      </c>
      <c r="L214" s="21">
        <f t="shared" si="307"/>
        <v>2.4537876198113755E-2</v>
      </c>
      <c r="M214" s="99">
        <f t="shared" si="327"/>
        <v>0.11236739765977473</v>
      </c>
      <c r="N214" s="21">
        <f t="shared" si="308"/>
        <v>2.380509244163552E-2</v>
      </c>
      <c r="O214" s="99">
        <f t="shared" si="328"/>
        <v>0.11509956629056074</v>
      </c>
      <c r="P214" s="21">
        <f t="shared" si="309"/>
        <v>2.3695450119995048E-2</v>
      </c>
      <c r="Q214" s="99">
        <f t="shared" si="329"/>
        <v>0.1186219390866687</v>
      </c>
      <c r="R214" s="21">
        <f t="shared" si="310"/>
        <v>2.3257489235462777E-2</v>
      </c>
      <c r="S214" s="99">
        <f t="shared" si="330"/>
        <v>0.12294208600200296</v>
      </c>
      <c r="T214" s="21">
        <f t="shared" si="311"/>
        <v>2.2917437427957786E-2</v>
      </c>
      <c r="U214" s="99">
        <f t="shared" si="331"/>
        <v>0.12821223096247833</v>
      </c>
      <c r="V214" s="21">
        <f t="shared" si="312"/>
        <v>2.2659467061034451E-2</v>
      </c>
      <c r="W214" s="99">
        <f t="shared" si="332"/>
        <v>0.13463685305510828</v>
      </c>
      <c r="X214" s="21">
        <f t="shared" si="313"/>
        <v>2.2476743019818373E-2</v>
      </c>
      <c r="Y214" s="99">
        <f t="shared" si="333"/>
        <v>0.14249429118231199</v>
      </c>
      <c r="Z214" s="21">
        <f t="shared" si="314"/>
        <v>2.2369728453012817E-2</v>
      </c>
      <c r="AA214" s="99">
        <f t="shared" si="334"/>
        <v>0.15216936324470795</v>
      </c>
      <c r="AB214" s="21">
        <f t="shared" si="315"/>
        <v>2.2346450441976383E-2</v>
      </c>
      <c r="AC214" s="99">
        <f t="shared" si="335"/>
        <v>0.16424100372502631</v>
      </c>
      <c r="AD214" s="21">
        <f t="shared" si="316"/>
        <v>2.2868930352506419E-2</v>
      </c>
      <c r="AE214" s="99">
        <f t="shared" si="336"/>
        <v>0.17948008771137672</v>
      </c>
      <c r="AF214" s="21">
        <f t="shared" si="317"/>
        <v>2.3078502114914752E-2</v>
      </c>
      <c r="AG214" s="99">
        <f t="shared" si="337"/>
        <v>0.19899767023945256</v>
      </c>
      <c r="AH214" s="21">
        <f t="shared" si="318"/>
        <v>2.3479411542183297E-2</v>
      </c>
      <c r="AI214" s="99">
        <f t="shared" si="338"/>
        <v>0.22432034009927498</v>
      </c>
      <c r="AJ214" s="99">
        <f t="shared" si="319"/>
        <v>2.5171291826958757E-2</v>
      </c>
      <c r="AK214" s="99">
        <f t="shared" si="339"/>
        <v>0.2578718372570542</v>
      </c>
      <c r="AL214" s="99">
        <f t="shared" si="320"/>
        <v>2.7061889291631416E-2</v>
      </c>
      <c r="AM214" s="99">
        <f t="shared" si="340"/>
        <v>0.29496555858184381</v>
      </c>
      <c r="AN214" s="99">
        <f t="shared" si="321"/>
        <v>2.8970173473577499E-2</v>
      </c>
      <c r="AO214" s="99">
        <f t="shared" si="341"/>
        <v>4.7658605073717898E-3</v>
      </c>
      <c r="AP214" s="99">
        <f t="shared" si="322"/>
        <v>2.0045980759638378E-2</v>
      </c>
    </row>
    <row r="215" spans="1:42" x14ac:dyDescent="0.25">
      <c r="A215" s="129">
        <v>0.2</v>
      </c>
      <c r="B215" s="259">
        <f>'Sub C_D_0'!AW254</f>
        <v>2.3556986229568627E-2</v>
      </c>
      <c r="C215" s="260">
        <f>'C_L vs. α'!X520</f>
        <v>0.1101303746094074</v>
      </c>
      <c r="D215" s="144">
        <v>2</v>
      </c>
      <c r="E215" s="14">
        <f t="shared" si="323"/>
        <v>0.31899678628210576</v>
      </c>
      <c r="F215" s="6">
        <f t="shared" si="304"/>
        <v>3.8422014132588569E-2</v>
      </c>
      <c r="G215" s="14">
        <f t="shared" si="324"/>
        <v>0.31899678628210576</v>
      </c>
      <c r="H215" s="6">
        <f t="shared" si="305"/>
        <v>3.5339434038463964E-2</v>
      </c>
      <c r="I215" s="14">
        <f t="shared" si="325"/>
        <v>0.32526205174958855</v>
      </c>
      <c r="J215" s="6">
        <f t="shared" si="306"/>
        <v>3.410509438851151E-2</v>
      </c>
      <c r="K215" s="14">
        <f t="shared" si="326"/>
        <v>0.33039112382822222</v>
      </c>
      <c r="L215" s="6">
        <f t="shared" si="307"/>
        <v>3.3355291899403443E-2</v>
      </c>
      <c r="M215">
        <f t="shared" si="327"/>
        <v>0.3371021929793242</v>
      </c>
      <c r="N215" s="6">
        <f t="shared" si="308"/>
        <v>3.2984353670799403E-2</v>
      </c>
      <c r="O215">
        <f t="shared" si="328"/>
        <v>0.34529869887168224</v>
      </c>
      <c r="P215" s="6">
        <f t="shared" si="309"/>
        <v>3.3326518307296674E-2</v>
      </c>
      <c r="Q215">
        <f t="shared" si="329"/>
        <v>0.3558658172600061</v>
      </c>
      <c r="R215" s="6">
        <f t="shared" si="310"/>
        <v>3.3487053180744866E-2</v>
      </c>
      <c r="S215">
        <f t="shared" si="330"/>
        <v>0.36882625800600888</v>
      </c>
      <c r="T215" s="6">
        <f t="shared" si="311"/>
        <v>3.390568001310322E-2</v>
      </c>
      <c r="U215">
        <f t="shared" si="331"/>
        <v>0.38463669288743496</v>
      </c>
      <c r="V215" s="6">
        <f t="shared" si="312"/>
        <v>3.4609964901884359E-2</v>
      </c>
      <c r="W215">
        <f t="shared" si="332"/>
        <v>0.40391055916532481</v>
      </c>
      <c r="X215" s="6">
        <f t="shared" si="313"/>
        <v>3.5654909432369604E-2</v>
      </c>
      <c r="Y215">
        <f t="shared" si="333"/>
        <v>0.42748287354693598</v>
      </c>
      <c r="Z215" s="6">
        <f t="shared" si="314"/>
        <v>3.7130940331179231E-2</v>
      </c>
      <c r="AA215">
        <f t="shared" si="334"/>
        <v>0.45650808973412382</v>
      </c>
      <c r="AB215" s="6">
        <f t="shared" si="315"/>
        <v>3.9180225901000072E-2</v>
      </c>
      <c r="AC215">
        <f t="shared" si="335"/>
        <v>0.49272301117507894</v>
      </c>
      <c r="AD215" s="6">
        <f t="shared" si="316"/>
        <v>4.247950248556983E-2</v>
      </c>
      <c r="AE215">
        <f t="shared" si="336"/>
        <v>0.53844026313413018</v>
      </c>
      <c r="AF215" s="6">
        <f t="shared" si="317"/>
        <v>4.6497032058460411E-2</v>
      </c>
      <c r="AG215">
        <f t="shared" si="337"/>
        <v>0.59699301071835764</v>
      </c>
      <c r="AH215" s="6">
        <f t="shared" si="318"/>
        <v>5.226817870368803E-2</v>
      </c>
      <c r="AI215">
        <f t="shared" si="338"/>
        <v>0.6729610202978249</v>
      </c>
      <c r="AJ215">
        <f t="shared" si="319"/>
        <v>6.5778603895902107E-2</v>
      </c>
      <c r="AK215">
        <f t="shared" si="339"/>
        <v>0.77361551177116261</v>
      </c>
      <c r="AL215">
        <f t="shared" si="320"/>
        <v>8.0724866378227025E-2</v>
      </c>
      <c r="AM215">
        <f t="shared" si="340"/>
        <v>0.88489667574553144</v>
      </c>
      <c r="AN215">
        <f t="shared" si="321"/>
        <v>9.9181883636694779E-2</v>
      </c>
      <c r="AO215">
        <f t="shared" si="341"/>
        <v>1.5272357265432837E-2</v>
      </c>
      <c r="AP215">
        <f t="shared" si="322"/>
        <v>2.006721779888334E-2</v>
      </c>
    </row>
    <row r="216" spans="1:42" x14ac:dyDescent="0.25">
      <c r="A216" s="139">
        <v>0.25</v>
      </c>
      <c r="B216" s="259">
        <f>'Sub C_D_0'!AW255</f>
        <v>2.2783949108558334E-2</v>
      </c>
      <c r="C216" s="260">
        <f>'C_L vs. α'!X521</f>
        <v>0.11236739765977473</v>
      </c>
      <c r="D216" s="144">
        <v>4</v>
      </c>
      <c r="E216" s="14">
        <f t="shared" si="323"/>
        <v>0.53166131047017628</v>
      </c>
      <c r="F216" s="6">
        <f t="shared" si="304"/>
        <v>5.576598440146445E-2</v>
      </c>
      <c r="G216" s="14">
        <f t="shared" si="324"/>
        <v>0.53166131047017628</v>
      </c>
      <c r="H216" s="6">
        <f t="shared" si="305"/>
        <v>5.2683404307339844E-2</v>
      </c>
      <c r="I216" s="14">
        <f t="shared" si="325"/>
        <v>0.54210341958264752</v>
      </c>
      <c r="J216" s="6">
        <f t="shared" si="306"/>
        <v>5.2137044584353046E-2</v>
      </c>
      <c r="K216" s="14">
        <f t="shared" si="326"/>
        <v>0.550651873047037</v>
      </c>
      <c r="L216" s="6">
        <f t="shared" si="307"/>
        <v>5.1960419254911488E-2</v>
      </c>
      <c r="M216">
        <f t="shared" si="327"/>
        <v>0.56183698829887363</v>
      </c>
      <c r="N216" s="6">
        <f t="shared" si="308"/>
        <v>5.2352990693673551E-2</v>
      </c>
      <c r="O216">
        <f t="shared" si="328"/>
        <v>0.57549783145280375</v>
      </c>
      <c r="P216" s="6">
        <f t="shared" si="309"/>
        <v>5.3648487494721939E-2</v>
      </c>
      <c r="Q216">
        <f t="shared" si="329"/>
        <v>0.59310969543334346</v>
      </c>
      <c r="R216" s="6">
        <f t="shared" si="310"/>
        <v>5.5071874225923557E-2</v>
      </c>
      <c r="S216">
        <f t="shared" si="330"/>
        <v>0.6147104300100148</v>
      </c>
      <c r="T216" s="6">
        <f t="shared" si="311"/>
        <v>5.7091345704236011E-2</v>
      </c>
      <c r="U216">
        <f t="shared" si="331"/>
        <v>0.64106115481239168</v>
      </c>
      <c r="V216" s="6">
        <f t="shared" si="312"/>
        <v>5.9826030677054241E-2</v>
      </c>
      <c r="W216">
        <f t="shared" si="332"/>
        <v>0.67318426527554143</v>
      </c>
      <c r="X216" s="6">
        <f t="shared" si="313"/>
        <v>6.3461408833518695E-2</v>
      </c>
      <c r="Y216">
        <f t="shared" si="333"/>
        <v>0.71247145591155991</v>
      </c>
      <c r="Z216" s="6">
        <f t="shared" si="314"/>
        <v>6.8277733929076004E-2</v>
      </c>
      <c r="AA216">
        <f t="shared" si="334"/>
        <v>0.76084681622353978</v>
      </c>
      <c r="AB216" s="6">
        <f t="shared" si="315"/>
        <v>7.4700218027871468E-2</v>
      </c>
      <c r="AC216">
        <f t="shared" si="335"/>
        <v>0.82120501862513162</v>
      </c>
      <c r="AD216" s="6">
        <f t="shared" si="316"/>
        <v>8.3858655336064986E-2</v>
      </c>
      <c r="AE216">
        <f t="shared" si="336"/>
        <v>0.89740043855688356</v>
      </c>
      <c r="AF216" s="6">
        <f t="shared" si="317"/>
        <v>9.5911140096342398E-2</v>
      </c>
      <c r="AG216">
        <f t="shared" si="337"/>
        <v>0.99498835119726281</v>
      </c>
      <c r="AH216" s="6">
        <f t="shared" si="318"/>
        <v>0.11301371884755591</v>
      </c>
      <c r="AI216">
        <f t="shared" si="338"/>
        <v>1.121601700496375</v>
      </c>
      <c r="AJ216">
        <f t="shared" si="319"/>
        <v>0.14699322803378884</v>
      </c>
      <c r="AK216">
        <f t="shared" si="339"/>
        <v>1.2893591862852709</v>
      </c>
      <c r="AL216">
        <f t="shared" si="320"/>
        <v>0.18805082055141822</v>
      </c>
      <c r="AM216">
        <f t="shared" si="340"/>
        <v>1.4748277929092191</v>
      </c>
      <c r="AN216">
        <f t="shared" si="321"/>
        <v>0.23960530396292937</v>
      </c>
      <c r="AO216">
        <f t="shared" si="341"/>
        <v>2.7728405510128815E-2</v>
      </c>
      <c r="AP216">
        <f t="shared" si="322"/>
        <v>2.0121247602340686E-2</v>
      </c>
    </row>
    <row r="217" spans="1:42" x14ac:dyDescent="0.25">
      <c r="A217" s="129">
        <v>0.3</v>
      </c>
      <c r="B217" s="259">
        <f>'Sub C_D_0'!AW256</f>
        <v>2.2624045698185099E-2</v>
      </c>
      <c r="C217" s="260">
        <f>'C_L vs. α'!X522</f>
        <v>0.11509956629056074</v>
      </c>
      <c r="D217" s="144">
        <v>6</v>
      </c>
      <c r="E217" s="14">
        <f t="shared" si="323"/>
        <v>0.74432583465824675</v>
      </c>
      <c r="F217" s="6">
        <f t="shared" si="304"/>
        <v>8.2234201803259646E-2</v>
      </c>
      <c r="G217" s="14">
        <f t="shared" si="324"/>
        <v>0.74432583465824675</v>
      </c>
      <c r="H217" s="6">
        <f t="shared" si="305"/>
        <v>7.9151621709135034E-2</v>
      </c>
      <c r="I217" s="14">
        <f t="shared" si="325"/>
        <v>0.75894478741570659</v>
      </c>
      <c r="J217" s="6">
        <f t="shared" si="306"/>
        <v>7.9655171666152491E-2</v>
      </c>
      <c r="K217" s="14">
        <f t="shared" si="326"/>
        <v>0.77091262226585178</v>
      </c>
      <c r="L217" s="6">
        <f t="shared" si="307"/>
        <v>8.0353258264637892E-2</v>
      </c>
      <c r="M217">
        <f t="shared" si="327"/>
        <v>0.78657178361842306</v>
      </c>
      <c r="N217" s="6">
        <f t="shared" si="308"/>
        <v>8.1911003510257999E-2</v>
      </c>
      <c r="O217">
        <f t="shared" si="328"/>
        <v>0.80569696403392521</v>
      </c>
      <c r="P217" s="6">
        <f t="shared" si="309"/>
        <v>8.466135768227083E-2</v>
      </c>
      <c r="Q217">
        <f t="shared" si="329"/>
        <v>0.83035357360668083</v>
      </c>
      <c r="R217" s="6">
        <f t="shared" si="310"/>
        <v>8.8011952370998819E-2</v>
      </c>
      <c r="S217">
        <f t="shared" si="330"/>
        <v>0.86059460201402072</v>
      </c>
      <c r="T217" s="6">
        <f t="shared" si="311"/>
        <v>9.2474434501356131E-2</v>
      </c>
      <c r="U217">
        <f t="shared" si="331"/>
        <v>0.89748561673734828</v>
      </c>
      <c r="V217" s="6">
        <f t="shared" si="312"/>
        <v>9.8307664386544091E-2</v>
      </c>
      <c r="W217">
        <f t="shared" si="332"/>
        <v>0.94245797138575793</v>
      </c>
      <c r="X217" s="6">
        <f t="shared" si="313"/>
        <v>0.10589624122326563</v>
      </c>
      <c r="Y217">
        <f t="shared" si="333"/>
        <v>0.99746003827618401</v>
      </c>
      <c r="Z217" s="6">
        <f t="shared" si="314"/>
        <v>0.11581010924670318</v>
      </c>
      <c r="AA217">
        <f t="shared" si="334"/>
        <v>1.0651855427129557</v>
      </c>
      <c r="AB217" s="6">
        <f t="shared" si="315"/>
        <v>0.12890642682259057</v>
      </c>
      <c r="AC217">
        <f t="shared" si="335"/>
        <v>1.1496870260751841</v>
      </c>
      <c r="AD217" s="6">
        <f t="shared" si="316"/>
        <v>0.14700638890399187</v>
      </c>
      <c r="AE217">
        <f t="shared" si="336"/>
        <v>1.2563606139796371</v>
      </c>
      <c r="AF217" s="6">
        <f t="shared" si="317"/>
        <v>0.17132082622856071</v>
      </c>
      <c r="AG217">
        <f t="shared" si="337"/>
        <v>1.392983691676168</v>
      </c>
      <c r="AH217" s="6">
        <f t="shared" si="318"/>
        <v>0.20571603197378691</v>
      </c>
      <c r="AI217">
        <f t="shared" si="338"/>
        <v>1.5702423806949248</v>
      </c>
      <c r="AJ217">
        <f t="shared" si="319"/>
        <v>0.26881516424061891</v>
      </c>
      <c r="AK217">
        <f t="shared" si="339"/>
        <v>1.8051028607993795</v>
      </c>
      <c r="AL217">
        <f t="shared" si="320"/>
        <v>0.34903975181120517</v>
      </c>
      <c r="AM217">
        <f t="shared" si="340"/>
        <v>2.0647589100729067</v>
      </c>
      <c r="AN217">
        <f t="shared" si="321"/>
        <v>0.45024043445228118</v>
      </c>
      <c r="AO217">
        <f t="shared" si="341"/>
        <v>4.2134005241459743E-2</v>
      </c>
      <c r="AP217">
        <f t="shared" si="322"/>
        <v>2.0222767660499501E-2</v>
      </c>
    </row>
    <row r="218" spans="1:42" x14ac:dyDescent="0.25">
      <c r="A218" s="139">
        <v>0.35</v>
      </c>
      <c r="B218" s="259">
        <f>'Sub C_D_0'!AW257</f>
        <v>2.211950538662933E-2</v>
      </c>
      <c r="C218" s="260">
        <f>'C_L vs. α'!X523</f>
        <v>0.1186219390866687</v>
      </c>
      <c r="D218" s="144">
        <v>8</v>
      </c>
      <c r="E218" s="14">
        <f t="shared" si="323"/>
        <v>0.95699035884631722</v>
      </c>
      <c r="F218" s="6">
        <f t="shared" si="304"/>
        <v>0.11782666633797416</v>
      </c>
      <c r="G218" s="14">
        <f t="shared" si="324"/>
        <v>0.95699035884631722</v>
      </c>
      <c r="H218" s="6">
        <f t="shared" si="305"/>
        <v>0.11474408624384955</v>
      </c>
      <c r="I218" s="14">
        <f t="shared" si="325"/>
        <v>0.97578615524876555</v>
      </c>
      <c r="J218" s="6">
        <f t="shared" si="306"/>
        <v>0.11665947563390983</v>
      </c>
      <c r="K218" s="14">
        <f t="shared" si="326"/>
        <v>0.99117337148466667</v>
      </c>
      <c r="L218" s="6">
        <f t="shared" si="307"/>
        <v>0.11853380892858267</v>
      </c>
      <c r="M218">
        <f t="shared" si="327"/>
        <v>1.0113065789379725</v>
      </c>
      <c r="N218" s="6">
        <f t="shared" si="308"/>
        <v>0.12165839212055268</v>
      </c>
      <c r="O218">
        <f t="shared" si="328"/>
        <v>1.0358960966150468</v>
      </c>
      <c r="P218" s="6">
        <f t="shared" si="309"/>
        <v>0.12636512886994339</v>
      </c>
      <c r="Q218">
        <f t="shared" si="329"/>
        <v>1.0675974517800182</v>
      </c>
      <c r="R218" s="6">
        <f t="shared" si="310"/>
        <v>0.13230728761597071</v>
      </c>
      <c r="S218">
        <f t="shared" si="330"/>
        <v>1.1064787740180266</v>
      </c>
      <c r="T218" s="6">
        <f t="shared" si="311"/>
        <v>0.14005494640446361</v>
      </c>
      <c r="U218">
        <f t="shared" si="331"/>
        <v>1.1539100786623049</v>
      </c>
      <c r="V218" s="6">
        <f t="shared" si="312"/>
        <v>0.15005486603035392</v>
      </c>
      <c r="W218">
        <f t="shared" si="332"/>
        <v>1.2117316774959745</v>
      </c>
      <c r="X218" s="6">
        <f t="shared" si="313"/>
        <v>0.16295940660161046</v>
      </c>
      <c r="Y218">
        <f t="shared" si="333"/>
        <v>1.2824486206408079</v>
      </c>
      <c r="Z218" s="6">
        <f t="shared" si="314"/>
        <v>0.17972806628406068</v>
      </c>
      <c r="AA218">
        <f t="shared" si="334"/>
        <v>1.3695242692023715</v>
      </c>
      <c r="AB218" s="6">
        <f t="shared" si="315"/>
        <v>0.20179885228515726</v>
      </c>
      <c r="AC218">
        <f t="shared" si="335"/>
        <v>1.4781690335252369</v>
      </c>
      <c r="AD218" s="6">
        <f t="shared" si="316"/>
        <v>0.23192270318935054</v>
      </c>
      <c r="AE218">
        <f t="shared" si="336"/>
        <v>1.6153207894023904</v>
      </c>
      <c r="AF218" s="6">
        <f t="shared" si="317"/>
        <v>0.27272609045511537</v>
      </c>
      <c r="AG218">
        <f t="shared" si="337"/>
        <v>1.7909790321550729</v>
      </c>
      <c r="AH218" s="6">
        <f t="shared" si="318"/>
        <v>0.33037511808238101</v>
      </c>
      <c r="AI218">
        <f t="shared" si="338"/>
        <v>2.0188830608934749</v>
      </c>
      <c r="AJ218">
        <f t="shared" si="319"/>
        <v>0.43124441251639234</v>
      </c>
      <c r="AK218">
        <f t="shared" si="339"/>
        <v>2.3208465353134877</v>
      </c>
      <c r="AL218">
        <f t="shared" si="320"/>
        <v>0.56369166015758754</v>
      </c>
      <c r="AM218">
        <f t="shared" si="340"/>
        <v>2.6546900272365943</v>
      </c>
      <c r="AN218">
        <f t="shared" si="321"/>
        <v>0.73108727510475036</v>
      </c>
      <c r="AO218">
        <f t="shared" si="341"/>
        <v>5.8489156459425581E-2</v>
      </c>
      <c r="AP218">
        <f t="shared" si="322"/>
        <v>2.0388775833425955E-2</v>
      </c>
    </row>
    <row r="219" spans="1:42" x14ac:dyDescent="0.25">
      <c r="A219" s="129">
        <v>0.4</v>
      </c>
      <c r="B219" s="259">
        <f>'Sub C_D_0'!AW258</f>
        <v>2.1695054669919844E-2</v>
      </c>
      <c r="C219" s="260">
        <f>'C_L vs. α'!X524</f>
        <v>0.12294208600200296</v>
      </c>
      <c r="D219" s="144">
        <v>10</v>
      </c>
      <c r="E219" s="14">
        <f t="shared" si="323"/>
        <v>1.1696548830343878</v>
      </c>
      <c r="F219" s="6">
        <f t="shared" si="304"/>
        <v>0.162543378005608</v>
      </c>
      <c r="G219" s="14">
        <f t="shared" si="324"/>
        <v>1.1696548830343878</v>
      </c>
      <c r="H219" s="6">
        <f t="shared" si="305"/>
        <v>0.1594607979114834</v>
      </c>
      <c r="I219" s="14">
        <f t="shared" si="325"/>
        <v>1.1926275230818246</v>
      </c>
      <c r="J219" s="6">
        <f t="shared" si="306"/>
        <v>0.16314995648762506</v>
      </c>
      <c r="K219" s="14">
        <f t="shared" si="326"/>
        <v>1.2114341207034813</v>
      </c>
      <c r="L219" s="6">
        <f t="shared" si="307"/>
        <v>0.16650207124674579</v>
      </c>
      <c r="M219">
        <f t="shared" si="327"/>
        <v>1.236041374257522</v>
      </c>
      <c r="N219" s="6">
        <f t="shared" si="308"/>
        <v>0.17159515652455773</v>
      </c>
      <c r="O219">
        <f t="shared" si="328"/>
        <v>1.2660952291961682</v>
      </c>
      <c r="P219" s="6">
        <f t="shared" si="309"/>
        <v>0.17875980105773953</v>
      </c>
      <c r="Q219">
        <f t="shared" si="329"/>
        <v>1.3048413299533557</v>
      </c>
      <c r="R219" s="6">
        <f t="shared" si="310"/>
        <v>0.18795787996083915</v>
      </c>
      <c r="S219">
        <f t="shared" si="330"/>
        <v>1.3523629460220326</v>
      </c>
      <c r="T219" s="6">
        <f t="shared" si="311"/>
        <v>0.19983288141355846</v>
      </c>
      <c r="U219">
        <f t="shared" si="331"/>
        <v>1.4103345405872616</v>
      </c>
      <c r="V219" s="6">
        <f t="shared" si="312"/>
        <v>0.21506763560848374</v>
      </c>
      <c r="W219">
        <f t="shared" si="332"/>
        <v>1.4810053836061912</v>
      </c>
      <c r="X219" s="6">
        <f t="shared" si="313"/>
        <v>0.23465090496855309</v>
      </c>
      <c r="Y219">
        <f t="shared" si="333"/>
        <v>1.567437203005432</v>
      </c>
      <c r="Z219" s="6">
        <f t="shared" si="314"/>
        <v>0.26003160504114864</v>
      </c>
      <c r="AA219">
        <f t="shared" si="334"/>
        <v>1.6738629956917874</v>
      </c>
      <c r="AB219" s="6">
        <f t="shared" si="315"/>
        <v>0.2933774944155717</v>
      </c>
      <c r="AC219">
        <f t="shared" si="335"/>
        <v>1.8066510409752894</v>
      </c>
      <c r="AD219" s="6">
        <f t="shared" si="316"/>
        <v>0.33860759819214081</v>
      </c>
      <c r="AE219">
        <f t="shared" si="336"/>
        <v>1.9742809648251438</v>
      </c>
      <c r="AF219" s="6">
        <f t="shared" si="317"/>
        <v>0.40012693277600642</v>
      </c>
      <c r="AG219">
        <f t="shared" si="337"/>
        <v>2.1889743726339783</v>
      </c>
      <c r="AH219" s="6">
        <f t="shared" si="318"/>
        <v>0.48699097717333834</v>
      </c>
      <c r="AI219">
        <f t="shared" si="338"/>
        <v>2.467523741092025</v>
      </c>
      <c r="AJ219">
        <f t="shared" si="319"/>
        <v>0.63428097286110918</v>
      </c>
      <c r="AK219">
        <f t="shared" si="339"/>
        <v>2.8365902098275964</v>
      </c>
      <c r="AL219">
        <f t="shared" si="320"/>
        <v>0.83200654559056575</v>
      </c>
      <c r="AM219">
        <f t="shared" si="340"/>
        <v>3.2446211444002819</v>
      </c>
      <c r="AN219">
        <f t="shared" si="321"/>
        <v>1.0821458259203369</v>
      </c>
      <c r="AO219">
        <f t="shared" si="341"/>
        <v>7.6793859164026368E-2</v>
      </c>
      <c r="AP219">
        <f t="shared" si="322"/>
        <v>2.0638570350763299E-2</v>
      </c>
    </row>
    <row r="220" spans="1:42" x14ac:dyDescent="0.25">
      <c r="A220" s="139">
        <v>0.45</v>
      </c>
      <c r="B220" s="259">
        <f>'Sub C_D_0'!AW259</f>
        <v>2.1330038592611972E-2</v>
      </c>
      <c r="C220" s="260">
        <f>'C_L vs. α'!X525</f>
        <v>0.12821223096247833</v>
      </c>
      <c r="D220" s="144">
        <v>12</v>
      </c>
      <c r="E220" s="14">
        <f t="shared" si="323"/>
        <v>1.3823194072224583</v>
      </c>
      <c r="F220" s="6">
        <f t="shared" si="304"/>
        <v>0.21638433680616115</v>
      </c>
      <c r="G220" s="14">
        <f t="shared" si="324"/>
        <v>1.3823194072224583</v>
      </c>
      <c r="H220" s="6">
        <f t="shared" si="305"/>
        <v>0.21330175671203655</v>
      </c>
      <c r="I220" s="14">
        <f t="shared" si="325"/>
        <v>1.4094688909148836</v>
      </c>
      <c r="J220" s="6">
        <f t="shared" si="306"/>
        <v>0.21912661422729818</v>
      </c>
      <c r="K220" s="14">
        <f t="shared" si="326"/>
        <v>1.4316948699222962</v>
      </c>
      <c r="L220" s="6">
        <f t="shared" si="307"/>
        <v>0.22425804521912729</v>
      </c>
      <c r="M220">
        <f t="shared" si="327"/>
        <v>1.4607761695770716</v>
      </c>
      <c r="N220" s="6">
        <f t="shared" si="308"/>
        <v>0.23172129672227301</v>
      </c>
      <c r="O220">
        <f t="shared" si="328"/>
        <v>1.4962943617772897</v>
      </c>
      <c r="P220" s="6">
        <f t="shared" si="309"/>
        <v>0.24184537424565938</v>
      </c>
      <c r="Q220">
        <f t="shared" si="329"/>
        <v>1.5420852081266931</v>
      </c>
      <c r="R220" s="6">
        <f t="shared" si="310"/>
        <v>0.25496372940560424</v>
      </c>
      <c r="S220">
        <f t="shared" si="330"/>
        <v>1.5982471180260385</v>
      </c>
      <c r="T220" s="6">
        <f t="shared" si="311"/>
        <v>0.27180823952864064</v>
      </c>
      <c r="U220">
        <f t="shared" si="331"/>
        <v>1.6667590025122183</v>
      </c>
      <c r="V220" s="6">
        <f t="shared" si="312"/>
        <v>0.29334597312093358</v>
      </c>
      <c r="W220">
        <f t="shared" si="332"/>
        <v>1.7502790897164076</v>
      </c>
      <c r="X220" s="6">
        <f t="shared" si="313"/>
        <v>0.32097073632409356</v>
      </c>
      <c r="Y220">
        <f t="shared" si="333"/>
        <v>1.8524257853700559</v>
      </c>
      <c r="Z220" s="6">
        <f t="shared" si="314"/>
        <v>0.3567207255179668</v>
      </c>
      <c r="AA220">
        <f t="shared" si="334"/>
        <v>1.9782017221812034</v>
      </c>
      <c r="AB220" s="6">
        <f t="shared" si="315"/>
        <v>0.40364235321383385</v>
      </c>
      <c r="AC220">
        <f t="shared" si="335"/>
        <v>2.1351330484253421</v>
      </c>
      <c r="AD220" s="6">
        <f t="shared" si="316"/>
        <v>0.46706107391236296</v>
      </c>
      <c r="AE220">
        <f t="shared" si="336"/>
        <v>2.3332411402478974</v>
      </c>
      <c r="AF220" s="6">
        <f t="shared" si="317"/>
        <v>0.55352335319123369</v>
      </c>
      <c r="AG220">
        <f t="shared" si="337"/>
        <v>2.5869697131128833</v>
      </c>
      <c r="AH220" s="6">
        <f t="shared" si="318"/>
        <v>0.6755636092466587</v>
      </c>
      <c r="AI220">
        <f t="shared" si="338"/>
        <v>2.9161644212905746</v>
      </c>
      <c r="AJ220">
        <f t="shared" si="319"/>
        <v>0.87792484527476899</v>
      </c>
      <c r="AK220">
        <f t="shared" si="339"/>
        <v>3.3523338843417045</v>
      </c>
      <c r="AL220">
        <f t="shared" si="320"/>
        <v>1.1539844081101391</v>
      </c>
      <c r="AM220">
        <f t="shared" si="340"/>
        <v>3.8345522615639696</v>
      </c>
      <c r="AN220">
        <f t="shared" si="321"/>
        <v>1.5034160868990405</v>
      </c>
      <c r="AO220">
        <f t="shared" si="341"/>
        <v>9.7048113355262103E-2</v>
      </c>
      <c r="AP220">
        <f t="shared" si="322"/>
        <v>2.0993749811731872E-2</v>
      </c>
    </row>
    <row r="221" spans="1:42" x14ac:dyDescent="0.25">
      <c r="A221" s="129">
        <v>0.5</v>
      </c>
      <c r="B221" s="259">
        <f>'Sub C_D_0'!AW260</f>
        <v>2.1010743040255297E-2</v>
      </c>
      <c r="C221" s="260">
        <f>'C_L vs. α'!X526</f>
        <v>0.13463685305510828</v>
      </c>
      <c r="D221" s="144">
        <v>14</v>
      </c>
      <c r="E221" s="14">
        <f t="shared" si="323"/>
        <v>1.5949839314105287</v>
      </c>
      <c r="F221" s="6">
        <f t="shared" si="304"/>
        <v>0.27934954273963364</v>
      </c>
      <c r="G221" s="14">
        <f t="shared" si="324"/>
        <v>1.5949839314105287</v>
      </c>
      <c r="H221" s="6">
        <f t="shared" si="305"/>
        <v>0.27626696264550904</v>
      </c>
      <c r="I221" s="14">
        <f t="shared" si="325"/>
        <v>1.6263102587479425</v>
      </c>
      <c r="J221" s="6">
        <f t="shared" si="306"/>
        <v>0.28458944885292919</v>
      </c>
      <c r="K221" s="14">
        <f t="shared" si="326"/>
        <v>1.6519556191411111</v>
      </c>
      <c r="L221" s="6">
        <f t="shared" si="307"/>
        <v>0.29180173084572719</v>
      </c>
      <c r="M221">
        <f t="shared" si="327"/>
        <v>1.6855109648966209</v>
      </c>
      <c r="N221" s="6">
        <f t="shared" si="308"/>
        <v>0.30203681271369848</v>
      </c>
      <c r="O221">
        <f t="shared" si="328"/>
        <v>1.7264934943584112</v>
      </c>
      <c r="P221" s="6">
        <f t="shared" si="309"/>
        <v>0.31562184843370272</v>
      </c>
      <c r="Q221">
        <f t="shared" si="329"/>
        <v>1.7793290863000304</v>
      </c>
      <c r="R221" s="6">
        <f t="shared" si="310"/>
        <v>0.33332483595026591</v>
      </c>
      <c r="S221">
        <f t="shared" si="330"/>
        <v>1.8441312900300444</v>
      </c>
      <c r="T221" s="6">
        <f t="shared" si="311"/>
        <v>0.35598102074971022</v>
      </c>
      <c r="U221">
        <f t="shared" si="331"/>
        <v>1.923183464437175</v>
      </c>
      <c r="V221" s="6">
        <f t="shared" si="312"/>
        <v>0.38488987856770329</v>
      </c>
      <c r="W221">
        <f t="shared" si="332"/>
        <v>2.0195527958266242</v>
      </c>
      <c r="X221" s="6">
        <f t="shared" si="313"/>
        <v>0.42191890066823196</v>
      </c>
      <c r="Y221">
        <f t="shared" si="333"/>
        <v>2.1374143677346797</v>
      </c>
      <c r="Z221" s="6">
        <f t="shared" si="314"/>
        <v>0.46979542771451538</v>
      </c>
      <c r="AA221">
        <f t="shared" si="334"/>
        <v>2.2825404486706193</v>
      </c>
      <c r="AB221" s="6">
        <f t="shared" si="315"/>
        <v>0.53259342867994375</v>
      </c>
      <c r="AC221">
        <f t="shared" si="335"/>
        <v>2.4636150558753949</v>
      </c>
      <c r="AD221" s="6">
        <f t="shared" si="316"/>
        <v>0.61728313035001703</v>
      </c>
      <c r="AE221">
        <f t="shared" si="336"/>
        <v>2.6922013156706508</v>
      </c>
      <c r="AF221" s="6">
        <f t="shared" si="317"/>
        <v>0.73291535170079747</v>
      </c>
      <c r="AG221">
        <f t="shared" si="337"/>
        <v>2.9849650535917882</v>
      </c>
      <c r="AH221" s="6">
        <f t="shared" si="318"/>
        <v>0.89609301430234223</v>
      </c>
      <c r="AI221">
        <f t="shared" si="338"/>
        <v>3.3648051014891247</v>
      </c>
      <c r="AJ221">
        <f t="shared" si="319"/>
        <v>1.1621760297573727</v>
      </c>
      <c r="AK221">
        <f t="shared" si="339"/>
        <v>3.8680775588558132</v>
      </c>
      <c r="AL221">
        <f t="shared" si="320"/>
        <v>1.5296252477163088</v>
      </c>
      <c r="AM221">
        <f t="shared" si="340"/>
        <v>4.4244833787276576</v>
      </c>
      <c r="AN221">
        <f t="shared" si="321"/>
        <v>1.9948980580408617</v>
      </c>
      <c r="AO221">
        <f t="shared" si="341"/>
        <v>0.11925191903313276</v>
      </c>
      <c r="AP221">
        <f t="shared" si="322"/>
        <v>2.1478213185129099E-2</v>
      </c>
    </row>
    <row r="222" spans="1:42" x14ac:dyDescent="0.25">
      <c r="A222" s="139">
        <v>0.55000000000000004</v>
      </c>
      <c r="B222" s="259">
        <f>'Sub C_D_0'!AW261</f>
        <v>2.072762319843751E-2</v>
      </c>
      <c r="C222" s="260">
        <f>'C_L vs. α'!X527</f>
        <v>0.14249429118231199</v>
      </c>
      <c r="D222" s="144">
        <v>16</v>
      </c>
      <c r="E222" s="14">
        <f t="shared" si="323"/>
        <v>1.8076484555985992</v>
      </c>
      <c r="F222" s="6">
        <f t="shared" si="304"/>
        <v>0.35143899580602544</v>
      </c>
      <c r="G222" s="14">
        <f t="shared" si="324"/>
        <v>1.8076484555985992</v>
      </c>
      <c r="H222" s="6">
        <f t="shared" si="305"/>
        <v>0.34835641571190085</v>
      </c>
      <c r="I222" s="14">
        <f t="shared" si="325"/>
        <v>1.8431516265810017</v>
      </c>
      <c r="J222" s="6">
        <f t="shared" si="306"/>
        <v>0.35953846036451809</v>
      </c>
      <c r="K222" s="14">
        <f t="shared" si="326"/>
        <v>1.8722163683599258</v>
      </c>
      <c r="L222" s="6">
        <f t="shared" si="307"/>
        <v>0.36913312812654542</v>
      </c>
      <c r="M222">
        <f t="shared" si="327"/>
        <v>1.9102457602161704</v>
      </c>
      <c r="N222" s="6">
        <f t="shared" si="308"/>
        <v>0.3825417044988344</v>
      </c>
      <c r="O222">
        <f t="shared" si="328"/>
        <v>1.9566926269395326</v>
      </c>
      <c r="P222" s="6">
        <f t="shared" si="309"/>
        <v>0.40008922362186983</v>
      </c>
      <c r="Q222">
        <f t="shared" si="329"/>
        <v>2.0165729644733679</v>
      </c>
      <c r="R222" s="6">
        <f t="shared" si="310"/>
        <v>0.42304119959482417</v>
      </c>
      <c r="S222">
        <f t="shared" si="330"/>
        <v>2.0900154620340503</v>
      </c>
      <c r="T222" s="6">
        <f t="shared" si="311"/>
        <v>0.45235122507676706</v>
      </c>
      <c r="U222">
        <f t="shared" si="331"/>
        <v>2.1796079263621317</v>
      </c>
      <c r="V222" s="6">
        <f t="shared" si="312"/>
        <v>0.48969935194879299</v>
      </c>
      <c r="W222">
        <f t="shared" si="332"/>
        <v>2.2888265019368408</v>
      </c>
      <c r="X222" s="6">
        <f t="shared" si="313"/>
        <v>0.53749539800096824</v>
      </c>
      <c r="Y222">
        <f>(D222-$B$12)*$C$222</f>
        <v>2.4224029500993041</v>
      </c>
      <c r="Z222" s="6">
        <f t="shared" si="314"/>
        <v>0.59925571163079461</v>
      </c>
      <c r="AA222">
        <f t="shared" si="334"/>
        <v>2.5868791751600351</v>
      </c>
      <c r="AB222" s="6">
        <f t="shared" si="315"/>
        <v>0.68023072081390112</v>
      </c>
      <c r="AC222">
        <f t="shared" si="335"/>
        <v>2.7920970633254472</v>
      </c>
      <c r="AD222" s="6">
        <f t="shared" si="316"/>
        <v>0.78927376750510247</v>
      </c>
      <c r="AE222">
        <f t="shared" si="336"/>
        <v>3.0511614910934042</v>
      </c>
      <c r="AF222" s="6">
        <f t="shared" si="317"/>
        <v>0.93830292830469741</v>
      </c>
      <c r="AG222">
        <f t="shared" si="337"/>
        <v>3.3829603940706936</v>
      </c>
      <c r="AH222" s="6">
        <f t="shared" si="318"/>
        <v>1.148579192340389</v>
      </c>
      <c r="AI222">
        <f t="shared" si="338"/>
        <v>3.8134457816876748</v>
      </c>
      <c r="AJ222">
        <f t="shared" si="319"/>
        <v>1.4870345263089195</v>
      </c>
      <c r="AK222">
        <f t="shared" si="339"/>
        <v>4.3838212333699218</v>
      </c>
      <c r="AL222">
        <f t="shared" si="320"/>
        <v>1.9589290644090738</v>
      </c>
      <c r="AM222">
        <f t="shared" si="340"/>
        <v>5.0144144958913444</v>
      </c>
      <c r="AN222">
        <f t="shared" si="321"/>
        <v>2.5565917393457993</v>
      </c>
      <c r="AO222">
        <f t="shared" si="341"/>
        <v>0.14340527619763835</v>
      </c>
      <c r="AP222">
        <f t="shared" si="322"/>
        <v>2.2118159809329484E-2</v>
      </c>
    </row>
    <row r="223" spans="1:42" x14ac:dyDescent="0.25">
      <c r="A223" s="129">
        <v>0.6</v>
      </c>
      <c r="B223" s="259">
        <f>'Sub C_D_0'!AW262</f>
        <v>2.047378366070142E-2</v>
      </c>
      <c r="C223" s="260">
        <f>'C_L vs. α'!X528</f>
        <v>0.15216936324470795</v>
      </c>
    </row>
    <row r="224" spans="1:42" x14ac:dyDescent="0.25">
      <c r="A224" s="139">
        <v>0.65</v>
      </c>
      <c r="B224" s="259">
        <f>'Sub C_D_0'!AW263</f>
        <v>2.0687359908919532E-2</v>
      </c>
      <c r="C224" s="260">
        <f>'C_L vs. α'!X529</f>
        <v>0.16424100372502631</v>
      </c>
    </row>
    <row r="225" spans="1:3" x14ac:dyDescent="0.25">
      <c r="A225" s="129">
        <v>0.7</v>
      </c>
      <c r="B225" s="259">
        <f>'Sub C_D_0'!AW264</f>
        <v>2.0473316890820381E-2</v>
      </c>
      <c r="C225" s="260">
        <f>'C_L vs. α'!X530</f>
        <v>0.17948008771137672</v>
      </c>
    </row>
    <row r="226" spans="1:3" x14ac:dyDescent="0.25">
      <c r="A226" s="139">
        <v>0.75</v>
      </c>
      <c r="B226" s="259">
        <f>'Sub C_D_0'!AW265</f>
        <v>2.0276816374602505E-2</v>
      </c>
      <c r="C226" s="260">
        <f>'C_L vs. α'!X531</f>
        <v>0.19899767023945256</v>
      </c>
    </row>
    <row r="227" spans="1:3" x14ac:dyDescent="0.25">
      <c r="A227" s="129">
        <v>0.8</v>
      </c>
      <c r="B227" s="259">
        <f>'Sub C_D_0'!AW266</f>
        <v>2.0095377818340837E-2</v>
      </c>
      <c r="C227" s="260">
        <f>'C_L vs. α'!X532</f>
        <v>0.22432034009927498</v>
      </c>
    </row>
    <row r="228" spans="1:3" x14ac:dyDescent="0.25">
      <c r="A228" s="139">
        <v>0.85</v>
      </c>
      <c r="B228" s="259">
        <f>'Sub C_D_0'!AW267</f>
        <v>2.0354017155806963E-2</v>
      </c>
      <c r="C228" s="260">
        <f>'C_L vs. α'!X533</f>
        <v>0.2578718372570542</v>
      </c>
    </row>
    <row r="229" spans="1:3" x14ac:dyDescent="0.25">
      <c r="A229" s="129">
        <v>0.9</v>
      </c>
      <c r="B229" s="259">
        <f>'Sub C_D_0'!AW268</f>
        <v>2.0193709703187838E-2</v>
      </c>
      <c r="C229" s="260">
        <f>'C_L vs. α'!X534</f>
        <v>0.29496555858184381</v>
      </c>
    </row>
    <row r="230" spans="1:3" x14ac:dyDescent="0.25">
      <c r="A230" s="139">
        <v>0.95</v>
      </c>
      <c r="B230" s="259">
        <f>'Sub C_D_0'!AW269</f>
        <v>2.0043689577578162E-2</v>
      </c>
      <c r="C230" s="260">
        <f>'C_L vs. α'!X535</f>
        <v>0.26375575508272281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18B8-621D-4ADE-86D7-0767A75294AC}">
  <dimension ref="A1:AP231"/>
  <sheetViews>
    <sheetView topLeftCell="A126" zoomScale="120" zoomScaleNormal="120" workbookViewId="0">
      <selection activeCell="AC143" sqref="AC143"/>
    </sheetView>
  </sheetViews>
  <sheetFormatPr defaultRowHeight="15" x14ac:dyDescent="0.25"/>
  <cols>
    <col min="2" max="3" width="12.42578125" bestFit="1" customWidth="1"/>
  </cols>
  <sheetData>
    <row r="1" spans="1:42" x14ac:dyDescent="0.25">
      <c r="A1" t="s">
        <v>524</v>
      </c>
      <c r="E1" t="s">
        <v>542</v>
      </c>
      <c r="H1" t="s">
        <v>541</v>
      </c>
      <c r="I1">
        <v>0</v>
      </c>
    </row>
    <row r="2" spans="1:42" x14ac:dyDescent="0.25">
      <c r="A2" t="s">
        <v>525</v>
      </c>
      <c r="B2" s="28">
        <v>0.98499999999999999</v>
      </c>
      <c r="C2" t="s">
        <v>529</v>
      </c>
      <c r="E2" t="s">
        <v>525</v>
      </c>
      <c r="F2" s="28"/>
      <c r="G2" t="s">
        <v>529</v>
      </c>
      <c r="I2">
        <v>15</v>
      </c>
    </row>
    <row r="3" spans="1:42" x14ac:dyDescent="0.25">
      <c r="A3" t="s">
        <v>519</v>
      </c>
      <c r="B3">
        <f>B4/B5</f>
        <v>3.2258064516129031E-2</v>
      </c>
      <c r="E3" t="s">
        <v>519</v>
      </c>
      <c r="F3">
        <f>F4/F5</f>
        <v>0.27093397849462364</v>
      </c>
      <c r="I3">
        <v>30</v>
      </c>
    </row>
    <row r="4" spans="1:42" x14ac:dyDescent="0.25">
      <c r="A4" s="70" t="s">
        <v>144</v>
      </c>
      <c r="B4">
        <v>1.5</v>
      </c>
      <c r="E4" s="70" t="s">
        <v>144</v>
      </c>
      <c r="F4">
        <v>12.59843</v>
      </c>
      <c r="I4">
        <v>36</v>
      </c>
    </row>
    <row r="5" spans="1:42" x14ac:dyDescent="0.25">
      <c r="A5" s="70" t="s">
        <v>143</v>
      </c>
      <c r="B5">
        <v>46.5</v>
      </c>
      <c r="E5" s="70" t="s">
        <v>143</v>
      </c>
      <c r="F5">
        <v>46.5</v>
      </c>
      <c r="I5">
        <v>40</v>
      </c>
    </row>
    <row r="6" spans="1:42" x14ac:dyDescent="0.25">
      <c r="A6" t="s">
        <v>155</v>
      </c>
      <c r="B6">
        <f>B2*(1-B3^2)</f>
        <v>0.9839750260145681</v>
      </c>
      <c r="C6" t="s">
        <v>530</v>
      </c>
      <c r="E6" t="s">
        <v>155</v>
      </c>
      <c r="F6">
        <f>F2*(1-F3^2)</f>
        <v>0</v>
      </c>
      <c r="G6" t="s">
        <v>530</v>
      </c>
      <c r="I6">
        <v>45</v>
      </c>
    </row>
    <row r="7" spans="1:42" x14ac:dyDescent="0.25">
      <c r="A7" t="s">
        <v>526</v>
      </c>
      <c r="B7">
        <f>1/(PI()*4*B6)</f>
        <v>8.0873466746674824E-2</v>
      </c>
      <c r="C7" t="s">
        <v>531</v>
      </c>
      <c r="E7" t="s">
        <v>526</v>
      </c>
      <c r="F7" t="e">
        <f>1/(PI()*4*F6)</f>
        <v>#DIV/0!</v>
      </c>
      <c r="G7" t="s">
        <v>531</v>
      </c>
    </row>
    <row r="8" spans="1:42" x14ac:dyDescent="0.25">
      <c r="A8" t="s">
        <v>527</v>
      </c>
      <c r="B8" s="28">
        <v>0.02</v>
      </c>
      <c r="C8" t="s">
        <v>532</v>
      </c>
      <c r="E8" t="s">
        <v>527</v>
      </c>
      <c r="F8" s="28"/>
      <c r="G8" t="s">
        <v>532</v>
      </c>
    </row>
    <row r="9" spans="1:42" x14ac:dyDescent="0.25">
      <c r="A9" t="s">
        <v>528</v>
      </c>
      <c r="B9">
        <f>B7+B8</f>
        <v>0.10087346674667483</v>
      </c>
      <c r="E9" t="s">
        <v>528</v>
      </c>
      <c r="F9" t="e">
        <f>F7+F8</f>
        <v>#DIV/0!</v>
      </c>
    </row>
    <row r="10" spans="1:42" x14ac:dyDescent="0.25">
      <c r="A10" t="s">
        <v>268</v>
      </c>
      <c r="B10">
        <v>4</v>
      </c>
      <c r="D10" t="s">
        <v>416</v>
      </c>
      <c r="E10">
        <v>0.8</v>
      </c>
    </row>
    <row r="11" spans="1:42" x14ac:dyDescent="0.25">
      <c r="A11" t="s">
        <v>410</v>
      </c>
      <c r="B11" s="29">
        <v>24.1</v>
      </c>
      <c r="D11" t="s">
        <v>144</v>
      </c>
      <c r="E11" s="29">
        <v>12.5984</v>
      </c>
    </row>
    <row r="12" spans="1:42" x14ac:dyDescent="0.25">
      <c r="A12" t="s">
        <v>422</v>
      </c>
      <c r="B12" s="29">
        <v>-1</v>
      </c>
      <c r="D12" t="s">
        <v>143</v>
      </c>
      <c r="E12">
        <v>46.5</v>
      </c>
    </row>
    <row r="13" spans="1:42" x14ac:dyDescent="0.25">
      <c r="A13" t="s">
        <v>191</v>
      </c>
      <c r="B13">
        <v>100</v>
      </c>
      <c r="C13" t="s">
        <v>414</v>
      </c>
      <c r="D13" t="s">
        <v>519</v>
      </c>
      <c r="E13">
        <f>E11/E12</f>
        <v>0.2709333333333333</v>
      </c>
    </row>
    <row r="15" spans="1:42" x14ac:dyDescent="0.25">
      <c r="A15" s="122" t="s">
        <v>537</v>
      </c>
      <c r="B15" s="122" t="s">
        <v>192</v>
      </c>
    </row>
    <row r="16" spans="1:42" x14ac:dyDescent="0.25">
      <c r="A16" s="122" t="s">
        <v>202</v>
      </c>
      <c r="B16" s="143" t="s">
        <v>533</v>
      </c>
      <c r="C16" s="122" t="s">
        <v>538</v>
      </c>
      <c r="D16" s="122" t="s">
        <v>540</v>
      </c>
      <c r="E16" s="1" t="s">
        <v>536</v>
      </c>
      <c r="F16" s="140">
        <v>0.05</v>
      </c>
      <c r="G16" s="1" t="s">
        <v>536</v>
      </c>
      <c r="H16" s="140">
        <v>0.1</v>
      </c>
      <c r="I16" s="1" t="s">
        <v>536</v>
      </c>
      <c r="J16" s="140">
        <v>0.15</v>
      </c>
      <c r="K16" s="1" t="s">
        <v>536</v>
      </c>
      <c r="L16" s="140">
        <v>0.2</v>
      </c>
      <c r="M16" t="s">
        <v>536</v>
      </c>
      <c r="N16" s="141">
        <v>0.25</v>
      </c>
      <c r="O16" t="s">
        <v>536</v>
      </c>
      <c r="P16" s="141">
        <v>0.3</v>
      </c>
      <c r="Q16" t="s">
        <v>536</v>
      </c>
      <c r="R16" s="141">
        <v>0.35</v>
      </c>
      <c r="S16" t="s">
        <v>536</v>
      </c>
      <c r="T16" s="141">
        <v>0.4</v>
      </c>
      <c r="U16" t="s">
        <v>536</v>
      </c>
      <c r="V16" s="141">
        <v>0.45</v>
      </c>
      <c r="W16" t="s">
        <v>536</v>
      </c>
      <c r="X16" s="141">
        <v>0.5</v>
      </c>
      <c r="Y16" t="s">
        <v>536</v>
      </c>
      <c r="Z16" s="141">
        <v>0.55000000000000004</v>
      </c>
      <c r="AA16" t="s">
        <v>536</v>
      </c>
      <c r="AB16" s="141">
        <v>0.6</v>
      </c>
      <c r="AC16" t="s">
        <v>536</v>
      </c>
      <c r="AD16" s="141">
        <v>0.65</v>
      </c>
      <c r="AE16" t="s">
        <v>536</v>
      </c>
      <c r="AF16" s="141">
        <v>0.7</v>
      </c>
      <c r="AG16" t="s">
        <v>536</v>
      </c>
      <c r="AH16" s="141">
        <v>0.75</v>
      </c>
      <c r="AI16" t="s">
        <v>536</v>
      </c>
      <c r="AJ16" s="141">
        <v>0.8</v>
      </c>
      <c r="AK16" t="s">
        <v>536</v>
      </c>
      <c r="AL16" s="141">
        <v>0.85</v>
      </c>
      <c r="AM16" t="s">
        <v>536</v>
      </c>
      <c r="AN16" s="141">
        <v>0.9</v>
      </c>
      <c r="AO16" t="s">
        <v>536</v>
      </c>
      <c r="AP16" s="141">
        <v>0.95</v>
      </c>
    </row>
    <row r="17" spans="1:42" x14ac:dyDescent="0.25">
      <c r="A17" s="121" t="s">
        <v>182</v>
      </c>
      <c r="B17" s="121" t="s">
        <v>534</v>
      </c>
      <c r="C17" s="121" t="s">
        <v>535</v>
      </c>
      <c r="D17" s="121" t="s">
        <v>421</v>
      </c>
      <c r="E17" s="14" t="s">
        <v>244</v>
      </c>
      <c r="F17" s="6" t="s">
        <v>245</v>
      </c>
      <c r="G17" s="14" t="s">
        <v>244</v>
      </c>
      <c r="H17" s="6" t="s">
        <v>245</v>
      </c>
      <c r="I17" s="14" t="s">
        <v>244</v>
      </c>
      <c r="J17" s="6" t="s">
        <v>245</v>
      </c>
      <c r="K17" s="14" t="s">
        <v>244</v>
      </c>
      <c r="L17" s="6" t="s">
        <v>245</v>
      </c>
      <c r="M17" t="s">
        <v>244</v>
      </c>
      <c r="N17" t="s">
        <v>245</v>
      </c>
      <c r="O17" t="s">
        <v>244</v>
      </c>
      <c r="P17" t="s">
        <v>245</v>
      </c>
      <c r="Q17" t="s">
        <v>244</v>
      </c>
      <c r="R17" t="s">
        <v>245</v>
      </c>
      <c r="S17" t="s">
        <v>244</v>
      </c>
      <c r="T17" t="s">
        <v>245</v>
      </c>
      <c r="U17" t="s">
        <v>244</v>
      </c>
      <c r="V17" t="s">
        <v>245</v>
      </c>
      <c r="W17" t="s">
        <v>244</v>
      </c>
      <c r="X17" t="s">
        <v>245</v>
      </c>
      <c r="Y17" t="s">
        <v>244</v>
      </c>
      <c r="Z17" t="s">
        <v>245</v>
      </c>
      <c r="AA17" t="s">
        <v>244</v>
      </c>
      <c r="AB17" t="s">
        <v>245</v>
      </c>
      <c r="AC17" t="s">
        <v>244</v>
      </c>
      <c r="AD17" t="s">
        <v>245</v>
      </c>
      <c r="AE17" t="s">
        <v>244</v>
      </c>
      <c r="AF17" t="s">
        <v>245</v>
      </c>
      <c r="AG17" t="s">
        <v>244</v>
      </c>
      <c r="AH17" t="s">
        <v>245</v>
      </c>
      <c r="AI17" t="s">
        <v>244</v>
      </c>
      <c r="AJ17" t="s">
        <v>245</v>
      </c>
      <c r="AK17" t="s">
        <v>244</v>
      </c>
      <c r="AL17" t="s">
        <v>245</v>
      </c>
      <c r="AM17" t="s">
        <v>244</v>
      </c>
      <c r="AN17" t="s">
        <v>245</v>
      </c>
      <c r="AO17" t="s">
        <v>244</v>
      </c>
      <c r="AP17" t="s">
        <v>245</v>
      </c>
    </row>
    <row r="18" spans="1:42" x14ac:dyDescent="0.25">
      <c r="A18" s="129">
        <v>0</v>
      </c>
      <c r="B18" s="129" t="e">
        <f>'Sub C_D_0'!AX10</f>
        <v>#DIV/0!</v>
      </c>
      <c r="C18" s="129" t="e">
        <f>'C_L vs. α'!Y316</f>
        <v>#NUM!</v>
      </c>
      <c r="D18" s="144">
        <v>-6</v>
      </c>
      <c r="E18" s="14">
        <f>(D18-$B$12)*$C$19</f>
        <v>-0.53088149414883845</v>
      </c>
      <c r="F18" s="6">
        <f>$B$19+$B$7*E18^2+$B$8*(E18-E$21)^2</f>
        <v>4.4523663158004323E-2</v>
      </c>
      <c r="G18" s="14">
        <f>(D18-$B$12)*$C$20</f>
        <v>-0.53513095678736722</v>
      </c>
      <c r="H18" s="6">
        <f>$B$20+$B$7*G18^2+$B$8*(G18-G$21)^2</f>
        <v>4.3589730303003039E-2</v>
      </c>
      <c r="I18" s="14">
        <f>(D18-$B$12)*$C$21</f>
        <v>-0.54137983016242686</v>
      </c>
      <c r="J18" s="6">
        <f>$B$21+$B$7*I18^2+$B$8*(I18-I$21)^2</f>
        <v>4.3586772643464874E-2</v>
      </c>
      <c r="K18" s="14">
        <f>(D18-$B$12)*$C$22</f>
        <v>-0.54997377359954247</v>
      </c>
      <c r="L18" s="6">
        <f>$B$22+$B$7*K18^2+$B$8*(K18-K$21)^2</f>
        <v>4.4127654070337446E-2</v>
      </c>
      <c r="M18" s="14">
        <f>(D18-$B$12)*$C$23</f>
        <v>-0.56120404544573077</v>
      </c>
      <c r="N18" s="6">
        <f>$B$23+$B$7*M18^2+$B$8*(M18-M$21)^2</f>
        <v>4.5137801581509471E-2</v>
      </c>
      <c r="O18" s="14">
        <f>(D18-$B$12)*$C$24</f>
        <v>-0.57486478821676545</v>
      </c>
      <c r="P18" s="6">
        <f>$B$24+$B$7*O18^2+$B$8*(O18-O$21)^2</f>
        <v>4.7049095530753253E-2</v>
      </c>
      <c r="Q18" s="14">
        <f>(D18-$B$12)*$C$25</f>
        <v>-0.59252488664670011</v>
      </c>
      <c r="R18" s="6">
        <f>$B$25+$B$7*Q18^2+$B$8*(Q18-Q$21)^2</f>
        <v>4.9069572609656456E-2</v>
      </c>
      <c r="S18" s="14">
        <f>(D18-$B$12)*$C$26</f>
        <v>-0.61418333278706749</v>
      </c>
      <c r="T18" s="6">
        <f>$B$26+$B$7*S18^2+$B$8*(S18-S$21)^2</f>
        <v>5.1733580760752886E-2</v>
      </c>
      <c r="U18" s="14">
        <f>(D18-$B$12)*$C$27</f>
        <v>-0.64060594681620064</v>
      </c>
      <c r="V18" s="6">
        <f>$B$27+$B$7*U18^2+$B$8*(U18-U$21)^2</f>
        <v>5.5195788640504187E-2</v>
      </c>
      <c r="W18" s="14">
        <f>(D18-$B$12)*$C$28</f>
        <v>-0.67282240725830456</v>
      </c>
      <c r="X18" s="6">
        <f>$B$28+$B$7*W18^2+$B$8*(W18-W$21)^2</f>
        <v>5.9684330308149063E-2</v>
      </c>
      <c r="Y18" s="14">
        <f>(D18-$B$12)*$C$29</f>
        <v>-0.71223599214894739</v>
      </c>
      <c r="Z18" s="6">
        <f>$B$29+$B$7*Y18^2+$B$8*(Y18-Y$21)^2</f>
        <v>6.5536491764826579E-2</v>
      </c>
      <c r="AA18" s="14">
        <f>(D18-$B$12)*$C$30</f>
        <v>-0.7607900058537177</v>
      </c>
      <c r="AB18" s="6">
        <f>$B$30+$B$7*AA18^2+$B$8*(AA18-AA$21)^2</f>
        <v>7.3259523566042803E-2</v>
      </c>
      <c r="AC18" s="14">
        <f>(D18-$B$12)*$C$31</f>
        <v>-0.82143257677186066</v>
      </c>
      <c r="AD18" s="6">
        <f>$B$31+$B$7*AC18^2+$B$8*(AC18-AC$21)^2</f>
        <v>8.4158595870524225E-2</v>
      </c>
      <c r="AE18" s="14">
        <f>(D18-$B$12)*$C$32</f>
        <v>-0.8980837458900971</v>
      </c>
      <c r="AF18" s="6">
        <f>$B$32+$B$7*AE18^2+$B$8*(AE18-AE$21)^2</f>
        <v>9.8508895613706515E-2</v>
      </c>
      <c r="AG18" s="14">
        <f>(D18-$B$12)*$C$33</f>
        <v>-0.99643664382792685</v>
      </c>
      <c r="AH18" s="6">
        <f>$B$33+$B$7*AG18^2+$B$8*(AG18-AG$21)^2</f>
        <v>0.11884815321854153</v>
      </c>
      <c r="AI18" s="14">
        <f>(D18-$B$12)*$C$34</f>
        <v>-1.1244509116668151</v>
      </c>
      <c r="AJ18">
        <f>$B$34+$B$9*AI18^2</f>
        <v>0.137409316072579</v>
      </c>
      <c r="AK18" s="14">
        <f>(D18-$B$12)*$C$35</f>
        <v>-1.2955252960785928</v>
      </c>
      <c r="AL18">
        <f>$B$35+$B$9*AK18^2</f>
        <v>0.17955488329359351</v>
      </c>
      <c r="AM18" s="14">
        <f>(D18-$B$12)*$C$36</f>
        <v>-1.4890688188613526</v>
      </c>
      <c r="AN18">
        <f>$B$36+$B$9*AM18^2</f>
        <v>0.23383889079370529</v>
      </c>
      <c r="AO18" s="14">
        <f>(D18-$B$12)*$C$37</f>
        <v>-1.3653184641024034</v>
      </c>
      <c r="AP18">
        <f>$B$37+$B$9*AO18^2</f>
        <v>0.19813164536787553</v>
      </c>
    </row>
    <row r="19" spans="1:42" x14ac:dyDescent="0.25">
      <c r="A19" s="139">
        <v>0.05</v>
      </c>
      <c r="B19" s="256">
        <f>'Sub C_D_0'!AX11</f>
        <v>1.3613824018704123E-2</v>
      </c>
      <c r="C19" s="256">
        <f>'C_L vs. α'!Y317</f>
        <v>0.10617629882976769</v>
      </c>
      <c r="D19" s="144">
        <v>-4</v>
      </c>
      <c r="E19" s="14">
        <f t="shared" ref="E19:E29" si="0">(D19-$B$12)*$C$19</f>
        <v>-0.31852889648930305</v>
      </c>
      <c r="F19" s="6">
        <f t="shared" ref="F19:F29" si="1">$B$19+$B$7*E19^2+$B$8*(E19-E$21)^2</f>
        <v>2.5426789219990035E-2</v>
      </c>
      <c r="G19" s="14">
        <f t="shared" ref="G19:G29" si="2">(D19-$B$12)*$C$20</f>
        <v>-0.3210785740724203</v>
      </c>
      <c r="H19" s="6">
        <f t="shared" ref="H19:H29" si="3">$B$20+$B$7*G19^2+$B$8*(G19-G$21)^2</f>
        <v>2.4185909359789762E-2</v>
      </c>
      <c r="I19" s="14">
        <f t="shared" ref="I19:I29" si="4">(D19-$B$12)*$C$21</f>
        <v>-0.3248278980974561</v>
      </c>
      <c r="J19" s="6">
        <f t="shared" ref="J19:J29" si="5">$B$21+$B$7*I19^2+$B$8*(I19-I$21)^2</f>
        <v>2.3727138163990753E-2</v>
      </c>
      <c r="K19" s="14">
        <f t="shared" ref="K19:K29" si="6">(D19-$B$12)*$C$22</f>
        <v>-0.32998426415972548</v>
      </c>
      <c r="L19" s="6">
        <f t="shared" ref="L19:L29" si="7">$B$22+$B$7*K19^2+$B$8*(K19-K$21)^2</f>
        <v>2.3632505644250366E-2</v>
      </c>
      <c r="M19" s="14">
        <f t="shared" ref="M19:M29" si="8">(D19-$B$12)*$C$23</f>
        <v>-0.33672242726743851</v>
      </c>
      <c r="N19" s="6">
        <f t="shared" ref="N19:N29" si="9">$B$23+$B$7*M19^2+$B$8*(M19-M$21)^2</f>
        <v>2.3797099949170168E-2</v>
      </c>
      <c r="O19" s="14">
        <f t="shared" ref="O19:O29" si="10">(D19-$B$12)*$C$24</f>
        <v>-0.34491887293005924</v>
      </c>
      <c r="P19" s="6">
        <f t="shared" ref="P19:P29" si="11">$B$24+$B$7*O19^2+$B$8*(O19-O$21)^2</f>
        <v>2.4656804818784864E-2</v>
      </c>
      <c r="Q19" s="14">
        <f t="shared" ref="Q19:Q29" si="12">(D19-$B$12)*$C$25</f>
        <v>-0.35551493198802003</v>
      </c>
      <c r="R19" s="6">
        <f t="shared" ref="R19:R29" si="13">$B$25+$B$7*Q19^2+$B$8*(Q19-Q$21)^2</f>
        <v>2.5280347293624224E-2</v>
      </c>
      <c r="S19" s="14">
        <f t="shared" ref="S19:S29" si="14">(D19-$B$12)*$C$26</f>
        <v>-0.36850999967224052</v>
      </c>
      <c r="T19" s="6">
        <f t="shared" ref="T19:T29" si="15">$B$26+$B$7*S19^2+$B$8*(S19-S$21)^2</f>
        <v>2.6173444694454099E-2</v>
      </c>
      <c r="U19" s="14">
        <f t="shared" ref="U19:U29" si="16">(D19-$B$12)*$C$27</f>
        <v>-0.38436356808972039</v>
      </c>
      <c r="V19" s="6">
        <f t="shared" ref="V19:V29" si="17">$B$27+$B$7*U19^2+$B$8*(U19-U$21)^2</f>
        <v>2.7389114991554289E-2</v>
      </c>
      <c r="W19" s="14">
        <f t="shared" ref="W19:W29" si="18">(D19-$B$12)*$C$28</f>
        <v>-0.40369344435498278</v>
      </c>
      <c r="X19" s="6">
        <f t="shared" ref="X19:X29" si="19">$B$28+$B$7*W19^2+$B$8*(W19-W$21)^2</f>
        <v>2.9010500686555162E-2</v>
      </c>
      <c r="Y19" s="14">
        <f t="shared" ref="Y19:Y29" si="20">(D19-$B$12)*$C$29</f>
        <v>-0.42734159528936844</v>
      </c>
      <c r="Z19" s="6">
        <f t="shared" ref="Z19:Z29" si="21">$B$29+$B$7*Y19^2+$B$8*(Y19-Y$21)^2</f>
        <v>3.1163689396931094E-2</v>
      </c>
      <c r="AA19" s="14">
        <f t="shared" ref="AA19:AA29" si="22">(D19-$B$12)*$C$30</f>
        <v>-0.45647400351223066</v>
      </c>
      <c r="AB19" s="6">
        <f t="shared" ref="AB19:AB29" si="23">$B$30+$B$7*AA19^2+$B$8*(AA19-AA$21)^2</f>
        <v>3.404050643299722E-2</v>
      </c>
      <c r="AC19" s="14">
        <f t="shared" ref="AC19:AC29" si="24">(D19-$B$12)*$C$31</f>
        <v>-0.49285954606311644</v>
      </c>
      <c r="AD19" s="6">
        <f t="shared" ref="AD19:AD29" si="25">$B$31+$B$7*AC19^2+$B$8*(AC19-AC$21)^2</f>
        <v>3.8438097830474388E-2</v>
      </c>
      <c r="AE19" s="14">
        <f t="shared" ref="AE19:AE29" si="26">(D19-$B$12)*$C$32</f>
        <v>-0.5388502475340583</v>
      </c>
      <c r="AF19" s="6">
        <f t="shared" ref="AF19:AF29" si="27">$B$32+$B$7*AE19^2+$B$8*(AE19-AE$21)^2</f>
        <v>4.3857559935675396E-2</v>
      </c>
      <c r="AG19" s="14">
        <f t="shared" ref="AG19:AG29" si="28">(D19-$B$12)*$C$33</f>
        <v>-0.59786198629675602</v>
      </c>
      <c r="AH19" s="6">
        <f t="shared" ref="AH19:AH29" si="29">$B$33+$B$7*AG19^2+$B$8*(AG19-AG$21)^2</f>
        <v>5.157117316516488E-2</v>
      </c>
      <c r="AI19" s="14">
        <f t="shared" ref="AI19:AI29" si="30">(D19-$B$12)*$C$34</f>
        <v>-0.6746705470000891</v>
      </c>
      <c r="AJ19">
        <f t="shared" ref="AJ19:AJ29" si="31">$B$34+$B$9*AI19^2</f>
        <v>5.5781547902312156E-2</v>
      </c>
      <c r="AK19" s="14">
        <f t="shared" ref="AK19:AK29" si="32">(D19-$B$12)*$C$35</f>
        <v>-0.77731517764715574</v>
      </c>
      <c r="AL19">
        <f t="shared" ref="AL19:AL29" si="33">$B$35+$B$9*AK19^2</f>
        <v>7.1199943481729894E-2</v>
      </c>
      <c r="AM19" s="14">
        <f t="shared" ref="AM19:AM29" si="34">(D19-$B$12)*$C$36</f>
        <v>-0.8934412913168116</v>
      </c>
      <c r="AN19">
        <f t="shared" ref="AN19:AN29" si="35">$B$36+$B$9*AM19^2</f>
        <v>9.0690503458009553E-2</v>
      </c>
      <c r="AO19" s="14">
        <f t="shared" ref="AO19:AO29" si="36">$C$37*(RADIANS(D19-$B$12))+$E$10*RADIANS(D19)^2</f>
        <v>-1.0398478548845499E-2</v>
      </c>
      <c r="AP19">
        <f t="shared" ref="AP19:AP29" si="37">$B$37+$B$9*AO19^2</f>
        <v>1.0104877242354348E-2</v>
      </c>
    </row>
    <row r="20" spans="1:42" x14ac:dyDescent="0.25">
      <c r="A20" s="129">
        <v>0.1</v>
      </c>
      <c r="B20" s="256">
        <f>'Sub C_D_0'!AX12</f>
        <v>1.2183072543766073E-2</v>
      </c>
      <c r="C20" s="256">
        <f>'C_L vs. α'!Y318</f>
        <v>0.10702619135747343</v>
      </c>
      <c r="D20" s="144">
        <v>-2</v>
      </c>
      <c r="E20" s="14">
        <f t="shared" si="0"/>
        <v>-0.10617629882976769</v>
      </c>
      <c r="F20" s="6">
        <f t="shared" si="1"/>
        <v>1.5427415993655364E-2</v>
      </c>
      <c r="G20" s="14">
        <f t="shared" si="2"/>
        <v>-0.10702619135747343</v>
      </c>
      <c r="H20" s="6">
        <f t="shared" si="3"/>
        <v>1.4025814662723662E-2</v>
      </c>
      <c r="I20" s="14">
        <f t="shared" si="4"/>
        <v>-0.10827596603248536</v>
      </c>
      <c r="J20" s="6">
        <f t="shared" si="5"/>
        <v>1.3328373531442974E-2</v>
      </c>
      <c r="K20" s="14">
        <f t="shared" si="6"/>
        <v>-0.10999475471990849</v>
      </c>
      <c r="L20" s="6">
        <f t="shared" si="7"/>
        <v>1.2900977588571116E-2</v>
      </c>
      <c r="M20" s="14">
        <f t="shared" si="8"/>
        <v>-0.11224080908914616</v>
      </c>
      <c r="N20" s="6">
        <f t="shared" si="9"/>
        <v>1.2622829164001063E-2</v>
      </c>
      <c r="O20" s="14">
        <f t="shared" si="10"/>
        <v>-0.11497295764335308</v>
      </c>
      <c r="P20" s="6">
        <f t="shared" si="11"/>
        <v>1.2931908223230267E-2</v>
      </c>
      <c r="Q20" s="14">
        <f t="shared" si="12"/>
        <v>-0.11850497732934001</v>
      </c>
      <c r="R20" s="6">
        <f t="shared" si="13"/>
        <v>1.2823997449535014E-2</v>
      </c>
      <c r="S20" s="14">
        <f t="shared" si="14"/>
        <v>-0.1228366665574135</v>
      </c>
      <c r="T20" s="6">
        <f t="shared" si="15"/>
        <v>1.2789822795267216E-2</v>
      </c>
      <c r="U20" s="14">
        <f t="shared" si="16"/>
        <v>-0.12812118936324013</v>
      </c>
      <c r="V20" s="6">
        <f t="shared" si="17"/>
        <v>1.2829176600525289E-2</v>
      </c>
      <c r="W20" s="14">
        <f t="shared" si="18"/>
        <v>-0.13456448145166092</v>
      </c>
      <c r="X20" s="6">
        <f t="shared" si="19"/>
        <v>1.2949281889024031E-2</v>
      </c>
      <c r="Y20" s="14">
        <f t="shared" si="20"/>
        <v>-0.14244719842978948</v>
      </c>
      <c r="Z20" s="6">
        <f t="shared" si="21"/>
        <v>1.3165640039363519E-2</v>
      </c>
      <c r="AA20" s="14">
        <f t="shared" si="22"/>
        <v>-0.15215800117074355</v>
      </c>
      <c r="AB20" s="6">
        <f t="shared" si="23"/>
        <v>1.3504915573663375E-2</v>
      </c>
      <c r="AC20" s="14">
        <f t="shared" si="24"/>
        <v>-0.16428651535437214</v>
      </c>
      <c r="AD20" s="6">
        <f t="shared" si="25"/>
        <v>1.4498246445358172E-2</v>
      </c>
      <c r="AE20" s="14">
        <f t="shared" si="26"/>
        <v>-0.17961674917801942</v>
      </c>
      <c r="AF20" s="6">
        <f t="shared" si="27"/>
        <v>1.5241405033248653E-2</v>
      </c>
      <c r="AG20" s="14">
        <f t="shared" si="28"/>
        <v>-0.19928732876558536</v>
      </c>
      <c r="AH20" s="6">
        <f t="shared" si="29"/>
        <v>1.6344065562215668E-2</v>
      </c>
      <c r="AI20" s="14">
        <f t="shared" si="30"/>
        <v>-0.22489018233336303</v>
      </c>
      <c r="AJ20">
        <f t="shared" si="31"/>
        <v>1.4967663817178739E-2</v>
      </c>
      <c r="AK20" s="14">
        <f t="shared" si="32"/>
        <v>-0.25910505921571858</v>
      </c>
      <c r="AL20">
        <f t="shared" si="33"/>
        <v>1.7022473575798062E-2</v>
      </c>
      <c r="AM20" s="14">
        <f t="shared" si="34"/>
        <v>-0.29781376377227053</v>
      </c>
      <c r="AN20">
        <f t="shared" si="35"/>
        <v>1.9116309790161653E-2</v>
      </c>
      <c r="AO20" s="14">
        <f t="shared" si="36"/>
        <v>-3.7910847640543225E-3</v>
      </c>
      <c r="AP20">
        <f t="shared" si="37"/>
        <v>1.0095419746333455E-2</v>
      </c>
    </row>
    <row r="21" spans="1:42" s="29" customFormat="1" x14ac:dyDescent="0.25">
      <c r="A21" s="139">
        <v>0.15</v>
      </c>
      <c r="B21" s="256">
        <f>'Sub C_D_0'!AX13</f>
        <v>1.1442343711361106E-2</v>
      </c>
      <c r="C21" s="256">
        <f>'C_L vs. α'!Y319</f>
        <v>0.10827596603248536</v>
      </c>
      <c r="D21" s="143">
        <v>0</v>
      </c>
      <c r="E21" s="83">
        <f t="shared" si="0"/>
        <v>0.10617629882976769</v>
      </c>
      <c r="F21" s="21">
        <f t="shared" si="1"/>
        <v>1.4525543479000314E-2</v>
      </c>
      <c r="G21" s="83">
        <f t="shared" si="2"/>
        <v>0.10702619135747343</v>
      </c>
      <c r="H21" s="21">
        <f t="shared" si="3"/>
        <v>1.3109446211804741E-2</v>
      </c>
      <c r="I21" s="83">
        <f t="shared" si="4"/>
        <v>0.10827596603248536</v>
      </c>
      <c r="J21" s="21">
        <f t="shared" si="5"/>
        <v>1.239047874582154E-2</v>
      </c>
      <c r="K21" s="83">
        <f t="shared" si="6"/>
        <v>0.10999475471990849</v>
      </c>
      <c r="L21" s="21">
        <f t="shared" si="7"/>
        <v>1.193306990329969E-2</v>
      </c>
      <c r="M21" s="83">
        <f t="shared" si="8"/>
        <v>0.11224080908914616</v>
      </c>
      <c r="N21" s="21">
        <f t="shared" si="9"/>
        <v>1.1614989226002171E-2</v>
      </c>
      <c r="O21" s="83">
        <f t="shared" si="10"/>
        <v>0.11497295764335308</v>
      </c>
      <c r="P21" s="21">
        <f t="shared" si="11"/>
        <v>1.1874405744089446E-2</v>
      </c>
      <c r="Q21" s="83">
        <f t="shared" si="12"/>
        <v>0.11850497732934001</v>
      </c>
      <c r="R21" s="21">
        <f t="shared" si="13"/>
        <v>1.1700523077388822E-2</v>
      </c>
      <c r="S21" s="83">
        <f t="shared" si="14"/>
        <v>0.1228366665574135</v>
      </c>
      <c r="T21" s="21">
        <f t="shared" si="15"/>
        <v>1.1582715063192242E-2</v>
      </c>
      <c r="U21" s="83">
        <f t="shared" si="16"/>
        <v>0.12812118936324013</v>
      </c>
      <c r="V21" s="21">
        <f t="shared" si="17"/>
        <v>1.1515973467417191E-2</v>
      </c>
      <c r="W21" s="83">
        <f t="shared" si="18"/>
        <v>0.13456448145166092</v>
      </c>
      <c r="X21" s="21">
        <f t="shared" si="19"/>
        <v>1.1500673915555679E-2</v>
      </c>
      <c r="Y21" s="83">
        <f t="shared" si="20"/>
        <v>0.14244719842978948</v>
      </c>
      <c r="Z21" s="21">
        <f t="shared" si="21"/>
        <v>1.1542343692123853E-2</v>
      </c>
      <c r="AA21" s="83">
        <f t="shared" si="22"/>
        <v>0.15215800117074355</v>
      </c>
      <c r="AB21" s="21">
        <f t="shared" si="23"/>
        <v>1.1652750988041295E-2</v>
      </c>
      <c r="AC21" s="83">
        <f t="shared" si="24"/>
        <v>0.16428651535437214</v>
      </c>
      <c r="AD21" s="21">
        <f t="shared" si="25"/>
        <v>1.2339041715175584E-2</v>
      </c>
      <c r="AE21" s="83">
        <f t="shared" si="26"/>
        <v>0.17961674917801942</v>
      </c>
      <c r="AF21" s="21">
        <f t="shared" si="27"/>
        <v>1.266043090642629E-2</v>
      </c>
      <c r="AG21" s="83">
        <f t="shared" si="28"/>
        <v>0.19928732876558536</v>
      </c>
      <c r="AH21" s="21">
        <f t="shared" si="29"/>
        <v>1.3166830409693867E-2</v>
      </c>
      <c r="AI21" s="83">
        <f t="shared" si="30"/>
        <v>0.22489018233336303</v>
      </c>
      <c r="AJ21" s="99">
        <f t="shared" si="31"/>
        <v>1.4967663817178739E-2</v>
      </c>
      <c r="AK21" s="83">
        <f t="shared" si="32"/>
        <v>0.25910505921571858</v>
      </c>
      <c r="AL21" s="99">
        <f t="shared" si="33"/>
        <v>1.7022473575798062E-2</v>
      </c>
      <c r="AM21" s="83">
        <f t="shared" si="34"/>
        <v>0.29781376377227053</v>
      </c>
      <c r="AN21" s="99">
        <f t="shared" si="35"/>
        <v>1.9116309790161653E-2</v>
      </c>
      <c r="AO21" s="83">
        <f t="shared" si="36"/>
        <v>4.7658605073717898E-3</v>
      </c>
      <c r="AP21" s="99">
        <f t="shared" si="37"/>
        <v>1.0096261142278032E-2</v>
      </c>
    </row>
    <row r="22" spans="1:42" x14ac:dyDescent="0.25">
      <c r="A22" s="129">
        <v>0.2</v>
      </c>
      <c r="B22" s="256">
        <f>'Sub C_D_0'!AX14</f>
        <v>1.0954594278316567E-2</v>
      </c>
      <c r="C22" s="256">
        <f>'C_L vs. α'!Y320</f>
        <v>0.10999475471990849</v>
      </c>
      <c r="D22" s="144">
        <v>2</v>
      </c>
      <c r="E22" s="14">
        <f t="shared" si="0"/>
        <v>0.31852889648930305</v>
      </c>
      <c r="F22" s="6">
        <f t="shared" si="1"/>
        <v>2.2721171676024884E-2</v>
      </c>
      <c r="G22" s="14">
        <f t="shared" si="2"/>
        <v>0.3210785740724203</v>
      </c>
      <c r="H22" s="6">
        <f t="shared" si="3"/>
        <v>2.1436804007032996E-2</v>
      </c>
      <c r="I22" s="14">
        <f t="shared" si="4"/>
        <v>0.3248278980974561</v>
      </c>
      <c r="J22" s="6">
        <f t="shared" si="5"/>
        <v>2.0913453807126451E-2</v>
      </c>
      <c r="K22" s="14">
        <f t="shared" si="6"/>
        <v>0.32998426415972548</v>
      </c>
      <c r="L22" s="6">
        <f t="shared" si="7"/>
        <v>2.0728782588436086E-2</v>
      </c>
      <c r="M22" s="14">
        <f t="shared" si="8"/>
        <v>0.33672242726743851</v>
      </c>
      <c r="N22" s="6">
        <f t="shared" si="9"/>
        <v>2.0773580135173494E-2</v>
      </c>
      <c r="O22" s="14">
        <f t="shared" si="10"/>
        <v>0.34491887293005924</v>
      </c>
      <c r="P22" s="6">
        <f t="shared" si="11"/>
        <v>2.1484297381362399E-2</v>
      </c>
      <c r="Q22" s="14">
        <f t="shared" si="12"/>
        <v>0.35551493198802003</v>
      </c>
      <c r="R22" s="6">
        <f t="shared" si="13"/>
        <v>2.1909924177185649E-2</v>
      </c>
      <c r="S22" s="14">
        <f t="shared" si="14"/>
        <v>0.36850999967224052</v>
      </c>
      <c r="T22" s="6">
        <f t="shared" si="15"/>
        <v>2.2552121498229175E-2</v>
      </c>
      <c r="U22" s="14">
        <f t="shared" si="16"/>
        <v>0.38436356808972039</v>
      </c>
      <c r="V22" s="6">
        <f t="shared" si="17"/>
        <v>2.3449505592229993E-2</v>
      </c>
      <c r="W22" s="14">
        <f t="shared" si="18"/>
        <v>0.40369344435498278</v>
      </c>
      <c r="X22" s="6">
        <f t="shared" si="19"/>
        <v>2.4664676766150109E-2</v>
      </c>
      <c r="Y22" s="14">
        <f t="shared" si="20"/>
        <v>0.42734159528936844</v>
      </c>
      <c r="Z22" s="6">
        <f t="shared" si="21"/>
        <v>2.6293800355212095E-2</v>
      </c>
      <c r="AA22" s="14">
        <f t="shared" si="22"/>
        <v>0.45647400351223066</v>
      </c>
      <c r="AB22" s="6">
        <f t="shared" si="23"/>
        <v>2.8484012676130981E-2</v>
      </c>
      <c r="AC22" s="14">
        <f t="shared" si="24"/>
        <v>0.49285954606311644</v>
      </c>
      <c r="AD22" s="6">
        <f t="shared" si="25"/>
        <v>3.1960483639926623E-2</v>
      </c>
      <c r="AE22" s="14">
        <f t="shared" si="26"/>
        <v>0.5388502475340583</v>
      </c>
      <c r="AF22" s="6">
        <f t="shared" si="27"/>
        <v>3.6114637555208308E-2</v>
      </c>
      <c r="AG22" s="14">
        <f t="shared" si="28"/>
        <v>0.59786198629675602</v>
      </c>
      <c r="AH22" s="6">
        <f t="shared" si="29"/>
        <v>4.2039467707599476E-2</v>
      </c>
      <c r="AI22" s="14">
        <f t="shared" si="30"/>
        <v>0.6746705470000891</v>
      </c>
      <c r="AJ22">
        <f t="shared" si="31"/>
        <v>5.5781547902312156E-2</v>
      </c>
      <c r="AK22" s="14">
        <f t="shared" si="32"/>
        <v>0.77731517764715574</v>
      </c>
      <c r="AL22">
        <f t="shared" si="33"/>
        <v>7.1199943481729894E-2</v>
      </c>
      <c r="AM22" s="14">
        <f t="shared" si="34"/>
        <v>0.8934412913168116</v>
      </c>
      <c r="AN22">
        <f t="shared" si="35"/>
        <v>9.0690503458009553E-2</v>
      </c>
      <c r="AO22" s="14">
        <f t="shared" si="36"/>
        <v>1.5272357265432837E-2</v>
      </c>
      <c r="AP22">
        <f t="shared" si="37"/>
        <v>1.0117498181522992E-2</v>
      </c>
    </row>
    <row r="23" spans="1:42" x14ac:dyDescent="0.25">
      <c r="A23" s="139">
        <v>0.25</v>
      </c>
      <c r="B23" s="256">
        <f>'Sub C_D_0'!AX15</f>
        <v>1.0596145354605619E-2</v>
      </c>
      <c r="C23" s="256">
        <f>'C_L vs. α'!Y321</f>
        <v>0.11224080908914616</v>
      </c>
      <c r="D23" s="144">
        <v>4</v>
      </c>
      <c r="E23" s="14">
        <f t="shared" si="0"/>
        <v>0.53088149414883845</v>
      </c>
      <c r="F23" s="6">
        <f t="shared" si="1"/>
        <v>4.001430058472908E-2</v>
      </c>
      <c r="G23" s="14">
        <f t="shared" si="2"/>
        <v>0.53513095678736722</v>
      </c>
      <c r="H23" s="6">
        <f t="shared" si="3"/>
        <v>3.9007888048408434E-2</v>
      </c>
      <c r="I23" s="14">
        <f t="shared" si="4"/>
        <v>0.54137983016242686</v>
      </c>
      <c r="J23" s="6">
        <f t="shared" si="5"/>
        <v>3.88972987153577E-2</v>
      </c>
      <c r="K23" s="14">
        <f t="shared" si="6"/>
        <v>0.54997377359954247</v>
      </c>
      <c r="L23" s="6">
        <f t="shared" si="7"/>
        <v>3.9288115643980312E-2</v>
      </c>
      <c r="M23" s="14">
        <f t="shared" si="8"/>
        <v>0.56120404544573077</v>
      </c>
      <c r="N23" s="6">
        <f t="shared" si="9"/>
        <v>4.0098601891515012E-2</v>
      </c>
      <c r="O23" s="14">
        <f t="shared" si="10"/>
        <v>0.57486478821676545</v>
      </c>
      <c r="P23" s="6">
        <f t="shared" si="11"/>
        <v>4.1761583135049143E-2</v>
      </c>
      <c r="Q23" s="14">
        <f t="shared" si="12"/>
        <v>0.59252488664670011</v>
      </c>
      <c r="R23" s="6">
        <f t="shared" si="13"/>
        <v>4.3452200748925501E-2</v>
      </c>
      <c r="S23" s="14">
        <f t="shared" si="14"/>
        <v>0.61418333278706749</v>
      </c>
      <c r="T23" s="6">
        <f t="shared" si="15"/>
        <v>4.5698042100378006E-2</v>
      </c>
      <c r="U23" s="14">
        <f t="shared" si="16"/>
        <v>0.64060594681620064</v>
      </c>
      <c r="V23" s="6">
        <f t="shared" si="17"/>
        <v>4.8629772974963688E-2</v>
      </c>
      <c r="W23" s="14">
        <f t="shared" si="18"/>
        <v>0.67282240725830456</v>
      </c>
      <c r="X23" s="6">
        <f t="shared" si="19"/>
        <v>5.2441290440807309E-2</v>
      </c>
      <c r="Y23" s="14">
        <f t="shared" si="20"/>
        <v>0.71223599214894739</v>
      </c>
      <c r="Z23" s="6">
        <f t="shared" si="21"/>
        <v>5.7420010028628253E-2</v>
      </c>
      <c r="AA23" s="14">
        <f t="shared" si="22"/>
        <v>0.7607900058537177</v>
      </c>
      <c r="AB23" s="6">
        <f t="shared" si="23"/>
        <v>6.3998700637932407E-2</v>
      </c>
      <c r="AC23" s="14">
        <f t="shared" si="24"/>
        <v>0.82143257677186066</v>
      </c>
      <c r="AD23" s="6">
        <f t="shared" si="25"/>
        <v>7.3362572219611288E-2</v>
      </c>
      <c r="AE23" s="14">
        <f t="shared" si="26"/>
        <v>0.8980837458900971</v>
      </c>
      <c r="AF23" s="6">
        <f t="shared" si="27"/>
        <v>8.5604024979594698E-2</v>
      </c>
      <c r="AG23" s="14">
        <f t="shared" si="28"/>
        <v>0.99643664382792685</v>
      </c>
      <c r="AH23" s="6">
        <f t="shared" si="29"/>
        <v>0.10296197745593252</v>
      </c>
      <c r="AI23" s="14">
        <f t="shared" si="30"/>
        <v>1.1244509116668151</v>
      </c>
      <c r="AJ23">
        <f t="shared" si="31"/>
        <v>0.137409316072579</v>
      </c>
      <c r="AK23" s="14">
        <f t="shared" si="32"/>
        <v>1.2955252960785928</v>
      </c>
      <c r="AL23">
        <f t="shared" si="33"/>
        <v>0.17955488329359351</v>
      </c>
      <c r="AM23" s="14">
        <f t="shared" si="34"/>
        <v>1.4890688188613526</v>
      </c>
      <c r="AN23">
        <f t="shared" si="35"/>
        <v>0.23383889079370529</v>
      </c>
      <c r="AO23" s="14">
        <f t="shared" si="36"/>
        <v>2.7728405510128815E-2</v>
      </c>
      <c r="AP23">
        <f t="shared" si="37"/>
        <v>1.017152798498034E-2</v>
      </c>
    </row>
    <row r="24" spans="1:42" x14ac:dyDescent="0.25">
      <c r="A24" s="129">
        <v>0.3</v>
      </c>
      <c r="B24" s="256">
        <f>'Sub C_D_0'!AX16</f>
        <v>1.0805357099322928E-2</v>
      </c>
      <c r="C24" s="256">
        <f>'C_L vs. α'!Y322</f>
        <v>0.11497295764335308</v>
      </c>
      <c r="D24" s="144">
        <v>6</v>
      </c>
      <c r="E24" s="14">
        <f t="shared" si="0"/>
        <v>0.74323409180837385</v>
      </c>
      <c r="F24" s="6">
        <f t="shared" si="1"/>
        <v>6.64049302051129E-2</v>
      </c>
      <c r="G24" s="14">
        <f t="shared" si="2"/>
        <v>0.74918333950231397</v>
      </c>
      <c r="H24" s="6">
        <f t="shared" si="3"/>
        <v>6.5822698335931032E-2</v>
      </c>
      <c r="I24" s="14">
        <f t="shared" si="4"/>
        <v>0.75793176222739755</v>
      </c>
      <c r="J24" s="6">
        <f t="shared" si="5"/>
        <v>6.6342013470515299E-2</v>
      </c>
      <c r="K24" s="14">
        <f t="shared" si="6"/>
        <v>0.76996328303935946</v>
      </c>
      <c r="L24" s="6">
        <f t="shared" si="7"/>
        <v>6.7611069069932361E-2</v>
      </c>
      <c r="M24" s="14">
        <f t="shared" si="8"/>
        <v>0.78568566362402315</v>
      </c>
      <c r="N24" s="6">
        <f t="shared" si="9"/>
        <v>6.9590054495026754E-2</v>
      </c>
      <c r="O24" s="14">
        <f t="shared" si="10"/>
        <v>0.8048107035034715</v>
      </c>
      <c r="P24" s="6">
        <f t="shared" si="11"/>
        <v>7.2706263005149638E-2</v>
      </c>
      <c r="Q24" s="14">
        <f t="shared" si="12"/>
        <v>0.82953484130538002</v>
      </c>
      <c r="R24" s="6">
        <f t="shared" si="13"/>
        <v>7.6327352792608355E-2</v>
      </c>
      <c r="S24" s="14">
        <f t="shared" si="14"/>
        <v>0.85985666590189447</v>
      </c>
      <c r="T24" s="6">
        <f t="shared" si="15"/>
        <v>8.1020476869638758E-2</v>
      </c>
      <c r="U24" s="14">
        <f t="shared" si="16"/>
        <v>0.8968483255426809</v>
      </c>
      <c r="V24" s="6">
        <f t="shared" si="17"/>
        <v>8.7056775615618281E-2</v>
      </c>
      <c r="W24" s="14">
        <f t="shared" si="18"/>
        <v>0.94195137016162644</v>
      </c>
      <c r="X24" s="6">
        <f t="shared" si="19"/>
        <v>9.4830514939527308E-2</v>
      </c>
      <c r="Y24" s="14">
        <f t="shared" si="20"/>
        <v>0.99713038900852635</v>
      </c>
      <c r="Z24" s="6">
        <f t="shared" si="21"/>
        <v>0.10492097271237232</v>
      </c>
      <c r="AA24" s="14">
        <f t="shared" si="22"/>
        <v>1.0651060081952048</v>
      </c>
      <c r="AB24" s="6">
        <f t="shared" si="23"/>
        <v>0.1181968148734456</v>
      </c>
      <c r="AC24" s="14">
        <f t="shared" si="24"/>
        <v>1.1500056074806049</v>
      </c>
      <c r="AD24" s="6">
        <f t="shared" si="25"/>
        <v>0.13654530745422958</v>
      </c>
      <c r="AE24" s="14">
        <f t="shared" si="26"/>
        <v>1.257317244246136</v>
      </c>
      <c r="AF24" s="6">
        <f t="shared" si="27"/>
        <v>0.16112859317958544</v>
      </c>
      <c r="AG24" s="14">
        <f t="shared" si="28"/>
        <v>1.3950113013590975</v>
      </c>
      <c r="AH24" s="6">
        <f t="shared" si="29"/>
        <v>0.19593435965469291</v>
      </c>
      <c r="AI24" s="14">
        <f t="shared" si="30"/>
        <v>1.5742312763335411</v>
      </c>
      <c r="AJ24">
        <f t="shared" si="31"/>
        <v>0.25985096832797921</v>
      </c>
      <c r="AK24" s="14">
        <f t="shared" si="32"/>
        <v>1.8137354145100302</v>
      </c>
      <c r="AL24">
        <f t="shared" si="33"/>
        <v>0.34208729301138913</v>
      </c>
      <c r="AM24" s="14">
        <f t="shared" si="34"/>
        <v>2.0846963464058939</v>
      </c>
      <c r="AN24">
        <f t="shared" si="35"/>
        <v>0.44856147179724914</v>
      </c>
      <c r="AO24" s="14">
        <f t="shared" si="36"/>
        <v>4.2134005241459743E-2</v>
      </c>
      <c r="AP24">
        <f t="shared" si="37"/>
        <v>1.0273048043139155E-2</v>
      </c>
    </row>
    <row r="25" spans="1:42" x14ac:dyDescent="0.25">
      <c r="A25" s="139">
        <v>0.35</v>
      </c>
      <c r="B25" s="256">
        <f>'Sub C_D_0'!AX17</f>
        <v>1.0564782236432492E-2</v>
      </c>
      <c r="C25" s="256">
        <f>'C_L vs. α'!Y323</f>
        <v>0.11850497732934001</v>
      </c>
      <c r="D25" s="144">
        <v>8</v>
      </c>
      <c r="E25" s="14">
        <f t="shared" si="0"/>
        <v>0.95558668946790915</v>
      </c>
      <c r="F25" s="6">
        <f t="shared" si="1"/>
        <v>0.10189306053717631</v>
      </c>
      <c r="G25" s="14">
        <f t="shared" si="2"/>
        <v>0.96323572221726095</v>
      </c>
      <c r="H25" s="6">
        <f t="shared" si="3"/>
        <v>0.10188123486960084</v>
      </c>
      <c r="I25" s="14">
        <f t="shared" si="4"/>
        <v>0.97448369429236825</v>
      </c>
      <c r="J25" s="6">
        <f t="shared" si="5"/>
        <v>0.10324759807259923</v>
      </c>
      <c r="K25" s="14">
        <f t="shared" si="6"/>
        <v>0.98995279247917645</v>
      </c>
      <c r="L25" s="6">
        <f t="shared" si="7"/>
        <v>0.10569764286629223</v>
      </c>
      <c r="M25" s="14">
        <f t="shared" si="8"/>
        <v>1.0101672818023155</v>
      </c>
      <c r="N25" s="6">
        <f t="shared" si="9"/>
        <v>0.10924793794570872</v>
      </c>
      <c r="O25" s="14">
        <f t="shared" si="10"/>
        <v>1.0347566187901778</v>
      </c>
      <c r="P25" s="6">
        <f t="shared" si="11"/>
        <v>0.11431833699166395</v>
      </c>
      <c r="Q25" s="14">
        <f t="shared" si="12"/>
        <v>1.0665447959640602</v>
      </c>
      <c r="R25" s="6">
        <f t="shared" si="13"/>
        <v>0.12053538030823427</v>
      </c>
      <c r="S25" s="14">
        <f t="shared" si="14"/>
        <v>1.1055299990167216</v>
      </c>
      <c r="T25" s="6">
        <f t="shared" si="15"/>
        <v>0.12851942580601139</v>
      </c>
      <c r="U25" s="14">
        <f t="shared" si="16"/>
        <v>1.1530907042691612</v>
      </c>
      <c r="V25" s="6">
        <f t="shared" si="17"/>
        <v>0.13873051351419377</v>
      </c>
      <c r="W25" s="14">
        <f t="shared" si="18"/>
        <v>1.2110803330649482</v>
      </c>
      <c r="X25" s="6">
        <f t="shared" si="19"/>
        <v>0.15183235026231004</v>
      </c>
      <c r="Y25" s="14">
        <f t="shared" si="20"/>
        <v>1.2820247858681053</v>
      </c>
      <c r="Z25" s="6">
        <f t="shared" si="21"/>
        <v>0.1687966884064443</v>
      </c>
      <c r="AA25" s="14">
        <f t="shared" si="22"/>
        <v>1.3694220105366919</v>
      </c>
      <c r="AB25" s="6">
        <f t="shared" si="23"/>
        <v>0.19107835538267057</v>
      </c>
      <c r="AC25" s="14">
        <f t="shared" si="24"/>
        <v>1.4785786381893493</v>
      </c>
      <c r="AD25" s="6">
        <f t="shared" si="25"/>
        <v>0.22150868934378151</v>
      </c>
      <c r="AE25" s="14">
        <f t="shared" si="26"/>
        <v>1.6165507426021748</v>
      </c>
      <c r="AF25" s="6">
        <f t="shared" si="27"/>
        <v>0.26268834215518061</v>
      </c>
      <c r="AG25" s="14">
        <f t="shared" si="28"/>
        <v>1.7935859588902683</v>
      </c>
      <c r="AH25" s="6">
        <f t="shared" si="29"/>
        <v>0.32095661430388078</v>
      </c>
      <c r="AI25" s="14">
        <f t="shared" si="30"/>
        <v>2.0240116410002673</v>
      </c>
      <c r="AJ25">
        <f t="shared" si="31"/>
        <v>0.42310650466851291</v>
      </c>
      <c r="AK25" s="14">
        <f t="shared" si="32"/>
        <v>2.3319455329414671</v>
      </c>
      <c r="AL25">
        <f t="shared" si="33"/>
        <v>0.5587971726351163</v>
      </c>
      <c r="AM25" s="14">
        <f t="shared" si="34"/>
        <v>2.6803238739504347</v>
      </c>
      <c r="AN25">
        <f t="shared" si="35"/>
        <v>0.73485824646864062</v>
      </c>
      <c r="AO25" s="14">
        <f t="shared" si="36"/>
        <v>5.8489156459425581E-2</v>
      </c>
      <c r="AP25">
        <f t="shared" si="37"/>
        <v>1.0439056216065608E-2</v>
      </c>
    </row>
    <row r="26" spans="1:42" x14ac:dyDescent="0.25">
      <c r="A26" s="129">
        <v>0.4</v>
      </c>
      <c r="B26" s="256">
        <f>'Sub C_D_0'!AX18</f>
        <v>1.0362427725321997E-2</v>
      </c>
      <c r="C26" s="256">
        <f>'C_L vs. α'!Y324</f>
        <v>0.1228366665574135</v>
      </c>
      <c r="D26" s="144">
        <v>10</v>
      </c>
      <c r="E26" s="14">
        <f t="shared" si="0"/>
        <v>1.1679392871274445</v>
      </c>
      <c r="F26" s="6">
        <f t="shared" si="1"/>
        <v>0.14647869158091936</v>
      </c>
      <c r="G26" s="14">
        <f t="shared" si="2"/>
        <v>1.1772881049322077</v>
      </c>
      <c r="H26" s="6">
        <f t="shared" si="3"/>
        <v>0.14718349764941777</v>
      </c>
      <c r="I26" s="14">
        <f t="shared" si="4"/>
        <v>1.191035626357339</v>
      </c>
      <c r="J26" s="6">
        <f t="shared" si="5"/>
        <v>0.1496140525216095</v>
      </c>
      <c r="K26" s="14">
        <f t="shared" si="6"/>
        <v>1.2099423019189934</v>
      </c>
      <c r="L26" s="6">
        <f t="shared" si="7"/>
        <v>0.15354783703305994</v>
      </c>
      <c r="M26" s="14">
        <f t="shared" si="8"/>
        <v>1.2346488999806078</v>
      </c>
      <c r="N26" s="6">
        <f t="shared" si="9"/>
        <v>0.15907225224356084</v>
      </c>
      <c r="O26" s="14">
        <f t="shared" si="10"/>
        <v>1.2647025340768838</v>
      </c>
      <c r="P26" s="6">
        <f t="shared" si="11"/>
        <v>0.16659780509459199</v>
      </c>
      <c r="Q26" s="14">
        <f t="shared" si="12"/>
        <v>1.3035547506227401</v>
      </c>
      <c r="R26" s="6">
        <f t="shared" si="13"/>
        <v>0.17607628329580313</v>
      </c>
      <c r="S26" s="14">
        <f t="shared" si="14"/>
        <v>1.3512033321315484</v>
      </c>
      <c r="T26" s="6">
        <f t="shared" si="15"/>
        <v>0.18819488890949593</v>
      </c>
      <c r="U26" s="14">
        <f t="shared" si="16"/>
        <v>1.4093330829956414</v>
      </c>
      <c r="V26" s="6">
        <f t="shared" si="17"/>
        <v>0.20365098667069018</v>
      </c>
      <c r="W26" s="14">
        <f t="shared" si="18"/>
        <v>1.48020929596827</v>
      </c>
      <c r="X26" s="6">
        <f t="shared" si="19"/>
        <v>0.22344679640915555</v>
      </c>
      <c r="Y26" s="14">
        <f t="shared" si="20"/>
        <v>1.5669191827276843</v>
      </c>
      <c r="Z26" s="6">
        <f t="shared" si="21"/>
        <v>0.24904715711084419</v>
      </c>
      <c r="AA26" s="14">
        <f t="shared" si="22"/>
        <v>1.6737380128781789</v>
      </c>
      <c r="AB26" s="6">
        <f t="shared" si="23"/>
        <v>0.28264332216560728</v>
      </c>
      <c r="AC26" s="14">
        <f t="shared" si="24"/>
        <v>1.8071516688980935</v>
      </c>
      <c r="AD26" s="6">
        <f t="shared" si="25"/>
        <v>0.32825271788826704</v>
      </c>
      <c r="AE26" s="14">
        <f t="shared" si="26"/>
        <v>1.9757842409582136</v>
      </c>
      <c r="AF26" s="6">
        <f t="shared" si="27"/>
        <v>0.39028327190638012</v>
      </c>
      <c r="AG26" s="14">
        <f t="shared" si="28"/>
        <v>2.1921606164214391</v>
      </c>
      <c r="AH26" s="6">
        <f t="shared" si="29"/>
        <v>0.4780287414034961</v>
      </c>
      <c r="AI26" s="14">
        <f t="shared" si="30"/>
        <v>2.4737920056669931</v>
      </c>
      <c r="AJ26">
        <f t="shared" si="31"/>
        <v>0.62717592509417996</v>
      </c>
      <c r="AK26" s="14">
        <f t="shared" si="32"/>
        <v>2.8501556513729045</v>
      </c>
      <c r="AL26">
        <f t="shared" si="33"/>
        <v>0.82968452216477562</v>
      </c>
      <c r="AM26" s="14">
        <f t="shared" si="34"/>
        <v>3.275951401494976</v>
      </c>
      <c r="AN26">
        <f t="shared" si="35"/>
        <v>1.0927292148078802</v>
      </c>
      <c r="AO26" s="14">
        <f t="shared" si="36"/>
        <v>7.6793859164026368E-2</v>
      </c>
      <c r="AP26">
        <f t="shared" si="37"/>
        <v>1.0688850733402953E-2</v>
      </c>
    </row>
    <row r="27" spans="1:42" x14ac:dyDescent="0.25">
      <c r="A27" s="139">
        <v>0.45</v>
      </c>
      <c r="B27" s="256">
        <f>'Sub C_D_0'!AX19</f>
        <v>1.0188432343454103E-2</v>
      </c>
      <c r="C27" s="256">
        <f>'C_L vs. α'!Y325</f>
        <v>0.12812118936324013</v>
      </c>
      <c r="D27" s="144">
        <v>12</v>
      </c>
      <c r="E27" s="14">
        <f t="shared" si="0"/>
        <v>1.3802918847869798</v>
      </c>
      <c r="F27" s="6">
        <f t="shared" si="1"/>
        <v>0.20016182333634203</v>
      </c>
      <c r="G27" s="14">
        <f t="shared" si="2"/>
        <v>1.3913404876471547</v>
      </c>
      <c r="H27" s="6">
        <f t="shared" si="3"/>
        <v>0.20172948667538193</v>
      </c>
      <c r="I27" s="14">
        <f t="shared" si="4"/>
        <v>1.4075875584223096</v>
      </c>
      <c r="J27" s="6">
        <f t="shared" si="5"/>
        <v>0.2054413768175461</v>
      </c>
      <c r="K27" s="14">
        <f t="shared" si="6"/>
        <v>1.4299318113588104</v>
      </c>
      <c r="L27" s="6">
        <f t="shared" si="7"/>
        <v>0.21116165157023548</v>
      </c>
      <c r="M27" s="14">
        <f t="shared" si="8"/>
        <v>1.4591305181589</v>
      </c>
      <c r="N27" s="6">
        <f t="shared" si="9"/>
        <v>0.2190629973885832</v>
      </c>
      <c r="O27" s="14">
        <f t="shared" si="10"/>
        <v>1.4946484493635901</v>
      </c>
      <c r="P27" s="6">
        <f t="shared" si="11"/>
        <v>0.22954466731393386</v>
      </c>
      <c r="Q27" s="14">
        <f t="shared" si="12"/>
        <v>1.5405647052814202</v>
      </c>
      <c r="R27" s="6">
        <f t="shared" si="13"/>
        <v>0.24295006175531508</v>
      </c>
      <c r="S27" s="14">
        <f t="shared" si="14"/>
        <v>1.5968766652463755</v>
      </c>
      <c r="T27" s="6">
        <f t="shared" si="15"/>
        <v>0.26004686618009243</v>
      </c>
      <c r="U27" s="14">
        <f t="shared" si="16"/>
        <v>1.6655754617221217</v>
      </c>
      <c r="V27" s="6">
        <f t="shared" si="17"/>
        <v>0.28181819508510753</v>
      </c>
      <c r="W27" s="14">
        <f t="shared" si="18"/>
        <v>1.749338258871592</v>
      </c>
      <c r="X27" s="6">
        <f t="shared" si="19"/>
        <v>0.30967385338006392</v>
      </c>
      <c r="Y27" s="14">
        <f t="shared" si="20"/>
        <v>1.8518135795872632</v>
      </c>
      <c r="Z27" s="6">
        <f t="shared" si="21"/>
        <v>0.345672378825572</v>
      </c>
      <c r="AA27" s="14">
        <f t="shared" si="22"/>
        <v>1.9780540152196662</v>
      </c>
      <c r="AB27" s="6">
        <f t="shared" si="23"/>
        <v>0.39289171522225574</v>
      </c>
      <c r="AC27" s="14">
        <f t="shared" si="24"/>
        <v>2.135724699606838</v>
      </c>
      <c r="AD27" s="6">
        <f t="shared" si="25"/>
        <v>0.45677739308768633</v>
      </c>
      <c r="AE27" s="14">
        <f t="shared" si="26"/>
        <v>2.3350177393142526</v>
      </c>
      <c r="AF27" s="6">
        <f t="shared" si="27"/>
        <v>0.5439133824331841</v>
      </c>
      <c r="AG27" s="14">
        <f t="shared" si="28"/>
        <v>2.5907352739526095</v>
      </c>
      <c r="AH27" s="6">
        <f t="shared" si="29"/>
        <v>0.66715074095353866</v>
      </c>
      <c r="AI27" s="14">
        <f t="shared" si="30"/>
        <v>2.9235723703337193</v>
      </c>
      <c r="AJ27">
        <f t="shared" si="31"/>
        <v>0.87205922960498039</v>
      </c>
      <c r="AK27" s="14">
        <f t="shared" si="32"/>
        <v>3.3683657698043414</v>
      </c>
      <c r="AL27">
        <f t="shared" si="33"/>
        <v>1.1547493416003662</v>
      </c>
      <c r="AM27" s="14">
        <f t="shared" si="34"/>
        <v>3.8715789290395168</v>
      </c>
      <c r="AN27">
        <f t="shared" si="35"/>
        <v>1.5221743768149676</v>
      </c>
      <c r="AO27" s="14">
        <f t="shared" si="36"/>
        <v>9.7048113355262103E-2</v>
      </c>
      <c r="AP27">
        <f t="shared" si="37"/>
        <v>1.1044030194371527E-2</v>
      </c>
    </row>
    <row r="28" spans="1:42" x14ac:dyDescent="0.25">
      <c r="A28" s="129">
        <v>0.5</v>
      </c>
      <c r="B28" s="256">
        <f>'Sub C_D_0'!AX20</f>
        <v>1.0036249555914921E-2</v>
      </c>
      <c r="C28" s="256">
        <f>'C_L vs. α'!Y326</f>
        <v>0.13456448145166092</v>
      </c>
      <c r="D28" s="144">
        <v>14</v>
      </c>
      <c r="E28" s="14">
        <f t="shared" si="0"/>
        <v>1.5926444824465154</v>
      </c>
      <c r="F28" s="6">
        <f t="shared" si="1"/>
        <v>0.26294245580344439</v>
      </c>
      <c r="G28" s="14">
        <f t="shared" si="2"/>
        <v>1.6053928703621014</v>
      </c>
      <c r="H28" s="6">
        <f t="shared" si="3"/>
        <v>0.26551920194749323</v>
      </c>
      <c r="I28" s="14">
        <f t="shared" si="4"/>
        <v>1.6241394904872803</v>
      </c>
      <c r="J28" s="6">
        <f t="shared" si="5"/>
        <v>0.27072957096040906</v>
      </c>
      <c r="K28" s="14">
        <f t="shared" si="6"/>
        <v>1.6499213207986274</v>
      </c>
      <c r="L28" s="6">
        <f t="shared" si="7"/>
        <v>0.27853908647781878</v>
      </c>
      <c r="M28" s="14">
        <f t="shared" si="8"/>
        <v>1.6836121363371923</v>
      </c>
      <c r="N28" s="6">
        <f t="shared" si="9"/>
        <v>0.28922017338077577</v>
      </c>
      <c r="O28" s="14">
        <f t="shared" si="10"/>
        <v>1.7245943646502961</v>
      </c>
      <c r="P28" s="6">
        <f t="shared" si="11"/>
        <v>0.30315892364968944</v>
      </c>
      <c r="Q28" s="14">
        <f t="shared" si="12"/>
        <v>1.7775746599401001</v>
      </c>
      <c r="R28" s="6">
        <f t="shared" si="13"/>
        <v>0.32115671568676996</v>
      </c>
      <c r="S28" s="14">
        <f t="shared" si="14"/>
        <v>1.8425499983612026</v>
      </c>
      <c r="T28" s="6">
        <f t="shared" si="15"/>
        <v>0.34407535761780078</v>
      </c>
      <c r="U28" s="14">
        <f t="shared" si="16"/>
        <v>1.9218178404486019</v>
      </c>
      <c r="V28" s="6">
        <f t="shared" si="17"/>
        <v>0.37323213875744576</v>
      </c>
      <c r="W28" s="14">
        <f t="shared" si="18"/>
        <v>2.0184672217749138</v>
      </c>
      <c r="X28" s="6">
        <f t="shared" si="19"/>
        <v>0.41051352117503498</v>
      </c>
      <c r="Y28" s="14">
        <f t="shared" si="20"/>
        <v>2.136707976446842</v>
      </c>
      <c r="Z28" s="6">
        <f t="shared" si="21"/>
        <v>0.45867235355062758</v>
      </c>
      <c r="AA28" s="14">
        <f t="shared" si="22"/>
        <v>2.2823700175611532</v>
      </c>
      <c r="AB28" s="6">
        <f t="shared" si="23"/>
        <v>0.52182353455261599</v>
      </c>
      <c r="AC28" s="14">
        <f t="shared" si="24"/>
        <v>2.464297730315582</v>
      </c>
      <c r="AD28" s="6">
        <f t="shared" si="25"/>
        <v>0.60708271494203914</v>
      </c>
      <c r="AE28" s="14">
        <f t="shared" si="26"/>
        <v>2.6942512376702914</v>
      </c>
      <c r="AF28" s="6">
        <f t="shared" si="27"/>
        <v>0.72357867373559226</v>
      </c>
      <c r="AG28" s="14">
        <f t="shared" si="28"/>
        <v>2.9893099314837803</v>
      </c>
      <c r="AH28" s="6">
        <f t="shared" si="29"/>
        <v>0.88832261295400883</v>
      </c>
      <c r="AI28" s="14">
        <f t="shared" si="30"/>
        <v>3.3733527350004455</v>
      </c>
      <c r="AJ28">
        <f t="shared" si="31"/>
        <v>1.1577564182009144</v>
      </c>
      <c r="AK28" s="14">
        <f t="shared" si="32"/>
        <v>3.8865758882357788</v>
      </c>
      <c r="AL28">
        <f t="shared" si="33"/>
        <v>1.5339916309418893</v>
      </c>
      <c r="AM28" s="14">
        <f t="shared" si="34"/>
        <v>4.4672064565840577</v>
      </c>
      <c r="AN28">
        <f t="shared" si="35"/>
        <v>2.0231937324899025</v>
      </c>
      <c r="AO28" s="14">
        <f t="shared" si="36"/>
        <v>0.11925191903313276</v>
      </c>
      <c r="AP28">
        <f t="shared" si="37"/>
        <v>1.1528493567768753E-2</v>
      </c>
    </row>
    <row r="29" spans="1:42" x14ac:dyDescent="0.25">
      <c r="A29" s="139">
        <v>0.55000000000000004</v>
      </c>
      <c r="B29" s="256">
        <f>'Sub C_D_0'!AX21</f>
        <v>9.9013236526427802E-3</v>
      </c>
      <c r="C29" s="256">
        <f>'C_L vs. α'!Y327</f>
        <v>0.14244719842978948</v>
      </c>
      <c r="D29" s="144">
        <v>16</v>
      </c>
      <c r="E29" s="14">
        <f t="shared" si="0"/>
        <v>1.8049970801060506</v>
      </c>
      <c r="F29" s="6">
        <f t="shared" si="1"/>
        <v>0.33482058898222627</v>
      </c>
      <c r="G29" s="14">
        <f t="shared" si="2"/>
        <v>1.8194452530770484</v>
      </c>
      <c r="H29" s="6">
        <f t="shared" si="3"/>
        <v>0.3385526434657517</v>
      </c>
      <c r="I29" s="14">
        <f t="shared" si="4"/>
        <v>1.8406914225522513</v>
      </c>
      <c r="J29" s="6">
        <f t="shared" si="5"/>
        <v>0.34547863495019848</v>
      </c>
      <c r="K29" s="14">
        <f t="shared" si="6"/>
        <v>1.8699108302384444</v>
      </c>
      <c r="L29" s="6">
        <f t="shared" si="7"/>
        <v>0.35568014175581003</v>
      </c>
      <c r="M29" s="14">
        <f t="shared" si="8"/>
        <v>1.9080937545154848</v>
      </c>
      <c r="N29" s="6">
        <f t="shared" si="9"/>
        <v>0.36954378022013856</v>
      </c>
      <c r="O29" s="14">
        <f t="shared" si="10"/>
        <v>1.9545402799370024</v>
      </c>
      <c r="P29" s="6">
        <f t="shared" si="11"/>
        <v>0.38744057410185895</v>
      </c>
      <c r="Q29" s="14">
        <f t="shared" si="12"/>
        <v>2.01458461459878</v>
      </c>
      <c r="R29" s="6">
        <f t="shared" si="13"/>
        <v>0.41069624509016789</v>
      </c>
      <c r="S29" s="14">
        <f t="shared" si="14"/>
        <v>2.0882233314760295</v>
      </c>
      <c r="T29" s="6">
        <f t="shared" si="15"/>
        <v>0.44028036322262104</v>
      </c>
      <c r="U29" s="14">
        <f t="shared" si="16"/>
        <v>2.178060219175082</v>
      </c>
      <c r="V29" s="6">
        <f t="shared" si="17"/>
        <v>0.47789281768770475</v>
      </c>
      <c r="W29" s="14">
        <f t="shared" si="18"/>
        <v>2.2875961846782356</v>
      </c>
      <c r="X29" s="6">
        <f t="shared" si="19"/>
        <v>0.52596579979406877</v>
      </c>
      <c r="Y29" s="14">
        <f t="shared" si="20"/>
        <v>2.4216023733064214</v>
      </c>
      <c r="Z29" s="6">
        <f t="shared" si="21"/>
        <v>0.58804708128601146</v>
      </c>
      <c r="AA29" s="14">
        <f t="shared" si="22"/>
        <v>2.5866860199026402</v>
      </c>
      <c r="AB29" s="6">
        <f t="shared" si="23"/>
        <v>0.66943878015668812</v>
      </c>
      <c r="AC29" s="14">
        <f t="shared" si="24"/>
        <v>2.7928707610243264</v>
      </c>
      <c r="AD29" s="6">
        <f t="shared" si="25"/>
        <v>0.77916868345132551</v>
      </c>
      <c r="AE29" s="14">
        <f t="shared" si="26"/>
        <v>3.0534847360263302</v>
      </c>
      <c r="AF29" s="6">
        <f t="shared" si="27"/>
        <v>0.92927914581360482</v>
      </c>
      <c r="AG29" s="14">
        <f t="shared" si="28"/>
        <v>3.3878845890149512</v>
      </c>
      <c r="AH29" s="6">
        <f t="shared" si="29"/>
        <v>1.1415443574049065</v>
      </c>
      <c r="AI29" s="14">
        <f t="shared" si="30"/>
        <v>3.8231330996671713</v>
      </c>
      <c r="AJ29">
        <f t="shared" si="31"/>
        <v>1.4842674908819813</v>
      </c>
      <c r="AK29" s="14">
        <f t="shared" si="32"/>
        <v>4.4047860066672158</v>
      </c>
      <c r="AL29">
        <f t="shared" si="33"/>
        <v>1.9674113901893435</v>
      </c>
      <c r="AM29" s="14">
        <f t="shared" si="34"/>
        <v>5.0628339841285994</v>
      </c>
      <c r="AN29">
        <f t="shared" si="35"/>
        <v>2.5957872818326866</v>
      </c>
      <c r="AO29" s="14">
        <f t="shared" si="36"/>
        <v>0.14340527619763835</v>
      </c>
      <c r="AP29">
        <f t="shared" si="37"/>
        <v>1.2168440191969136E-2</v>
      </c>
    </row>
    <row r="30" spans="1:42" x14ac:dyDescent="0.25">
      <c r="A30" s="129">
        <v>0.6</v>
      </c>
      <c r="B30" s="256">
        <f>'Sub C_D_0'!AX22</f>
        <v>9.7803638502328444E-3</v>
      </c>
      <c r="C30" s="256">
        <f>'C_L vs. α'!Y328</f>
        <v>0.15215800117074355</v>
      </c>
    </row>
    <row r="31" spans="1:42" x14ac:dyDescent="0.25">
      <c r="A31" s="139">
        <v>0.65</v>
      </c>
      <c r="B31" s="256">
        <f>'Sub C_D_0'!AX23</f>
        <v>1.0156262065854528E-2</v>
      </c>
      <c r="C31" s="256">
        <f>'C_L vs. α'!Y329</f>
        <v>0.16428651535437214</v>
      </c>
    </row>
    <row r="32" spans="1:42" x14ac:dyDescent="0.25">
      <c r="A32" s="129">
        <v>0.7</v>
      </c>
      <c r="B32" s="256">
        <f>'Sub C_D_0'!AX24</f>
        <v>1.0051276841181334E-2</v>
      </c>
      <c r="C32" s="256">
        <f>'C_L vs. α'!Y330</f>
        <v>0.17961674917801942</v>
      </c>
    </row>
    <row r="33" spans="1:42" x14ac:dyDescent="0.25">
      <c r="A33" s="139">
        <v>0.75</v>
      </c>
      <c r="B33" s="256">
        <f>'Sub C_D_0'!AX25</f>
        <v>9.9549051415208905E-3</v>
      </c>
      <c r="C33" s="256">
        <f>'C_L vs. α'!Y331</f>
        <v>0.19928732876558536</v>
      </c>
    </row>
    <row r="34" spans="1:42" x14ac:dyDescent="0.25">
      <c r="A34" s="129">
        <v>0.8</v>
      </c>
      <c r="B34" s="256">
        <f>'Sub C_D_0'!AX26</f>
        <v>9.8659283065370626E-3</v>
      </c>
      <c r="C34" s="256">
        <f>'C_L vs. α'!Y332</f>
        <v>0.22489018233336303</v>
      </c>
    </row>
    <row r="35" spans="1:42" x14ac:dyDescent="0.25">
      <c r="A35" s="139">
        <v>0.85</v>
      </c>
      <c r="B35" s="256">
        <f>'Sub C_D_0'!AX27</f>
        <v>1.0250289837556584E-2</v>
      </c>
      <c r="C35" s="256">
        <f>'C_L vs. α'!Y333</f>
        <v>0.25910505921571858</v>
      </c>
    </row>
    <row r="36" spans="1:42" x14ac:dyDescent="0.25">
      <c r="A36" s="129">
        <v>0.9</v>
      </c>
      <c r="B36" s="256">
        <f>'Sub C_D_0'!AX28</f>
        <v>1.0169535581680666E-2</v>
      </c>
      <c r="C36" s="256">
        <f>'C_L vs. α'!Y334</f>
        <v>0.29781376377227053</v>
      </c>
    </row>
    <row r="37" spans="1:42" x14ac:dyDescent="0.25">
      <c r="A37" s="139">
        <v>0.95</v>
      </c>
      <c r="B37" s="256">
        <f>'Sub C_D_0'!AX29</f>
        <v>1.0093969960217816E-2</v>
      </c>
      <c r="C37" s="256">
        <f>'C_L vs. α'!Y335</f>
        <v>0.27306369282048071</v>
      </c>
    </row>
    <row r="38" spans="1:42" x14ac:dyDescent="0.25">
      <c r="B38" s="11"/>
    </row>
    <row r="39" spans="1:42" x14ac:dyDescent="0.25">
      <c r="A39" s="122" t="s">
        <v>537</v>
      </c>
      <c r="B39" s="122" t="s">
        <v>192</v>
      </c>
    </row>
    <row r="40" spans="1:42" x14ac:dyDescent="0.25">
      <c r="A40" s="122" t="s">
        <v>202</v>
      </c>
      <c r="B40" s="143" t="s">
        <v>533</v>
      </c>
      <c r="C40" s="122" t="s">
        <v>538</v>
      </c>
      <c r="D40" s="122" t="s">
        <v>539</v>
      </c>
      <c r="E40" s="1" t="s">
        <v>536</v>
      </c>
      <c r="F40" s="140">
        <v>0.05</v>
      </c>
      <c r="G40" s="1" t="s">
        <v>536</v>
      </c>
      <c r="H40" s="140">
        <v>0.1</v>
      </c>
      <c r="I40" s="1" t="s">
        <v>536</v>
      </c>
      <c r="J40" s="140">
        <v>0.15</v>
      </c>
      <c r="K40" s="1" t="s">
        <v>536</v>
      </c>
      <c r="L40" s="140">
        <v>0.2</v>
      </c>
      <c r="M40" t="s">
        <v>536</v>
      </c>
      <c r="N40" s="141">
        <v>0.25</v>
      </c>
      <c r="O40" t="s">
        <v>536</v>
      </c>
      <c r="P40" s="141">
        <v>0.3</v>
      </c>
      <c r="Q40" t="s">
        <v>536</v>
      </c>
      <c r="R40" s="141">
        <v>0.35</v>
      </c>
      <c r="S40" t="s">
        <v>536</v>
      </c>
      <c r="T40" s="141">
        <v>0.4</v>
      </c>
      <c r="U40" t="s">
        <v>536</v>
      </c>
      <c r="V40" s="141">
        <v>0.45</v>
      </c>
      <c r="W40" t="s">
        <v>536</v>
      </c>
      <c r="X40" s="141">
        <v>0.5</v>
      </c>
      <c r="Y40" t="s">
        <v>536</v>
      </c>
      <c r="Z40" s="141">
        <v>0.55000000000000004</v>
      </c>
      <c r="AA40" t="s">
        <v>536</v>
      </c>
      <c r="AB40" s="141">
        <v>0.6</v>
      </c>
      <c r="AC40" t="s">
        <v>536</v>
      </c>
      <c r="AD40" s="141">
        <v>0.65</v>
      </c>
      <c r="AE40" t="s">
        <v>536</v>
      </c>
      <c r="AF40" s="141">
        <v>0.7</v>
      </c>
      <c r="AG40" t="s">
        <v>536</v>
      </c>
      <c r="AH40" s="141">
        <v>0.75</v>
      </c>
      <c r="AI40" t="s">
        <v>536</v>
      </c>
      <c r="AJ40" s="141">
        <v>0.8</v>
      </c>
      <c r="AK40" t="s">
        <v>536</v>
      </c>
      <c r="AL40" s="141">
        <v>0.85</v>
      </c>
      <c r="AM40" t="s">
        <v>536</v>
      </c>
      <c r="AN40" s="141">
        <v>0.9</v>
      </c>
      <c r="AO40" t="s">
        <v>536</v>
      </c>
      <c r="AP40" s="141">
        <v>0.95</v>
      </c>
    </row>
    <row r="41" spans="1:42" x14ac:dyDescent="0.25">
      <c r="A41" s="121" t="s">
        <v>182</v>
      </c>
      <c r="B41" s="121" t="s">
        <v>534</v>
      </c>
      <c r="C41" s="121" t="s">
        <v>535</v>
      </c>
      <c r="D41" s="121" t="s">
        <v>421</v>
      </c>
      <c r="E41" s="14" t="s">
        <v>244</v>
      </c>
      <c r="F41" s="6" t="s">
        <v>245</v>
      </c>
      <c r="G41" s="14" t="s">
        <v>244</v>
      </c>
      <c r="H41" s="6" t="s">
        <v>245</v>
      </c>
      <c r="I41" s="14" t="s">
        <v>244</v>
      </c>
      <c r="J41" s="6" t="s">
        <v>245</v>
      </c>
      <c r="K41" s="14" t="s">
        <v>244</v>
      </c>
      <c r="L41" s="6" t="s">
        <v>245</v>
      </c>
      <c r="M41" t="s">
        <v>244</v>
      </c>
      <c r="N41" t="s">
        <v>245</v>
      </c>
      <c r="O41" t="s">
        <v>244</v>
      </c>
      <c r="P41" t="s">
        <v>245</v>
      </c>
      <c r="Q41" t="s">
        <v>244</v>
      </c>
      <c r="R41" t="s">
        <v>245</v>
      </c>
      <c r="S41" t="s">
        <v>244</v>
      </c>
      <c r="T41" t="s">
        <v>245</v>
      </c>
      <c r="U41" t="s">
        <v>244</v>
      </c>
      <c r="V41" t="s">
        <v>245</v>
      </c>
      <c r="W41" t="s">
        <v>244</v>
      </c>
      <c r="X41" t="s">
        <v>245</v>
      </c>
      <c r="Y41" t="s">
        <v>244</v>
      </c>
      <c r="Z41" t="s">
        <v>245</v>
      </c>
      <c r="AA41" t="s">
        <v>244</v>
      </c>
      <c r="AB41" t="s">
        <v>245</v>
      </c>
      <c r="AC41" t="s">
        <v>244</v>
      </c>
      <c r="AD41" t="s">
        <v>245</v>
      </c>
      <c r="AE41" t="s">
        <v>244</v>
      </c>
      <c r="AF41" t="s">
        <v>245</v>
      </c>
      <c r="AG41" t="s">
        <v>244</v>
      </c>
      <c r="AH41" t="s">
        <v>245</v>
      </c>
      <c r="AI41" t="s">
        <v>244</v>
      </c>
      <c r="AJ41" t="s">
        <v>245</v>
      </c>
      <c r="AK41" t="s">
        <v>244</v>
      </c>
      <c r="AL41" t="s">
        <v>245</v>
      </c>
      <c r="AM41" t="s">
        <v>244</v>
      </c>
      <c r="AN41" t="s">
        <v>245</v>
      </c>
      <c r="AO41" t="s">
        <v>244</v>
      </c>
      <c r="AP41" t="s">
        <v>245</v>
      </c>
    </row>
    <row r="42" spans="1:42" x14ac:dyDescent="0.25">
      <c r="A42" s="129">
        <v>0</v>
      </c>
      <c r="B42" s="129" t="e">
        <f>'Sub C_D_0'!AX40</f>
        <v>#DIV/0!</v>
      </c>
      <c r="C42" s="129" t="e">
        <f>'C_L vs. α'!X341</f>
        <v>#NUM!</v>
      </c>
      <c r="D42" s="144">
        <v>-6</v>
      </c>
      <c r="E42" s="14">
        <f>(D42-$B$12)*$C$43</f>
        <v>-0.53100334484536704</v>
      </c>
      <c r="F42" s="6">
        <f>$B$43+$B$7*E42^2+$B$8*(E42-E$45)^2</f>
        <v>4.4107305548391998E-2</v>
      </c>
      <c r="G42" s="14">
        <f>(D18-$B$12)*$C$44</f>
        <v>-0.53525635758510981</v>
      </c>
      <c r="H42" s="6">
        <f>$B$44+$B$7*G42^2+$B$8*(G42-G$45)^2</f>
        <v>4.3226846711736787E-2</v>
      </c>
      <c r="I42" s="14">
        <f>(D18-$B$12)*$C$45</f>
        <v>-0.54150010204152876</v>
      </c>
      <c r="J42" s="6">
        <f>$B$45+$B$7*I42^2+$B$8*(I42-I$45)^2</f>
        <v>4.3334201042300874E-2</v>
      </c>
      <c r="K42" s="14">
        <f>(D18-$B$12)*$C$46</f>
        <v>-0.550087604438247</v>
      </c>
      <c r="L42" s="6">
        <f>$B$46+$B$7*K42^2+$B$8*(K42-K$45)^2</f>
        <v>4.3807903509058624E-2</v>
      </c>
      <c r="M42">
        <f>(D18-$B$12)*$C$47</f>
        <v>-0.56131101228311508</v>
      </c>
      <c r="N42" s="6">
        <f>$B$47+$B$7*M42^2+$B$8*(M42-M$45)^2</f>
        <v>4.4830111506585092E-2</v>
      </c>
      <c r="O42">
        <f>(D18-$B$12)*$C$48</f>
        <v>-0.57497046389781203</v>
      </c>
      <c r="P42" s="6">
        <f>$B$48+$B$7*O42^2+$B$8*(O42-O$45)^2</f>
        <v>4.6743877336630053E-2</v>
      </c>
      <c r="Q42">
        <f>(D18-$B$12)*$C$49</f>
        <v>-0.59262297425661759</v>
      </c>
      <c r="R42" s="6">
        <f>$B$49+$B$7*Q42^2+$B$8*(Q42-Q$45)^2</f>
        <v>4.8771969541578912E-2</v>
      </c>
      <c r="S42">
        <f>(D18-$B$12)*$C$50</f>
        <v>-0.61427207952508867</v>
      </c>
      <c r="T42" s="6">
        <f>$B$50+$B$7*S42^2+$B$8*(S42-S$45)^2</f>
        <v>5.1442035483790519E-2</v>
      </c>
      <c r="U42">
        <f>(D18-$B$12)*$C$51</f>
        <v>-0.64068283409378879</v>
      </c>
      <c r="V42" s="6">
        <f>$B$51+$B$7*U42^2+$B$8*(U42-U$45)^2</f>
        <v>5.4908951519648717E-2</v>
      </c>
      <c r="W42">
        <f>(D18-$B$12)*$C$52</f>
        <v>-0.67288369325524622</v>
      </c>
      <c r="X42" s="6">
        <f>$B$52+$B$7*W42^2+$B$8*(W42-W$45)^2</f>
        <v>5.9400836616073996E-2</v>
      </c>
      <c r="Y42">
        <f>(D18-$B$12)*$C$53</f>
        <v>-0.71227596544857497</v>
      </c>
      <c r="Z42" s="6">
        <f>$B$53+$B$7*Y42^2+$B$8*(Y42-Y$45)^2</f>
        <v>6.5254704063955893E-2</v>
      </c>
      <c r="AA42">
        <f>(D18-$B$12)*$C$54</f>
        <v>-0.76079967024701778</v>
      </c>
      <c r="AB42" s="6">
        <f>$B$54+$B$7*AA42^2+$B$8*(AA42-AA$45)^2</f>
        <v>7.2977128493503546E-2</v>
      </c>
      <c r="AC42">
        <f>(D18-$B$12)*$C$55</f>
        <v>-0.8213944139156214</v>
      </c>
      <c r="AD42" s="6">
        <f>$B$55+$B$7*AC42^2+$B$8*(AC42-AC$45)^2</f>
        <v>8.3864239674723284E-2</v>
      </c>
      <c r="AE42">
        <f>(D18-$B$12)*$C$56</f>
        <v>-0.89796892450603505</v>
      </c>
      <c r="AF42" s="6">
        <f>$B$56+$B$7*AE42^2+$B$8*(AE42-AE$45)^2</f>
        <v>9.8202202444939671E-2</v>
      </c>
      <c r="AG42">
        <f>(D18-$B$12)*$C$57</f>
        <v>-0.99619284210460901</v>
      </c>
      <c r="AH42" s="6">
        <f>$B$57+$B$7*AG42^2+$B$8*(AG42-AG$45)^2</f>
        <v>0.11851391366294724</v>
      </c>
      <c r="AI42">
        <f>(D18-$B$12)*$C$58</f>
        <v>-1.1239705058961678</v>
      </c>
      <c r="AJ42">
        <f>$B$58+$B$9*AI42^2</f>
        <v>0.13702226716352911</v>
      </c>
      <c r="AK42">
        <f>(D18-$B$12)*$C$59</f>
        <v>-1.2945003459690043</v>
      </c>
      <c r="AL42">
        <f>$B$59+$B$9*AK42^2</f>
        <v>0.17900493408103896</v>
      </c>
      <c r="AM42">
        <f>(D18-$B$12)*$C$60</f>
        <v>-1.4866977366038343</v>
      </c>
      <c r="AN42">
        <f>$B$60+$B$9*AM42^2</f>
        <v>0.23284752887620938</v>
      </c>
      <c r="AO42">
        <f>(D18-$B$12)*$C$61</f>
        <v>-1.3575580343821179</v>
      </c>
      <c r="AP42">
        <f>$B$61+$B$9*AO42^2</f>
        <v>0.19572287577700456</v>
      </c>
    </row>
    <row r="43" spans="1:42" x14ac:dyDescent="0.25">
      <c r="A43" s="139">
        <v>0.05</v>
      </c>
      <c r="B43" s="256">
        <f>'Sub C_D_0'!AX41</f>
        <v>1.3183275604889853E-2</v>
      </c>
      <c r="C43" s="256">
        <f>'C_L vs. α'!X342</f>
        <v>0.10620066896907342</v>
      </c>
      <c r="D43" s="144">
        <v>-4</v>
      </c>
      <c r="E43" s="14">
        <f t="shared" ref="E43:E53" si="38">(D43-$B$12)*$C$43</f>
        <v>-0.31860200690722024</v>
      </c>
      <c r="F43" s="6">
        <f t="shared" ref="F43:F53" si="39">$B$43+$B$7*E43^2+$B$8*(E43-E$45)^2</f>
        <v>2.5001664175590934E-2</v>
      </c>
      <c r="G43" s="14">
        <f t="shared" ref="G43:G53" si="40">(D19-$B$12)*$C$44</f>
        <v>-0.3211538145510659</v>
      </c>
      <c r="H43" s="6">
        <f t="shared" ref="H43:H53" si="41">$B$44+$B$7*G43^2+$B$8*(G43-G$45)^2</f>
        <v>2.3813930650048151E-2</v>
      </c>
      <c r="I43" s="14">
        <f t="shared" ref="I43:I53" si="42">(D19-$B$12)*$C$45</f>
        <v>-0.32490006122491727</v>
      </c>
      <c r="J43" s="6">
        <f t="shared" ref="J43:J52" si="43">$B$45+$B$7*I43^2+$B$8*(I43-I$45)^2</f>
        <v>2.3465741627938394E-2</v>
      </c>
      <c r="K43" s="14">
        <f t="shared" ref="K43:K53" si="44">(D19-$B$12)*$C$46</f>
        <v>-0.33005256266294825</v>
      </c>
      <c r="L43" s="6">
        <f t="shared" ref="L43:L53" si="45">$B$46+$B$7*K43^2+$B$8*(K43-K$45)^2</f>
        <v>2.3304270237035199E-2</v>
      </c>
      <c r="M43">
        <f t="shared" ref="M43:M53" si="46">(D19-$B$12)*$C$47</f>
        <v>-0.33678660736986904</v>
      </c>
      <c r="N43" s="6">
        <f t="shared" ref="N43:N53" si="47">$B$47+$B$7*M43^2+$B$8*(M43-M$45)^2</f>
        <v>2.3481273921099111E-2</v>
      </c>
      <c r="O43">
        <f t="shared" ref="O43:O53" si="48">(D19-$B$12)*$C$48</f>
        <v>-0.34498227833868722</v>
      </c>
      <c r="P43" s="6">
        <f t="shared" ref="P43:P53" si="49">$B$48+$B$7*O43^2+$B$8*(O43-O$45)^2</f>
        <v>2.4343353251818113E-2</v>
      </c>
      <c r="Q43">
        <f t="shared" ref="Q43:Q53" si="50">(D19-$B$12)*$C$49</f>
        <v>-0.3555737845539706</v>
      </c>
      <c r="R43" s="6">
        <f t="shared" ref="R43:R53" si="51">$B$49+$B$7*Q43^2+$B$8*(Q43-Q$45)^2</f>
        <v>2.4974867353383053E-2</v>
      </c>
      <c r="S43">
        <f t="shared" ref="S43:S53" si="52">(D19-$B$12)*$C$50</f>
        <v>-0.36856324771505317</v>
      </c>
      <c r="T43" s="6">
        <f t="shared" ref="T43:T53" si="53">$B$50+$B$7*S43^2+$B$8*(S43-S$45)^2</f>
        <v>2.5874512233687034E-2</v>
      </c>
      <c r="U43">
        <f t="shared" ref="U43:U53" si="54">(D19-$B$12)*$C$51</f>
        <v>-0.38440970045627332</v>
      </c>
      <c r="V43" s="6">
        <f t="shared" ref="V43:V52" si="55">$B$51+$B$7*U43^2+$B$8*(U43-U$45)^2</f>
        <v>2.7095602604103673E-2</v>
      </c>
      <c r="W43">
        <f t="shared" ref="W43:W53" si="56">(D19-$B$12)*$C$52</f>
        <v>-0.40373021595314773</v>
      </c>
      <c r="X43" s="6">
        <f t="shared" ref="X43:X53" si="57">$B$52+$B$7*W43^2+$B$8*(W43-W$45)^2</f>
        <v>2.8721418708997595E-2</v>
      </c>
      <c r="Y43">
        <f t="shared" ref="Y43:Y53" si="58">(D19-$B$12)*$C$53</f>
        <v>-0.42736557926914498</v>
      </c>
      <c r="Z43" s="6">
        <f t="shared" ref="Z43:Z53" si="59">$B$53+$B$7*Y43^2+$B$8*(Y43-Y$45)^2</f>
        <v>3.0878043331978709E-2</v>
      </c>
      <c r="AA43">
        <f t="shared" ref="AA43:AA53" si="60">(D19-$B$12)*$C$54</f>
        <v>-0.45647980214821071</v>
      </c>
      <c r="AB43" s="6">
        <f t="shared" ref="AB43:AB53" si="61">$B$54+$B$7*AA43^2+$B$8*(AA43-AA$45)^2</f>
        <v>3.3757114947752964E-2</v>
      </c>
      <c r="AC43">
        <f t="shared" ref="AC43:AC53" si="62">(D19-$B$12)*$C$55</f>
        <v>-0.4928366483493728</v>
      </c>
      <c r="AD43" s="6">
        <f t="shared" ref="AD43:AD53" si="63">$B$55+$B$7*AC43^2+$B$8*(AC43-AC$45)^2</f>
        <v>3.8147989784337581E-2</v>
      </c>
      <c r="AE43">
        <f t="shared" ref="AE43:AE53" si="64">(D19-$B$12)*$C$56</f>
        <v>-0.53878135470362098</v>
      </c>
      <c r="AF43" s="6">
        <f t="shared" ref="AF43:AF53" si="65">$B$56+$B$7*AE43^2+$B$8*(AE43-AE$45)^2</f>
        <v>4.3564840387718073E-2</v>
      </c>
      <c r="AG43">
        <f t="shared" ref="AG43:AG53" si="66">(D19-$B$12)*$C$57</f>
        <v>-0.59771570526276541</v>
      </c>
      <c r="AH43" s="6">
        <f t="shared" ref="AH43:AH53" si="67">$B$57+$B$7*AG43^2+$B$8*(AG43-AG$45)^2</f>
        <v>5.126985138147383E-2</v>
      </c>
      <c r="AI43">
        <f t="shared" ref="AI43:AI53" si="68">(D19-$B$12)*$C$58</f>
        <v>-0.67438230353770057</v>
      </c>
      <c r="AJ43">
        <f t="shared" ref="AJ43:AJ53" si="69">$B$58+$B$9*AI43^2</f>
        <v>5.5464232715841236E-2</v>
      </c>
      <c r="AK43">
        <f t="shared" ref="AK43:AK53" si="70">(D19-$B$12)*$C$59</f>
        <v>-0.77670020758140268</v>
      </c>
      <c r="AL43">
        <f t="shared" ref="AL43:AL53" si="71">$B$59+$B$9*AK43^2</f>
        <v>7.0821375678776208E-2</v>
      </c>
      <c r="AM43">
        <f t="shared" ref="AM43:AM53" si="72">(D19-$B$12)*$C$60</f>
        <v>-0.89201864196230052</v>
      </c>
      <c r="AN43">
        <f t="shared" ref="AN43:AN53" si="73">$B$60+$B$9*AM43^2</f>
        <v>9.0154656243733172E-2</v>
      </c>
      <c r="AO43">
        <f t="shared" ref="AO43:AO53" si="74">(D19-$B$12)*$C$61</f>
        <v>-0.81453482062927063</v>
      </c>
      <c r="AP43">
        <f t="shared" ref="AP43:AP53" si="75">$B$61+$B$9*AO43^2</f>
        <v>7.6742940237311902E-2</v>
      </c>
    </row>
    <row r="44" spans="1:42" x14ac:dyDescent="0.25">
      <c r="A44" s="129">
        <v>0.1</v>
      </c>
      <c r="B44" s="256">
        <f>'Sub C_D_0'!AX42</f>
        <v>1.1805467765674231E-2</v>
      </c>
      <c r="C44" s="256">
        <f>'C_L vs. α'!X343</f>
        <v>0.10705127151702197</v>
      </c>
      <c r="D44" s="144">
        <v>-2</v>
      </c>
      <c r="E44" s="14">
        <f t="shared" si="38"/>
        <v>-0.10620066896907342</v>
      </c>
      <c r="F44" s="6">
        <f t="shared" si="39"/>
        <v>1.4997700205611248E-2</v>
      </c>
      <c r="G44" s="14">
        <f t="shared" si="40"/>
        <v>-0.10705127151702197</v>
      </c>
      <c r="H44" s="6">
        <f t="shared" si="41"/>
        <v>1.3649073629867385E-2</v>
      </c>
      <c r="I44" s="14">
        <f t="shared" si="42"/>
        <v>-0.10830002040830576</v>
      </c>
      <c r="J44" s="6">
        <f t="shared" si="43"/>
        <v>1.3062356143939571E-2</v>
      </c>
      <c r="K44" s="14">
        <f t="shared" si="44"/>
        <v>-0.11001752088764941</v>
      </c>
      <c r="L44" s="6">
        <f t="shared" si="45"/>
        <v>1.256829940493291E-2</v>
      </c>
      <c r="M44">
        <f t="shared" si="46"/>
        <v>-0.11226220245662301</v>
      </c>
      <c r="N44" s="6">
        <f t="shared" si="47"/>
        <v>1.230274304433965E-2</v>
      </c>
      <c r="O44">
        <f t="shared" si="48"/>
        <v>-0.11499409277956241</v>
      </c>
      <c r="P44" s="6">
        <f t="shared" si="49"/>
        <v>1.2614145554444359E-2</v>
      </c>
      <c r="Q44">
        <f t="shared" si="50"/>
        <v>-0.11852459485132352</v>
      </c>
      <c r="R44" s="6">
        <f t="shared" si="51"/>
        <v>1.2514393075898304E-2</v>
      </c>
      <c r="S44">
        <f t="shared" si="52"/>
        <v>-0.12285441590501772</v>
      </c>
      <c r="T44" s="6">
        <f t="shared" si="53"/>
        <v>1.2487022308340777E-2</v>
      </c>
      <c r="U44">
        <f t="shared" si="54"/>
        <v>-0.12813656681875776</v>
      </c>
      <c r="V44" s="6">
        <f t="shared" si="55"/>
        <v>1.2532168956087227E-2</v>
      </c>
      <c r="W44">
        <f t="shared" si="56"/>
        <v>-0.13457673865104924</v>
      </c>
      <c r="X44" s="6">
        <f t="shared" si="57"/>
        <v>1.2657273812021285E-2</v>
      </c>
      <c r="Y44">
        <f t="shared" si="58"/>
        <v>-0.14245519308971499</v>
      </c>
      <c r="Z44" s="6">
        <f t="shared" si="59"/>
        <v>1.287797368446101E-2</v>
      </c>
      <c r="AA44">
        <f t="shared" si="60"/>
        <v>-0.15215993404940356</v>
      </c>
      <c r="AB44" s="6">
        <f t="shared" si="61"/>
        <v>1.3221002353680917E-2</v>
      </c>
      <c r="AC44">
        <f t="shared" si="62"/>
        <v>-0.16427888278312427</v>
      </c>
      <c r="AD44" s="6">
        <f t="shared" si="63"/>
        <v>1.4210362786005879E-2</v>
      </c>
      <c r="AE44">
        <f t="shared" si="64"/>
        <v>-0.179593784901207</v>
      </c>
      <c r="AF44" s="6">
        <f t="shared" si="65"/>
        <v>1.4956002256101632E-2</v>
      </c>
      <c r="AG44">
        <f t="shared" si="66"/>
        <v>-0.1992385684209218</v>
      </c>
      <c r="AH44" s="6">
        <f t="shared" si="67"/>
        <v>1.6059979954880396E-2</v>
      </c>
      <c r="AI44">
        <f t="shared" si="68"/>
        <v>-0.22479410117923354</v>
      </c>
      <c r="AJ44">
        <f t="shared" si="69"/>
        <v>1.4685215491997323E-2</v>
      </c>
      <c r="AK44">
        <f t="shared" si="70"/>
        <v>-0.25890006919380087</v>
      </c>
      <c r="AL44">
        <f t="shared" si="71"/>
        <v>1.6729596477644819E-2</v>
      </c>
      <c r="AM44">
        <f t="shared" si="72"/>
        <v>-0.29733954732076684</v>
      </c>
      <c r="AN44">
        <f t="shared" si="73"/>
        <v>1.8808219927495061E-2</v>
      </c>
      <c r="AO44">
        <f t="shared" si="74"/>
        <v>-0.27151160687642356</v>
      </c>
      <c r="AP44">
        <f t="shared" si="75"/>
        <v>1.7252972467465572E-2</v>
      </c>
    </row>
    <row r="45" spans="1:42" s="29" customFormat="1" x14ac:dyDescent="0.25">
      <c r="A45" s="139">
        <v>0.15</v>
      </c>
      <c r="B45" s="256">
        <f>'Sub C_D_0'!AX43</f>
        <v>1.1175488237417746E-2</v>
      </c>
      <c r="C45" s="256">
        <f>'C_L vs. α'!X344</f>
        <v>0.10830002040830576</v>
      </c>
      <c r="D45" s="143">
        <v>0</v>
      </c>
      <c r="E45" s="83">
        <f t="shared" si="38"/>
        <v>0.10620066896907342</v>
      </c>
      <c r="F45" s="21">
        <f t="shared" si="39"/>
        <v>1.4095413638452951E-2</v>
      </c>
      <c r="G45" s="83">
        <f t="shared" si="40"/>
        <v>0.10705127151702197</v>
      </c>
      <c r="H45" s="21">
        <f t="shared" si="41"/>
        <v>1.2732275651194492E-2</v>
      </c>
      <c r="I45" s="83">
        <f t="shared" si="42"/>
        <v>0.10830002040830576</v>
      </c>
      <c r="J45" s="21">
        <f t="shared" si="43"/>
        <v>1.2124044590304415E-2</v>
      </c>
      <c r="K45" s="83">
        <f t="shared" si="44"/>
        <v>0.11001752088764941</v>
      </c>
      <c r="L45" s="21">
        <f t="shared" si="45"/>
        <v>1.159999101275176E-2</v>
      </c>
      <c r="M45" s="99">
        <f t="shared" si="46"/>
        <v>0.11226220245662301</v>
      </c>
      <c r="N45" s="21">
        <f t="shared" si="47"/>
        <v>1.1294518876306704E-2</v>
      </c>
      <c r="O45" s="99">
        <f t="shared" si="48"/>
        <v>0.11499409277956241</v>
      </c>
      <c r="P45" s="21">
        <f t="shared" si="49"/>
        <v>1.155625424450879E-2</v>
      </c>
      <c r="Q45" s="99">
        <f t="shared" si="50"/>
        <v>0.11852459485132352</v>
      </c>
      <c r="R45" s="21">
        <f t="shared" si="51"/>
        <v>1.1390546709124672E-2</v>
      </c>
      <c r="S45" s="99">
        <f t="shared" si="52"/>
        <v>0.12285441590501772</v>
      </c>
      <c r="T45" s="21">
        <f t="shared" si="53"/>
        <v>1.1279565707751731E-2</v>
      </c>
      <c r="U45" s="99">
        <f t="shared" si="54"/>
        <v>0.12813656681875776</v>
      </c>
      <c r="V45" s="21">
        <f t="shared" si="55"/>
        <v>1.1218650575599388E-2</v>
      </c>
      <c r="W45" s="99">
        <f t="shared" si="56"/>
        <v>0.13457673865104924</v>
      </c>
      <c r="X45" s="21">
        <f t="shared" si="57"/>
        <v>1.1208401925145061E-2</v>
      </c>
      <c r="Y45" s="99">
        <f t="shared" si="58"/>
        <v>0.14245519308971499</v>
      </c>
      <c r="Z45" s="21">
        <f t="shared" si="59"/>
        <v>1.1254495121402771E-2</v>
      </c>
      <c r="AA45" s="99">
        <f t="shared" si="60"/>
        <v>0.15215993404940356</v>
      </c>
      <c r="AB45" s="21">
        <f t="shared" si="61"/>
        <v>1.1368790711287409E-2</v>
      </c>
      <c r="AC45" s="99">
        <f t="shared" si="62"/>
        <v>0.16427888278312427</v>
      </c>
      <c r="AD45" s="21">
        <f t="shared" si="63"/>
        <v>1.2051358679728161E-2</v>
      </c>
      <c r="AE45" s="99">
        <f t="shared" si="64"/>
        <v>0.179593784901207</v>
      </c>
      <c r="AF45" s="21">
        <f t="shared" si="65"/>
        <v>1.2375688050090351E-2</v>
      </c>
      <c r="AG45" s="99">
        <f t="shared" si="66"/>
        <v>0.1992385684209218</v>
      </c>
      <c r="AH45" s="21">
        <f t="shared" si="67"/>
        <v>1.2884299383166929E-2</v>
      </c>
      <c r="AI45" s="99">
        <f t="shared" si="68"/>
        <v>0.22479410117923354</v>
      </c>
      <c r="AJ45" s="99">
        <f t="shared" si="69"/>
        <v>1.4685215491997323E-2</v>
      </c>
      <c r="AK45" s="99">
        <f t="shared" si="70"/>
        <v>0.25890006919380087</v>
      </c>
      <c r="AL45" s="99">
        <f t="shared" si="71"/>
        <v>1.6729596477644819E-2</v>
      </c>
      <c r="AM45" s="99">
        <f t="shared" si="72"/>
        <v>0.29733954732076684</v>
      </c>
      <c r="AN45" s="99">
        <f t="shared" si="73"/>
        <v>1.8808219927495061E-2</v>
      </c>
      <c r="AO45" s="99">
        <f t="shared" si="74"/>
        <v>0.27151160687642356</v>
      </c>
      <c r="AP45" s="99">
        <f t="shared" si="75"/>
        <v>1.7252972467465572E-2</v>
      </c>
    </row>
    <row r="46" spans="1:42" x14ac:dyDescent="0.25">
      <c r="A46" s="129">
        <v>0.2</v>
      </c>
      <c r="B46" s="256">
        <f>'Sub C_D_0'!AX44</f>
        <v>1.0621110305806905E-2</v>
      </c>
      <c r="C46" s="256">
        <f>'C_L vs. α'!X345</f>
        <v>0.11001752088764941</v>
      </c>
      <c r="D46" s="144">
        <v>2</v>
      </c>
      <c r="E46" s="14">
        <f t="shared" si="38"/>
        <v>0.31860200690722024</v>
      </c>
      <c r="F46" s="6">
        <f t="shared" si="39"/>
        <v>2.2294804474116043E-2</v>
      </c>
      <c r="G46" s="14">
        <f t="shared" si="40"/>
        <v>0.3211538145510659</v>
      </c>
      <c r="H46" s="6">
        <f t="shared" si="41"/>
        <v>2.1063536714029472E-2</v>
      </c>
      <c r="I46" s="14">
        <f t="shared" si="42"/>
        <v>0.32490006122491727</v>
      </c>
      <c r="J46" s="6">
        <f t="shared" si="43"/>
        <v>2.0650806967032927E-2</v>
      </c>
      <c r="K46" s="14">
        <f t="shared" si="44"/>
        <v>0.33005256266294825</v>
      </c>
      <c r="L46" s="6">
        <f t="shared" si="45"/>
        <v>2.039934506049175E-2</v>
      </c>
      <c r="M46">
        <f t="shared" si="46"/>
        <v>0.33678660736986904</v>
      </c>
      <c r="N46" s="6">
        <f t="shared" si="47"/>
        <v>2.0456601417000276E-2</v>
      </c>
      <c r="O46">
        <f t="shared" si="48"/>
        <v>0.34498227833868722</v>
      </c>
      <c r="P46" s="6">
        <f t="shared" si="49"/>
        <v>2.1169679322011407E-2</v>
      </c>
      <c r="Q46">
        <f t="shared" si="50"/>
        <v>0.3555737845539706</v>
      </c>
      <c r="R46" s="6">
        <f t="shared" si="51"/>
        <v>2.160332825306216E-2</v>
      </c>
      <c r="S46">
        <f t="shared" si="52"/>
        <v>0.36856324771505317</v>
      </c>
      <c r="T46" s="6">
        <f t="shared" si="53"/>
        <v>2.2252142431919898E-2</v>
      </c>
      <c r="U46">
        <f t="shared" si="54"/>
        <v>0.38440970045627332</v>
      </c>
      <c r="V46" s="6">
        <f t="shared" si="55"/>
        <v>2.315504746264016E-2</v>
      </c>
      <c r="W46">
        <f t="shared" si="56"/>
        <v>0.40373021595314773</v>
      </c>
      <c r="X46" s="6">
        <f t="shared" si="57"/>
        <v>2.4374803048368924E-2</v>
      </c>
      <c r="Y46">
        <f t="shared" si="58"/>
        <v>0.42736557926914498</v>
      </c>
      <c r="Z46" s="6">
        <f t="shared" si="59"/>
        <v>2.6007607642803996E-2</v>
      </c>
      <c r="AA46">
        <f t="shared" si="60"/>
        <v>0.45647980214821071</v>
      </c>
      <c r="AB46" s="6">
        <f t="shared" si="61"/>
        <v>2.8200480020572443E-2</v>
      </c>
      <c r="AC46">
        <f t="shared" si="62"/>
        <v>0.4928366483493728</v>
      </c>
      <c r="AD46" s="6">
        <f t="shared" si="63"/>
        <v>3.167097746550443E-2</v>
      </c>
      <c r="AE46">
        <f t="shared" si="64"/>
        <v>0.53878135470362098</v>
      </c>
      <c r="AF46" s="6">
        <f t="shared" si="65"/>
        <v>3.5823897769684226E-2</v>
      </c>
      <c r="AG46">
        <f t="shared" si="66"/>
        <v>0.59771570526276541</v>
      </c>
      <c r="AH46" s="6">
        <f t="shared" si="67"/>
        <v>4.1742809666333432E-2</v>
      </c>
      <c r="AI46">
        <f t="shared" si="68"/>
        <v>0.67438230353770057</v>
      </c>
      <c r="AJ46">
        <f t="shared" si="69"/>
        <v>5.5464232715841236E-2</v>
      </c>
      <c r="AK46">
        <f t="shared" si="70"/>
        <v>0.77670020758140268</v>
      </c>
      <c r="AL46">
        <f t="shared" si="71"/>
        <v>7.0821375678776208E-2</v>
      </c>
      <c r="AM46">
        <f t="shared" si="72"/>
        <v>0.89201864196230052</v>
      </c>
      <c r="AN46">
        <f t="shared" si="73"/>
        <v>9.0154656243733172E-2</v>
      </c>
      <c r="AO46">
        <f t="shared" si="74"/>
        <v>0.81453482062927063</v>
      </c>
      <c r="AP46">
        <f t="shared" si="75"/>
        <v>7.6742940237311902E-2</v>
      </c>
    </row>
    <row r="47" spans="1:42" x14ac:dyDescent="0.25">
      <c r="A47" s="139">
        <v>0.25</v>
      </c>
      <c r="B47" s="256">
        <f>'Sub C_D_0'!AX45</f>
        <v>1.0275286579724126E-2</v>
      </c>
      <c r="C47" s="256">
        <f>'C_L vs. α'!X346</f>
        <v>0.11226220245662301</v>
      </c>
      <c r="D47" s="144">
        <v>4</v>
      </c>
      <c r="E47" s="14">
        <f t="shared" si="38"/>
        <v>0.53100334484536704</v>
      </c>
      <c r="F47" s="6">
        <f t="shared" si="39"/>
        <v>3.9595872712600511E-2</v>
      </c>
      <c r="G47" s="14">
        <f t="shared" si="40"/>
        <v>0.53525635758510981</v>
      </c>
      <c r="H47" s="6">
        <f t="shared" si="41"/>
        <v>3.8642856818372325E-2</v>
      </c>
      <c r="I47" s="14">
        <f t="shared" si="42"/>
        <v>0.54150010204152876</v>
      </c>
      <c r="J47" s="6">
        <f t="shared" si="43"/>
        <v>3.8642643274125095E-2</v>
      </c>
      <c r="K47" s="14">
        <f t="shared" si="44"/>
        <v>0.550087604438247</v>
      </c>
      <c r="L47" s="6">
        <f t="shared" si="45"/>
        <v>3.8966361548152875E-2</v>
      </c>
      <c r="M47">
        <f t="shared" si="46"/>
        <v>0.56131101228311508</v>
      </c>
      <c r="N47" s="6">
        <f t="shared" si="47"/>
        <v>3.9788990666420367E-2</v>
      </c>
      <c r="O47">
        <f t="shared" si="48"/>
        <v>0.57497046389781203</v>
      </c>
      <c r="P47" s="6">
        <f t="shared" si="49"/>
        <v>4.145442078695221E-2</v>
      </c>
      <c r="Q47">
        <f t="shared" si="50"/>
        <v>0.59262297425661759</v>
      </c>
      <c r="R47" s="6">
        <f t="shared" si="51"/>
        <v>4.3152737707710762E-2</v>
      </c>
      <c r="S47">
        <f t="shared" si="52"/>
        <v>0.61427207952508867</v>
      </c>
      <c r="T47" s="6">
        <f t="shared" si="53"/>
        <v>4.5404752480845287E-2</v>
      </c>
      <c r="U47">
        <f t="shared" si="54"/>
        <v>0.64068283409378879</v>
      </c>
      <c r="V47" s="6">
        <f t="shared" si="55"/>
        <v>4.8341359617209534E-2</v>
      </c>
      <c r="W47">
        <f t="shared" si="56"/>
        <v>0.67288369325524622</v>
      </c>
      <c r="X47" s="6">
        <f t="shared" si="57"/>
        <v>5.2156477181692869E-2</v>
      </c>
      <c r="Y47">
        <f t="shared" si="58"/>
        <v>0.71227596544857497</v>
      </c>
      <c r="Z47" s="6">
        <f t="shared" si="59"/>
        <v>5.7137311248664696E-2</v>
      </c>
      <c r="AA47">
        <f t="shared" si="60"/>
        <v>0.76079967024701778</v>
      </c>
      <c r="AB47" s="6">
        <f t="shared" si="61"/>
        <v>6.3716070281536016E-2</v>
      </c>
      <c r="AC47">
        <f t="shared" si="62"/>
        <v>0.8213944139156214</v>
      </c>
      <c r="AD47" s="6">
        <f t="shared" si="63"/>
        <v>7.3069219143334682E-2</v>
      </c>
      <c r="AE47">
        <f t="shared" si="64"/>
        <v>0.89796892450603505</v>
      </c>
      <c r="AF47" s="6">
        <f t="shared" si="65"/>
        <v>8.5300631414883268E-2</v>
      </c>
      <c r="AG47">
        <f t="shared" si="66"/>
        <v>0.99619284210460901</v>
      </c>
      <c r="AH47" s="6">
        <f t="shared" si="67"/>
        <v>0.10263551080437991</v>
      </c>
      <c r="AI47">
        <f t="shared" si="68"/>
        <v>1.1239705058961678</v>
      </c>
      <c r="AJ47">
        <f t="shared" si="69"/>
        <v>0.13702226716352911</v>
      </c>
      <c r="AK47">
        <f t="shared" si="70"/>
        <v>1.2945003459690043</v>
      </c>
      <c r="AL47">
        <f t="shared" si="71"/>
        <v>0.17900493408103896</v>
      </c>
      <c r="AM47">
        <f t="shared" si="72"/>
        <v>1.4866977366038343</v>
      </c>
      <c r="AN47">
        <f t="shared" si="73"/>
        <v>0.23284752887620938</v>
      </c>
      <c r="AO47">
        <f t="shared" si="74"/>
        <v>1.3575580343821179</v>
      </c>
      <c r="AP47">
        <f t="shared" si="75"/>
        <v>0.19572287577700456</v>
      </c>
    </row>
    <row r="48" spans="1:42" x14ac:dyDescent="0.25">
      <c r="A48" s="129">
        <v>0.3</v>
      </c>
      <c r="B48" s="256">
        <f>'Sub C_D_0'!AX46</f>
        <v>1.048681252356291E-2</v>
      </c>
      <c r="C48" s="256">
        <f>'C_L vs. α'!X347</f>
        <v>0.11499409277956241</v>
      </c>
      <c r="D48" s="144">
        <v>6</v>
      </c>
      <c r="E48" s="14">
        <f t="shared" si="38"/>
        <v>0.7434046827835139</v>
      </c>
      <c r="F48" s="6">
        <f t="shared" si="39"/>
        <v>6.5998618353906371E-2</v>
      </c>
      <c r="G48" s="14">
        <f t="shared" si="40"/>
        <v>0.74935890061915378</v>
      </c>
      <c r="H48" s="6">
        <f t="shared" si="41"/>
        <v>6.547023596422305E-2</v>
      </c>
      <c r="I48" s="14">
        <f t="shared" si="42"/>
        <v>0.75810014285814031</v>
      </c>
      <c r="J48" s="6">
        <f t="shared" si="43"/>
        <v>6.6099553511580936E-2</v>
      </c>
      <c r="K48" s="14">
        <f t="shared" si="44"/>
        <v>0.77012264621354587</v>
      </c>
      <c r="L48" s="6">
        <f t="shared" si="45"/>
        <v>6.7301040475735152E-2</v>
      </c>
      <c r="M48">
        <f t="shared" si="46"/>
        <v>0.78583541719636107</v>
      </c>
      <c r="N48" s="6">
        <f t="shared" si="47"/>
        <v>6.9291686624566973E-2</v>
      </c>
      <c r="O48">
        <f t="shared" si="48"/>
        <v>0.80495864945693685</v>
      </c>
      <c r="P48" s="6">
        <f t="shared" si="49"/>
        <v>7.2410478639331199E-2</v>
      </c>
      <c r="Q48">
        <f t="shared" si="50"/>
        <v>0.82967216395926469</v>
      </c>
      <c r="R48" s="6">
        <f t="shared" si="51"/>
        <v>7.6038775073070497E-2</v>
      </c>
      <c r="S48">
        <f t="shared" si="52"/>
        <v>0.859980911335124</v>
      </c>
      <c r="T48" s="6">
        <f t="shared" si="53"/>
        <v>8.0737395854527855E-2</v>
      </c>
      <c r="U48">
        <f t="shared" si="54"/>
        <v>0.89695596773130437</v>
      </c>
      <c r="V48" s="6">
        <f t="shared" si="55"/>
        <v>8.6777587039307533E-2</v>
      </c>
      <c r="W48">
        <f t="shared" si="56"/>
        <v>0.94203717055734471</v>
      </c>
      <c r="X48" s="6">
        <f t="shared" si="57"/>
        <v>9.4553424325116917E-2</v>
      </c>
      <c r="Y48">
        <f t="shared" si="58"/>
        <v>0.99718635162800495</v>
      </c>
      <c r="Z48" s="6">
        <f t="shared" si="59"/>
        <v>0.10464360593898485</v>
      </c>
      <c r="AA48">
        <f t="shared" si="60"/>
        <v>1.065119538345825</v>
      </c>
      <c r="AB48" s="6">
        <f t="shared" si="61"/>
        <v>0.11791556149417813</v>
      </c>
      <c r="AC48">
        <f t="shared" si="62"/>
        <v>1.1499521794818699</v>
      </c>
      <c r="AD48" s="6">
        <f t="shared" si="63"/>
        <v>0.13624608371321892</v>
      </c>
      <c r="AE48">
        <f t="shared" si="64"/>
        <v>1.257156494308449</v>
      </c>
      <c r="AF48" s="6">
        <f t="shared" si="65"/>
        <v>0.16080588898568743</v>
      </c>
      <c r="AG48">
        <f t="shared" si="66"/>
        <v>1.3946699789464527</v>
      </c>
      <c r="AH48" s="6">
        <f t="shared" si="67"/>
        <v>0.19556240279730638</v>
      </c>
      <c r="AI48">
        <f t="shared" si="68"/>
        <v>1.5735587082546347</v>
      </c>
      <c r="AJ48">
        <f t="shared" si="69"/>
        <v>0.25935931883506086</v>
      </c>
      <c r="AK48">
        <f t="shared" si="70"/>
        <v>1.8123004843566062</v>
      </c>
      <c r="AL48">
        <f t="shared" si="71"/>
        <v>0.34128027168443315</v>
      </c>
      <c r="AM48">
        <f t="shared" si="72"/>
        <v>2.0813768312453678</v>
      </c>
      <c r="AN48">
        <f t="shared" si="73"/>
        <v>0.44688683782492367</v>
      </c>
      <c r="AO48">
        <f t="shared" si="74"/>
        <v>1.9005812481349649</v>
      </c>
      <c r="AP48">
        <f t="shared" si="75"/>
        <v>0.37419277908654353</v>
      </c>
    </row>
    <row r="49" spans="1:42" x14ac:dyDescent="0.25">
      <c r="A49" s="139">
        <v>0.35</v>
      </c>
      <c r="B49" s="256">
        <f>'Sub C_D_0'!AX47</f>
        <v>1.0254429811979189E-2</v>
      </c>
      <c r="C49" s="256">
        <f>'C_L vs. α'!X348</f>
        <v>0.11852459485132352</v>
      </c>
      <c r="D49" s="144">
        <v>8</v>
      </c>
      <c r="E49" s="14">
        <f t="shared" si="38"/>
        <v>0.95580602072166077</v>
      </c>
      <c r="F49" s="6">
        <f t="shared" si="39"/>
        <v>0.10150304139803362</v>
      </c>
      <c r="G49" s="14">
        <f t="shared" si="40"/>
        <v>0.96346144365319775</v>
      </c>
      <c r="H49" s="6">
        <f t="shared" si="41"/>
        <v>0.10154567415158167</v>
      </c>
      <c r="I49" s="14">
        <f t="shared" si="42"/>
        <v>0.97470018367475186</v>
      </c>
      <c r="J49" s="6">
        <f t="shared" si="43"/>
        <v>0.10302153767940046</v>
      </c>
      <c r="K49" s="14">
        <f t="shared" si="44"/>
        <v>0.99015768798884463</v>
      </c>
      <c r="L49" s="6">
        <f t="shared" si="45"/>
        <v>0.10540338184323855</v>
      </c>
      <c r="M49">
        <f t="shared" si="46"/>
        <v>1.0103598221096071</v>
      </c>
      <c r="N49" s="6">
        <f t="shared" si="47"/>
        <v>0.1089646892914401</v>
      </c>
      <c r="O49">
        <f t="shared" si="48"/>
        <v>1.0349468350160618</v>
      </c>
      <c r="P49" s="6">
        <f t="shared" si="49"/>
        <v>0.11403785287914837</v>
      </c>
      <c r="Q49">
        <f t="shared" si="50"/>
        <v>1.0667213536619118</v>
      </c>
      <c r="R49" s="6">
        <f t="shared" si="51"/>
        <v>0.12026144034914132</v>
      </c>
      <c r="S49">
        <f t="shared" si="52"/>
        <v>1.1056897431451596</v>
      </c>
      <c r="T49" s="6">
        <f t="shared" si="53"/>
        <v>0.12825007255296769</v>
      </c>
      <c r="U49">
        <f t="shared" si="54"/>
        <v>1.1532291013688198</v>
      </c>
      <c r="V49" s="6">
        <f t="shared" si="55"/>
        <v>0.13846372972893412</v>
      </c>
      <c r="W49">
        <f t="shared" si="56"/>
        <v>1.2111906478594432</v>
      </c>
      <c r="X49" s="6">
        <f t="shared" si="57"/>
        <v>0.15156564447864104</v>
      </c>
      <c r="Y49">
        <f t="shared" si="58"/>
        <v>1.2820967378074348</v>
      </c>
      <c r="Z49" s="6">
        <f t="shared" si="59"/>
        <v>0.16852649171376444</v>
      </c>
      <c r="AA49">
        <f t="shared" si="60"/>
        <v>1.369439406444632</v>
      </c>
      <c r="AB49" s="6">
        <f t="shared" si="61"/>
        <v>0.1907989536584988</v>
      </c>
      <c r="AC49">
        <f t="shared" si="62"/>
        <v>1.4785099450481185</v>
      </c>
      <c r="AD49" s="6">
        <f t="shared" si="63"/>
        <v>0.22120157117515715</v>
      </c>
      <c r="AE49">
        <f t="shared" si="64"/>
        <v>1.6163440641108631</v>
      </c>
      <c r="AF49" s="6">
        <f t="shared" si="65"/>
        <v>0.26233967048209683</v>
      </c>
      <c r="AG49">
        <f t="shared" si="66"/>
        <v>1.7931471157882961</v>
      </c>
      <c r="AH49" s="6">
        <f t="shared" si="67"/>
        <v>0.32052348564511274</v>
      </c>
      <c r="AI49">
        <f t="shared" si="68"/>
        <v>2.0231469106131019</v>
      </c>
      <c r="AJ49">
        <f t="shared" si="69"/>
        <v>0.42247538773043658</v>
      </c>
      <c r="AK49">
        <f t="shared" si="70"/>
        <v>2.330100622744208</v>
      </c>
      <c r="AL49">
        <f t="shared" si="71"/>
        <v>0.55764738848895878</v>
      </c>
      <c r="AM49">
        <f t="shared" si="72"/>
        <v>2.6760559258869017</v>
      </c>
      <c r="AN49">
        <f t="shared" si="73"/>
        <v>0.73227258308987608</v>
      </c>
      <c r="AO49">
        <f t="shared" si="74"/>
        <v>2.4436044618878121</v>
      </c>
      <c r="AP49">
        <f t="shared" si="75"/>
        <v>0.61215265016592901</v>
      </c>
    </row>
    <row r="50" spans="1:42" x14ac:dyDescent="0.25">
      <c r="A50" s="129">
        <v>0.4</v>
      </c>
      <c r="B50" s="256">
        <f>'Sub C_D_0'!AX48</f>
        <v>1.005892569230434E-2</v>
      </c>
      <c r="C50" s="256">
        <f>'C_L vs. α'!X349</f>
        <v>0.12285441590501772</v>
      </c>
      <c r="D50" s="144">
        <v>10</v>
      </c>
      <c r="E50" s="14">
        <f t="shared" si="38"/>
        <v>1.1682073586598076</v>
      </c>
      <c r="F50" s="6">
        <f t="shared" si="39"/>
        <v>0.14610914184498225</v>
      </c>
      <c r="G50" s="14">
        <f t="shared" si="40"/>
        <v>1.1775639866872416</v>
      </c>
      <c r="H50" s="6">
        <f t="shared" si="41"/>
        <v>0.14686917138044814</v>
      </c>
      <c r="I50" s="14">
        <f t="shared" si="42"/>
        <v>1.1913002244913633</v>
      </c>
      <c r="J50" s="6">
        <f t="shared" si="43"/>
        <v>0.14940859577758359</v>
      </c>
      <c r="K50" s="14">
        <f t="shared" si="44"/>
        <v>1.2101927297641435</v>
      </c>
      <c r="L50" s="6">
        <f t="shared" si="45"/>
        <v>0.15327338565066309</v>
      </c>
      <c r="M50">
        <f t="shared" si="46"/>
        <v>1.2348842270228531</v>
      </c>
      <c r="N50" s="6">
        <f t="shared" si="47"/>
        <v>0.15880799866703973</v>
      </c>
      <c r="O50">
        <f t="shared" si="48"/>
        <v>1.2649350205751864</v>
      </c>
      <c r="P50" s="6">
        <f t="shared" si="49"/>
        <v>0.16633654350640367</v>
      </c>
      <c r="Q50">
        <f t="shared" si="50"/>
        <v>1.3037705433645588</v>
      </c>
      <c r="R50" s="6">
        <f t="shared" si="51"/>
        <v>0.17582073353592328</v>
      </c>
      <c r="S50">
        <f t="shared" si="52"/>
        <v>1.3513985749551949</v>
      </c>
      <c r="T50" s="6">
        <f t="shared" si="53"/>
        <v>0.18794278257616467</v>
      </c>
      <c r="U50">
        <f t="shared" si="54"/>
        <v>1.4095022350063353</v>
      </c>
      <c r="V50" s="6">
        <f t="shared" si="55"/>
        <v>0.2033997876860893</v>
      </c>
      <c r="W50">
        <f t="shared" si="56"/>
        <v>1.4803441251615417</v>
      </c>
      <c r="X50" s="6">
        <f t="shared" si="57"/>
        <v>0.22319313764226525</v>
      </c>
      <c r="Y50">
        <f t="shared" si="58"/>
        <v>1.567007123986865</v>
      </c>
      <c r="Z50" s="6">
        <f t="shared" si="59"/>
        <v>0.24878596857300359</v>
      </c>
      <c r="AA50">
        <f t="shared" si="60"/>
        <v>1.6737592745434391</v>
      </c>
      <c r="AB50" s="6">
        <f t="shared" si="61"/>
        <v>0.28236624677449801</v>
      </c>
      <c r="AC50">
        <f t="shared" si="62"/>
        <v>1.8070677106143671</v>
      </c>
      <c r="AD50" s="6">
        <f t="shared" si="63"/>
        <v>0.32793568152914943</v>
      </c>
      <c r="AE50">
        <f t="shared" si="64"/>
        <v>1.9755316339132771</v>
      </c>
      <c r="AF50" s="6">
        <f t="shared" si="65"/>
        <v>0.38990197590411135</v>
      </c>
      <c r="AG50">
        <f t="shared" si="66"/>
        <v>2.1916242526301399</v>
      </c>
      <c r="AH50" s="6">
        <f t="shared" si="67"/>
        <v>0.47751875934779919</v>
      </c>
      <c r="AI50">
        <f t="shared" si="68"/>
        <v>2.4727351129715691</v>
      </c>
      <c r="AJ50">
        <f t="shared" si="69"/>
        <v>0.62637047384965638</v>
      </c>
      <c r="AK50">
        <f t="shared" si="70"/>
        <v>2.8479007611318097</v>
      </c>
      <c r="AL50">
        <f t="shared" si="71"/>
        <v>0.82810628449461565</v>
      </c>
      <c r="AM50">
        <f t="shared" si="72"/>
        <v>3.2707350205284351</v>
      </c>
      <c r="AN50">
        <f t="shared" si="73"/>
        <v>1.0890047646710663</v>
      </c>
      <c r="AO50">
        <f t="shared" si="74"/>
        <v>2.9866276756406593</v>
      </c>
      <c r="AP50">
        <f t="shared" si="75"/>
        <v>0.90960248901516061</v>
      </c>
    </row>
    <row r="51" spans="1:42" x14ac:dyDescent="0.25">
      <c r="A51" s="139">
        <v>0.45</v>
      </c>
      <c r="B51" s="256">
        <f>'Sub C_D_0'!AX49</f>
        <v>9.8907907622802719E-3</v>
      </c>
      <c r="C51" s="256">
        <f>'C_L vs. α'!X350</f>
        <v>0.12813656681875776</v>
      </c>
      <c r="D51" s="144">
        <v>12</v>
      </c>
      <c r="E51" s="14">
        <f t="shared" si="38"/>
        <v>1.3806086965979545</v>
      </c>
      <c r="F51" s="6">
        <f t="shared" si="39"/>
        <v>0.19981691969475229</v>
      </c>
      <c r="G51" s="14">
        <f t="shared" si="40"/>
        <v>1.3916665297212856</v>
      </c>
      <c r="H51" s="6">
        <f t="shared" si="41"/>
        <v>0.20144072765082249</v>
      </c>
      <c r="I51" s="14">
        <f t="shared" si="42"/>
        <v>1.4079002653079749</v>
      </c>
      <c r="J51" s="6">
        <f t="shared" si="43"/>
        <v>0.20526072780613042</v>
      </c>
      <c r="K51" s="14">
        <f t="shared" si="44"/>
        <v>1.4302277715394422</v>
      </c>
      <c r="L51" s="6">
        <f t="shared" si="45"/>
        <v>0.21091105189800874</v>
      </c>
      <c r="M51">
        <f t="shared" si="46"/>
        <v>1.459408631936099</v>
      </c>
      <c r="N51" s="6">
        <f t="shared" si="47"/>
        <v>0.21882161475136588</v>
      </c>
      <c r="O51">
        <f t="shared" si="48"/>
        <v>1.4949232061343114</v>
      </c>
      <c r="P51" s="6">
        <f t="shared" si="49"/>
        <v>0.22930655052109727</v>
      </c>
      <c r="Q51">
        <f t="shared" si="50"/>
        <v>1.5408197330672058</v>
      </c>
      <c r="R51" s="6">
        <f t="shared" si="51"/>
        <v>0.24271665463341635</v>
      </c>
      <c r="S51">
        <f t="shared" si="52"/>
        <v>1.5971074067652304</v>
      </c>
      <c r="T51" s="6">
        <f t="shared" si="53"/>
        <v>0.25981552592411894</v>
      </c>
      <c r="U51">
        <f t="shared" si="54"/>
        <v>1.665775368643851</v>
      </c>
      <c r="V51" s="6">
        <f t="shared" si="55"/>
        <v>0.28158576091077314</v>
      </c>
      <c r="W51">
        <f t="shared" si="56"/>
        <v>1.7494976024636402</v>
      </c>
      <c r="X51" s="6">
        <f t="shared" si="57"/>
        <v>0.30943590381598957</v>
      </c>
      <c r="Y51">
        <f t="shared" si="58"/>
        <v>1.8519175101662948</v>
      </c>
      <c r="Z51" s="6">
        <f t="shared" si="59"/>
        <v>0.34542203651670206</v>
      </c>
      <c r="AA51">
        <f t="shared" si="60"/>
        <v>1.9780791426422464</v>
      </c>
      <c r="AB51" s="6">
        <f t="shared" si="61"/>
        <v>0.39261744084217576</v>
      </c>
      <c r="AC51">
        <f t="shared" si="62"/>
        <v>2.1356254761806155</v>
      </c>
      <c r="AD51" s="6">
        <f t="shared" si="63"/>
        <v>0.45644841477519549</v>
      </c>
      <c r="AE51">
        <f t="shared" si="64"/>
        <v>2.3347192037156912</v>
      </c>
      <c r="AF51" s="6">
        <f t="shared" si="65"/>
        <v>0.54349280525173105</v>
      </c>
      <c r="AG51">
        <f t="shared" si="66"/>
        <v>2.5901013894719833</v>
      </c>
      <c r="AH51" s="6">
        <f t="shared" si="67"/>
        <v>0.6665482239053655</v>
      </c>
      <c r="AI51">
        <f t="shared" si="68"/>
        <v>2.9223233153300359</v>
      </c>
      <c r="AJ51">
        <f t="shared" si="69"/>
        <v>0.87104457719271977</v>
      </c>
      <c r="AK51">
        <f t="shared" si="70"/>
        <v>3.3657008995194113</v>
      </c>
      <c r="AL51">
        <f t="shared" si="71"/>
        <v>1.1526569597014038</v>
      </c>
      <c r="AM51">
        <f t="shared" si="72"/>
        <v>3.865414115169969</v>
      </c>
      <c r="AN51">
        <f t="shared" si="73"/>
        <v>1.5170833825684951</v>
      </c>
      <c r="AO51">
        <f t="shared" si="74"/>
        <v>3.5296508893935061</v>
      </c>
      <c r="AP51">
        <f t="shared" si="75"/>
        <v>1.2665422956342385</v>
      </c>
    </row>
    <row r="52" spans="1:42" x14ac:dyDescent="0.25">
      <c r="A52" s="129">
        <v>0.5</v>
      </c>
      <c r="B52" s="256">
        <f>'Sub C_D_0'!AX50</f>
        <v>9.743710770601606E-3</v>
      </c>
      <c r="C52" s="256">
        <f>'C_L vs. α'!X351</f>
        <v>0.13457673865104924</v>
      </c>
      <c r="D52" s="144">
        <v>14</v>
      </c>
      <c r="E52" s="14">
        <f t="shared" si="38"/>
        <v>1.5930100345361013</v>
      </c>
      <c r="F52" s="6">
        <f t="shared" si="39"/>
        <v>0.26262637494734375</v>
      </c>
      <c r="G52" s="14">
        <f t="shared" si="40"/>
        <v>1.6057690727553295</v>
      </c>
      <c r="H52" s="6">
        <f t="shared" si="41"/>
        <v>0.26526034296270473</v>
      </c>
      <c r="I52" s="14">
        <f t="shared" si="42"/>
        <v>1.6245003061245864</v>
      </c>
      <c r="J52" s="6">
        <f t="shared" si="43"/>
        <v>0.27057793376504097</v>
      </c>
      <c r="K52" s="14">
        <f t="shared" si="44"/>
        <v>1.650262813314741</v>
      </c>
      <c r="L52" s="6">
        <f t="shared" si="45"/>
        <v>0.27831638058527552</v>
      </c>
      <c r="M52">
        <f t="shared" si="46"/>
        <v>1.683933036849345</v>
      </c>
      <c r="N52" s="6">
        <f t="shared" si="47"/>
        <v>0.28900553754441854</v>
      </c>
      <c r="O52">
        <f t="shared" si="48"/>
        <v>1.724911391693436</v>
      </c>
      <c r="P52" s="6">
        <f t="shared" si="49"/>
        <v>0.30294787392322892</v>
      </c>
      <c r="Q52">
        <f t="shared" si="50"/>
        <v>1.7778689227698528</v>
      </c>
      <c r="R52" s="6">
        <f t="shared" si="51"/>
        <v>0.32094920364162055</v>
      </c>
      <c r="S52">
        <f t="shared" si="52"/>
        <v>1.8428162385752658</v>
      </c>
      <c r="T52" s="6">
        <f t="shared" si="53"/>
        <v>0.34386830259683032</v>
      </c>
      <c r="U52">
        <f t="shared" si="54"/>
        <v>1.9220485022813665</v>
      </c>
      <c r="V52" s="6">
        <f t="shared" si="55"/>
        <v>0.37302164940298554</v>
      </c>
      <c r="W52">
        <f t="shared" si="56"/>
        <v>2.0186510797657387</v>
      </c>
      <c r="X52" s="6">
        <f t="shared" si="57"/>
        <v>0.41029394299981392</v>
      </c>
      <c r="Y52">
        <f t="shared" si="58"/>
        <v>2.136827896345725</v>
      </c>
      <c r="Z52" s="6">
        <f t="shared" si="59"/>
        <v>0.45843469554486016</v>
      </c>
      <c r="AA52">
        <f t="shared" si="60"/>
        <v>2.2823990107410532</v>
      </c>
      <c r="AB52" s="6">
        <f t="shared" si="61"/>
        <v>0.52155253586153194</v>
      </c>
      <c r="AC52">
        <f t="shared" si="62"/>
        <v>2.4641832417468641</v>
      </c>
      <c r="AD52" s="6">
        <f t="shared" si="63"/>
        <v>0.60673977091329567</v>
      </c>
      <c r="AE52">
        <f t="shared" si="64"/>
        <v>2.6939067735181053</v>
      </c>
      <c r="AF52" s="6">
        <f t="shared" si="65"/>
        <v>0.72311215852495603</v>
      </c>
      <c r="AG52">
        <f t="shared" si="66"/>
        <v>2.9885785263138271</v>
      </c>
      <c r="AH52" s="6">
        <f t="shared" si="67"/>
        <v>0.88761187931781205</v>
      </c>
      <c r="AI52">
        <f t="shared" si="68"/>
        <v>3.3719115176885031</v>
      </c>
      <c r="AJ52">
        <f t="shared" si="69"/>
        <v>1.1564976977596273</v>
      </c>
      <c r="AK52">
        <f t="shared" si="70"/>
        <v>3.883501037907013</v>
      </c>
      <c r="AL52">
        <f t="shared" si="71"/>
        <v>1.5312994141093235</v>
      </c>
      <c r="AM52">
        <f t="shared" si="72"/>
        <v>4.4600932098115029</v>
      </c>
      <c r="AN52">
        <f t="shared" si="73"/>
        <v>2.016508436782162</v>
      </c>
      <c r="AO52">
        <f t="shared" si="74"/>
        <v>4.0726741031463538</v>
      </c>
      <c r="AP52">
        <f t="shared" si="75"/>
        <v>1.6829720700231634</v>
      </c>
    </row>
    <row r="53" spans="1:42" x14ac:dyDescent="0.25">
      <c r="A53" s="139">
        <v>0.55000000000000004</v>
      </c>
      <c r="B53" s="256">
        <f>'Sub C_D_0'!AX51</f>
        <v>9.6132908766098975E-3</v>
      </c>
      <c r="C53" s="256">
        <f>'C_L vs. α'!X352</f>
        <v>0.14245519308971499</v>
      </c>
      <c r="D53" s="144">
        <v>16</v>
      </c>
      <c r="E53" s="14">
        <f t="shared" si="38"/>
        <v>1.805411372474248</v>
      </c>
      <c r="F53" s="6">
        <f t="shared" si="39"/>
        <v>0.33453750760275647</v>
      </c>
      <c r="G53" s="14">
        <f t="shared" si="40"/>
        <v>1.8198716157893735</v>
      </c>
      <c r="H53" s="6">
        <f t="shared" si="41"/>
        <v>0.33832801731609485</v>
      </c>
      <c r="I53" s="14">
        <f t="shared" si="42"/>
        <v>1.841100346941198</v>
      </c>
      <c r="J53" s="6">
        <f>$B$45+$B$7*I53^2+$B$8*(I53-I$45)^2</f>
        <v>0.34536021365431513</v>
      </c>
      <c r="K53" s="14">
        <f t="shared" si="44"/>
        <v>1.87029785509004</v>
      </c>
      <c r="L53" s="6">
        <f t="shared" si="45"/>
        <v>0.35548937171246359</v>
      </c>
      <c r="M53">
        <f t="shared" si="46"/>
        <v>1.9084574417625912</v>
      </c>
      <c r="N53" s="6">
        <f t="shared" si="47"/>
        <v>0.36935976704619788</v>
      </c>
      <c r="O53">
        <f t="shared" si="48"/>
        <v>1.954899577252561</v>
      </c>
      <c r="P53" s="6">
        <f t="shared" si="49"/>
        <v>0.3872605137127989</v>
      </c>
      <c r="Q53">
        <f t="shared" si="50"/>
        <v>2.0149181124725</v>
      </c>
      <c r="R53" s="6">
        <f t="shared" si="51"/>
        <v>0.41051838056053597</v>
      </c>
      <c r="S53">
        <f t="shared" si="52"/>
        <v>2.0885250703853013</v>
      </c>
      <c r="T53" s="6">
        <f t="shared" si="53"/>
        <v>0.44010111259429902</v>
      </c>
      <c r="U53">
        <f t="shared" si="54"/>
        <v>2.1783216359188819</v>
      </c>
      <c r="V53" s="6">
        <f>$B$51+$B$7*U53^2+$B$8*(U53-U$45)^2</f>
        <v>0.47770745316272656</v>
      </c>
      <c r="W53">
        <f t="shared" si="56"/>
        <v>2.2878045570678371</v>
      </c>
      <c r="X53" s="6">
        <f t="shared" si="57"/>
        <v>0.52576725519373846</v>
      </c>
      <c r="Y53">
        <f t="shared" si="58"/>
        <v>2.4217382825251548</v>
      </c>
      <c r="Z53" s="6">
        <f t="shared" si="59"/>
        <v>0.58782394565747753</v>
      </c>
      <c r="AA53">
        <f t="shared" si="60"/>
        <v>2.5867188788398607</v>
      </c>
      <c r="AB53" s="6">
        <f t="shared" si="61"/>
        <v>0.66917153183256706</v>
      </c>
      <c r="AC53">
        <f t="shared" si="62"/>
        <v>2.7927410073131127</v>
      </c>
      <c r="AD53" s="6">
        <f t="shared" si="63"/>
        <v>0.77880974994344987</v>
      </c>
      <c r="AE53">
        <f t="shared" si="64"/>
        <v>3.0530943433205189</v>
      </c>
      <c r="AF53" s="6">
        <f t="shared" si="65"/>
        <v>0.92876003572378574</v>
      </c>
      <c r="AG53">
        <f t="shared" si="66"/>
        <v>3.3870556631556705</v>
      </c>
      <c r="AH53" s="6">
        <f t="shared" si="67"/>
        <v>1.1407097255851382</v>
      </c>
      <c r="AI53">
        <f t="shared" si="68"/>
        <v>3.8214997200469702</v>
      </c>
      <c r="AJ53">
        <f t="shared" si="69"/>
        <v>1.4827298355503788</v>
      </c>
      <c r="AK53">
        <f t="shared" si="70"/>
        <v>4.4013011762946146</v>
      </c>
      <c r="AL53">
        <f t="shared" si="71"/>
        <v>1.9640336477183744</v>
      </c>
      <c r="AM53">
        <f t="shared" si="72"/>
        <v>5.0547723044530359</v>
      </c>
      <c r="AN53">
        <f t="shared" si="73"/>
        <v>2.5872799273120664</v>
      </c>
      <c r="AO53">
        <f t="shared" si="74"/>
        <v>4.6156973168992002</v>
      </c>
      <c r="AP53">
        <f t="shared" si="75"/>
        <v>2.1588918121819334</v>
      </c>
    </row>
    <row r="54" spans="1:42" x14ac:dyDescent="0.25">
      <c r="A54" s="129">
        <v>0.6</v>
      </c>
      <c r="B54" s="256">
        <f>'Sub C_D_0'!AX52</f>
        <v>9.4963560029259677E-3</v>
      </c>
      <c r="C54" s="256">
        <f>'C_L vs. α'!X353</f>
        <v>0.15215993404940356</v>
      </c>
    </row>
    <row r="55" spans="1:42" x14ac:dyDescent="0.25">
      <c r="A55" s="139">
        <v>0.65</v>
      </c>
      <c r="B55" s="256">
        <f>'Sub C_D_0'!AX53</f>
        <v>9.8687818447908415E-3</v>
      </c>
      <c r="C55" s="256">
        <f>'C_L vs. α'!X354</f>
        <v>0.16427888278312427</v>
      </c>
    </row>
    <row r="56" spans="1:42" x14ac:dyDescent="0.25">
      <c r="A56" s="129">
        <v>0.7</v>
      </c>
      <c r="B56" s="256">
        <f>'Sub C_D_0'!AX54</f>
        <v>9.7672011108925275E-3</v>
      </c>
      <c r="C56" s="256">
        <f>'C_L vs. α'!X355</f>
        <v>0.179593784901207</v>
      </c>
    </row>
    <row r="57" spans="1:42" x14ac:dyDescent="0.25">
      <c r="A57" s="139">
        <v>0.75</v>
      </c>
      <c r="B57" s="256">
        <f>'Sub C_D_0'!AX55</f>
        <v>9.6739456692352989E-3</v>
      </c>
      <c r="C57" s="256">
        <f>'C_L vs. α'!X356</f>
        <v>0.1992385684209218</v>
      </c>
    </row>
    <row r="58" spans="1:42" x14ac:dyDescent="0.25">
      <c r="A58" s="129">
        <v>0.8</v>
      </c>
      <c r="B58" s="256">
        <f>'Sub C_D_0'!AX56</f>
        <v>9.5878383390168315E-3</v>
      </c>
      <c r="C58" s="256">
        <f>'C_L vs. α'!X357</f>
        <v>0.22479410117923354</v>
      </c>
    </row>
    <row r="59" spans="1:42" x14ac:dyDescent="0.25">
      <c r="A59" s="139">
        <v>0.85</v>
      </c>
      <c r="B59" s="256">
        <f>'Sub C_D_0'!AX57</f>
        <v>9.9681240775033944E-3</v>
      </c>
      <c r="C59" s="256">
        <f>'C_L vs. α'!X358</f>
        <v>0.25890006919380087</v>
      </c>
    </row>
    <row r="60" spans="1:42" x14ac:dyDescent="0.25">
      <c r="A60" s="129">
        <v>0.9</v>
      </c>
      <c r="B60" s="256">
        <f>'Sub C_D_0'!AX58</f>
        <v>9.8899153879652962E-3</v>
      </c>
      <c r="C60" s="256">
        <f>'C_L vs. α'!X359</f>
        <v>0.29733954732076684</v>
      </c>
    </row>
    <row r="61" spans="1:42" x14ac:dyDescent="0.25">
      <c r="A61" s="139">
        <v>0.95</v>
      </c>
      <c r="B61" s="256">
        <f>'Sub C_D_0'!AX59</f>
        <v>9.8167264962347803E-3</v>
      </c>
      <c r="C61" s="256">
        <f>'C_L vs. α'!X360</f>
        <v>0.27151160687642356</v>
      </c>
    </row>
    <row r="62" spans="1:42" s="29" customFormat="1" x14ac:dyDescent="0.25">
      <c r="A62" s="11"/>
      <c r="B62" s="262"/>
      <c r="C62" s="262"/>
    </row>
    <row r="63" spans="1:42" s="29" customFormat="1" x14ac:dyDescent="0.25">
      <c r="A63" s="122" t="s">
        <v>537</v>
      </c>
      <c r="B63" s="122" t="s">
        <v>192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9" customFormat="1" x14ac:dyDescent="0.25">
      <c r="A64" s="122" t="s">
        <v>202</v>
      </c>
      <c r="B64" s="145">
        <v>5000</v>
      </c>
      <c r="C64" s="122" t="s">
        <v>538</v>
      </c>
      <c r="D64" s="122" t="s">
        <v>539</v>
      </c>
      <c r="E64" s="1" t="s">
        <v>536</v>
      </c>
      <c r="F64" s="140">
        <v>0.05</v>
      </c>
      <c r="G64" s="1" t="s">
        <v>536</v>
      </c>
      <c r="H64" s="140">
        <v>0.1</v>
      </c>
      <c r="I64" s="1" t="s">
        <v>536</v>
      </c>
      <c r="J64" s="140">
        <v>0.15</v>
      </c>
      <c r="K64" s="1" t="s">
        <v>536</v>
      </c>
      <c r="L64" s="140">
        <v>0.2</v>
      </c>
      <c r="M64" t="s">
        <v>536</v>
      </c>
      <c r="N64" s="141">
        <v>0.25</v>
      </c>
      <c r="O64" t="s">
        <v>536</v>
      </c>
      <c r="P64" s="141">
        <v>0.3</v>
      </c>
      <c r="Q64" t="s">
        <v>536</v>
      </c>
      <c r="R64" s="141">
        <v>0.35</v>
      </c>
      <c r="S64" t="s">
        <v>536</v>
      </c>
      <c r="T64" s="141">
        <v>0.4</v>
      </c>
      <c r="U64" t="s">
        <v>536</v>
      </c>
      <c r="V64" s="141">
        <v>0.45</v>
      </c>
      <c r="W64" t="s">
        <v>536</v>
      </c>
      <c r="X64" s="141">
        <v>0.5</v>
      </c>
      <c r="Y64" t="s">
        <v>536</v>
      </c>
      <c r="Z64" s="141">
        <v>0.55000000000000004</v>
      </c>
      <c r="AA64" t="s">
        <v>536</v>
      </c>
      <c r="AB64" s="141">
        <v>0.6</v>
      </c>
      <c r="AC64" t="s">
        <v>536</v>
      </c>
      <c r="AD64" s="141">
        <v>0.65</v>
      </c>
      <c r="AE64" t="s">
        <v>536</v>
      </c>
      <c r="AF64" s="141">
        <v>0.7</v>
      </c>
      <c r="AG64" t="s">
        <v>536</v>
      </c>
      <c r="AH64" s="141">
        <v>0.75</v>
      </c>
      <c r="AI64" t="s">
        <v>536</v>
      </c>
      <c r="AJ64" s="141">
        <v>0.8</v>
      </c>
      <c r="AK64" t="s">
        <v>536</v>
      </c>
      <c r="AL64" s="141">
        <v>0.85</v>
      </c>
      <c r="AM64" t="s">
        <v>536</v>
      </c>
      <c r="AN64" s="141">
        <v>0.9</v>
      </c>
      <c r="AO64" t="s">
        <v>536</v>
      </c>
      <c r="AP64" s="141">
        <v>0.95</v>
      </c>
    </row>
    <row r="65" spans="1:42" s="29" customFormat="1" x14ac:dyDescent="0.25">
      <c r="A65" s="121" t="s">
        <v>182</v>
      </c>
      <c r="B65" s="121" t="s">
        <v>534</v>
      </c>
      <c r="C65" s="121" t="s">
        <v>535</v>
      </c>
      <c r="D65" s="121" t="s">
        <v>421</v>
      </c>
      <c r="E65" s="14" t="s">
        <v>244</v>
      </c>
      <c r="F65" s="6" t="s">
        <v>245</v>
      </c>
      <c r="G65" s="14" t="s">
        <v>244</v>
      </c>
      <c r="H65" s="6" t="s">
        <v>245</v>
      </c>
      <c r="I65" s="14" t="s">
        <v>244</v>
      </c>
      <c r="J65" s="6" t="s">
        <v>245</v>
      </c>
      <c r="K65" s="14" t="s">
        <v>244</v>
      </c>
      <c r="L65" s="6" t="s">
        <v>245</v>
      </c>
      <c r="M65" t="s">
        <v>244</v>
      </c>
      <c r="N65" t="s">
        <v>245</v>
      </c>
      <c r="O65" t="s">
        <v>244</v>
      </c>
      <c r="P65" t="s">
        <v>245</v>
      </c>
      <c r="Q65" t="s">
        <v>244</v>
      </c>
      <c r="R65" t="s">
        <v>245</v>
      </c>
      <c r="S65" t="s">
        <v>244</v>
      </c>
      <c r="T65" t="s">
        <v>245</v>
      </c>
      <c r="U65" t="s">
        <v>244</v>
      </c>
      <c r="V65" t="s">
        <v>245</v>
      </c>
      <c r="W65" t="s">
        <v>244</v>
      </c>
      <c r="X65" t="s">
        <v>245</v>
      </c>
      <c r="Y65" t="s">
        <v>244</v>
      </c>
      <c r="Z65" t="s">
        <v>245</v>
      </c>
      <c r="AA65" t="s">
        <v>244</v>
      </c>
      <c r="AB65" t="s">
        <v>245</v>
      </c>
      <c r="AC65" t="s">
        <v>244</v>
      </c>
      <c r="AD65" t="s">
        <v>245</v>
      </c>
      <c r="AE65" t="s">
        <v>244</v>
      </c>
      <c r="AF65" t="s">
        <v>245</v>
      </c>
      <c r="AG65" t="s">
        <v>244</v>
      </c>
      <c r="AH65" t="s">
        <v>245</v>
      </c>
      <c r="AI65" t="s">
        <v>244</v>
      </c>
      <c r="AJ65" t="s">
        <v>245</v>
      </c>
      <c r="AK65" t="s">
        <v>244</v>
      </c>
      <c r="AL65" t="s">
        <v>245</v>
      </c>
      <c r="AM65" t="s">
        <v>244</v>
      </c>
      <c r="AN65" t="s">
        <v>245</v>
      </c>
      <c r="AO65" t="s">
        <v>244</v>
      </c>
      <c r="AP65" t="s">
        <v>245</v>
      </c>
    </row>
    <row r="66" spans="1:42" s="29" customFormat="1" x14ac:dyDescent="0.25">
      <c r="A66" s="129">
        <v>0</v>
      </c>
      <c r="B66" s="129" t="e">
        <f>'Sub C_D_0'!AX70</f>
        <v>#DIV/0!</v>
      </c>
      <c r="C66" s="129" t="e">
        <f>'C_L vs. α'!X366</f>
        <v>#NUM!</v>
      </c>
      <c r="D66" s="144">
        <v>-6</v>
      </c>
      <c r="E66" s="14">
        <f>(D66-$B$12)*$C$67</f>
        <v>-0.53109344563783467</v>
      </c>
      <c r="F66" s="6">
        <f>$B$43+$B$7*E66^2+$B$8*(E66-E$45)^2</f>
        <v>4.4117341462285714E-2</v>
      </c>
      <c r="G66" s="14">
        <f>(D66-$B$12)*$C$68</f>
        <v>-0.53534755393543543</v>
      </c>
      <c r="H66" s="6">
        <f>$B$44+$B$7*G66^2+$B$8*(G66-G$45)^2</f>
        <v>4.3237086017158449E-2</v>
      </c>
      <c r="I66" s="14">
        <f>(D66-$B$12)*$C$69</f>
        <v>-0.54158701877589221</v>
      </c>
      <c r="J66" s="6">
        <f>$B$45+$B$7*I66^2+$B$8*(I66-I$45)^2</f>
        <v>4.3344073631980465E-2</v>
      </c>
      <c r="K66" s="14">
        <f>(D66-$B$12)*$C$70</f>
        <v>-0.55016957028858915</v>
      </c>
      <c r="L66" s="6">
        <f>$B$46+$B$7*K66^2+$B$8*(K66-K$45)^2</f>
        <v>4.381736134003824E-2</v>
      </c>
      <c r="M66">
        <f>(D66-$B$12)*$C$71</f>
        <v>-0.5613878479933897</v>
      </c>
      <c r="N66" s="6">
        <f>$B$47+$B$7*M66^2+$B$8*(M66-M$45)^2</f>
        <v>4.4839158221043209E-2</v>
      </c>
      <c r="O66">
        <f>(D66-$B$12)*$C$72</f>
        <v>-0.57504670145380987</v>
      </c>
      <c r="P66" s="6">
        <f>$B$48+$B$7*O66^2+$B$8*(O66-O$45)^2</f>
        <v>4.6753072041936322E-2</v>
      </c>
      <c r="Q66">
        <f>(D66-$B$12)*$C$73</f>
        <v>-0.59269361590903979</v>
      </c>
      <c r="R66" s="6">
        <f>$B$49+$B$7*Q66^2+$B$8*(Q66-Q$45)^2</f>
        <v>4.8780750862514287E-2</v>
      </c>
      <c r="S66">
        <f>(D66-$B$12)*$C$74</f>
        <v>-0.61433590552046735</v>
      </c>
      <c r="T66" s="6">
        <f>$B$50+$B$7*S66^2+$B$8*(S66-S$45)^2</f>
        <v>5.1450259343516672E-2</v>
      </c>
      <c r="U66">
        <f>(D66-$B$12)*$C$75</f>
        <v>-0.64073806728367422</v>
      </c>
      <c r="V66" s="6">
        <f>$B$51+$B$7*U66^2+$B$8*(U66-U$45)^2</f>
        <v>5.4916374133023124E-2</v>
      </c>
      <c r="W66">
        <f>(D66-$B$12)*$C$76</f>
        <v>-0.67292767597279368</v>
      </c>
      <c r="X66" s="6">
        <f>$B$52+$B$7*W66^2+$B$8*(W66-W$45)^2</f>
        <v>5.9407044324863031E-2</v>
      </c>
      <c r="Y66">
        <f>(D66-$B$12)*$C$77</f>
        <v>-0.71230462852029264</v>
      </c>
      <c r="Z66" s="6">
        <f>$B$53+$B$7*Y66^2+$B$8*(Y66-Y$45)^2</f>
        <v>6.5258986343807446E-2</v>
      </c>
      <c r="AA66">
        <f>(D66-$B$12)*$C$78</f>
        <v>-0.76080659498954106</v>
      </c>
      <c r="AB66" s="6">
        <f>$B$54+$B$7*AA66^2+$B$8*(AA66-AA$45)^2</f>
        <v>7.2978233516883706E-2</v>
      </c>
      <c r="AC66">
        <f>(D66-$B$12)*$C$79</f>
        <v>-0.82136693181287801</v>
      </c>
      <c r="AD66" s="6">
        <f>$B$55+$B$7*AC66^2+$B$8*(AC66-AC$45)^2</f>
        <v>8.3859504997951265E-2</v>
      </c>
      <c r="AE66">
        <f>(D66-$B$12)*$C$80</f>
        <v>-0.89788629747523374</v>
      </c>
      <c r="AF66" s="6">
        <f>$B$56+$B$7*AE66^2+$B$8*(AE66-AE$45)^2</f>
        <v>9.8186640644019621E-2</v>
      </c>
      <c r="AG66">
        <f>(D66-$B$12)*$C$81</f>
        <v>-0.99601751169927866</v>
      </c>
      <c r="AH66" s="6">
        <f>$B$57+$B$7*AG66^2+$B$8*(AG66-AG$45)^2</f>
        <v>0.11847728175729537</v>
      </c>
      <c r="AI66">
        <f>(D66-$B$12)*$C$82</f>
        <v>-1.1236252226385615</v>
      </c>
      <c r="AJ66">
        <f>$B$58+$B$9*AI66^2</f>
        <v>0.13694398358590026</v>
      </c>
      <c r="AK66">
        <f>(D66-$B$12)*$C$83</f>
        <v>-1.2937599647482783</v>
      </c>
      <c r="AL66">
        <f>$B$59+$B$9*AK66^2</f>
        <v>0.17881163032445835</v>
      </c>
      <c r="AM66">
        <f>(D66-$B$12)*$C$84</f>
        <v>-1.4849859833541401</v>
      </c>
      <c r="AN66">
        <f>$B$60+$B$9*AM66^2</f>
        <v>0.2323344068084692</v>
      </c>
      <c r="AO66">
        <f>(D66-$B$12)*$C$85</f>
        <v>-1.351958615286535</v>
      </c>
      <c r="AP66">
        <f>$B$61+$B$9*AO66^2</f>
        <v>0.19419245185793871</v>
      </c>
    </row>
    <row r="67" spans="1:42" s="29" customFormat="1" x14ac:dyDescent="0.25">
      <c r="A67" s="139">
        <v>0.05</v>
      </c>
      <c r="B67" s="256">
        <f>'Sub C_D_0'!AX71</f>
        <v>1.3025129680776664E-2</v>
      </c>
      <c r="C67" s="256">
        <f>'C_L vs. α'!X367</f>
        <v>0.10621868912756693</v>
      </c>
      <c r="D67" s="144">
        <v>-4</v>
      </c>
      <c r="E67" s="14">
        <f t="shared" ref="E67:E77" si="76">(D67-$B$12)*$C$67</f>
        <v>-0.3186560673827008</v>
      </c>
      <c r="F67" s="6">
        <f t="shared" ref="F67:F77" si="77">$B$43+$B$7*E67^2+$B$8*(E67-E$45)^2</f>
        <v>2.5005368964731243E-2</v>
      </c>
      <c r="G67" s="14">
        <f t="shared" ref="G67:G77" si="78">(D67-$B$12)*$C$68</f>
        <v>-0.32120853236126123</v>
      </c>
      <c r="H67" s="6">
        <f t="shared" ref="H67:H77" si="79">$B$44+$B$7*G67^2+$B$8*(G67-G$45)^2</f>
        <v>2.3817710521778442E-2</v>
      </c>
      <c r="I67" s="14">
        <f t="shared" ref="I67:I77" si="80">(D67-$B$12)*$C$69</f>
        <v>-0.32495221126553531</v>
      </c>
      <c r="J67" s="6">
        <f t="shared" ref="J67:J76" si="81">$B$45+$B$7*I67^2+$B$8*(I67-I$45)^2</f>
        <v>2.3469386125830455E-2</v>
      </c>
      <c r="K67" s="14">
        <f t="shared" ref="K67:K77" si="82">(D67-$B$12)*$C$70</f>
        <v>-0.33010174217315352</v>
      </c>
      <c r="L67" s="6">
        <f t="shared" ref="L67:L77" si="83">$B$46+$B$7*K67^2+$B$8*(K67-K$45)^2</f>
        <v>2.3307761625912523E-2</v>
      </c>
      <c r="M67">
        <f t="shared" ref="M67:M77" si="84">(D67-$B$12)*$C$71</f>
        <v>-0.33683270879603378</v>
      </c>
      <c r="N67" s="6">
        <f t="shared" ref="N67:N77" si="85">$B$47+$B$7*M67^2+$B$8*(M67-M$45)^2</f>
        <v>2.3484613545466236E-2</v>
      </c>
      <c r="O67">
        <f t="shared" ref="O67:O77" si="86">(D67-$B$12)*$C$72</f>
        <v>-0.34502802087228596</v>
      </c>
      <c r="P67" s="6">
        <f t="shared" ref="P67:P77" si="87">$B$48+$B$7*O67^2+$B$8*(O67-O$45)^2</f>
        <v>2.4346747507666817E-2</v>
      </c>
      <c r="Q67">
        <f t="shared" ref="Q67:Q77" si="88">(D67-$B$12)*$C$73</f>
        <v>-0.35561616954542385</v>
      </c>
      <c r="R67" s="6">
        <f t="shared" ref="R67:R77" si="89">$B$49+$B$7*Q67^2+$B$8*(Q67-Q$45)^2</f>
        <v>2.4978109007542819E-2</v>
      </c>
      <c r="S67">
        <f t="shared" ref="S67:S77" si="90">(D67-$B$12)*$C$74</f>
        <v>-0.36860154331228046</v>
      </c>
      <c r="T67" s="6">
        <f t="shared" ref="T67:T77" si="91">$B$50+$B$7*S67^2+$B$8*(S67-S$45)^2</f>
        <v>2.5877548099720121E-2</v>
      </c>
      <c r="U67">
        <f t="shared" ref="U67:U77" si="92">(D67-$B$12)*$C$75</f>
        <v>-0.38444284037020449</v>
      </c>
      <c r="V67" s="6">
        <f t="shared" ref="V67:V76" si="93">$B$51+$B$7*U67^2+$B$8*(U67-U$45)^2</f>
        <v>2.7098342687875185E-2</v>
      </c>
      <c r="W67">
        <f t="shared" ref="W67:W77" si="94">(D67-$B$12)*$C$76</f>
        <v>-0.40375660558367621</v>
      </c>
      <c r="X67" s="6">
        <f t="shared" ref="X67:X77" si="95">$B$52+$B$7*W67^2+$B$8*(W67-W$45)^2</f>
        <v>2.872371030704822E-2</v>
      </c>
      <c r="Y67">
        <f t="shared" ref="Y67:Y77" si="96">(D67-$B$12)*$C$77</f>
        <v>-0.42738277711217554</v>
      </c>
      <c r="Z67" s="6">
        <f t="shared" ref="Z67:Z77" si="97">$B$53+$B$7*Y67^2+$B$8*(Y67-Y$45)^2</f>
        <v>3.0879624151478061E-2</v>
      </c>
      <c r="AA67">
        <f t="shared" ref="AA67:AA77" si="98">(D67-$B$12)*$C$78</f>
        <v>-0.45648395699372468</v>
      </c>
      <c r="AB67" s="6">
        <f t="shared" ref="AB67:AB77" si="99">$B$54+$B$7*AA67^2+$B$8*(AA67-AA$45)^2</f>
        <v>3.3757522871386135E-2</v>
      </c>
      <c r="AC67">
        <f t="shared" ref="AC67:AC77" si="100">(D67-$B$12)*$C$79</f>
        <v>-0.49282015908772681</v>
      </c>
      <c r="AD67" s="6">
        <f t="shared" ref="AD67:AD77" si="101">$B$55+$B$7*AC67^2+$B$8*(AC67-AC$45)^2</f>
        <v>3.8146241959299956E-2</v>
      </c>
      <c r="AE67">
        <f t="shared" ref="AE67:AE77" si="102">(D67-$B$12)*$C$80</f>
        <v>-0.5387317784851402</v>
      </c>
      <c r="AF67" s="6">
        <f t="shared" ref="AF67:AF77" si="103">$B$56+$B$7*AE67^2+$B$8*(AE67-AE$45)^2</f>
        <v>4.3559095682095365E-2</v>
      </c>
      <c r="AG67">
        <f t="shared" ref="AG67:AG77" si="104">(D67-$B$12)*$C$81</f>
        <v>-0.59761050701956719</v>
      </c>
      <c r="AH67" s="6">
        <f t="shared" ref="AH67:AH77" si="105">$B$57+$B$7*AG67^2+$B$8*(AG67-AG$45)^2</f>
        <v>5.1256328542681161E-2</v>
      </c>
      <c r="AI67">
        <f t="shared" ref="AI67:AI77" si="106">(D67-$B$12)*$C$82</f>
        <v>-0.67417513358313697</v>
      </c>
      <c r="AJ67">
        <f t="shared" ref="AJ67:AJ77" si="107">$B$58+$B$9*AI67^2</f>
        <v>5.5436050627894869E-2</v>
      </c>
      <c r="AK67">
        <f t="shared" ref="AK67:AK77" si="108">(D67-$B$12)*$C$83</f>
        <v>-0.77625597884896702</v>
      </c>
      <c r="AL67">
        <f t="shared" ref="AL67:AL77" si="109">$B$59+$B$9*AK67^2</f>
        <v>7.075178632640719E-2</v>
      </c>
      <c r="AM67">
        <f t="shared" ref="AM67:AM77" si="110">(D67-$B$12)*$C$84</f>
        <v>-0.89099159001248407</v>
      </c>
      <c r="AN67">
        <f t="shared" ref="AN67:AN77" si="111">$B$60+$B$9*AM67^2</f>
        <v>8.9969932299346703E-2</v>
      </c>
      <c r="AO67">
        <f t="shared" ref="AO67:AO77" si="112">(D67-$B$12)*$C$85</f>
        <v>-0.81117516917192112</v>
      </c>
      <c r="AP67">
        <f t="shared" ref="AP67:AP77" si="113">$B$61+$B$9*AO67^2</f>
        <v>7.6191987626448215E-2</v>
      </c>
    </row>
    <row r="68" spans="1:42" s="29" customFormat="1" x14ac:dyDescent="0.25">
      <c r="A68" s="129">
        <v>0.1</v>
      </c>
      <c r="B68" s="256">
        <f>'Sub C_D_0'!AX72</f>
        <v>1.1669906207056196E-2</v>
      </c>
      <c r="C68" s="256">
        <f>'C_L vs. α'!X368</f>
        <v>0.10706951078708708</v>
      </c>
      <c r="D68" s="144">
        <v>-2</v>
      </c>
      <c r="E68" s="14">
        <f t="shared" si="76"/>
        <v>-0.10621868912756693</v>
      </c>
      <c r="F68" s="6">
        <f t="shared" si="77"/>
        <v>1.4998162882259381E-2</v>
      </c>
      <c r="G68" s="14">
        <f t="shared" si="78"/>
        <v>-0.10706951078708708</v>
      </c>
      <c r="H68" s="6">
        <f t="shared" si="79"/>
        <v>1.3649545683269915E-2</v>
      </c>
      <c r="I68" s="14">
        <f t="shared" si="80"/>
        <v>-0.10831740375517844</v>
      </c>
      <c r="J68" s="6">
        <f t="shared" si="81"/>
        <v>1.3062811291265028E-2</v>
      </c>
      <c r="K68" s="14">
        <f t="shared" si="82"/>
        <v>-0.11003391405771784</v>
      </c>
      <c r="L68" s="6">
        <f t="shared" si="83"/>
        <v>1.2568735431321868E-2</v>
      </c>
      <c r="M68">
        <f t="shared" si="84"/>
        <v>-0.11227756959867793</v>
      </c>
      <c r="N68" s="6">
        <f t="shared" si="85"/>
        <v>1.2303160117692776E-2</v>
      </c>
      <c r="O68">
        <f t="shared" si="86"/>
        <v>-0.11500934029076199</v>
      </c>
      <c r="P68" s="6">
        <f t="shared" si="87"/>
        <v>1.2614569450615573E-2</v>
      </c>
      <c r="Q68">
        <f t="shared" si="88"/>
        <v>-0.11853872318180796</v>
      </c>
      <c r="R68" s="6">
        <f t="shared" si="89"/>
        <v>1.2514797914484408E-2</v>
      </c>
      <c r="S68">
        <f t="shared" si="90"/>
        <v>-0.12286718110409348</v>
      </c>
      <c r="T68" s="6">
        <f t="shared" si="91"/>
        <v>1.2487401447084268E-2</v>
      </c>
      <c r="U68">
        <f t="shared" si="92"/>
        <v>-0.12814761345673484</v>
      </c>
      <c r="V68" s="6">
        <f t="shared" si="93"/>
        <v>1.253251115592669E-2</v>
      </c>
      <c r="W68">
        <f t="shared" si="94"/>
        <v>-0.13458553519455874</v>
      </c>
      <c r="X68" s="6">
        <f t="shared" si="95"/>
        <v>1.2657560002297228E-2</v>
      </c>
      <c r="Y68">
        <f t="shared" si="96"/>
        <v>-0.14246092570405852</v>
      </c>
      <c r="Z68" s="6">
        <f t="shared" si="97"/>
        <v>1.2878171108156934E-2</v>
      </c>
      <c r="AA68">
        <f t="shared" si="98"/>
        <v>-0.15216131899790822</v>
      </c>
      <c r="AB68" s="6">
        <f t="shared" si="99"/>
        <v>1.3221053298093663E-2</v>
      </c>
      <c r="AC68">
        <f t="shared" si="100"/>
        <v>-0.1642733863625756</v>
      </c>
      <c r="AD68" s="6">
        <f t="shared" si="101"/>
        <v>1.4210144504668534E-2</v>
      </c>
      <c r="AE68">
        <f t="shared" si="102"/>
        <v>-0.17957725949504674</v>
      </c>
      <c r="AF68" s="6">
        <f t="shared" si="103"/>
        <v>1.4955284812537172E-2</v>
      </c>
      <c r="AG68">
        <f t="shared" si="104"/>
        <v>-0.19920350233985573</v>
      </c>
      <c r="AH68" s="6">
        <f t="shared" si="105"/>
        <v>1.6058291110148986E-2</v>
      </c>
      <c r="AI68">
        <f t="shared" si="106"/>
        <v>-0.2247250445277123</v>
      </c>
      <c r="AJ68">
        <f t="shared" si="107"/>
        <v>1.4682084148892167E-2</v>
      </c>
      <c r="AK68">
        <f t="shared" si="108"/>
        <v>-0.25875199294965567</v>
      </c>
      <c r="AL68">
        <f t="shared" si="109"/>
        <v>1.6721864327381594E-2</v>
      </c>
      <c r="AM68">
        <f t="shared" si="110"/>
        <v>-0.29699719667082802</v>
      </c>
      <c r="AN68">
        <f t="shared" si="111"/>
        <v>1.8787695044785453E-2</v>
      </c>
      <c r="AO68">
        <f t="shared" si="112"/>
        <v>-0.27039172305730702</v>
      </c>
      <c r="AP68">
        <f t="shared" si="113"/>
        <v>1.7191755510702938E-2</v>
      </c>
    </row>
    <row r="69" spans="1:42" s="29" customFormat="1" x14ac:dyDescent="0.25">
      <c r="A69" s="139">
        <v>0.15</v>
      </c>
      <c r="B69" s="256">
        <f>'Sub C_D_0'!AX73</f>
        <v>1.0967250888458516E-2</v>
      </c>
      <c r="C69" s="256">
        <f>'C_L vs. α'!X369</f>
        <v>0.10831740375517844</v>
      </c>
      <c r="D69" s="143">
        <v>0</v>
      </c>
      <c r="E69" s="83">
        <f t="shared" si="76"/>
        <v>0.10621868912756693</v>
      </c>
      <c r="F69" s="21">
        <f t="shared" si="77"/>
        <v>1.4095723214870128E-2</v>
      </c>
      <c r="G69" s="83">
        <f t="shared" si="78"/>
        <v>0.10706951078708708</v>
      </c>
      <c r="H69" s="21">
        <f t="shared" si="79"/>
        <v>1.2732591501632862E-2</v>
      </c>
      <c r="I69" s="83">
        <f t="shared" si="80"/>
        <v>0.10831740375517844</v>
      </c>
      <c r="J69" s="21">
        <f t="shared" si="81"/>
        <v>1.2124349128284187E-2</v>
      </c>
      <c r="K69" s="83">
        <f t="shared" si="82"/>
        <v>0.11003391405771784</v>
      </c>
      <c r="L69" s="21">
        <f t="shared" si="83"/>
        <v>1.1600282756266284E-2</v>
      </c>
      <c r="M69" s="99">
        <f t="shared" si="84"/>
        <v>0.11227756959867793</v>
      </c>
      <c r="N69" s="21">
        <f t="shared" si="85"/>
        <v>1.1294797937722827E-2</v>
      </c>
      <c r="O69" s="99">
        <f t="shared" si="86"/>
        <v>0.11500934029076199</v>
      </c>
      <c r="P69" s="21">
        <f t="shared" si="87"/>
        <v>1.1556537870782601E-2</v>
      </c>
      <c r="Q69" s="99">
        <f t="shared" si="88"/>
        <v>0.11853872318180796</v>
      </c>
      <c r="R69" s="21">
        <f t="shared" si="89"/>
        <v>1.1390817583339048E-2</v>
      </c>
      <c r="S69" s="99">
        <f t="shared" si="90"/>
        <v>0.12286718110409348</v>
      </c>
      <c r="T69" s="21">
        <f t="shared" si="91"/>
        <v>1.1279819385609112E-2</v>
      </c>
      <c r="U69" s="99">
        <f t="shared" si="92"/>
        <v>0.12814761345673484</v>
      </c>
      <c r="V69" s="21">
        <f t="shared" si="93"/>
        <v>1.121887953717763E-2</v>
      </c>
      <c r="W69" s="99">
        <f t="shared" si="94"/>
        <v>0.13458553519455874</v>
      </c>
      <c r="X69" s="21">
        <f t="shared" si="95"/>
        <v>1.1208593410610051E-2</v>
      </c>
      <c r="Y69" s="99">
        <f t="shared" si="96"/>
        <v>0.14246092570405852</v>
      </c>
      <c r="Z69" s="21">
        <f t="shared" si="97"/>
        <v>1.1254627213844038E-2</v>
      </c>
      <c r="AA69" s="99">
        <f t="shared" si="98"/>
        <v>0.15216131899790822</v>
      </c>
      <c r="AB69" s="21">
        <f t="shared" si="99"/>
        <v>1.1368824797006304E-2</v>
      </c>
      <c r="AC69" s="99">
        <f t="shared" si="100"/>
        <v>0.1642733863625756</v>
      </c>
      <c r="AD69" s="21">
        <f t="shared" si="101"/>
        <v>1.2051212634056977E-2</v>
      </c>
      <c r="AE69" s="99">
        <f t="shared" si="102"/>
        <v>0.17957725949504674</v>
      </c>
      <c r="AF69" s="21">
        <f t="shared" si="103"/>
        <v>1.2375208035345038E-2</v>
      </c>
      <c r="AG69" s="99">
        <f t="shared" si="104"/>
        <v>0.19920350233985573</v>
      </c>
      <c r="AH69" s="21">
        <f t="shared" si="105"/>
        <v>1.2883169459698857E-2</v>
      </c>
      <c r="AI69" s="99">
        <f t="shared" si="106"/>
        <v>0.2247250445277123</v>
      </c>
      <c r="AJ69" s="99">
        <f t="shared" si="107"/>
        <v>1.4682084148892167E-2</v>
      </c>
      <c r="AK69" s="99">
        <f t="shared" si="108"/>
        <v>0.25875199294965567</v>
      </c>
      <c r="AL69" s="99">
        <f t="shared" si="109"/>
        <v>1.6721864327381594E-2</v>
      </c>
      <c r="AM69" s="99">
        <f t="shared" si="110"/>
        <v>0.29699719667082802</v>
      </c>
      <c r="AN69" s="99">
        <f t="shared" si="111"/>
        <v>1.8787695044785453E-2</v>
      </c>
      <c r="AO69" s="99">
        <f t="shared" si="112"/>
        <v>0.27039172305730702</v>
      </c>
      <c r="AP69" s="99">
        <f t="shared" si="113"/>
        <v>1.7191755510702938E-2</v>
      </c>
    </row>
    <row r="70" spans="1:42" s="29" customFormat="1" x14ac:dyDescent="0.25">
      <c r="A70" s="129">
        <v>0.2</v>
      </c>
      <c r="B70" s="256">
        <f>'Sub C_D_0'!AX74</f>
        <v>1.0504168011101095E-2</v>
      </c>
      <c r="C70" s="256">
        <f>'C_L vs. α'!X370</f>
        <v>0.11003391405771784</v>
      </c>
      <c r="D70" s="144">
        <v>2</v>
      </c>
      <c r="E70" s="14">
        <f t="shared" si="76"/>
        <v>0.3186560673827008</v>
      </c>
      <c r="F70" s="6">
        <f t="shared" si="77"/>
        <v>2.2298049962563484E-2</v>
      </c>
      <c r="G70" s="14">
        <f t="shared" si="78"/>
        <v>0.32120853236126123</v>
      </c>
      <c r="H70" s="6">
        <f t="shared" si="79"/>
        <v>2.1066847976867281E-2</v>
      </c>
      <c r="I70" s="14">
        <f t="shared" si="80"/>
        <v>0.32495221126553531</v>
      </c>
      <c r="J70" s="6">
        <f t="shared" si="81"/>
        <v>2.0653999636887931E-2</v>
      </c>
      <c r="K70" s="14">
        <f t="shared" si="82"/>
        <v>0.33010174217315352</v>
      </c>
      <c r="L70" s="6">
        <f t="shared" si="83"/>
        <v>2.0402403600745772E-2</v>
      </c>
      <c r="M70">
        <f t="shared" si="84"/>
        <v>0.33683270879603378</v>
      </c>
      <c r="N70" s="6">
        <f t="shared" si="85"/>
        <v>2.0459527005556387E-2</v>
      </c>
      <c r="O70">
        <f t="shared" si="86"/>
        <v>0.34502802087228596</v>
      </c>
      <c r="P70" s="6">
        <f t="shared" si="87"/>
        <v>2.1172652768167901E-2</v>
      </c>
      <c r="Q70">
        <f t="shared" si="88"/>
        <v>0.35561616954542385</v>
      </c>
      <c r="R70" s="6">
        <f t="shared" si="89"/>
        <v>2.1606168014106742E-2</v>
      </c>
      <c r="S70">
        <f t="shared" si="90"/>
        <v>0.36860154331228046</v>
      </c>
      <c r="T70" s="6">
        <f t="shared" si="91"/>
        <v>2.2254801915294657E-2</v>
      </c>
      <c r="U70">
        <f t="shared" si="92"/>
        <v>0.38444284037020449</v>
      </c>
      <c r="V70" s="6">
        <f t="shared" si="93"/>
        <v>2.3157447831628007E-2</v>
      </c>
      <c r="W70">
        <f t="shared" si="94"/>
        <v>0.40375660558367621</v>
      </c>
      <c r="X70" s="6">
        <f t="shared" si="95"/>
        <v>2.4376810531986686E-2</v>
      </c>
      <c r="Y70">
        <f t="shared" si="96"/>
        <v>0.42738277711217554</v>
      </c>
      <c r="Z70" s="6">
        <f t="shared" si="97"/>
        <v>2.6008992468539372E-2</v>
      </c>
      <c r="AA70">
        <f t="shared" si="98"/>
        <v>0.45648395699372468</v>
      </c>
      <c r="AB70" s="6">
        <f t="shared" si="99"/>
        <v>2.8200837368124062E-2</v>
      </c>
      <c r="AC70">
        <f t="shared" si="100"/>
        <v>0.49282015908772681</v>
      </c>
      <c r="AD70" s="6">
        <f t="shared" si="101"/>
        <v>3.166944634746529E-2</v>
      </c>
      <c r="AE70">
        <f t="shared" si="102"/>
        <v>0.5387317784851402</v>
      </c>
      <c r="AF70" s="6">
        <f t="shared" si="103"/>
        <v>3.5818865350518966E-2</v>
      </c>
      <c r="AG70">
        <f t="shared" si="104"/>
        <v>0.59761050701956719</v>
      </c>
      <c r="AH70" s="6">
        <f t="shared" si="105"/>
        <v>4.1730963591330772E-2</v>
      </c>
      <c r="AI70">
        <f t="shared" si="106"/>
        <v>0.67417513358313697</v>
      </c>
      <c r="AJ70">
        <f t="shared" si="107"/>
        <v>5.5436050627894869E-2</v>
      </c>
      <c r="AK70">
        <f t="shared" si="108"/>
        <v>0.77625597884896702</v>
      </c>
      <c r="AL70">
        <f t="shared" si="109"/>
        <v>7.075178632640719E-2</v>
      </c>
      <c r="AM70">
        <f t="shared" si="110"/>
        <v>0.89099159001248407</v>
      </c>
      <c r="AN70">
        <f t="shared" si="111"/>
        <v>8.9969932299346703E-2</v>
      </c>
      <c r="AO70">
        <f t="shared" si="112"/>
        <v>0.81117516917192112</v>
      </c>
      <c r="AP70">
        <f t="shared" si="113"/>
        <v>7.6191987626448215E-2</v>
      </c>
    </row>
    <row r="71" spans="1:42" s="29" customFormat="1" x14ac:dyDescent="0.25">
      <c r="A71" s="139">
        <v>0.25</v>
      </c>
      <c r="B71" s="256">
        <f>'Sub C_D_0'!AX75</f>
        <v>1.0163635202735029E-2</v>
      </c>
      <c r="C71" s="256">
        <f>'C_L vs. α'!X371</f>
        <v>0.11227756959867793</v>
      </c>
      <c r="D71" s="144">
        <v>4</v>
      </c>
      <c r="E71" s="14">
        <f t="shared" si="76"/>
        <v>0.53109344563783467</v>
      </c>
      <c r="F71" s="6">
        <f t="shared" si="77"/>
        <v>3.960514312533945E-2</v>
      </c>
      <c r="G71" s="14">
        <f t="shared" si="78"/>
        <v>0.53534755393543543</v>
      </c>
      <c r="H71" s="6">
        <f t="shared" si="79"/>
        <v>3.8652315108973177E-2</v>
      </c>
      <c r="I71" s="14">
        <f t="shared" si="80"/>
        <v>0.54158701877589221</v>
      </c>
      <c r="J71" s="6">
        <f t="shared" si="81"/>
        <v>3.8651762817076253E-2</v>
      </c>
      <c r="K71" s="14">
        <f t="shared" si="82"/>
        <v>0.55016957028858915</v>
      </c>
      <c r="L71" s="6">
        <f t="shared" si="83"/>
        <v>3.8975097964760327E-2</v>
      </c>
      <c r="M71">
        <f t="shared" si="84"/>
        <v>0.5613878479933897</v>
      </c>
      <c r="N71" s="6">
        <f t="shared" si="85"/>
        <v>3.9797347321193464E-2</v>
      </c>
      <c r="O71">
        <f t="shared" si="86"/>
        <v>0.57504670145380987</v>
      </c>
      <c r="P71" s="6">
        <f t="shared" si="87"/>
        <v>4.1462914142771458E-2</v>
      </c>
      <c r="Q71">
        <f t="shared" si="88"/>
        <v>0.59269361590903979</v>
      </c>
      <c r="R71" s="6">
        <f t="shared" si="89"/>
        <v>4.3160849206787498E-2</v>
      </c>
      <c r="S71">
        <f t="shared" si="90"/>
        <v>0.61433590552046735</v>
      </c>
      <c r="T71" s="6">
        <f t="shared" si="91"/>
        <v>4.5412349036140894E-2</v>
      </c>
      <c r="U71">
        <f t="shared" si="92"/>
        <v>0.64073806728367422</v>
      </c>
      <c r="V71" s="6">
        <f t="shared" si="93"/>
        <v>4.8348216039277823E-2</v>
      </c>
      <c r="W71">
        <f t="shared" si="94"/>
        <v>0.67292767597279368</v>
      </c>
      <c r="X71" s="6">
        <f t="shared" si="95"/>
        <v>5.2162211366427139E-2</v>
      </c>
      <c r="Y71">
        <f t="shared" si="96"/>
        <v>0.71230462852029264</v>
      </c>
      <c r="Z71" s="6">
        <f t="shared" si="97"/>
        <v>5.7141266872242961E-2</v>
      </c>
      <c r="AA71">
        <f t="shared" si="98"/>
        <v>0.76080659498954106</v>
      </c>
      <c r="AB71" s="6">
        <f t="shared" si="99"/>
        <v>6.3717091011446916E-2</v>
      </c>
      <c r="AC71">
        <f t="shared" si="100"/>
        <v>0.82136693181287801</v>
      </c>
      <c r="AD71" s="6">
        <f t="shared" si="101"/>
        <v>7.3064845644893489E-2</v>
      </c>
      <c r="AE71">
        <f t="shared" si="102"/>
        <v>0.89788629747523374</v>
      </c>
      <c r="AF71" s="6">
        <f t="shared" si="103"/>
        <v>8.5286256758058954E-2</v>
      </c>
      <c r="AG71">
        <f t="shared" si="104"/>
        <v>0.99601751169927866</v>
      </c>
      <c r="AH71" s="6">
        <f t="shared" si="105"/>
        <v>0.10260167350504473</v>
      </c>
      <c r="AI71">
        <f t="shared" si="106"/>
        <v>1.1236252226385615</v>
      </c>
      <c r="AJ71">
        <f t="shared" si="107"/>
        <v>0.13694398358590026</v>
      </c>
      <c r="AK71">
        <f t="shared" si="108"/>
        <v>1.2937599647482783</v>
      </c>
      <c r="AL71">
        <f t="shared" si="109"/>
        <v>0.17881163032445835</v>
      </c>
      <c r="AM71">
        <f t="shared" si="110"/>
        <v>1.4849859833541401</v>
      </c>
      <c r="AN71">
        <f t="shared" si="111"/>
        <v>0.2323344068084692</v>
      </c>
      <c r="AO71">
        <f t="shared" si="112"/>
        <v>1.351958615286535</v>
      </c>
      <c r="AP71">
        <f t="shared" si="113"/>
        <v>0.19419245185793871</v>
      </c>
    </row>
    <row r="72" spans="1:42" s="29" customFormat="1" x14ac:dyDescent="0.25">
      <c r="A72" s="129">
        <v>0.3</v>
      </c>
      <c r="B72" s="256">
        <f>'Sub C_D_0'!AX76</f>
        <v>1.0373887772508424E-2</v>
      </c>
      <c r="C72" s="256">
        <f>'C_L vs. α'!X372</f>
        <v>0.11500934029076199</v>
      </c>
      <c r="D72" s="144">
        <v>6</v>
      </c>
      <c r="E72" s="14">
        <f t="shared" si="76"/>
        <v>0.74353082389296854</v>
      </c>
      <c r="F72" s="6">
        <f t="shared" si="77"/>
        <v>6.6017002703198033E-2</v>
      </c>
      <c r="G72" s="14">
        <f t="shared" si="78"/>
        <v>0.74948657550960962</v>
      </c>
      <c r="H72" s="6">
        <f t="shared" si="79"/>
        <v>6.5488992897950543E-2</v>
      </c>
      <c r="I72" s="14">
        <f t="shared" si="80"/>
        <v>0.75822182628624912</v>
      </c>
      <c r="J72" s="6">
        <f t="shared" si="81"/>
        <v>6.6117638668849163E-2</v>
      </c>
      <c r="K72" s="14">
        <f t="shared" si="82"/>
        <v>0.77023739840402494</v>
      </c>
      <c r="L72" s="6">
        <f t="shared" si="83"/>
        <v>6.7318365848309969E-2</v>
      </c>
      <c r="M72">
        <f t="shared" si="84"/>
        <v>0.78594298719074551</v>
      </c>
      <c r="N72" s="6">
        <f t="shared" si="85"/>
        <v>6.9308258884634044E-2</v>
      </c>
      <c r="O72">
        <f t="shared" si="86"/>
        <v>0.80506538203533395</v>
      </c>
      <c r="P72" s="6">
        <f t="shared" si="87"/>
        <v>7.2427321994593327E-2</v>
      </c>
      <c r="Q72">
        <f t="shared" si="88"/>
        <v>0.82977106227265574</v>
      </c>
      <c r="R72" s="6">
        <f t="shared" si="89"/>
        <v>7.6054861161381299E-2</v>
      </c>
      <c r="S72">
        <f t="shared" si="90"/>
        <v>0.86007026772865436</v>
      </c>
      <c r="T72" s="6">
        <f t="shared" si="91"/>
        <v>8.0752460748147833E-2</v>
      </c>
      <c r="U72">
        <f t="shared" si="92"/>
        <v>0.89703329419714384</v>
      </c>
      <c r="V72" s="6">
        <f t="shared" si="93"/>
        <v>8.6791184160127086E-2</v>
      </c>
      <c r="W72">
        <f t="shared" si="94"/>
        <v>0.94209874636191115</v>
      </c>
      <c r="X72" s="6">
        <f t="shared" si="95"/>
        <v>9.456479591393141E-2</v>
      </c>
      <c r="Y72">
        <f t="shared" si="96"/>
        <v>0.99722647992840963</v>
      </c>
      <c r="Z72" s="6">
        <f t="shared" si="97"/>
        <v>0.10465145042495476</v>
      </c>
      <c r="AA72">
        <f t="shared" si="98"/>
        <v>1.0651292329853574</v>
      </c>
      <c r="AB72" s="6">
        <f t="shared" si="99"/>
        <v>0.1179175857269749</v>
      </c>
      <c r="AC72">
        <f t="shared" si="100"/>
        <v>1.1499137045380292</v>
      </c>
      <c r="AD72" s="6">
        <f t="shared" si="101"/>
        <v>0.13623741052634153</v>
      </c>
      <c r="AE72">
        <f t="shared" si="102"/>
        <v>1.2570408164653273</v>
      </c>
      <c r="AF72" s="6">
        <f t="shared" si="103"/>
        <v>0.16077738225796503</v>
      </c>
      <c r="AG72">
        <f t="shared" si="104"/>
        <v>1.3944245163789901</v>
      </c>
      <c r="AH72" s="6">
        <f t="shared" si="105"/>
        <v>0.19549529920084077</v>
      </c>
      <c r="AI72">
        <f t="shared" si="106"/>
        <v>1.5730753116939862</v>
      </c>
      <c r="AJ72">
        <f t="shared" si="107"/>
        <v>0.25920588302290837</v>
      </c>
      <c r="AK72">
        <f t="shared" si="108"/>
        <v>1.8112639506475898</v>
      </c>
      <c r="AL72">
        <f t="shared" si="109"/>
        <v>0.34090139632153521</v>
      </c>
      <c r="AM72">
        <f t="shared" si="110"/>
        <v>2.0789803766957959</v>
      </c>
      <c r="AN72">
        <f t="shared" si="111"/>
        <v>0.44588111857215279</v>
      </c>
      <c r="AO72">
        <f t="shared" si="112"/>
        <v>1.8927420614011492</v>
      </c>
      <c r="AP72">
        <f t="shared" si="113"/>
        <v>0.37119314820517457</v>
      </c>
    </row>
    <row r="73" spans="1:42" s="29" customFormat="1" x14ac:dyDescent="0.25">
      <c r="A73" s="139">
        <v>0.35</v>
      </c>
      <c r="B73" s="256">
        <f>'Sub C_D_0'!AX77</f>
        <v>1.0144990420309669E-2</v>
      </c>
      <c r="C73" s="256">
        <f>'C_L vs. α'!X373</f>
        <v>0.11853872318180796</v>
      </c>
      <c r="D73" s="144">
        <v>8</v>
      </c>
      <c r="E73" s="14">
        <f t="shared" si="76"/>
        <v>0.95596820214810241</v>
      </c>
      <c r="F73" s="6">
        <f t="shared" si="77"/>
        <v>0.10153362869613922</v>
      </c>
      <c r="G73" s="14">
        <f t="shared" si="78"/>
        <v>0.9636255970837837</v>
      </c>
      <c r="H73" s="6">
        <f t="shared" si="79"/>
        <v>0.10157688134379939</v>
      </c>
      <c r="I73" s="14">
        <f t="shared" si="80"/>
        <v>0.97485663379660592</v>
      </c>
      <c r="J73" s="6">
        <f t="shared" si="81"/>
        <v>0.10305162719220665</v>
      </c>
      <c r="K73" s="14">
        <f t="shared" si="82"/>
        <v>0.99030522651946051</v>
      </c>
      <c r="L73" s="6">
        <f t="shared" si="83"/>
        <v>0.10543220725139466</v>
      </c>
      <c r="M73">
        <f t="shared" si="84"/>
        <v>1.0104981263881014</v>
      </c>
      <c r="N73" s="6">
        <f t="shared" si="85"/>
        <v>0.10899226169587814</v>
      </c>
      <c r="O73">
        <f t="shared" si="86"/>
        <v>1.0350840626168578</v>
      </c>
      <c r="P73" s="6">
        <f t="shared" si="87"/>
        <v>0.11406587632363344</v>
      </c>
      <c r="Q73">
        <f t="shared" si="88"/>
        <v>1.0668485086362716</v>
      </c>
      <c r="R73" s="6">
        <f t="shared" si="89"/>
        <v>0.12028820387788812</v>
      </c>
      <c r="S73">
        <f t="shared" si="90"/>
        <v>1.1058046299368414</v>
      </c>
      <c r="T73" s="6">
        <f t="shared" si="91"/>
        <v>0.12827513705131549</v>
      </c>
      <c r="U73">
        <f t="shared" si="92"/>
        <v>1.1533285211106135</v>
      </c>
      <c r="V73" s="6">
        <f t="shared" si="93"/>
        <v>0.13848635219417577</v>
      </c>
      <c r="W73">
        <f t="shared" si="94"/>
        <v>1.2112698167510287</v>
      </c>
      <c r="X73" s="6">
        <f t="shared" si="95"/>
        <v>0.1515845641744995</v>
      </c>
      <c r="Y73">
        <f t="shared" si="96"/>
        <v>1.2821483313365267</v>
      </c>
      <c r="Z73" s="6">
        <f t="shared" si="97"/>
        <v>0.1685395431266748</v>
      </c>
      <c r="AA73">
        <f t="shared" si="98"/>
        <v>1.369451870981174</v>
      </c>
      <c r="AB73" s="6">
        <f t="shared" si="99"/>
        <v>0.19080232151470805</v>
      </c>
      <c r="AC73">
        <f t="shared" si="100"/>
        <v>1.4784604772631804</v>
      </c>
      <c r="AD73" s="6">
        <f t="shared" si="101"/>
        <v>0.22118714099180947</v>
      </c>
      <c r="AE73">
        <f t="shared" si="102"/>
        <v>1.6161953354554206</v>
      </c>
      <c r="AF73" s="6">
        <f t="shared" si="103"/>
        <v>0.26229224185023708</v>
      </c>
      <c r="AG73">
        <f t="shared" si="104"/>
        <v>1.7928315210587016</v>
      </c>
      <c r="AH73" s="6">
        <f t="shared" si="105"/>
        <v>0.32041184067871881</v>
      </c>
      <c r="AI73">
        <f t="shared" si="106"/>
        <v>2.0225254007494109</v>
      </c>
      <c r="AJ73">
        <f t="shared" si="107"/>
        <v>0.42222174893891917</v>
      </c>
      <c r="AK73">
        <f t="shared" si="108"/>
        <v>2.328767936546901</v>
      </c>
      <c r="AL73">
        <f t="shared" si="109"/>
        <v>0.55702108431763742</v>
      </c>
      <c r="AM73">
        <f t="shared" si="110"/>
        <v>2.6729747700374524</v>
      </c>
      <c r="AN73">
        <f t="shared" si="111"/>
        <v>0.73061006759039804</v>
      </c>
      <c r="AO73">
        <f t="shared" si="112"/>
        <v>2.4335255075157631</v>
      </c>
      <c r="AP73">
        <f t="shared" si="113"/>
        <v>0.6071940766681555</v>
      </c>
    </row>
    <row r="74" spans="1:42" s="29" customFormat="1" x14ac:dyDescent="0.25">
      <c r="A74" s="129">
        <v>0.4</v>
      </c>
      <c r="B74" s="256">
        <f>'Sub C_D_0'!AX78</f>
        <v>9.9523950645198228E-3</v>
      </c>
      <c r="C74" s="256">
        <f>'C_L vs. α'!X374</f>
        <v>0.12286718110409348</v>
      </c>
      <c r="D74" s="144">
        <v>10</v>
      </c>
      <c r="E74" s="14">
        <f t="shared" si="76"/>
        <v>1.1684055804032363</v>
      </c>
      <c r="F74" s="6">
        <f t="shared" si="77"/>
        <v>0.14615502110416301</v>
      </c>
      <c r="G74" s="14">
        <f t="shared" si="78"/>
        <v>1.177764618657958</v>
      </c>
      <c r="H74" s="6">
        <f t="shared" si="79"/>
        <v>0.14691598044651971</v>
      </c>
      <c r="I74" s="14">
        <f t="shared" si="80"/>
        <v>1.1914914413069628</v>
      </c>
      <c r="J74" s="6">
        <f t="shared" si="81"/>
        <v>0.14945372838714871</v>
      </c>
      <c r="K74" s="14">
        <f t="shared" si="82"/>
        <v>1.2103730546348963</v>
      </c>
      <c r="L74" s="6">
        <f t="shared" si="83"/>
        <v>0.15331662217401446</v>
      </c>
      <c r="M74">
        <f t="shared" si="84"/>
        <v>1.2350532655854574</v>
      </c>
      <c r="N74" s="6">
        <f t="shared" si="85"/>
        <v>0.15884935575492576</v>
      </c>
      <c r="O74">
        <f t="shared" si="86"/>
        <v>1.2651027431983819</v>
      </c>
      <c r="P74" s="6">
        <f t="shared" si="87"/>
        <v>0.16637857712989185</v>
      </c>
      <c r="Q74">
        <f t="shared" si="88"/>
        <v>1.3039259549998876</v>
      </c>
      <c r="R74" s="6">
        <f t="shared" si="89"/>
        <v>0.17586087735630807</v>
      </c>
      <c r="S74">
        <f t="shared" si="90"/>
        <v>1.3515389921450283</v>
      </c>
      <c r="T74" s="6">
        <f t="shared" si="91"/>
        <v>0.18798037794564382</v>
      </c>
      <c r="U74">
        <f t="shared" si="92"/>
        <v>1.4096237480240832</v>
      </c>
      <c r="V74" s="6">
        <f t="shared" si="93"/>
        <v>0.20343372014142391</v>
      </c>
      <c r="W74">
        <f t="shared" si="94"/>
        <v>1.480440887140146</v>
      </c>
      <c r="X74" s="6">
        <f t="shared" si="95"/>
        <v>0.22322151614813135</v>
      </c>
      <c r="Y74">
        <f t="shared" si="96"/>
        <v>1.5670701827446438</v>
      </c>
      <c r="Z74" s="6">
        <f t="shared" si="97"/>
        <v>0.24880554497740309</v>
      </c>
      <c r="AA74">
        <f t="shared" si="98"/>
        <v>1.6737745089769904</v>
      </c>
      <c r="AB74" s="6">
        <f t="shared" si="99"/>
        <v>0.28237129837464625</v>
      </c>
      <c r="AC74">
        <f t="shared" si="100"/>
        <v>1.8070072499883316</v>
      </c>
      <c r="AD74" s="6">
        <f t="shared" si="101"/>
        <v>0.32791403704129723</v>
      </c>
      <c r="AE74">
        <f t="shared" si="102"/>
        <v>1.9753498544455141</v>
      </c>
      <c r="AF74" s="6">
        <f t="shared" si="103"/>
        <v>0.3898308355348753</v>
      </c>
      <c r="AG74">
        <f t="shared" si="104"/>
        <v>2.191238525738413</v>
      </c>
      <c r="AH74" s="6">
        <f t="shared" si="105"/>
        <v>0.47735129793867892</v>
      </c>
      <c r="AI74">
        <f t="shared" si="106"/>
        <v>2.4719754898048354</v>
      </c>
      <c r="AJ74">
        <f t="shared" si="107"/>
        <v>0.62599158133393273</v>
      </c>
      <c r="AK74">
        <f t="shared" si="108"/>
        <v>2.8462719224462125</v>
      </c>
      <c r="AL74">
        <f t="shared" si="109"/>
        <v>0.82717069431276558</v>
      </c>
      <c r="AM74">
        <f t="shared" si="110"/>
        <v>3.266969163379108</v>
      </c>
      <c r="AN74">
        <f t="shared" si="111"/>
        <v>1.0865212538632041</v>
      </c>
      <c r="AO74">
        <f t="shared" si="112"/>
        <v>2.9743089536303771</v>
      </c>
      <c r="AP74">
        <f t="shared" si="113"/>
        <v>0.90219523724688178</v>
      </c>
    </row>
    <row r="75" spans="1:42" s="29" customFormat="1" x14ac:dyDescent="0.25">
      <c r="A75" s="139">
        <v>0.45</v>
      </c>
      <c r="B75" s="256">
        <f>'Sub C_D_0'!AX79</f>
        <v>9.7867443283280158E-3</v>
      </c>
      <c r="C75" s="256">
        <f>'C_L vs. α'!X375</f>
        <v>0.12814761345673484</v>
      </c>
      <c r="D75" s="144">
        <v>12</v>
      </c>
      <c r="E75" s="14">
        <f t="shared" si="76"/>
        <v>1.3808429586583701</v>
      </c>
      <c r="F75" s="6">
        <f t="shared" si="77"/>
        <v>0.19988117992726945</v>
      </c>
      <c r="G75" s="14">
        <f t="shared" si="78"/>
        <v>1.3919036402321321</v>
      </c>
      <c r="H75" s="6">
        <f t="shared" si="79"/>
        <v>0.20150629020611149</v>
      </c>
      <c r="I75" s="14">
        <f t="shared" si="80"/>
        <v>1.4081262488173196</v>
      </c>
      <c r="J75" s="6">
        <f t="shared" si="81"/>
        <v>0.20532394225367534</v>
      </c>
      <c r="K75" s="14">
        <f t="shared" si="82"/>
        <v>1.4304408827503319</v>
      </c>
      <c r="L75" s="6">
        <f t="shared" si="83"/>
        <v>0.21097161061616926</v>
      </c>
      <c r="M75">
        <f t="shared" si="84"/>
        <v>1.4596084047828131</v>
      </c>
      <c r="N75" s="6">
        <f t="shared" si="85"/>
        <v>0.21887954106177682</v>
      </c>
      <c r="O75">
        <f t="shared" si="86"/>
        <v>1.4951214237799058</v>
      </c>
      <c r="P75" s="6">
        <f t="shared" si="87"/>
        <v>0.22936542441336844</v>
      </c>
      <c r="Q75">
        <f t="shared" si="88"/>
        <v>1.5410034013635034</v>
      </c>
      <c r="R75" s="6">
        <f t="shared" si="89"/>
        <v>0.24277288159664101</v>
      </c>
      <c r="S75">
        <f t="shared" si="90"/>
        <v>1.5972733543532152</v>
      </c>
      <c r="T75" s="6">
        <f t="shared" si="91"/>
        <v>0.25986818343113283</v>
      </c>
      <c r="U75">
        <f t="shared" si="92"/>
        <v>1.6659189749375529</v>
      </c>
      <c r="V75" s="6">
        <f t="shared" si="93"/>
        <v>0.28163328800187148</v>
      </c>
      <c r="W75">
        <f t="shared" si="94"/>
        <v>1.7496119575292637</v>
      </c>
      <c r="X75" s="6">
        <f t="shared" si="95"/>
        <v>0.30947565183482711</v>
      </c>
      <c r="Y75">
        <f t="shared" si="96"/>
        <v>1.8519920341527607</v>
      </c>
      <c r="Z75" s="6">
        <f t="shared" si="97"/>
        <v>0.34544945597713955</v>
      </c>
      <c r="AA75">
        <f t="shared" si="98"/>
        <v>1.9780971469728068</v>
      </c>
      <c r="AB75" s="6">
        <f t="shared" si="99"/>
        <v>0.39262451630678952</v>
      </c>
      <c r="AC75">
        <f t="shared" si="100"/>
        <v>2.1355540227134826</v>
      </c>
      <c r="AD75" s="6">
        <f t="shared" si="101"/>
        <v>0.45641809867480482</v>
      </c>
      <c r="AE75">
        <f t="shared" si="102"/>
        <v>2.3345043734356077</v>
      </c>
      <c r="AF75" s="6">
        <f t="shared" si="103"/>
        <v>0.54339316331187959</v>
      </c>
      <c r="AG75">
        <f t="shared" si="104"/>
        <v>2.5896455304181245</v>
      </c>
      <c r="AH75" s="6">
        <f t="shared" si="105"/>
        <v>0.66631367098072114</v>
      </c>
      <c r="AI75">
        <f t="shared" si="106"/>
        <v>2.9214255788602599</v>
      </c>
      <c r="AJ75">
        <f t="shared" si="107"/>
        <v>0.87051538020794883</v>
      </c>
      <c r="AK75">
        <f t="shared" si="108"/>
        <v>3.3637759083455236</v>
      </c>
      <c r="AL75">
        <f t="shared" si="109"/>
        <v>1.1513502263069191</v>
      </c>
      <c r="AM75">
        <f t="shared" si="110"/>
        <v>3.8609635567207645</v>
      </c>
      <c r="AN75">
        <f t="shared" si="111"/>
        <v>1.5136146773905719</v>
      </c>
      <c r="AO75">
        <f t="shared" si="112"/>
        <v>3.5150923997449914</v>
      </c>
      <c r="AP75">
        <f t="shared" si="113"/>
        <v>1.2561966299413536</v>
      </c>
    </row>
    <row r="76" spans="1:42" s="29" customFormat="1" x14ac:dyDescent="0.25">
      <c r="A76" s="129">
        <v>0.5</v>
      </c>
      <c r="B76" s="256">
        <f>'Sub C_D_0'!AX80</f>
        <v>9.6418241399785273E-3</v>
      </c>
      <c r="C76" s="256">
        <f>'C_L vs. α'!X376</f>
        <v>0.13458553519455874</v>
      </c>
      <c r="D76" s="144">
        <v>14</v>
      </c>
      <c r="E76" s="14">
        <f t="shared" si="76"/>
        <v>1.593280336913504</v>
      </c>
      <c r="F76" s="6">
        <f t="shared" si="77"/>
        <v>0.26271210516545845</v>
      </c>
      <c r="G76" s="14">
        <f t="shared" si="78"/>
        <v>1.6060426618063062</v>
      </c>
      <c r="H76" s="6">
        <f t="shared" si="79"/>
        <v>0.26534781062257473</v>
      </c>
      <c r="I76" s="14">
        <f t="shared" si="80"/>
        <v>1.6247610563276766</v>
      </c>
      <c r="J76" s="6">
        <f t="shared" si="81"/>
        <v>0.27066226879178662</v>
      </c>
      <c r="K76" s="14">
        <f t="shared" si="82"/>
        <v>1.6505087108657677</v>
      </c>
      <c r="L76" s="6">
        <f t="shared" si="83"/>
        <v>0.27839717257785918</v>
      </c>
      <c r="M76">
        <f t="shared" si="84"/>
        <v>1.684163543980169</v>
      </c>
      <c r="N76" s="6">
        <f t="shared" si="85"/>
        <v>0.28908281761643151</v>
      </c>
      <c r="O76">
        <f t="shared" si="86"/>
        <v>1.7251401043614298</v>
      </c>
      <c r="P76" s="6">
        <f t="shared" si="87"/>
        <v>0.30302641817406339</v>
      </c>
      <c r="Q76">
        <f t="shared" si="88"/>
        <v>1.7780808477271193</v>
      </c>
      <c r="R76" s="6">
        <f t="shared" si="89"/>
        <v>0.32102421659888702</v>
      </c>
      <c r="S76">
        <f t="shared" si="90"/>
        <v>1.8430077165614021</v>
      </c>
      <c r="T76" s="6">
        <f t="shared" si="91"/>
        <v>0.34393855350778246</v>
      </c>
      <c r="U76">
        <f t="shared" si="92"/>
        <v>1.9222142018510227</v>
      </c>
      <c r="V76" s="6">
        <f t="shared" si="93"/>
        <v>0.37308505577551848</v>
      </c>
      <c r="W76">
        <f t="shared" si="94"/>
        <v>2.0187830279183809</v>
      </c>
      <c r="X76" s="6">
        <f t="shared" si="95"/>
        <v>0.41034697123458652</v>
      </c>
      <c r="Y76">
        <f t="shared" si="96"/>
        <v>2.1369138855608778</v>
      </c>
      <c r="Z76" s="6">
        <f t="shared" si="97"/>
        <v>0.45847127612588434</v>
      </c>
      <c r="AA76">
        <f t="shared" si="98"/>
        <v>2.2824197849686234</v>
      </c>
      <c r="AB76" s="6">
        <f t="shared" si="99"/>
        <v>0.52156197531113802</v>
      </c>
      <c r="AC76">
        <f t="shared" si="100"/>
        <v>2.4641007954386343</v>
      </c>
      <c r="AD76" s="6">
        <f t="shared" si="101"/>
        <v>0.60669932589233255</v>
      </c>
      <c r="AE76">
        <f t="shared" si="102"/>
        <v>2.693658892425701</v>
      </c>
      <c r="AF76" s="6">
        <f t="shared" si="103"/>
        <v>0.72297922518124991</v>
      </c>
      <c r="AG76">
        <f t="shared" si="104"/>
        <v>2.988052535097836</v>
      </c>
      <c r="AH76" s="6">
        <f t="shared" si="105"/>
        <v>0.8872989598048453</v>
      </c>
      <c r="AI76">
        <f t="shared" si="106"/>
        <v>3.3708756679156844</v>
      </c>
      <c r="AJ76">
        <f t="shared" si="107"/>
        <v>1.1557931455609676</v>
      </c>
      <c r="AK76">
        <f t="shared" si="108"/>
        <v>3.8812798942448352</v>
      </c>
      <c r="AL76">
        <f t="shared" si="109"/>
        <v>1.5295596803000984</v>
      </c>
      <c r="AM76">
        <f t="shared" si="110"/>
        <v>4.4549579500624201</v>
      </c>
      <c r="AN76">
        <f t="shared" si="111"/>
        <v>2.0118903381725</v>
      </c>
      <c r="AO76">
        <f t="shared" si="112"/>
        <v>4.0558758458596049</v>
      </c>
      <c r="AP76">
        <f t="shared" si="113"/>
        <v>1.6691982547515702</v>
      </c>
    </row>
    <row r="77" spans="1:42" s="29" customFormat="1" x14ac:dyDescent="0.25">
      <c r="A77" s="139">
        <v>0.55000000000000004</v>
      </c>
      <c r="B77" s="256">
        <f>'Sub C_D_0'!AX81</f>
        <v>9.5133089221170336E-3</v>
      </c>
      <c r="C77" s="256">
        <f>'C_L vs. α'!X377</f>
        <v>0.14246092570405852</v>
      </c>
      <c r="D77" s="144">
        <v>16</v>
      </c>
      <c r="E77" s="14">
        <f t="shared" si="76"/>
        <v>1.8057177151686379</v>
      </c>
      <c r="F77" s="6">
        <f t="shared" si="77"/>
        <v>0.33464779681873003</v>
      </c>
      <c r="G77" s="14">
        <f t="shared" si="78"/>
        <v>1.8201816833804805</v>
      </c>
      <c r="H77" s="6">
        <f t="shared" si="79"/>
        <v>0.33844054169590948</v>
      </c>
      <c r="I77" s="14">
        <f t="shared" si="80"/>
        <v>1.8413958638380334</v>
      </c>
      <c r="J77" s="6">
        <f>$B$45+$B$7*I77^2+$B$8*(I77-I$45)^2</f>
        <v>0.34546870800148244</v>
      </c>
      <c r="K77" s="14">
        <f t="shared" si="82"/>
        <v>1.8705765389812032</v>
      </c>
      <c r="L77" s="6">
        <f t="shared" si="83"/>
        <v>0.35559330805908418</v>
      </c>
      <c r="M77">
        <f t="shared" si="84"/>
        <v>1.9087186831775249</v>
      </c>
      <c r="N77" s="6">
        <f t="shared" si="85"/>
        <v>0.36945918541888967</v>
      </c>
      <c r="O77">
        <f t="shared" si="86"/>
        <v>1.9551587849429537</v>
      </c>
      <c r="P77" s="6">
        <f t="shared" si="87"/>
        <v>0.38736155841197661</v>
      </c>
      <c r="Q77">
        <f t="shared" si="88"/>
        <v>2.0151582940907353</v>
      </c>
      <c r="R77" s="6">
        <f t="shared" si="89"/>
        <v>0.41061488236304616</v>
      </c>
      <c r="S77">
        <f t="shared" si="90"/>
        <v>2.088742078769589</v>
      </c>
      <c r="T77" s="6">
        <f t="shared" si="91"/>
        <v>0.44019148817559289</v>
      </c>
      <c r="U77">
        <f t="shared" si="92"/>
        <v>2.1785094287644924</v>
      </c>
      <c r="V77" s="6">
        <f>$B$51+$B$7*U77^2+$B$8*(U77-U$45)^2</f>
        <v>0.47778902346236496</v>
      </c>
      <c r="W77">
        <f t="shared" si="94"/>
        <v>2.2879540983074986</v>
      </c>
      <c r="X77" s="6">
        <f t="shared" si="95"/>
        <v>0.52583547434740996</v>
      </c>
      <c r="Y77">
        <f t="shared" si="96"/>
        <v>2.4218357369689949</v>
      </c>
      <c r="Z77" s="6">
        <f t="shared" si="97"/>
        <v>0.58787100542363735</v>
      </c>
      <c r="AA77">
        <f t="shared" si="98"/>
        <v>2.5867424229644396</v>
      </c>
      <c r="AB77" s="6">
        <f t="shared" si="99"/>
        <v>0.66918367538769141</v>
      </c>
      <c r="AC77">
        <f t="shared" si="100"/>
        <v>2.792647568163785</v>
      </c>
      <c r="AD77" s="6">
        <f t="shared" si="101"/>
        <v>0.77875771869387966</v>
      </c>
      <c r="AE77">
        <f t="shared" si="102"/>
        <v>3.0528134114157948</v>
      </c>
      <c r="AF77" s="6">
        <f t="shared" si="103"/>
        <v>0.92858902114298647</v>
      </c>
      <c r="AG77">
        <f t="shared" si="104"/>
        <v>3.3864595397775474</v>
      </c>
      <c r="AH77" s="6">
        <f t="shared" si="105"/>
        <v>1.1403071644110516</v>
      </c>
      <c r="AI77">
        <f t="shared" si="106"/>
        <v>3.8203257569711093</v>
      </c>
      <c r="AJ77">
        <f t="shared" si="107"/>
        <v>1.4818248773929894</v>
      </c>
      <c r="AK77">
        <f t="shared" si="108"/>
        <v>4.3987838801441468</v>
      </c>
      <c r="AL77">
        <f t="shared" si="109"/>
        <v>1.9617990562923033</v>
      </c>
      <c r="AM77">
        <f t="shared" si="110"/>
        <v>5.0489523434040766</v>
      </c>
      <c r="AN77">
        <f t="shared" si="111"/>
        <v>2.5813482362089903</v>
      </c>
      <c r="AO77">
        <f t="shared" si="112"/>
        <v>4.5966592919742197</v>
      </c>
      <c r="AP77">
        <f t="shared" si="113"/>
        <v>2.1412001116775334</v>
      </c>
    </row>
    <row r="78" spans="1:42" s="29" customFormat="1" x14ac:dyDescent="0.25">
      <c r="A78" s="129">
        <v>0.6</v>
      </c>
      <c r="B78" s="256">
        <f>'Sub C_D_0'!AX82</f>
        <v>9.3980733408643071E-3</v>
      </c>
      <c r="C78" s="256">
        <f>'C_L vs. α'!X378</f>
        <v>0.15216131899790822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9" customFormat="1" x14ac:dyDescent="0.25">
      <c r="A79" s="139">
        <v>0.65</v>
      </c>
      <c r="B79" s="256">
        <f>'Sub C_D_0'!AX83</f>
        <v>9.766934727654086E-3</v>
      </c>
      <c r="C79" s="256">
        <f>'C_L vs. α'!X379</f>
        <v>0.1642733863625756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9" customFormat="1" x14ac:dyDescent="0.25">
      <c r="A80" s="129">
        <v>0.7</v>
      </c>
      <c r="B80" s="256">
        <f>'Sub C_D_0'!AX84</f>
        <v>9.6668190237235371E-3</v>
      </c>
      <c r="C80" s="256">
        <f>'C_L vs. α'!X380</f>
        <v>0.17957725949504674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9" customFormat="1" x14ac:dyDescent="0.25">
      <c r="A81" s="139">
        <v>0.75</v>
      </c>
      <c r="B81" s="256">
        <f>'Sub C_D_0'!AX85</f>
        <v>9.5749033827758189E-3</v>
      </c>
      <c r="C81" s="256">
        <f>'C_L vs. α'!X381</f>
        <v>0.19920350233985573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9" customFormat="1" x14ac:dyDescent="0.25">
      <c r="A82" s="129">
        <v>0.8</v>
      </c>
      <c r="B82" s="256">
        <f>'Sub C_D_0'!AX86</f>
        <v>9.4900287451778406E-3</v>
      </c>
      <c r="C82" s="256">
        <f>'C_L vs. α'!X382</f>
        <v>0.2247250445277123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9" customFormat="1" x14ac:dyDescent="0.25">
      <c r="A83" s="139">
        <v>0.85</v>
      </c>
      <c r="B83" s="256">
        <f>'Sub C_D_0'!AX87</f>
        <v>9.8666237029589304E-3</v>
      </c>
      <c r="C83" s="256">
        <f>'C_L vs. α'!X383</f>
        <v>0.25875199294965567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9" customFormat="1" x14ac:dyDescent="0.25">
      <c r="A84" s="129">
        <v>0.9</v>
      </c>
      <c r="B84" s="256">
        <f>'Sub C_D_0'!AX88</f>
        <v>9.7895284984220038E-3</v>
      </c>
      <c r="C84" s="256">
        <f>'C_L vs. α'!X384</f>
        <v>0.29699719667082802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 spans="1:42" s="29" customFormat="1" x14ac:dyDescent="0.25">
      <c r="A85" s="139">
        <v>0.95</v>
      </c>
      <c r="B85" s="256">
        <f>'Sub C_D_0'!AX89</f>
        <v>9.7173785547239721E-3</v>
      </c>
      <c r="C85" s="256">
        <f>'C_L vs. α'!X385</f>
        <v>0.27039172305730702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9" customFormat="1" x14ac:dyDescent="0.25">
      <c r="A86" s="11"/>
      <c r="B86" s="262"/>
      <c r="C86" s="262"/>
    </row>
    <row r="88" spans="1:42" x14ac:dyDescent="0.25">
      <c r="A88" s="122" t="s">
        <v>537</v>
      </c>
      <c r="B88" s="122" t="s">
        <v>192</v>
      </c>
    </row>
    <row r="89" spans="1:42" x14ac:dyDescent="0.25">
      <c r="A89" s="122" t="s">
        <v>202</v>
      </c>
      <c r="B89" s="145">
        <v>15000</v>
      </c>
      <c r="C89" s="122" t="s">
        <v>538</v>
      </c>
      <c r="D89" s="122" t="s">
        <v>539</v>
      </c>
      <c r="E89" s="1" t="s">
        <v>536</v>
      </c>
      <c r="F89" s="140">
        <v>0.05</v>
      </c>
      <c r="G89" s="1" t="s">
        <v>536</v>
      </c>
      <c r="H89" s="140">
        <v>0.1</v>
      </c>
      <c r="I89" s="1" t="s">
        <v>536</v>
      </c>
      <c r="J89" s="140">
        <v>0.15</v>
      </c>
      <c r="K89" s="1" t="s">
        <v>536</v>
      </c>
      <c r="L89" s="140">
        <v>0.2</v>
      </c>
      <c r="M89" t="s">
        <v>536</v>
      </c>
      <c r="N89" s="141">
        <v>0.25</v>
      </c>
      <c r="O89" t="s">
        <v>536</v>
      </c>
      <c r="P89" s="141">
        <v>0.3</v>
      </c>
      <c r="Q89" t="s">
        <v>536</v>
      </c>
      <c r="R89" s="141">
        <v>0.35</v>
      </c>
      <c r="S89" t="s">
        <v>536</v>
      </c>
      <c r="T89" s="141">
        <v>0.4</v>
      </c>
      <c r="U89" t="s">
        <v>536</v>
      </c>
      <c r="V89" s="141">
        <v>0.45</v>
      </c>
      <c r="W89" t="s">
        <v>536</v>
      </c>
      <c r="X89" s="141">
        <v>0.5</v>
      </c>
      <c r="Y89" t="s">
        <v>536</v>
      </c>
      <c r="Z89" s="141">
        <v>0.55000000000000004</v>
      </c>
      <c r="AA89" t="s">
        <v>536</v>
      </c>
      <c r="AB89" s="141">
        <v>0.6</v>
      </c>
      <c r="AC89" t="s">
        <v>536</v>
      </c>
      <c r="AD89" s="141">
        <v>0.65</v>
      </c>
      <c r="AE89" t="s">
        <v>536</v>
      </c>
      <c r="AF89" s="141">
        <v>0.7</v>
      </c>
      <c r="AG89" t="s">
        <v>536</v>
      </c>
      <c r="AH89" s="141">
        <v>0.75</v>
      </c>
      <c r="AI89" t="s">
        <v>536</v>
      </c>
      <c r="AJ89" s="141">
        <v>0.8</v>
      </c>
      <c r="AK89" t="s">
        <v>536</v>
      </c>
      <c r="AL89" s="141">
        <v>0.85</v>
      </c>
      <c r="AM89" t="s">
        <v>536</v>
      </c>
      <c r="AN89" s="141">
        <v>0.9</v>
      </c>
      <c r="AO89" t="s">
        <v>536</v>
      </c>
      <c r="AP89" s="141">
        <v>0.95</v>
      </c>
    </row>
    <row r="90" spans="1:42" x14ac:dyDescent="0.25">
      <c r="A90" s="121" t="s">
        <v>182</v>
      </c>
      <c r="B90" s="121" t="s">
        <v>534</v>
      </c>
      <c r="C90" s="121" t="s">
        <v>535</v>
      </c>
      <c r="D90" s="121" t="s">
        <v>421</v>
      </c>
      <c r="E90" s="14" t="s">
        <v>244</v>
      </c>
      <c r="F90" s="6" t="s">
        <v>245</v>
      </c>
      <c r="G90" s="14" t="s">
        <v>244</v>
      </c>
      <c r="H90" s="6" t="s">
        <v>245</v>
      </c>
      <c r="I90" s="14" t="s">
        <v>244</v>
      </c>
      <c r="J90" s="6" t="s">
        <v>245</v>
      </c>
      <c r="K90" s="14" t="s">
        <v>244</v>
      </c>
      <c r="L90" s="6" t="s">
        <v>245</v>
      </c>
      <c r="M90" t="s">
        <v>244</v>
      </c>
      <c r="N90" t="s">
        <v>245</v>
      </c>
      <c r="O90" t="s">
        <v>244</v>
      </c>
      <c r="P90" t="s">
        <v>245</v>
      </c>
      <c r="Q90" t="s">
        <v>244</v>
      </c>
      <c r="R90" t="s">
        <v>245</v>
      </c>
      <c r="S90" t="s">
        <v>244</v>
      </c>
      <c r="T90" t="s">
        <v>245</v>
      </c>
      <c r="U90" t="s">
        <v>244</v>
      </c>
      <c r="V90" t="s">
        <v>245</v>
      </c>
      <c r="W90" t="s">
        <v>244</v>
      </c>
      <c r="X90" t="s">
        <v>245</v>
      </c>
      <c r="Y90" t="s">
        <v>244</v>
      </c>
      <c r="Z90" t="s">
        <v>245</v>
      </c>
      <c r="AA90" t="s">
        <v>244</v>
      </c>
      <c r="AB90" t="s">
        <v>245</v>
      </c>
      <c r="AC90" t="s">
        <v>244</v>
      </c>
      <c r="AD90" t="s">
        <v>245</v>
      </c>
      <c r="AE90" t="s">
        <v>244</v>
      </c>
      <c r="AF90" t="s">
        <v>245</v>
      </c>
      <c r="AG90" t="s">
        <v>244</v>
      </c>
      <c r="AH90" t="s">
        <v>245</v>
      </c>
      <c r="AI90" t="s">
        <v>244</v>
      </c>
      <c r="AJ90" t="s">
        <v>245</v>
      </c>
      <c r="AK90" t="s">
        <v>244</v>
      </c>
      <c r="AL90" t="s">
        <v>245</v>
      </c>
      <c r="AM90" t="s">
        <v>244</v>
      </c>
      <c r="AN90" t="s">
        <v>245</v>
      </c>
      <c r="AO90" t="s">
        <v>244</v>
      </c>
      <c r="AP90" t="s">
        <v>245</v>
      </c>
    </row>
    <row r="91" spans="1:42" x14ac:dyDescent="0.25">
      <c r="A91" s="129">
        <v>0</v>
      </c>
      <c r="B91" s="129" t="e">
        <f>'Sub C_D_0'!AX100</f>
        <v>#DIV/0!</v>
      </c>
      <c r="C91" s="129" t="e">
        <f>'C_L vs. α'!X391</f>
        <v>#NUM!</v>
      </c>
      <c r="D91" s="144">
        <v>-6</v>
      </c>
      <c r="E91" s="14">
        <f>(D91-$B$12)*$C$92</f>
        <v>-0.5311171599679837</v>
      </c>
      <c r="F91" s="6">
        <f>$B$92+$B$7*E91^2+$B$8*(E91-E$94)^2</f>
        <v>4.3921463978051412E-2</v>
      </c>
      <c r="G91" s="14">
        <f>(D91-$B$12)*$C$93</f>
        <v>-0.53537135670082692</v>
      </c>
      <c r="H91" s="6">
        <f>$B$93+$B$7*G91^2+$B$8*(G91-G$94)^2</f>
        <v>4.3069667452857799E-2</v>
      </c>
      <c r="I91" s="14">
        <f>(D91-$B$12)*$C$94</f>
        <v>-0.54160963167359299</v>
      </c>
      <c r="J91" s="6">
        <f>$B$94+$B$7*I91^2+$B$8*(I91-I$94)^2</f>
        <v>4.3106777402137406E-2</v>
      </c>
      <c r="K91" s="14">
        <f>(D91-$B$12)*$C$95</f>
        <v>-0.55019085565702786</v>
      </c>
      <c r="L91" s="6">
        <f>$B$95+$B$7*K91^2+$B$8*(K91-K$94)^2</f>
        <v>4.3673111208079811E-2</v>
      </c>
      <c r="M91">
        <f>(D91-$B$12)*$C$96</f>
        <v>-0.56140777605092107</v>
      </c>
      <c r="N91" s="6">
        <f>$B$96+$B$7*M91^2+$B$8*(M91-M$94)^2</f>
        <v>4.4701433114529968E-2</v>
      </c>
      <c r="O91">
        <f>(D91-$B$12)*$C$97</f>
        <v>-0.57506651917949003</v>
      </c>
      <c r="P91" s="6">
        <f>$B$97+$B$7*O91^2+$B$8*(O91-O$94)^2</f>
        <v>4.6613793449593238E-2</v>
      </c>
      <c r="Q91">
        <f>(D91-$B$12)*$C$98</f>
        <v>-0.59271196272986859</v>
      </c>
      <c r="R91" s="6">
        <f>$B$98+$B$7*Q91^2+$B$8*(Q91-Q$94)^2</f>
        <v>4.8645725368800137E-2</v>
      </c>
      <c r="S91">
        <f>(D91-$B$12)*$C$99</f>
        <v>-0.61435247035322005</v>
      </c>
      <c r="T91" s="6">
        <f>$B$99+$B$7*S91^2+$B$8*(S91-S$94)^2</f>
        <v>5.1318716229394296E-2</v>
      </c>
      <c r="U91">
        <f>(D91-$B$12)*$C$100</f>
        <v>-0.6407523934904904</v>
      </c>
      <c r="V91" s="6">
        <f>$B$100+$B$7*U91^2+$B$8*(U91-U$94)^2</f>
        <v>5.4787702273088025E-2</v>
      </c>
      <c r="W91">
        <f>(D91-$B$12)*$C$101</f>
        <v>-0.67293907828867594</v>
      </c>
      <c r="X91" s="6">
        <f>$B$101+$B$7*W91^2+$B$8*(W91-W$94)^2</f>
        <v>5.9280704813256882E-2</v>
      </c>
      <c r="Y91">
        <f>(D91-$B$12)*$C$102</f>
        <v>-0.71231205602249437</v>
      </c>
      <c r="Z91" s="6">
        <f>$B$102+$B$7*Y91^2+$B$8*(Y91-Y$94)^2</f>
        <v>6.513443346125633E-2</v>
      </c>
      <c r="AA91">
        <f>(D91-$B$12)*$C$103</f>
        <v>-0.76080838871322909</v>
      </c>
      <c r="AB91" s="6">
        <f>$B$103+$B$7*AA91^2+$B$8*(AA91-AA$94)^2</f>
        <v>7.2854812891575499E-2</v>
      </c>
      <c r="AC91">
        <f>(D91-$B$12)*$C$104</f>
        <v>-0.8213597943543266</v>
      </c>
      <c r="AD91" s="6">
        <f>$B$104+$B$7*AC91^2+$B$8*(AC91-AC$94)^2</f>
        <v>8.3729742226797438E-2</v>
      </c>
      <c r="AE91">
        <f>(D91-$B$12)*$C$105</f>
        <v>-0.89786484607251693</v>
      </c>
      <c r="AF91" s="6">
        <f>$B$105+$B$7*AE91^2+$B$8*(AE91-AE$94)^2</f>
        <v>9.8055287496093088E-2</v>
      </c>
      <c r="AG91">
        <f>(D91-$B$12)*$C$106</f>
        <v>-0.9959720080236133</v>
      </c>
      <c r="AH91" s="6">
        <f>$B$106+$B$7*AG91^2+$B$8*(AG91-AG$94)^2</f>
        <v>0.11834093440526616</v>
      </c>
      <c r="AI91">
        <f>(D91-$B$12)*$C$107</f>
        <v>-1.1235356379775607</v>
      </c>
      <c r="AJ91">
        <f>$B$107+$B$9*AI91^2</f>
        <v>0.13680049849046627</v>
      </c>
      <c r="AK91">
        <f>(D91-$B$12)*$C$108</f>
        <v>-1.2935673658282085</v>
      </c>
      <c r="AL91">
        <f>$B$108+$B$9*AK91^2</f>
        <v>0.17863353668659165</v>
      </c>
      <c r="AM91">
        <f>(D91-$B$12)*$C$109</f>
        <v>-1.4845408331353789</v>
      </c>
      <c r="AN91">
        <f>$B$109+$B$9*AM91^2</f>
        <v>0.2320746384761502</v>
      </c>
      <c r="AO91">
        <f>(D91-$B$12)*$C$110</f>
        <v>-1.3505028679667821</v>
      </c>
      <c r="AP91">
        <f>$B$110+$B$9*AO91^2</f>
        <v>0.19367048804701795</v>
      </c>
    </row>
    <row r="92" spans="1:42" x14ac:dyDescent="0.25">
      <c r="A92" s="139">
        <v>0.05</v>
      </c>
      <c r="B92" s="129">
        <f>'Sub C_D_0'!AX101</f>
        <v>1.2984176116340413E-2</v>
      </c>
      <c r="C92" s="256">
        <f>'C_L vs. α'!X392</f>
        <v>0.10622343199359674</v>
      </c>
      <c r="D92" s="144">
        <v>-4</v>
      </c>
      <c r="E92" s="14">
        <f t="shared" ref="E92:E102" si="114">(D92-$B$12)*$C$92</f>
        <v>-0.31867029598079022</v>
      </c>
      <c r="F92" s="6">
        <f t="shared" ref="F92:F102" si="115">$B$92+$B$7*E92^2+$B$8*(E92-E$94)^2</f>
        <v>2.4807631530829866E-2</v>
      </c>
      <c r="G92" s="14">
        <f t="shared" ref="G92:G102" si="116">(D92-$B$12)*$C$93</f>
        <v>-0.32122281402049613</v>
      </c>
      <c r="H92" s="6">
        <f t="shared" ref="H92:H102" si="117">$B$93+$B$7*G92^2+$B$8*(G92-G$94)^2</f>
        <v>2.364840881673598E-2</v>
      </c>
      <c r="I92" s="14">
        <f t="shared" ref="I92:I102" si="118">(D92-$B$12)*$C$94</f>
        <v>-0.3249657790041558</v>
      </c>
      <c r="J92" s="6">
        <f t="shared" ref="J92:J102" si="119">$B$94+$B$7*I92^2+$B$8*(I92-I$94)^2</f>
        <v>2.323027955849144E-2</v>
      </c>
      <c r="K92" s="14">
        <f t="shared" ref="K92:K102" si="120">(D92-$B$12)*$C$95</f>
        <v>-0.33011451339421671</v>
      </c>
      <c r="L92" s="6">
        <f t="shared" ref="L92:L102" si="121">$B$95+$B$7*K92^2+$B$8*(K92-K$94)^2</f>
        <v>2.31617801665009E-2</v>
      </c>
      <c r="M92">
        <f t="shared" ref="M92:M102" si="122">(D92-$B$12)*$C$96</f>
        <v>-0.33684466563055265</v>
      </c>
      <c r="N92" s="6">
        <f t="shared" ref="N92:N102" si="123">$B$96+$B$7*M92^2+$B$8*(M92-M$94)^2</f>
        <v>2.3345234290879122E-2</v>
      </c>
      <c r="O92">
        <f t="shared" ref="O92:O102" si="124">(D92-$B$12)*$C$97</f>
        <v>-0.34503991150769397</v>
      </c>
      <c r="P92" s="6">
        <f t="shared" ref="P92:P102" si="125">$B$97+$B$7*O92^2+$B$8*(O92-O$94)^2</f>
        <v>2.4205784220699272E-2</v>
      </c>
      <c r="Q92">
        <f t="shared" ref="Q92:Q102" si="126">(D92-$B$12)*$C$98</f>
        <v>-0.35562717763792118</v>
      </c>
      <c r="R92" s="6">
        <f t="shared" ref="R92:R102" si="127">$B$98+$B$7*Q92^2+$B$8*(Q92-Q$94)^2</f>
        <v>2.4841475881635475E-2</v>
      </c>
      <c r="S92">
        <f t="shared" ref="S92:S102" si="128">(D92-$B$12)*$C$99</f>
        <v>-0.36861148221193207</v>
      </c>
      <c r="T92" s="6">
        <f t="shared" ref="T92:T102" si="129">$B$99+$B$7*S92^2+$B$8*(S92-S$94)^2</f>
        <v>2.5744500411185152E-2</v>
      </c>
      <c r="U92">
        <f t="shared" ref="U92:U102" si="130">(D92-$B$12)*$C$100</f>
        <v>-0.38445143609429427</v>
      </c>
      <c r="V92" s="6">
        <f t="shared" ref="V92:V102" si="131">$B$100+$B$7*U92^2+$B$8*(U92-U$94)^2</f>
        <v>2.6968313599045807E-2</v>
      </c>
      <c r="W92">
        <f t="shared" ref="W92:W102" si="132">(D92-$B$12)*$C$101</f>
        <v>-0.4037634469732056</v>
      </c>
      <c r="X92" s="6">
        <f t="shared" ref="X92:X102" si="133">$B$101+$B$7*W92^2+$B$8*(W92-W$94)^2</f>
        <v>2.8596236254684042E-2</v>
      </c>
      <c r="Y92">
        <f t="shared" ref="Y92:Y102" si="134">(D92-$B$12)*$C$102</f>
        <v>-0.42738723361349662</v>
      </c>
      <c r="Z92" s="6">
        <f t="shared" ref="Z92:Z102" si="135">$B$102+$B$7*Y92^2+$B$8*(Y92-Y$94)^2</f>
        <v>3.075428895358687E-2</v>
      </c>
      <c r="AA92">
        <f t="shared" ref="AA92:AA102" si="136">(D92-$B$12)*$C$103</f>
        <v>-0.45648503322793749</v>
      </c>
      <c r="AB92" s="6">
        <f t="shared" ref="AB92:AB102" si="137">$B$103+$B$7*AA92^2+$B$8*(AA92-AA$94)^2</f>
        <v>3.3633900448689386E-2</v>
      </c>
      <c r="AC92">
        <f t="shared" ref="AC92:AC102" si="138">(D92-$B$12)*$C$104</f>
        <v>-0.49281587661259596</v>
      </c>
      <c r="AD92" s="6">
        <f t="shared" ref="AD92:AD102" si="139">$B$104+$B$7*AC92^2+$B$8*(AC92-AC$94)^2</f>
        <v>3.8017345888702002E-2</v>
      </c>
      <c r="AE92">
        <f t="shared" ref="AE92:AE102" si="140">(D92-$B$12)*$C$105</f>
        <v>-0.53871890764351016</v>
      </c>
      <c r="AF92" s="6">
        <f t="shared" ref="AF92:AF102" si="141">$B$105+$B$7*AE92^2+$B$8*(AE92-AE$94)^2</f>
        <v>4.3430590112114309E-2</v>
      </c>
      <c r="AG92">
        <f t="shared" ref="AG92:AG102" si="142">(D92-$B$12)*$C$106</f>
        <v>-0.59758320481416793</v>
      </c>
      <c r="AH92" s="6">
        <f t="shared" ref="AH92:AH102" si="143">$B$106+$B$7*AG92^2+$B$8*(AG92-AG$94)^2</f>
        <v>5.112668188377819E-2</v>
      </c>
      <c r="AI92">
        <f t="shared" ref="AI92:AI102" si="144">(D92-$B$12)*$C$107</f>
        <v>-0.67412138278653644</v>
      </c>
      <c r="AJ92">
        <f t="shared" ref="AJ92:AJ102" si="145">$B$107+$B$9*AI92^2</f>
        <v>5.5305561982368863E-2</v>
      </c>
      <c r="AK92">
        <f t="shared" ref="AK92:AK102" si="146">(D92-$B$12)*$C$108</f>
        <v>-0.77614041949692503</v>
      </c>
      <c r="AL92">
        <f t="shared" ref="AL92:AL102" si="147">$B$108+$B$9*AK92^2</f>
        <v>7.0605863509546382E-2</v>
      </c>
      <c r="AM92">
        <f t="shared" ref="AM92:AM102" si="148">(D92-$B$12)*$C$109</f>
        <v>-0.89072449988122726</v>
      </c>
      <c r="AN92">
        <f t="shared" ref="AN92:AN102" si="149">$B$109+$B$9*AM92^2</f>
        <v>8.979550359853837E-2</v>
      </c>
      <c r="AO92">
        <f t="shared" ref="AO92:AO102" si="150">(D92-$B$12)*$C$110</f>
        <v>-0.81030172078006935</v>
      </c>
      <c r="AP92">
        <f t="shared" ref="AP92:AP102" si="151">$B$110+$B$9*AO92^2</f>
        <v>7.5924005519561383E-2</v>
      </c>
    </row>
    <row r="93" spans="1:42" x14ac:dyDescent="0.25">
      <c r="A93" s="129">
        <v>0.1</v>
      </c>
      <c r="B93" s="129">
        <f>'Sub C_D_0'!AX102</f>
        <v>1.1634785373529863E-2</v>
      </c>
      <c r="C93" s="256">
        <f>'C_L vs. α'!X393</f>
        <v>0.10707427134016538</v>
      </c>
      <c r="D93" s="144">
        <v>-2</v>
      </c>
      <c r="E93" s="14">
        <f t="shared" si="114"/>
        <v>-0.10622343199359674</v>
      </c>
      <c r="F93" s="6">
        <f t="shared" si="115"/>
        <v>1.4799378607039164E-2</v>
      </c>
      <c r="G93" s="14">
        <f t="shared" si="116"/>
        <v>-0.10707427134016538</v>
      </c>
      <c r="H93" s="6">
        <f t="shared" si="117"/>
        <v>1.3479183515353982E-2</v>
      </c>
      <c r="I93" s="14">
        <f t="shared" si="118"/>
        <v>-0.1083219263347186</v>
      </c>
      <c r="J93" s="6">
        <f t="shared" si="119"/>
        <v>1.2822685047673891E-2</v>
      </c>
      <c r="K93" s="14">
        <f t="shared" si="120"/>
        <v>-0.11003817113140557</v>
      </c>
      <c r="L93" s="6">
        <f t="shared" si="121"/>
        <v>1.2421778681473664E-2</v>
      </c>
      <c r="M93">
        <f t="shared" si="122"/>
        <v>-0.11228155521018422</v>
      </c>
      <c r="N93" s="6">
        <f t="shared" si="123"/>
        <v>1.2162848973436995E-2</v>
      </c>
      <c r="O93">
        <f t="shared" si="124"/>
        <v>-0.115013303835898</v>
      </c>
      <c r="P93" s="6">
        <f t="shared" si="125"/>
        <v>1.2472657203882343E-2</v>
      </c>
      <c r="Q93">
        <f t="shared" si="126"/>
        <v>-0.11854239254597372</v>
      </c>
      <c r="R93" s="6">
        <f t="shared" si="127"/>
        <v>1.2377259184832196E-2</v>
      </c>
      <c r="S93">
        <f t="shared" si="128"/>
        <v>-0.12287049407064402</v>
      </c>
      <c r="T93" s="6">
        <f t="shared" si="129"/>
        <v>1.235350616955401E-2</v>
      </c>
      <c r="U93">
        <f t="shared" si="130"/>
        <v>-0.12815047869809809</v>
      </c>
      <c r="V93" s="6">
        <f t="shared" si="131"/>
        <v>1.2401717454402625E-2</v>
      </c>
      <c r="W93">
        <f t="shared" si="132"/>
        <v>-0.1345878156577352</v>
      </c>
      <c r="X93" s="6">
        <f t="shared" si="133"/>
        <v>1.2529446770456799E-2</v>
      </c>
      <c r="Y93">
        <f t="shared" si="134"/>
        <v>-0.14246241120449887</v>
      </c>
      <c r="Z93" s="6">
        <f t="shared" si="135"/>
        <v>1.2752395155504147E-2</v>
      </c>
      <c r="AA93">
        <f t="shared" si="136"/>
        <v>-0.15216167774264583</v>
      </c>
      <c r="AB93" s="6">
        <f t="shared" si="137"/>
        <v>1.3097317180308061E-2</v>
      </c>
      <c r="AC93">
        <f t="shared" si="138"/>
        <v>-0.16427195887086532</v>
      </c>
      <c r="AD93" s="6">
        <f t="shared" si="139"/>
        <v>1.4081736660803429E-2</v>
      </c>
      <c r="AE93">
        <f t="shared" si="140"/>
        <v>-0.17957296921450339</v>
      </c>
      <c r="AF93" s="6">
        <f t="shared" si="141"/>
        <v>1.4828383369224409E-2</v>
      </c>
      <c r="AG93">
        <f t="shared" si="142"/>
        <v>-0.19919440160472265</v>
      </c>
      <c r="AH93" s="6">
        <f t="shared" si="143"/>
        <v>1.5932419237807673E-2</v>
      </c>
      <c r="AI93">
        <f t="shared" si="144"/>
        <v>-0.22470712759551215</v>
      </c>
      <c r="AJ93">
        <f t="shared" si="145"/>
        <v>1.4558093728320145E-2</v>
      </c>
      <c r="AK93">
        <f t="shared" si="146"/>
        <v>-0.25871347316564169</v>
      </c>
      <c r="AL93">
        <f t="shared" si="147"/>
        <v>1.659202692102377E-2</v>
      </c>
      <c r="AM93">
        <f t="shared" si="148"/>
        <v>-0.29690816662707575</v>
      </c>
      <c r="AN93">
        <f t="shared" si="149"/>
        <v>1.8655936159732458E-2</v>
      </c>
      <c r="AO93">
        <f t="shared" si="150"/>
        <v>-0.27010057359335643</v>
      </c>
      <c r="AP93">
        <f t="shared" si="151"/>
        <v>1.7050764255833059E-2</v>
      </c>
    </row>
    <row r="94" spans="1:42" s="29" customFormat="1" x14ac:dyDescent="0.25">
      <c r="A94" s="139">
        <v>0.15</v>
      </c>
      <c r="B94" s="129">
        <f>'Sub C_D_0'!AX103</f>
        <v>1.0935053747578487E-2</v>
      </c>
      <c r="C94" s="256">
        <f>'C_L vs. α'!X394</f>
        <v>0.1083219263347186</v>
      </c>
      <c r="D94" s="143">
        <v>0</v>
      </c>
      <c r="E94" s="83">
        <f t="shared" si="114"/>
        <v>0.10622343199359674</v>
      </c>
      <c r="F94" s="21">
        <f t="shared" si="115"/>
        <v>1.3896705206679303E-2</v>
      </c>
      <c r="G94" s="83">
        <f t="shared" si="116"/>
        <v>0.10707427134016538</v>
      </c>
      <c r="H94" s="21">
        <f t="shared" si="117"/>
        <v>1.2561991548711793E-2</v>
      </c>
      <c r="I94" s="83">
        <f t="shared" si="118"/>
        <v>0.1083219263347186</v>
      </c>
      <c r="J94" s="21">
        <f t="shared" si="119"/>
        <v>1.1883993869684755E-2</v>
      </c>
      <c r="K94" s="83">
        <f t="shared" si="120"/>
        <v>0.11003817113140557</v>
      </c>
      <c r="L94" s="21">
        <f t="shared" si="121"/>
        <v>1.1453106752998104E-2</v>
      </c>
      <c r="M94" s="99">
        <f t="shared" si="122"/>
        <v>0.11228155521018422</v>
      </c>
      <c r="N94" s="21">
        <f t="shared" si="123"/>
        <v>1.1154277162203583E-2</v>
      </c>
      <c r="O94" s="99">
        <f t="shared" si="124"/>
        <v>0.115013303835898</v>
      </c>
      <c r="P94" s="21">
        <f t="shared" si="125"/>
        <v>1.1414412399142456E-2</v>
      </c>
      <c r="Q94" s="99">
        <f t="shared" si="126"/>
        <v>0.11854239254597372</v>
      </c>
      <c r="R94" s="21">
        <f t="shared" si="127"/>
        <v>1.1253075278390298E-2</v>
      </c>
      <c r="S94" s="99">
        <f t="shared" si="128"/>
        <v>0.12287049407064402</v>
      </c>
      <c r="T94" s="21">
        <f t="shared" si="129"/>
        <v>1.1145733504500877E-2</v>
      </c>
      <c r="U94" s="99">
        <f t="shared" si="130"/>
        <v>0.12815047869809809</v>
      </c>
      <c r="V94" s="21">
        <f t="shared" si="131"/>
        <v>1.1087913839158489E-2</v>
      </c>
      <c r="W94" s="99">
        <f t="shared" si="132"/>
        <v>0.1345878156577352</v>
      </c>
      <c r="X94" s="21">
        <f t="shared" si="133"/>
        <v>1.1080336360575158E-2</v>
      </c>
      <c r="Y94" s="99">
        <f t="shared" si="134"/>
        <v>0.14246241120449887</v>
      </c>
      <c r="Z94" s="21">
        <f t="shared" si="135"/>
        <v>1.1128752067008169E-2</v>
      </c>
      <c r="AA94" s="99">
        <f t="shared" si="136"/>
        <v>0.15216167774264583</v>
      </c>
      <c r="AB94" s="21">
        <f t="shared" si="137"/>
        <v>1.1245063086431518E-2</v>
      </c>
      <c r="AC94" s="99">
        <f t="shared" si="138"/>
        <v>0.16427195887086532</v>
      </c>
      <c r="AD94" s="21">
        <f t="shared" si="139"/>
        <v>1.1922914543101727E-2</v>
      </c>
      <c r="AE94" s="99">
        <f t="shared" si="140"/>
        <v>0.17957296921450339</v>
      </c>
      <c r="AF94" s="21">
        <f t="shared" si="141"/>
        <v>1.2248667267423369E-2</v>
      </c>
      <c r="AG94" s="99">
        <f t="shared" si="142"/>
        <v>0.19919440160472265</v>
      </c>
      <c r="AH94" s="21">
        <f t="shared" si="143"/>
        <v>1.2758146467354591E-2</v>
      </c>
      <c r="AI94" s="99">
        <f t="shared" si="144"/>
        <v>0.22470712759551215</v>
      </c>
      <c r="AJ94" s="99">
        <f t="shared" si="145"/>
        <v>1.4558093728320145E-2</v>
      </c>
      <c r="AK94" s="99">
        <f t="shared" si="146"/>
        <v>0.25871347316564169</v>
      </c>
      <c r="AL94" s="99">
        <f t="shared" si="147"/>
        <v>1.659202692102377E-2</v>
      </c>
      <c r="AM94" s="99">
        <f t="shared" si="148"/>
        <v>0.29690816662707575</v>
      </c>
      <c r="AN94" s="99">
        <f t="shared" si="149"/>
        <v>1.8655936159732458E-2</v>
      </c>
      <c r="AO94" s="99">
        <f t="shared" si="150"/>
        <v>0.27010057359335643</v>
      </c>
      <c r="AP94" s="99">
        <f t="shared" si="151"/>
        <v>1.7050764255833059E-2</v>
      </c>
    </row>
    <row r="95" spans="1:42" x14ac:dyDescent="0.25">
      <c r="A95" s="129">
        <v>0.2</v>
      </c>
      <c r="B95" s="129">
        <f>'Sub C_D_0'!AX104</f>
        <v>1.0473858540548034E-2</v>
      </c>
      <c r="C95" s="256">
        <f>'C_L vs. α'!X395</f>
        <v>0.11003817113140557</v>
      </c>
      <c r="D95" s="144">
        <v>2</v>
      </c>
      <c r="E95" s="14">
        <f t="shared" si="114"/>
        <v>0.31867029598079022</v>
      </c>
      <c r="F95" s="6">
        <f t="shared" si="115"/>
        <v>2.2099611329750281E-2</v>
      </c>
      <c r="G95" s="14">
        <f t="shared" si="116"/>
        <v>0.32122281402049613</v>
      </c>
      <c r="H95" s="6">
        <f t="shared" si="117"/>
        <v>2.0896832916809414E-2</v>
      </c>
      <c r="I95" s="14">
        <f t="shared" si="118"/>
        <v>0.3249657790041558</v>
      </c>
      <c r="J95" s="6">
        <f t="shared" si="119"/>
        <v>2.0414206024524033E-2</v>
      </c>
      <c r="K95" s="14">
        <f t="shared" si="120"/>
        <v>0.33011451339421671</v>
      </c>
      <c r="L95" s="6">
        <f t="shared" si="121"/>
        <v>2.025576438107422E-2</v>
      </c>
      <c r="M95">
        <f t="shared" si="122"/>
        <v>0.33684466563055265</v>
      </c>
      <c r="N95" s="6">
        <f t="shared" si="123"/>
        <v>2.0319518857178885E-2</v>
      </c>
      <c r="O95">
        <f t="shared" si="124"/>
        <v>0.34503991150769397</v>
      </c>
      <c r="P95" s="6">
        <f t="shared" si="125"/>
        <v>2.1031049806479608E-2</v>
      </c>
      <c r="Q95">
        <f t="shared" si="126"/>
        <v>0.35562717763792118</v>
      </c>
      <c r="R95" s="6">
        <f t="shared" si="127"/>
        <v>2.1468924162309781E-2</v>
      </c>
      <c r="S95">
        <f t="shared" si="128"/>
        <v>0.36861148221193207</v>
      </c>
      <c r="T95" s="6">
        <f t="shared" si="129"/>
        <v>2.2121182416025752E-2</v>
      </c>
      <c r="U95">
        <f t="shared" si="130"/>
        <v>0.38445143609429427</v>
      </c>
      <c r="V95" s="6">
        <f t="shared" si="131"/>
        <v>2.30269027533134E-2</v>
      </c>
      <c r="W95">
        <f t="shared" si="132"/>
        <v>0.4037634469732056</v>
      </c>
      <c r="X95" s="6">
        <f t="shared" si="133"/>
        <v>2.4248905025039121E-2</v>
      </c>
      <c r="Y95">
        <f t="shared" si="134"/>
        <v>0.42738723361349662</v>
      </c>
      <c r="Z95" s="6">
        <f t="shared" si="135"/>
        <v>2.5883359688098937E-2</v>
      </c>
      <c r="AA95">
        <f t="shared" si="136"/>
        <v>0.45648503322793749</v>
      </c>
      <c r="AB95" s="6">
        <f t="shared" si="137"/>
        <v>2.8077138167059756E-2</v>
      </c>
      <c r="AC95">
        <f t="shared" si="138"/>
        <v>0.49281587661259596</v>
      </c>
      <c r="AD95" s="6">
        <f t="shared" si="139"/>
        <v>3.1540879535596894E-2</v>
      </c>
      <c r="AE95">
        <f t="shared" si="140"/>
        <v>0.53871890764351016</v>
      </c>
      <c r="AF95" s="6">
        <f t="shared" si="141"/>
        <v>3.5691441806711188E-2</v>
      </c>
      <c r="AG95">
        <f t="shared" si="142"/>
        <v>0.59758320481416793</v>
      </c>
      <c r="AH95" s="6">
        <f t="shared" si="143"/>
        <v>4.1603863572418943E-2</v>
      </c>
      <c r="AI95">
        <f t="shared" si="144"/>
        <v>0.67412138278653644</v>
      </c>
      <c r="AJ95">
        <f t="shared" si="145"/>
        <v>5.5305561982368863E-2</v>
      </c>
      <c r="AK95">
        <f t="shared" si="146"/>
        <v>0.77614041949692503</v>
      </c>
      <c r="AL95">
        <f t="shared" si="147"/>
        <v>7.0605863509546382E-2</v>
      </c>
      <c r="AM95">
        <f t="shared" si="148"/>
        <v>0.89072449988122726</v>
      </c>
      <c r="AN95">
        <f t="shared" si="149"/>
        <v>8.979550359853837E-2</v>
      </c>
      <c r="AO95">
        <f t="shared" si="150"/>
        <v>0.81030172078006935</v>
      </c>
      <c r="AP95">
        <f t="shared" si="151"/>
        <v>7.5924005519561383E-2</v>
      </c>
    </row>
    <row r="96" spans="1:42" x14ac:dyDescent="0.25">
      <c r="A96" s="139">
        <v>0.25</v>
      </c>
      <c r="B96" s="129">
        <f>'Sub C_D_0'!AX105</f>
        <v>1.0134693426735846E-2</v>
      </c>
      <c r="C96" s="256">
        <f>'C_L vs. α'!X396</f>
        <v>0.11228155521018422</v>
      </c>
      <c r="D96" s="144">
        <v>4</v>
      </c>
      <c r="E96" s="14">
        <f t="shared" si="114"/>
        <v>0.5311171599679837</v>
      </c>
      <c r="F96" s="6">
        <f t="shared" si="115"/>
        <v>3.9408096976252104E-2</v>
      </c>
      <c r="G96" s="14">
        <f t="shared" si="116"/>
        <v>0.53537135670082692</v>
      </c>
      <c r="H96" s="6">
        <f t="shared" si="117"/>
        <v>3.8483707619646854E-2</v>
      </c>
      <c r="I96" s="14">
        <f t="shared" si="118"/>
        <v>0.54160963167359299</v>
      </c>
      <c r="J96" s="6">
        <f t="shared" si="119"/>
        <v>3.8413321512191727E-2</v>
      </c>
      <c r="K96" s="14">
        <f t="shared" si="120"/>
        <v>0.55019085565702786</v>
      </c>
      <c r="L96" s="6">
        <f t="shared" si="121"/>
        <v>3.8829751565702009E-2</v>
      </c>
      <c r="M96">
        <f t="shared" si="122"/>
        <v>0.56140777605092107</v>
      </c>
      <c r="N96" s="6">
        <f t="shared" si="123"/>
        <v>3.9658574058362907E-2</v>
      </c>
      <c r="O96">
        <f t="shared" si="124"/>
        <v>0.57506651917949003</v>
      </c>
      <c r="P96" s="6">
        <f t="shared" si="125"/>
        <v>4.1322569425893803E-2</v>
      </c>
      <c r="Q96">
        <f t="shared" si="126"/>
        <v>0.59271196272986859</v>
      </c>
      <c r="R96" s="6">
        <f t="shared" si="127"/>
        <v>4.3024805836590643E-2</v>
      </c>
      <c r="S96">
        <f t="shared" si="128"/>
        <v>0.61435247035322005</v>
      </c>
      <c r="T96" s="6">
        <f t="shared" si="129"/>
        <v>4.5279852904128629E-2</v>
      </c>
      <c r="U96">
        <f t="shared" si="130"/>
        <v>0.6407523934904904</v>
      </c>
      <c r="V96" s="6">
        <f t="shared" si="131"/>
        <v>4.8218684196867354E-2</v>
      </c>
      <c r="W96">
        <f t="shared" si="132"/>
        <v>0.67293907828867594</v>
      </c>
      <c r="X96" s="6">
        <f t="shared" si="133"/>
        <v>5.203515276384868E-2</v>
      </c>
      <c r="Y96">
        <f t="shared" si="134"/>
        <v>0.71231205602249437</v>
      </c>
      <c r="Z96" s="6">
        <f t="shared" si="135"/>
        <v>5.7016218018776446E-2</v>
      </c>
      <c r="AA96">
        <f t="shared" si="136"/>
        <v>0.76080838871322909</v>
      </c>
      <c r="AB96" s="6">
        <f t="shared" si="137"/>
        <v>6.3593542422192784E-2</v>
      </c>
      <c r="AC96">
        <f t="shared" si="138"/>
        <v>0.8213597943543266</v>
      </c>
      <c r="AD96" s="6">
        <f t="shared" si="139"/>
        <v>7.2935631638288922E-2</v>
      </c>
      <c r="AE96">
        <f t="shared" si="140"/>
        <v>0.89786484607251693</v>
      </c>
      <c r="AF96" s="6">
        <f t="shared" si="141"/>
        <v>8.5156706987087896E-2</v>
      </c>
      <c r="AG96">
        <f t="shared" si="142"/>
        <v>0.9959720080236133</v>
      </c>
      <c r="AH96" s="6">
        <f t="shared" si="143"/>
        <v>0.10246957055300075</v>
      </c>
      <c r="AI96">
        <f t="shared" si="144"/>
        <v>1.1235356379775607</v>
      </c>
      <c r="AJ96">
        <f t="shared" si="145"/>
        <v>0.13680049849046627</v>
      </c>
      <c r="AK96">
        <f t="shared" si="146"/>
        <v>1.2935673658282085</v>
      </c>
      <c r="AL96">
        <f t="shared" si="147"/>
        <v>0.17863353668659165</v>
      </c>
      <c r="AM96">
        <f t="shared" si="148"/>
        <v>1.4845408331353789</v>
      </c>
      <c r="AN96">
        <f t="shared" si="149"/>
        <v>0.2320746384761502</v>
      </c>
      <c r="AO96">
        <f t="shared" si="150"/>
        <v>1.3505028679667821</v>
      </c>
      <c r="AP96">
        <f t="shared" si="151"/>
        <v>0.19367048804701795</v>
      </c>
    </row>
    <row r="97" spans="1:42" x14ac:dyDescent="0.25">
      <c r="A97" s="129">
        <v>0.3</v>
      </c>
      <c r="B97" s="129">
        <f>'Sub C_D_0'!AX106</f>
        <v>1.0344613323817798E-2</v>
      </c>
      <c r="C97" s="256">
        <f>'C_L vs. α'!X397</f>
        <v>0.115013303835898</v>
      </c>
      <c r="D97" s="144">
        <v>6</v>
      </c>
      <c r="E97" s="14">
        <f t="shared" si="114"/>
        <v>0.74356402395517718</v>
      </c>
      <c r="F97" s="6">
        <f t="shared" si="115"/>
        <v>6.5822162146184748E-2</v>
      </c>
      <c r="G97" s="14">
        <f t="shared" si="116"/>
        <v>0.74951989938115771</v>
      </c>
      <c r="H97" s="6">
        <f t="shared" si="117"/>
        <v>6.5322615657224109E-2</v>
      </c>
      <c r="I97" s="14">
        <f t="shared" si="118"/>
        <v>0.75825348434303019</v>
      </c>
      <c r="J97" s="6">
        <f t="shared" si="119"/>
        <v>6.5881340332687832E-2</v>
      </c>
      <c r="K97" s="14">
        <f t="shared" si="120"/>
        <v>0.770267197919839</v>
      </c>
      <c r="L97" s="6">
        <f t="shared" si="121"/>
        <v>6.7175068306881469E-2</v>
      </c>
      <c r="M97">
        <f t="shared" si="122"/>
        <v>0.78597088647128954</v>
      </c>
      <c r="N97" s="6">
        <f t="shared" si="123"/>
        <v>6.9171442765755639E-2</v>
      </c>
      <c r="O97">
        <f t="shared" si="124"/>
        <v>0.80509312685128598</v>
      </c>
      <c r="P97" s="6">
        <f t="shared" si="125"/>
        <v>7.2288971257385037E-2</v>
      </c>
      <c r="Q97">
        <f t="shared" si="126"/>
        <v>0.82979674782181601</v>
      </c>
      <c r="R97" s="6">
        <f t="shared" si="127"/>
        <v>7.5920720301232883E-2</v>
      </c>
      <c r="S97">
        <f t="shared" si="128"/>
        <v>0.86009345849450813</v>
      </c>
      <c r="T97" s="6">
        <f t="shared" si="129"/>
        <v>8.0621744968809528E-2</v>
      </c>
      <c r="U97">
        <f t="shared" si="130"/>
        <v>0.8970533508866867</v>
      </c>
      <c r="V97" s="6">
        <f t="shared" si="131"/>
        <v>8.6663258169820359E-2</v>
      </c>
      <c r="W97">
        <f t="shared" si="132"/>
        <v>0.94211470960414645</v>
      </c>
      <c r="X97" s="6">
        <f t="shared" si="133"/>
        <v>9.4439079577003884E-2</v>
      </c>
      <c r="Y97">
        <f t="shared" si="134"/>
        <v>0.99723687843149211</v>
      </c>
      <c r="Z97" s="6">
        <f t="shared" si="135"/>
        <v>0.10452732705904071</v>
      </c>
      <c r="AA97">
        <f t="shared" si="136"/>
        <v>1.0651317441985209</v>
      </c>
      <c r="AB97" s="6">
        <f t="shared" si="137"/>
        <v>0.11779427585183061</v>
      </c>
      <c r="AC97">
        <f t="shared" si="138"/>
        <v>1.1499037120960574</v>
      </c>
      <c r="AD97" s="6">
        <f t="shared" si="139"/>
        <v>0.13610717085117788</v>
      </c>
      <c r="AE97">
        <f t="shared" si="140"/>
        <v>1.2570107845015237</v>
      </c>
      <c r="AF97" s="6">
        <f t="shared" si="141"/>
        <v>0.16064446280855343</v>
      </c>
      <c r="AG97">
        <f t="shared" si="142"/>
        <v>1.3943608112330586</v>
      </c>
      <c r="AH97" s="6">
        <f t="shared" si="143"/>
        <v>0.19535526740909998</v>
      </c>
      <c r="AI97">
        <f t="shared" si="144"/>
        <v>1.572949893168585</v>
      </c>
      <c r="AJ97">
        <f t="shared" si="145"/>
        <v>0.25904290325261248</v>
      </c>
      <c r="AK97">
        <f t="shared" si="146"/>
        <v>1.8109943121594918</v>
      </c>
      <c r="AL97">
        <f t="shared" si="147"/>
        <v>0.34067504645215946</v>
      </c>
      <c r="AM97">
        <f t="shared" si="148"/>
        <v>2.0783571663895302</v>
      </c>
      <c r="AN97">
        <f t="shared" si="149"/>
        <v>0.44549334079256786</v>
      </c>
      <c r="AO97">
        <f t="shared" si="150"/>
        <v>1.8907040151534951</v>
      </c>
      <c r="AP97">
        <f t="shared" si="151"/>
        <v>0.37029021183820293</v>
      </c>
    </row>
    <row r="98" spans="1:42" x14ac:dyDescent="0.25">
      <c r="A98" s="139">
        <v>0.35</v>
      </c>
      <c r="B98" s="129">
        <f>'Sub C_D_0'!AX107</f>
        <v>1.01166171562056E-2</v>
      </c>
      <c r="C98" s="256">
        <f>'C_L vs. α'!X398</f>
        <v>0.11854239254597372</v>
      </c>
      <c r="D98" s="144">
        <v>8</v>
      </c>
      <c r="E98" s="14">
        <f t="shared" si="114"/>
        <v>0.95601088794237066</v>
      </c>
      <c r="F98" s="6">
        <f t="shared" si="115"/>
        <v>0.10134180683954826</v>
      </c>
      <c r="G98" s="14">
        <f t="shared" si="116"/>
        <v>0.96366844206148838</v>
      </c>
      <c r="H98" s="6">
        <f t="shared" si="117"/>
        <v>0.10141355702954116</v>
      </c>
      <c r="I98" s="14">
        <f t="shared" si="118"/>
        <v>0.97489733701246739</v>
      </c>
      <c r="J98" s="6">
        <f t="shared" si="119"/>
        <v>0.10281826248601236</v>
      </c>
      <c r="K98" s="14">
        <f t="shared" si="120"/>
        <v>0.99034354018265014</v>
      </c>
      <c r="L98" s="6">
        <f t="shared" si="121"/>
        <v>0.10529171460461263</v>
      </c>
      <c r="M98">
        <f t="shared" si="122"/>
        <v>1.010533996891658</v>
      </c>
      <c r="N98" s="6">
        <f t="shared" si="123"/>
        <v>0.10885812497935711</v>
      </c>
      <c r="O98">
        <f t="shared" si="124"/>
        <v>1.035119734523082</v>
      </c>
      <c r="P98" s="6">
        <f t="shared" si="125"/>
        <v>0.11393025530095331</v>
      </c>
      <c r="Q98">
        <f t="shared" si="126"/>
        <v>1.0668815329137635</v>
      </c>
      <c r="R98" s="6">
        <f t="shared" si="127"/>
        <v>0.12015666755623652</v>
      </c>
      <c r="S98">
        <f t="shared" si="128"/>
        <v>1.1058344466357961</v>
      </c>
      <c r="T98" s="6">
        <f t="shared" si="129"/>
        <v>0.12814685861006841</v>
      </c>
      <c r="U98">
        <f t="shared" si="130"/>
        <v>1.1533543082828828</v>
      </c>
      <c r="V98" s="6">
        <f t="shared" si="131"/>
        <v>0.13836062467217239</v>
      </c>
      <c r="W98">
        <f t="shared" si="132"/>
        <v>1.2112903409196167</v>
      </c>
      <c r="X98" s="6">
        <f t="shared" si="133"/>
        <v>0.15146068546450461</v>
      </c>
      <c r="Y98">
        <f t="shared" si="134"/>
        <v>1.28216170084049</v>
      </c>
      <c r="Z98" s="6">
        <f t="shared" si="135"/>
        <v>0.16841668680889174</v>
      </c>
      <c r="AA98">
        <f t="shared" si="136"/>
        <v>1.3694550996838124</v>
      </c>
      <c r="AB98" s="6">
        <f t="shared" si="137"/>
        <v>0.19067933845597318</v>
      </c>
      <c r="AC98">
        <f t="shared" si="138"/>
        <v>1.4784476298377878</v>
      </c>
      <c r="AD98" s="6">
        <f t="shared" si="139"/>
        <v>0.22105549717426362</v>
      </c>
      <c r="AE98">
        <f t="shared" si="140"/>
        <v>1.6161567229305305</v>
      </c>
      <c r="AF98" s="6">
        <f t="shared" si="141"/>
        <v>0.26215470927110784</v>
      </c>
      <c r="AG98">
        <f t="shared" si="142"/>
        <v>1.7927496144425039</v>
      </c>
      <c r="AH98" s="6">
        <f t="shared" si="143"/>
        <v>0.32026095414071665</v>
      </c>
      <c r="AI98">
        <f t="shared" si="144"/>
        <v>2.0223641483596095</v>
      </c>
      <c r="AJ98">
        <f t="shared" si="145"/>
        <v>0.42203277626880736</v>
      </c>
      <c r="AK98">
        <f t="shared" si="146"/>
        <v>2.3284212584907751</v>
      </c>
      <c r="AL98">
        <f t="shared" si="147"/>
        <v>0.55673039280624981</v>
      </c>
      <c r="AM98">
        <f t="shared" si="148"/>
        <v>2.6721734996436819</v>
      </c>
      <c r="AN98">
        <f t="shared" si="149"/>
        <v>0.73005161054779166</v>
      </c>
      <c r="AO98">
        <f t="shared" si="150"/>
        <v>2.430905162340208</v>
      </c>
      <c r="AP98">
        <f t="shared" si="151"/>
        <v>0.60578317689311623</v>
      </c>
    </row>
    <row r="99" spans="1:42" x14ac:dyDescent="0.25">
      <c r="A99" s="129">
        <v>0.4</v>
      </c>
      <c r="B99" s="129">
        <f>'Sub C_D_0'!AX108</f>
        <v>9.9247739736919097E-3</v>
      </c>
      <c r="C99" s="256">
        <f>'C_L vs. α'!X399</f>
        <v>0.12287049407064402</v>
      </c>
      <c r="D99" s="144">
        <v>10</v>
      </c>
      <c r="E99" s="14">
        <f t="shared" si="114"/>
        <v>1.168457751929564</v>
      </c>
      <c r="F99" s="6">
        <f t="shared" si="115"/>
        <v>0.14596703105634257</v>
      </c>
      <c r="G99" s="14">
        <f t="shared" si="116"/>
        <v>1.1778169847418192</v>
      </c>
      <c r="H99" s="6">
        <f t="shared" si="117"/>
        <v>0.14675653173659806</v>
      </c>
      <c r="I99" s="14">
        <f t="shared" si="118"/>
        <v>1.1915411896819046</v>
      </c>
      <c r="J99" s="6">
        <f t="shared" si="119"/>
        <v>0.1492240879721653</v>
      </c>
      <c r="K99" s="14">
        <f t="shared" si="120"/>
        <v>1.2104198824454613</v>
      </c>
      <c r="L99" s="6">
        <f t="shared" si="121"/>
        <v>0.15317969045889546</v>
      </c>
      <c r="M99">
        <f t="shared" si="122"/>
        <v>1.2350971073120265</v>
      </c>
      <c r="N99" s="6">
        <f t="shared" si="123"/>
        <v>0.15871862069916728</v>
      </c>
      <c r="O99">
        <f t="shared" si="124"/>
        <v>1.2651463421948781</v>
      </c>
      <c r="P99" s="6">
        <f t="shared" si="125"/>
        <v>0.16624642155659866</v>
      </c>
      <c r="Q99">
        <f t="shared" si="126"/>
        <v>1.3039663180057108</v>
      </c>
      <c r="R99" s="6">
        <f t="shared" si="127"/>
        <v>0.17573264760160148</v>
      </c>
      <c r="S99">
        <f t="shared" si="128"/>
        <v>1.3515754347770841</v>
      </c>
      <c r="T99" s="6">
        <f t="shared" si="129"/>
        <v>0.18785519382790528</v>
      </c>
      <c r="U99">
        <f t="shared" si="130"/>
        <v>1.4096552656790791</v>
      </c>
      <c r="V99" s="6">
        <f t="shared" si="131"/>
        <v>0.20331078370392353</v>
      </c>
      <c r="W99">
        <f t="shared" si="132"/>
        <v>1.4804659722350872</v>
      </c>
      <c r="X99" s="6">
        <f t="shared" si="133"/>
        <v>0.22309997042635102</v>
      </c>
      <c r="Y99">
        <f t="shared" si="134"/>
        <v>1.5670865232494875</v>
      </c>
      <c r="Z99" s="6">
        <f t="shared" si="135"/>
        <v>0.24868429726832944</v>
      </c>
      <c r="AA99">
        <f t="shared" si="136"/>
        <v>1.6737784551691042</v>
      </c>
      <c r="AB99" s="6">
        <f t="shared" si="137"/>
        <v>0.2822487302346206</v>
      </c>
      <c r="AC99">
        <f t="shared" si="138"/>
        <v>1.8069915475795186</v>
      </c>
      <c r="AD99" s="6">
        <f t="shared" si="139"/>
        <v>0.32778061060754632</v>
      </c>
      <c r="AE99">
        <f t="shared" si="140"/>
        <v>1.9753026613595372</v>
      </c>
      <c r="AF99" s="6">
        <f t="shared" si="141"/>
        <v>0.38968744637475117</v>
      </c>
      <c r="AG99">
        <f t="shared" si="142"/>
        <v>2.1911384176519491</v>
      </c>
      <c r="AH99" s="6">
        <f t="shared" si="143"/>
        <v>0.47718663074785078</v>
      </c>
      <c r="AI99">
        <f t="shared" si="144"/>
        <v>2.4717784035506334</v>
      </c>
      <c r="AJ99">
        <f t="shared" si="145"/>
        <v>0.62577011753905065</v>
      </c>
      <c r="AK99">
        <f t="shared" si="146"/>
        <v>2.8458482048220586</v>
      </c>
      <c r="AL99">
        <f t="shared" si="147"/>
        <v>0.82679957574886287</v>
      </c>
      <c r="AM99">
        <f t="shared" si="148"/>
        <v>3.2659898328978332</v>
      </c>
      <c r="AN99">
        <f t="shared" si="149"/>
        <v>1.085749447741821</v>
      </c>
      <c r="AO99">
        <f t="shared" si="150"/>
        <v>2.9711063095269208</v>
      </c>
      <c r="AP99">
        <f t="shared" si="151"/>
        <v>0.90014938321175786</v>
      </c>
    </row>
    <row r="100" spans="1:42" x14ac:dyDescent="0.25">
      <c r="A100" s="139">
        <v>0.45</v>
      </c>
      <c r="B100" s="129">
        <f>'Sub C_D_0'!AX109</f>
        <v>9.7597656767946413E-3</v>
      </c>
      <c r="C100" s="256">
        <f>'C_L vs. α'!X400</f>
        <v>0.12815047869809809</v>
      </c>
      <c r="D100" s="144">
        <v>12</v>
      </c>
      <c r="E100" s="14">
        <f t="shared" si="114"/>
        <v>1.3809046159167577</v>
      </c>
      <c r="F100" s="6">
        <f t="shared" si="115"/>
        <v>0.1996978347965678</v>
      </c>
      <c r="G100" s="14">
        <f t="shared" si="116"/>
        <v>1.3919655274221499</v>
      </c>
      <c r="H100" s="6">
        <f t="shared" si="117"/>
        <v>0.20135153977839471</v>
      </c>
      <c r="I100" s="14">
        <f t="shared" si="118"/>
        <v>1.4081850423513418</v>
      </c>
      <c r="J100" s="6">
        <f t="shared" si="119"/>
        <v>0.20509881679114667</v>
      </c>
      <c r="K100" s="14">
        <f t="shared" si="120"/>
        <v>1.4304962247082724</v>
      </c>
      <c r="L100" s="6">
        <f t="shared" si="121"/>
        <v>0.21083899586972993</v>
      </c>
      <c r="M100">
        <f t="shared" si="122"/>
        <v>1.459660217732395</v>
      </c>
      <c r="N100" s="6">
        <f t="shared" si="123"/>
        <v>0.21875292992518616</v>
      </c>
      <c r="O100">
        <f t="shared" si="124"/>
        <v>1.4951729498666739</v>
      </c>
      <c r="P100" s="6">
        <f t="shared" si="125"/>
        <v>0.22923747002432099</v>
      </c>
      <c r="Q100">
        <f t="shared" si="126"/>
        <v>1.5410511030976584</v>
      </c>
      <c r="R100" s="6">
        <f t="shared" si="127"/>
        <v>0.24264866043732791</v>
      </c>
      <c r="S100">
        <f t="shared" si="128"/>
        <v>1.5973164229183723</v>
      </c>
      <c r="T100" s="6">
        <f t="shared" si="129"/>
        <v>0.25974675062232022</v>
      </c>
      <c r="U100">
        <f t="shared" si="130"/>
        <v>1.6659562230752751</v>
      </c>
      <c r="V100" s="6">
        <f t="shared" si="131"/>
        <v>0.28151373526507362</v>
      </c>
      <c r="W100">
        <f t="shared" si="132"/>
        <v>1.7496416035505575</v>
      </c>
      <c r="X100" s="6">
        <f t="shared" si="133"/>
        <v>0.30935693446254298</v>
      </c>
      <c r="Y100">
        <f t="shared" si="134"/>
        <v>1.8520113456584855</v>
      </c>
      <c r="Z100" s="6">
        <f t="shared" si="135"/>
        <v>0.34533015843735398</v>
      </c>
      <c r="AA100">
        <f t="shared" si="136"/>
        <v>1.9781018106543957</v>
      </c>
      <c r="AB100" s="6">
        <f t="shared" si="137"/>
        <v>0.39250245118777272</v>
      </c>
      <c r="AC100">
        <f t="shared" si="138"/>
        <v>2.135535465321249</v>
      </c>
      <c r="AD100" s="6">
        <f t="shared" si="139"/>
        <v>0.45628251115102575</v>
      </c>
      <c r="AE100">
        <f t="shared" si="140"/>
        <v>2.3344485997885442</v>
      </c>
      <c r="AF100" s="6">
        <f t="shared" si="141"/>
        <v>0.54324267411948335</v>
      </c>
      <c r="AG100">
        <f t="shared" si="142"/>
        <v>2.5895272208613944</v>
      </c>
      <c r="AH100" s="6">
        <f t="shared" si="143"/>
        <v>0.66613229723050227</v>
      </c>
      <c r="AI100">
        <f t="shared" si="144"/>
        <v>2.9211926587416581</v>
      </c>
      <c r="AJ100">
        <f t="shared" si="145"/>
        <v>0.87025492706334329</v>
      </c>
      <c r="AK100">
        <f t="shared" si="146"/>
        <v>3.3632751511533421</v>
      </c>
      <c r="AL100">
        <f t="shared" si="147"/>
        <v>1.150882595279999</v>
      </c>
      <c r="AM100">
        <f t="shared" si="148"/>
        <v>3.8598061661519849</v>
      </c>
      <c r="AN100">
        <f t="shared" si="149"/>
        <v>1.5125868523746566</v>
      </c>
      <c r="AO100">
        <f t="shared" si="150"/>
        <v>3.5113074567136335</v>
      </c>
      <c r="AP100">
        <f t="shared" si="151"/>
        <v>1.2533888307941274</v>
      </c>
    </row>
    <row r="101" spans="1:42" x14ac:dyDescent="0.25">
      <c r="A101" s="129">
        <v>0.5</v>
      </c>
      <c r="B101" s="129">
        <f>'Sub C_D_0'!AX110</f>
        <v>9.6154040787523685E-3</v>
      </c>
      <c r="C101" s="256">
        <f>'C_L vs. α'!X401</f>
        <v>0.1345878156577352</v>
      </c>
      <c r="D101" s="144">
        <v>14</v>
      </c>
      <c r="E101" s="14">
        <f t="shared" si="114"/>
        <v>1.593351479903951</v>
      </c>
      <c r="F101" s="6">
        <f t="shared" si="115"/>
        <v>0.26253421806022376</v>
      </c>
      <c r="G101" s="14">
        <f t="shared" si="116"/>
        <v>1.6061140701024808</v>
      </c>
      <c r="H101" s="6">
        <f t="shared" si="117"/>
        <v>0.26519858115493122</v>
      </c>
      <c r="I101" s="14">
        <f t="shared" si="118"/>
        <v>1.624828895020779</v>
      </c>
      <c r="J101" s="6">
        <f t="shared" si="119"/>
        <v>0.27044244894295644</v>
      </c>
      <c r="K101" s="14">
        <f t="shared" si="120"/>
        <v>1.6505725669710836</v>
      </c>
      <c r="L101" s="6">
        <f t="shared" si="121"/>
        <v>0.27826963083711609</v>
      </c>
      <c r="M101">
        <f t="shared" si="122"/>
        <v>1.6842233281527634</v>
      </c>
      <c r="N101" s="6">
        <f t="shared" si="123"/>
        <v>0.28896105265741379</v>
      </c>
      <c r="O101">
        <f t="shared" si="124"/>
        <v>1.72519955753847</v>
      </c>
      <c r="P101" s="6">
        <f t="shared" si="125"/>
        <v>0.30290340070412036</v>
      </c>
      <c r="Q101">
        <f t="shared" si="126"/>
        <v>1.7781358881896059</v>
      </c>
      <c r="R101" s="6">
        <f t="shared" si="127"/>
        <v>0.3209047060634157</v>
      </c>
      <c r="S101">
        <f t="shared" si="128"/>
        <v>1.8430574110596603</v>
      </c>
      <c r="T101" s="6">
        <f t="shared" si="129"/>
        <v>0.34382152899331314</v>
      </c>
      <c r="U101">
        <f t="shared" si="130"/>
        <v>1.9222571804714714</v>
      </c>
      <c r="V101" s="6">
        <f t="shared" si="131"/>
        <v>0.37296947935562286</v>
      </c>
      <c r="W101">
        <f t="shared" si="132"/>
        <v>2.0188172348660278</v>
      </c>
      <c r="X101" s="6">
        <f t="shared" si="133"/>
        <v>0.41023157757308054</v>
      </c>
      <c r="Y101">
        <f t="shared" si="134"/>
        <v>2.136936168067483</v>
      </c>
      <c r="Z101" s="6">
        <f t="shared" si="135"/>
        <v>0.45835427031596515</v>
      </c>
      <c r="AA101">
        <f t="shared" si="136"/>
        <v>2.2824251661396873</v>
      </c>
      <c r="AB101" s="6">
        <f t="shared" si="137"/>
        <v>0.52144050131542963</v>
      </c>
      <c r="AC101">
        <f t="shared" si="138"/>
        <v>2.4640793830629799</v>
      </c>
      <c r="AD101" s="6">
        <f t="shared" si="139"/>
        <v>0.60656119880470227</v>
      </c>
      <c r="AE101">
        <f t="shared" si="140"/>
        <v>2.6935945382175506</v>
      </c>
      <c r="AF101" s="6">
        <f t="shared" si="141"/>
        <v>0.72282039250530428</v>
      </c>
      <c r="AG101">
        <f t="shared" si="142"/>
        <v>2.9879160240708398</v>
      </c>
      <c r="AH101" s="6">
        <f t="shared" si="143"/>
        <v>0.88709795358867127</v>
      </c>
      <c r="AI101">
        <f t="shared" si="144"/>
        <v>3.370606913932682</v>
      </c>
      <c r="AJ101">
        <f t="shared" si="145"/>
        <v>1.155487204841684</v>
      </c>
      <c r="AK101">
        <f t="shared" si="146"/>
        <v>3.8807020974846256</v>
      </c>
      <c r="AL101">
        <f t="shared" si="147"/>
        <v>1.5289794513996573</v>
      </c>
      <c r="AM101">
        <f t="shared" si="148"/>
        <v>4.4536224994061362</v>
      </c>
      <c r="AN101">
        <f t="shared" si="149"/>
        <v>2.0105638244462978</v>
      </c>
      <c r="AO101">
        <f t="shared" si="150"/>
        <v>4.0515086039003467</v>
      </c>
      <c r="AP101">
        <f t="shared" si="151"/>
        <v>1.6655015196402261</v>
      </c>
    </row>
    <row r="102" spans="1:42" x14ac:dyDescent="0.25">
      <c r="A102" s="139">
        <v>0.55000000000000004</v>
      </c>
      <c r="B102" s="129">
        <f>'Sub C_D_0'!AX111</f>
        <v>9.487381500433819E-3</v>
      </c>
      <c r="C102" s="256">
        <f>'C_L vs. α'!X402</f>
        <v>0.14246241120449887</v>
      </c>
      <c r="D102" s="144">
        <v>16</v>
      </c>
      <c r="E102" s="14">
        <f t="shared" si="114"/>
        <v>1.8057983438911447</v>
      </c>
      <c r="F102" s="6">
        <f t="shared" si="115"/>
        <v>0.33447618084731068</v>
      </c>
      <c r="G102" s="14">
        <f t="shared" si="116"/>
        <v>1.8202626127828114</v>
      </c>
      <c r="H102" s="6">
        <f t="shared" si="117"/>
        <v>0.33829765586620753</v>
      </c>
      <c r="I102" s="14">
        <f t="shared" si="118"/>
        <v>1.8414727476902162</v>
      </c>
      <c r="J102" s="6">
        <f t="shared" si="119"/>
        <v>0.34525498442759461</v>
      </c>
      <c r="K102" s="14">
        <f t="shared" si="120"/>
        <v>1.8706489092338947</v>
      </c>
      <c r="L102" s="6">
        <f t="shared" si="121"/>
        <v>0.35547159536105405</v>
      </c>
      <c r="M102">
        <f t="shared" si="122"/>
        <v>1.9087864385731317</v>
      </c>
      <c r="N102" s="6">
        <f t="shared" si="123"/>
        <v>0.36934298889585004</v>
      </c>
      <c r="O102">
        <f t="shared" si="124"/>
        <v>1.955226165210266</v>
      </c>
      <c r="P102" s="6">
        <f t="shared" si="125"/>
        <v>0.38724421359599681</v>
      </c>
      <c r="Q102">
        <f t="shared" si="126"/>
        <v>2.0152206732815534</v>
      </c>
      <c r="R102" s="6">
        <f t="shared" si="127"/>
        <v>0.41050078447986488</v>
      </c>
      <c r="S102">
        <f t="shared" si="128"/>
        <v>2.0887983992009485</v>
      </c>
      <c r="T102" s="6">
        <f t="shared" si="129"/>
        <v>0.44007952894088415</v>
      </c>
      <c r="U102">
        <f t="shared" si="130"/>
        <v>2.1785581378676677</v>
      </c>
      <c r="V102" s="6">
        <f t="shared" si="131"/>
        <v>0.47767801597557119</v>
      </c>
      <c r="W102">
        <f t="shared" si="132"/>
        <v>2.2879928661814986</v>
      </c>
      <c r="X102" s="6">
        <f t="shared" si="133"/>
        <v>0.52572389975796385</v>
      </c>
      <c r="Y102">
        <f t="shared" si="134"/>
        <v>2.421860990476481</v>
      </c>
      <c r="Z102" s="6">
        <f t="shared" si="135"/>
        <v>0.58775663290416325</v>
      </c>
      <c r="AA102">
        <f t="shared" si="136"/>
        <v>2.5867485216249793</v>
      </c>
      <c r="AB102" s="6">
        <f t="shared" si="137"/>
        <v>0.66906288061759156</v>
      </c>
      <c r="AC102">
        <f t="shared" si="138"/>
        <v>2.7926233008047103</v>
      </c>
      <c r="AD102" s="6">
        <f t="shared" si="139"/>
        <v>0.77861667356857545</v>
      </c>
      <c r="AE102">
        <f t="shared" si="140"/>
        <v>3.0527404766465578</v>
      </c>
      <c r="AF102" s="6">
        <f t="shared" si="141"/>
        <v>0.9284206015322144</v>
      </c>
      <c r="AG102">
        <f t="shared" si="142"/>
        <v>3.3863048272802851</v>
      </c>
      <c r="AH102" s="6">
        <f t="shared" si="143"/>
        <v>1.1400835998223577</v>
      </c>
      <c r="AI102">
        <f t="shared" si="144"/>
        <v>3.8200211691237067</v>
      </c>
      <c r="AJ102">
        <f t="shared" si="145"/>
        <v>1.4814669508740741</v>
      </c>
      <c r="AK102">
        <f t="shared" si="146"/>
        <v>4.3981290438159091</v>
      </c>
      <c r="AL102">
        <f t="shared" si="147"/>
        <v>1.9610901441078383</v>
      </c>
      <c r="AM102">
        <f t="shared" si="148"/>
        <v>5.0474388326602879</v>
      </c>
      <c r="AN102">
        <f t="shared" si="149"/>
        <v>2.5796803639567454</v>
      </c>
      <c r="AO102">
        <f t="shared" si="150"/>
        <v>4.591709751087059</v>
      </c>
      <c r="AP102">
        <f t="shared" si="151"/>
        <v>2.1364874497500517</v>
      </c>
    </row>
    <row r="103" spans="1:42" x14ac:dyDescent="0.25">
      <c r="A103" s="129">
        <v>0.6</v>
      </c>
      <c r="B103" s="129">
        <f>'Sub C_D_0'!AX112</f>
        <v>9.3725854630875554E-3</v>
      </c>
      <c r="C103" s="256">
        <f>'C_L vs. α'!X403</f>
        <v>0.15216167774264583</v>
      </c>
    </row>
    <row r="104" spans="1:42" x14ac:dyDescent="0.25">
      <c r="A104" s="139">
        <v>0.65</v>
      </c>
      <c r="B104" s="129">
        <f>'Sub C_D_0'!AX113</f>
        <v>9.7405216837525427E-3</v>
      </c>
      <c r="C104" s="256">
        <f>'C_L vs. α'!X404</f>
        <v>0.16427195887086532</v>
      </c>
    </row>
    <row r="105" spans="1:42" x14ac:dyDescent="0.25">
      <c r="A105" s="129">
        <v>0.7</v>
      </c>
      <c r="B105" s="129">
        <f>'Sub C_D_0'!AX114</f>
        <v>9.6407849627375211E-3</v>
      </c>
      <c r="C105" s="256">
        <f>'C_L vs. α'!X405</f>
        <v>0.17957296921450339</v>
      </c>
    </row>
    <row r="106" spans="1:42" x14ac:dyDescent="0.25">
      <c r="A106" s="139">
        <v>0.75</v>
      </c>
      <c r="B106" s="129">
        <f>'Sub C_D_0'!AX115</f>
        <v>9.5492159255281817E-3</v>
      </c>
      <c r="C106" s="256">
        <f>'C_L vs. α'!X406</f>
        <v>0.19919440160472265</v>
      </c>
    </row>
    <row r="107" spans="1:42" x14ac:dyDescent="0.25">
      <c r="A107" s="129">
        <v>0.8</v>
      </c>
      <c r="B107" s="129">
        <f>'Sub C_D_0'!AX116</f>
        <v>9.4646601965640564E-3</v>
      </c>
      <c r="C107" s="256">
        <f>'C_L vs. α'!X407</f>
        <v>0.22470712759551215</v>
      </c>
    </row>
    <row r="108" spans="1:42" x14ac:dyDescent="0.25">
      <c r="A108" s="139">
        <v>0.85</v>
      </c>
      <c r="B108" s="129">
        <f>'Sub C_D_0'!AX117</f>
        <v>9.8402973474584435E-3</v>
      </c>
      <c r="C108" s="256">
        <f>'C_L vs. α'!X408</f>
        <v>0.25871347316564169</v>
      </c>
    </row>
    <row r="109" spans="1:42" x14ac:dyDescent="0.25">
      <c r="A109" s="129">
        <v>0.9</v>
      </c>
      <c r="B109" s="256">
        <f>'Sub C_D_0'!AX118</f>
        <v>9.7634902298817192E-3</v>
      </c>
      <c r="C109" s="256">
        <f>'C_L vs. α'!X409</f>
        <v>0.29690816662707575</v>
      </c>
    </row>
    <row r="110" spans="1:42" x14ac:dyDescent="0.25">
      <c r="A110" s="139">
        <v>0.95</v>
      </c>
      <c r="B110" s="129">
        <f>'Sub C_D_0'!AX119</f>
        <v>9.6916090978670204E-3</v>
      </c>
      <c r="C110" s="256">
        <f>'C_L vs. α'!X410</f>
        <v>0.27010057359335643</v>
      </c>
    </row>
    <row r="111" spans="1:42" s="29" customFormat="1" x14ac:dyDescent="0.25">
      <c r="A111" s="11"/>
      <c r="B111" s="262"/>
      <c r="C111" s="262"/>
    </row>
    <row r="112" spans="1:42" s="29" customFormat="1" x14ac:dyDescent="0.25">
      <c r="A112" s="122" t="s">
        <v>537</v>
      </c>
      <c r="B112" s="122" t="s">
        <v>192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9" customFormat="1" x14ac:dyDescent="0.25">
      <c r="A113" s="122" t="s">
        <v>202</v>
      </c>
      <c r="B113" s="145">
        <v>20000</v>
      </c>
      <c r="C113" s="122" t="s">
        <v>538</v>
      </c>
      <c r="D113" s="122" t="s">
        <v>539</v>
      </c>
      <c r="E113" s="1" t="s">
        <v>536</v>
      </c>
      <c r="F113" s="140">
        <v>0.05</v>
      </c>
      <c r="G113" s="1" t="s">
        <v>536</v>
      </c>
      <c r="H113" s="140">
        <v>0.1</v>
      </c>
      <c r="I113" s="1" t="s">
        <v>536</v>
      </c>
      <c r="J113" s="140">
        <v>0.15</v>
      </c>
      <c r="K113" s="1" t="s">
        <v>536</v>
      </c>
      <c r="L113" s="140">
        <v>0.2</v>
      </c>
      <c r="M113" t="s">
        <v>536</v>
      </c>
      <c r="N113" s="141">
        <v>0.25</v>
      </c>
      <c r="O113" t="s">
        <v>536</v>
      </c>
      <c r="P113" s="141">
        <v>0.3</v>
      </c>
      <c r="Q113" t="s">
        <v>536</v>
      </c>
      <c r="R113" s="141">
        <v>0.35</v>
      </c>
      <c r="S113" t="s">
        <v>536</v>
      </c>
      <c r="T113" s="141">
        <v>0.4</v>
      </c>
      <c r="U113" t="s">
        <v>536</v>
      </c>
      <c r="V113" s="141">
        <v>0.45</v>
      </c>
      <c r="W113" t="s">
        <v>536</v>
      </c>
      <c r="X113" s="141">
        <v>0.5</v>
      </c>
      <c r="Y113" t="s">
        <v>536</v>
      </c>
      <c r="Z113" s="141">
        <v>0.55000000000000004</v>
      </c>
      <c r="AA113" t="s">
        <v>536</v>
      </c>
      <c r="AB113" s="141">
        <v>0.6</v>
      </c>
      <c r="AC113" t="s">
        <v>536</v>
      </c>
      <c r="AD113" s="141">
        <v>0.65</v>
      </c>
      <c r="AE113" t="s">
        <v>536</v>
      </c>
      <c r="AF113" s="141">
        <v>0.7</v>
      </c>
      <c r="AG113" t="s">
        <v>536</v>
      </c>
      <c r="AH113" s="141">
        <v>0.75</v>
      </c>
      <c r="AI113" t="s">
        <v>536</v>
      </c>
      <c r="AJ113" s="141">
        <v>0.8</v>
      </c>
      <c r="AK113" t="s">
        <v>536</v>
      </c>
      <c r="AL113" s="141">
        <v>0.85</v>
      </c>
      <c r="AM113" t="s">
        <v>536</v>
      </c>
      <c r="AN113" s="141">
        <v>0.9</v>
      </c>
      <c r="AO113" t="s">
        <v>536</v>
      </c>
      <c r="AP113" s="141">
        <v>0.95</v>
      </c>
    </row>
    <row r="114" spans="1:42" s="29" customFormat="1" x14ac:dyDescent="0.25">
      <c r="A114" s="121" t="s">
        <v>182</v>
      </c>
      <c r="B114" s="121" t="s">
        <v>534</v>
      </c>
      <c r="C114" s="121" t="s">
        <v>535</v>
      </c>
      <c r="D114" s="121" t="s">
        <v>421</v>
      </c>
      <c r="E114" s="14" t="s">
        <v>244</v>
      </c>
      <c r="F114" s="6" t="s">
        <v>245</v>
      </c>
      <c r="G114" s="14" t="s">
        <v>244</v>
      </c>
      <c r="H114" s="6" t="s">
        <v>245</v>
      </c>
      <c r="I114" s="14" t="s">
        <v>244</v>
      </c>
      <c r="J114" s="6" t="s">
        <v>245</v>
      </c>
      <c r="K114" s="14" t="s">
        <v>244</v>
      </c>
      <c r="L114" s="6" t="s">
        <v>245</v>
      </c>
      <c r="M114" t="s">
        <v>244</v>
      </c>
      <c r="N114" t="s">
        <v>245</v>
      </c>
      <c r="O114" t="s">
        <v>244</v>
      </c>
      <c r="P114" t="s">
        <v>245</v>
      </c>
      <c r="Q114" t="s">
        <v>244</v>
      </c>
      <c r="R114" t="s">
        <v>245</v>
      </c>
      <c r="S114" t="s">
        <v>244</v>
      </c>
      <c r="T114" t="s">
        <v>245</v>
      </c>
      <c r="U114" t="s">
        <v>244</v>
      </c>
      <c r="V114" t="s">
        <v>245</v>
      </c>
      <c r="W114" t="s">
        <v>244</v>
      </c>
      <c r="X114" t="s">
        <v>245</v>
      </c>
      <c r="Y114" t="s">
        <v>244</v>
      </c>
      <c r="Z114" t="s">
        <v>245</v>
      </c>
      <c r="AA114" t="s">
        <v>244</v>
      </c>
      <c r="AB114" t="s">
        <v>245</v>
      </c>
      <c r="AC114" t="s">
        <v>244</v>
      </c>
      <c r="AD114" t="s">
        <v>245</v>
      </c>
      <c r="AE114" t="s">
        <v>244</v>
      </c>
      <c r="AF114" t="s">
        <v>245</v>
      </c>
      <c r="AG114" t="s">
        <v>244</v>
      </c>
      <c r="AH114" t="s">
        <v>245</v>
      </c>
      <c r="AI114" t="s">
        <v>244</v>
      </c>
      <c r="AJ114" t="s">
        <v>245</v>
      </c>
      <c r="AK114" t="s">
        <v>244</v>
      </c>
      <c r="AL114" t="s">
        <v>245</v>
      </c>
      <c r="AM114" t="s">
        <v>244</v>
      </c>
      <c r="AN114" t="s">
        <v>245</v>
      </c>
      <c r="AO114" t="s">
        <v>244</v>
      </c>
      <c r="AP114" t="s">
        <v>245</v>
      </c>
    </row>
    <row r="115" spans="1:42" s="29" customFormat="1" x14ac:dyDescent="0.25">
      <c r="A115" s="129">
        <v>0</v>
      </c>
      <c r="B115" s="129" t="e">
        <f>'Sub C_D_0'!AX130</f>
        <v>#DIV/0!</v>
      </c>
      <c r="C115" s="129" t="e">
        <f>'C_L vs. α'!X416</f>
        <v>#NUM!</v>
      </c>
      <c r="D115" s="144">
        <v>-6</v>
      </c>
      <c r="E115" s="14">
        <f>(D115-$B$12)*$C$116</f>
        <v>-0.53036156480613783</v>
      </c>
      <c r="F115" s="6">
        <f>$B$92+$B$7*E115^2+$B$8*(E115-E$94)^2</f>
        <v>4.3837348120293496E-2</v>
      </c>
      <c r="G115" s="14">
        <f>(D115-$B$12)*$C$117</f>
        <v>-0.53455971110627809</v>
      </c>
      <c r="H115" s="6">
        <f>$B$93+$B$7*G115^2+$B$8*(G115-G$94)^2</f>
        <v>4.2978592191918887E-2</v>
      </c>
      <c r="I115" s="14">
        <f>(D115-$B$12)*$C$118</f>
        <v>-0.5408188203815798</v>
      </c>
      <c r="J115" s="6">
        <f>$B$94+$B$7*I115^2+$B$8*(I115-I$94)^2</f>
        <v>4.3017003565165877E-2</v>
      </c>
      <c r="K115" s="14">
        <f>(D115-$B$12)*$C$119</f>
        <v>-0.54943570808744879</v>
      </c>
      <c r="L115" s="6">
        <f>$B$95+$B$7*K115^2+$B$8*(K115-K$94)^2</f>
        <v>4.3586024063471784E-2</v>
      </c>
      <c r="M115">
        <f>(D115-$B$12)*$C$120</f>
        <v>-0.56069392025683906</v>
      </c>
      <c r="N115" s="6">
        <f>$B$96+$B$7*M115^2+$B$8*(M115-M$94)^2</f>
        <v>4.461742545795086E-2</v>
      </c>
      <c r="O115">
        <f>(D115-$B$12)*$C$121</f>
        <v>-0.57436834237939349</v>
      </c>
      <c r="P115" s="6">
        <f>$B$97+$B$7*O115^2+$B$8*(O115-O$94)^2</f>
        <v>4.6529629624709197E-2</v>
      </c>
      <c r="Q115">
        <f>(D115-$B$12)*$C$122</f>
        <v>-0.59206118574642441</v>
      </c>
      <c r="R115" s="6">
        <f>$B$98+$B$7*Q115^2+$B$8*(Q115-Q$94)^2</f>
        <v>4.8564863809776822E-2</v>
      </c>
      <c r="S115">
        <f>(D115-$B$12)*$C$123</f>
        <v>-0.61376167773855217</v>
      </c>
      <c r="T115" s="6">
        <f>$B$99+$B$7*S115^2+$B$8*(S115-S$94)^2</f>
        <v>5.1242622760105702E-2</v>
      </c>
      <c r="U115">
        <f>(D115-$B$12)*$C$124</f>
        <v>-0.64023911999598104</v>
      </c>
      <c r="V115" s="6">
        <f>$B$100+$B$7*U115^2+$B$8*(U115-U$94)^2</f>
        <v>5.4718747020766421E-2</v>
      </c>
      <c r="W115">
        <f>(D115-$B$12)*$C$125</f>
        <v>-0.67252898508824444</v>
      </c>
      <c r="X115" s="6">
        <f>$B$101+$B$7*W115^2+$B$8*(W115-W$94)^2</f>
        <v>5.9222838390523419E-2</v>
      </c>
      <c r="Y115">
        <f>(D115-$B$12)*$C$126</f>
        <v>-0.71204402915096998</v>
      </c>
      <c r="Z115" s="6">
        <f>$B$102+$B$7*Y115^2+$B$8*(Y115-Y$94)^2</f>
        <v>6.5094396080887629E-2</v>
      </c>
      <c r="AA115">
        <f>(D115-$B$12)*$C$127</f>
        <v>-0.76074347135376252</v>
      </c>
      <c r="AB115" s="6">
        <f>$B$103+$B$7*AA115^2+$B$8*(AA115-AA$94)^2</f>
        <v>7.2844453984506952E-2</v>
      </c>
      <c r="AC115">
        <f>(D115-$B$12)*$C$128</f>
        <v>-0.82161316956188113</v>
      </c>
      <c r="AD115" s="6">
        <f>$B$104+$B$7*AC115^2+$B$8*(AC115-AC$94)^2</f>
        <v>8.3773399600301154E-2</v>
      </c>
      <c r="AE115">
        <f>(D115-$B$12)*$C$129</f>
        <v>-0.89862849913771381</v>
      </c>
      <c r="AF115" s="6">
        <f>$B$105+$B$7*AE115^2+$B$8*(AE115-AE$94)^2</f>
        <v>9.8199160825972159E-2</v>
      </c>
      <c r="AG115">
        <f>(D115-$B$12)*$C$130</f>
        <v>-0.99759600101138379</v>
      </c>
      <c r="AH115" s="6">
        <f>$B$106+$B$7*AG115^2+$B$8*(AG115-AG$94)^2</f>
        <v>0.11868045594839341</v>
      </c>
      <c r="AI115">
        <f>(D115-$B$12)*$C$131</f>
        <v>-1.1267401821825895</v>
      </c>
      <c r="AJ115">
        <f>$B$107+$B$9*AI115^2</f>
        <v>0.13752790798772832</v>
      </c>
      <c r="AK115">
        <f>(D115-$B$12)*$C$132</f>
        <v>-1.3003243638634014</v>
      </c>
      <c r="AL115">
        <f>$B$108+$B$9*AK115^2</f>
        <v>0.18040153800164008</v>
      </c>
      <c r="AM115">
        <f>(D115-$B$12)*$C$133</f>
        <v>-1.500194823498231</v>
      </c>
      <c r="AN115">
        <f>$B$109+$B$9*AM115^2</f>
        <v>0.23678775180368392</v>
      </c>
      <c r="AO115">
        <f>(D115-$B$12)*$C$134</f>
        <v>-1.4018055583044036</v>
      </c>
      <c r="AP115">
        <f>$B$110+$B$9*AO115^2</f>
        <v>0.20791390496458556</v>
      </c>
    </row>
    <row r="116" spans="1:42" s="29" customFormat="1" x14ac:dyDescent="0.25">
      <c r="A116" s="139">
        <v>0.05</v>
      </c>
      <c r="B116" s="129">
        <f>'Sub C_D_0'!AX131</f>
        <v>1.4479785374922975E-2</v>
      </c>
      <c r="C116" s="256">
        <f>'C_L vs. α'!X417</f>
        <v>0.10607231296122756</v>
      </c>
      <c r="D116" s="144">
        <v>-4</v>
      </c>
      <c r="E116" s="14">
        <f t="shared" ref="E116:E126" si="152">(D116-$B$12)*$C$116</f>
        <v>-0.31821693888368269</v>
      </c>
      <c r="F116" s="6">
        <f t="shared" ref="F116:F126" si="153">$B$92+$B$7*E116^2+$B$8*(E116-E$94)^2</f>
        <v>2.4776579307688642E-2</v>
      </c>
      <c r="G116" s="14">
        <f t="shared" ref="G116:G126" si="154">(D116-$B$12)*$C$117</f>
        <v>-0.32073582666376682</v>
      </c>
      <c r="H116" s="6">
        <f t="shared" ref="H116:H126" si="155">$B$93+$B$7*G116^2+$B$8*(G116-G$94)^2</f>
        <v>2.3614787421735995E-2</v>
      </c>
      <c r="I116" s="14">
        <f t="shared" ref="I116:I126" si="156">(D116-$B$12)*$C$118</f>
        <v>-0.32449129222894785</v>
      </c>
      <c r="J116" s="6">
        <f t="shared" ref="J116:J126" si="157">$B$94+$B$7*I116^2+$B$8*(I116-I$94)^2</f>
        <v>2.3197138620037513E-2</v>
      </c>
      <c r="K116" s="14">
        <f t="shared" ref="K116:K126" si="158">(D116-$B$12)*$C$119</f>
        <v>-0.3296614248524693</v>
      </c>
      <c r="L116" s="6">
        <f t="shared" ref="L116:L126" si="159">$B$95+$B$7*K116^2+$B$8*(K116-K$94)^2</f>
        <v>2.3129631081890097E-2</v>
      </c>
      <c r="M116">
        <f t="shared" ref="M116:M126" si="160">(D116-$B$12)*$C$120</f>
        <v>-0.33641635215410348</v>
      </c>
      <c r="N116" s="6">
        <f t="shared" ref="N116:N126" si="161">$B$96+$B$7*M116^2+$B$8*(M116-M$94)^2</f>
        <v>2.3314222067258594E-2</v>
      </c>
      <c r="O116">
        <f t="shared" ref="O116:O126" si="162">(D116-$B$12)*$C$121</f>
        <v>-0.34462100542763607</v>
      </c>
      <c r="P116" s="6">
        <f t="shared" ref="P116:P126" si="163">$B$97+$B$7*O116^2+$B$8*(O116-O$94)^2</f>
        <v>2.4174714367384789E-2</v>
      </c>
      <c r="Q116">
        <f t="shared" ref="Q116:Q126" si="164">(D116-$B$12)*$C$122</f>
        <v>-0.35523671144785463</v>
      </c>
      <c r="R116" s="6">
        <f t="shared" ref="R116:R126" si="165">$B$98+$B$7*Q116^2+$B$8*(Q116-Q$94)^2</f>
        <v>2.4811625131645018E-2</v>
      </c>
      <c r="S116">
        <f t="shared" ref="S116:S126" si="166">(D116-$B$12)*$C$123</f>
        <v>-0.36825700664313127</v>
      </c>
      <c r="T116" s="6">
        <f t="shared" ref="T116:T126" si="167">$B$99+$B$7*S116^2+$B$8*(S116-S$94)^2</f>
        <v>2.571640988882886E-2</v>
      </c>
      <c r="U116">
        <f t="shared" ref="U116:U126" si="168">(D116-$B$12)*$C$124</f>
        <v>-0.38414347199758858</v>
      </c>
      <c r="V116" s="6">
        <f t="shared" ref="V116:V126" si="169">$B$100+$B$7*U116^2+$B$8*(U116-U$94)^2</f>
        <v>2.6942858256267386E-2</v>
      </c>
      <c r="W116">
        <f t="shared" ref="W116:W126" si="170">(D116-$B$12)*$C$125</f>
        <v>-0.40351739105294671</v>
      </c>
      <c r="X116" s="6">
        <f t="shared" ref="X116:X126" si="171">$B$101+$B$7*W116^2+$B$8*(W116-W$94)^2</f>
        <v>2.8574874484438604E-2</v>
      </c>
      <c r="Y116">
        <f t="shared" ref="Y116:Y126" si="172">(D116-$B$12)*$C$126</f>
        <v>-0.42722641749058199</v>
      </c>
      <c r="Z116" s="6">
        <f t="shared" ref="Z116:Z126" si="173">$B$102+$B$7*Y116^2+$B$8*(Y116-Y$94)^2</f>
        <v>3.0739508932612038E-2</v>
      </c>
      <c r="AA116">
        <f t="shared" ref="AA116:AA126" si="174">(D116-$B$12)*$C$127</f>
        <v>-0.45644608281225751</v>
      </c>
      <c r="AB116" s="6">
        <f t="shared" ref="AB116:AB126" si="175">$B$103+$B$7*AA116^2+$B$8*(AA116-AA$94)^2</f>
        <v>3.3630076413975134E-2</v>
      </c>
      <c r="AC116">
        <f t="shared" ref="AC116:AC126" si="176">(D116-$B$12)*$C$128</f>
        <v>-0.49296790173712868</v>
      </c>
      <c r="AD116" s="6">
        <f t="shared" ref="AD116:AD126" si="177">$B$104+$B$7*AC116^2+$B$8*(AC116-AC$94)^2</f>
        <v>3.8033462118603409E-2</v>
      </c>
      <c r="AE116">
        <f t="shared" ref="AE116:AE126" si="178">(D116-$B$12)*$C$129</f>
        <v>-0.53917709948262837</v>
      </c>
      <c r="AF116" s="6">
        <f t="shared" ref="AF116:AF126" si="179">$B$105+$B$7*AE116^2+$B$8*(AE116-AE$94)^2</f>
        <v>4.3483700972775111E-2</v>
      </c>
      <c r="AG116">
        <f t="shared" ref="AG116:AG126" si="180">(D116-$B$12)*$C$130</f>
        <v>-0.59855760060683028</v>
      </c>
      <c r="AH116" s="6">
        <f t="shared" ref="AH116:AH126" si="181">$B$106+$B$7*AG116^2+$B$8*(AG116-AG$94)^2</f>
        <v>5.1252015146293531E-2</v>
      </c>
      <c r="AI116">
        <f t="shared" ref="AI116:AI126" si="182">(D116-$B$12)*$C$131</f>
        <v>-0.67604410930955372</v>
      </c>
      <c r="AJ116">
        <f t="shared" ref="AJ116:AJ126" si="183">$B$107+$B$9*AI116^2</f>
        <v>5.5567429401383192E-2</v>
      </c>
      <c r="AK116">
        <f t="shared" ref="AK116:AK126" si="184">(D116-$B$12)*$C$132</f>
        <v>-0.78019461831804093</v>
      </c>
      <c r="AL116">
        <f t="shared" ref="AL116:AL126" si="185">$B$108+$B$9*AK116^2</f>
        <v>7.1242343982963849E-2</v>
      </c>
      <c r="AM116">
        <f t="shared" ref="AM116:AM126" si="186">(D116-$B$12)*$C$133</f>
        <v>-0.90011689409893858</v>
      </c>
      <c r="AN116">
        <f t="shared" ref="AN116:AN126" si="187">$B$109+$B$9*AM116^2</f>
        <v>9.1492224396450522E-2</v>
      </c>
      <c r="AO116">
        <f t="shared" ref="AO116:AO126" si="188">(D116-$B$12)*$C$134</f>
        <v>-0.84108333498264221</v>
      </c>
      <c r="AP116">
        <f t="shared" ref="AP116:AP126" si="189">$B$110+$B$9*AO116^2</f>
        <v>8.1051635609885722E-2</v>
      </c>
    </row>
    <row r="117" spans="1:42" s="29" customFormat="1" x14ac:dyDescent="0.25">
      <c r="A117" s="129">
        <v>0.1</v>
      </c>
      <c r="B117" s="129">
        <f>'Sub C_D_0'!AX132</f>
        <v>1.2913278098337175E-2</v>
      </c>
      <c r="C117" s="256">
        <f>'C_L vs. α'!X418</f>
        <v>0.10691194222125561</v>
      </c>
      <c r="D117" s="144">
        <v>-2</v>
      </c>
      <c r="E117" s="14">
        <f t="shared" si="152"/>
        <v>-0.10607231296122756</v>
      </c>
      <c r="F117" s="6">
        <f t="shared" si="153"/>
        <v>1.4795500296496598E-2</v>
      </c>
      <c r="G117" s="14">
        <f t="shared" si="154"/>
        <v>-0.10691194222125561</v>
      </c>
      <c r="H117" s="6">
        <f t="shared" si="155"/>
        <v>1.347498430420844E-2</v>
      </c>
      <c r="I117" s="14">
        <f t="shared" si="156"/>
        <v>-0.10816376407631595</v>
      </c>
      <c r="J117" s="6">
        <f t="shared" si="157"/>
        <v>1.2818545856098913E-2</v>
      </c>
      <c r="K117" s="14">
        <f t="shared" si="158"/>
        <v>-0.10988714161748976</v>
      </c>
      <c r="L117" s="6">
        <f t="shared" si="159"/>
        <v>1.2417763387321401E-2</v>
      </c>
      <c r="M117">
        <f t="shared" si="160"/>
        <v>-0.11213878405136782</v>
      </c>
      <c r="N117" s="6">
        <f t="shared" si="161"/>
        <v>1.2158975689005796E-2</v>
      </c>
      <c r="O117">
        <f t="shared" si="162"/>
        <v>-0.1148736684758787</v>
      </c>
      <c r="P117" s="6">
        <f t="shared" si="163"/>
        <v>1.2468776733316162E-2</v>
      </c>
      <c r="Q117">
        <f t="shared" si="164"/>
        <v>-0.11841223714928488</v>
      </c>
      <c r="R117" s="6">
        <f t="shared" si="165"/>
        <v>1.2373530996643223E-2</v>
      </c>
      <c r="S117">
        <f t="shared" si="166"/>
        <v>-0.12275233554771042</v>
      </c>
      <c r="T117" s="6">
        <f t="shared" si="167"/>
        <v>1.2349997848507538E-2</v>
      </c>
      <c r="U117">
        <f t="shared" si="168"/>
        <v>-0.1280478239991962</v>
      </c>
      <c r="V117" s="6">
        <f t="shared" si="169"/>
        <v>1.2398538276348002E-2</v>
      </c>
      <c r="W117">
        <f t="shared" si="170"/>
        <v>-0.13450579701764889</v>
      </c>
      <c r="X117" s="6">
        <f t="shared" si="171"/>
        <v>1.2526778874839863E-2</v>
      </c>
      <c r="Y117">
        <f t="shared" si="172"/>
        <v>-0.142408805830194</v>
      </c>
      <c r="Z117" s="6">
        <f t="shared" si="173"/>
        <v>1.2750549284261333E-2</v>
      </c>
      <c r="AA117">
        <f t="shared" si="174"/>
        <v>-0.1521486942707525</v>
      </c>
      <c r="AB117" s="6">
        <f t="shared" si="175"/>
        <v>1.3096839605245599E-2</v>
      </c>
      <c r="AC117">
        <f t="shared" si="176"/>
        <v>-0.16432263391237623</v>
      </c>
      <c r="AD117" s="6">
        <f t="shared" si="177"/>
        <v>1.4083749339370292E-2</v>
      </c>
      <c r="AE117">
        <f t="shared" si="178"/>
        <v>-0.17972569982754277</v>
      </c>
      <c r="AF117" s="6">
        <f t="shared" si="179"/>
        <v>1.4835015943689123E-2</v>
      </c>
      <c r="AG117">
        <f t="shared" si="180"/>
        <v>-0.19951920020227676</v>
      </c>
      <c r="AH117" s="6">
        <f t="shared" si="181"/>
        <v>1.5948070437525781E-2</v>
      </c>
      <c r="AI117">
        <f t="shared" si="182"/>
        <v>-0.22534803643651791</v>
      </c>
      <c r="AJ117">
        <f t="shared" si="183"/>
        <v>1.4587190108210628E-2</v>
      </c>
      <c r="AK117">
        <f t="shared" si="184"/>
        <v>-0.26006487277268031</v>
      </c>
      <c r="AL117">
        <f t="shared" si="185"/>
        <v>1.666274697362571E-2</v>
      </c>
      <c r="AM117">
        <f t="shared" si="186"/>
        <v>-0.30003896469964619</v>
      </c>
      <c r="AN117">
        <f t="shared" si="187"/>
        <v>1.8844460692833805E-2</v>
      </c>
      <c r="AO117">
        <f t="shared" si="188"/>
        <v>-0.28036111166088074</v>
      </c>
      <c r="AP117">
        <f t="shared" si="189"/>
        <v>1.7620500932535765E-2</v>
      </c>
    </row>
    <row r="118" spans="1:42" s="29" customFormat="1" x14ac:dyDescent="0.25">
      <c r="A118" s="139">
        <v>0.15</v>
      </c>
      <c r="B118" s="129">
        <f>'Sub C_D_0'!AX133</f>
        <v>1.2105068736420156E-2</v>
      </c>
      <c r="C118" s="256">
        <f>'C_L vs. α'!X419</f>
        <v>0.10816376407631595</v>
      </c>
      <c r="D118" s="143">
        <v>0</v>
      </c>
      <c r="E118" s="83">
        <f t="shared" si="152"/>
        <v>0.10607231296122756</v>
      </c>
      <c r="F118" s="21">
        <f t="shared" si="153"/>
        <v>1.389411108671736E-2</v>
      </c>
      <c r="G118" s="83">
        <f t="shared" si="154"/>
        <v>0.10691194222125561</v>
      </c>
      <c r="H118" s="21">
        <f t="shared" si="155"/>
        <v>1.2559182839336215E-2</v>
      </c>
      <c r="I118" s="83">
        <f t="shared" si="156"/>
        <v>0.10816376407631595</v>
      </c>
      <c r="J118" s="21">
        <f t="shared" si="157"/>
        <v>1.1881225273350067E-2</v>
      </c>
      <c r="K118" s="83">
        <f t="shared" si="158"/>
        <v>0.10988714161748976</v>
      </c>
      <c r="L118" s="21">
        <f t="shared" si="159"/>
        <v>1.1450420979765695E-2</v>
      </c>
      <c r="M118" s="99">
        <f t="shared" si="160"/>
        <v>0.11213878405136782</v>
      </c>
      <c r="N118" s="21">
        <f t="shared" si="161"/>
        <v>1.115168632319247E-2</v>
      </c>
      <c r="O118" s="99">
        <f t="shared" si="162"/>
        <v>0.1148736684758787</v>
      </c>
      <c r="P118" s="21">
        <f t="shared" si="163"/>
        <v>1.1411816722503325E-2</v>
      </c>
      <c r="Q118" s="99">
        <f t="shared" si="164"/>
        <v>0.11841223714928488</v>
      </c>
      <c r="R118" s="21">
        <f t="shared" si="165"/>
        <v>1.1250581404771426E-2</v>
      </c>
      <c r="S118" s="99">
        <f t="shared" si="166"/>
        <v>0.12275233554771042</v>
      </c>
      <c r="T118" s="21">
        <f t="shared" si="167"/>
        <v>1.1143386639141726E-2</v>
      </c>
      <c r="U118" s="99">
        <f t="shared" si="168"/>
        <v>0.1280478239991962</v>
      </c>
      <c r="V118" s="21">
        <f t="shared" si="169"/>
        <v>1.1085787081008259E-2</v>
      </c>
      <c r="W118" s="99">
        <f t="shared" si="170"/>
        <v>0.13450579701764889</v>
      </c>
      <c r="X118" s="21">
        <f t="shared" si="171"/>
        <v>1.1078551561727216E-2</v>
      </c>
      <c r="Y118" s="99">
        <f t="shared" si="172"/>
        <v>0.142408805830194</v>
      </c>
      <c r="Z118" s="21">
        <f t="shared" si="173"/>
        <v>1.1127517135835515E-2</v>
      </c>
      <c r="AA118" s="99">
        <f t="shared" si="174"/>
        <v>0.1521486942707525</v>
      </c>
      <c r="AB118" s="21">
        <f t="shared" si="175"/>
        <v>1.1244743558318353E-2</v>
      </c>
      <c r="AC118" s="99">
        <f t="shared" si="176"/>
        <v>0.16432263391237623</v>
      </c>
      <c r="AD118" s="21">
        <f t="shared" si="177"/>
        <v>1.1924261262601802E-2</v>
      </c>
      <c r="AE118" s="99">
        <f t="shared" si="178"/>
        <v>0.17972569982754277</v>
      </c>
      <c r="AF118" s="21">
        <f t="shared" si="179"/>
        <v>1.225310573871421E-2</v>
      </c>
      <c r="AG118" s="99">
        <f t="shared" si="180"/>
        <v>0.19951920020227676</v>
      </c>
      <c r="AH118" s="21">
        <f t="shared" si="181"/>
        <v>1.2768621822090152E-2</v>
      </c>
      <c r="AI118" s="99">
        <f t="shared" si="182"/>
        <v>0.22534803643651791</v>
      </c>
      <c r="AJ118" s="99">
        <f t="shared" si="183"/>
        <v>1.4587190108210628E-2</v>
      </c>
      <c r="AK118" s="99">
        <f t="shared" si="184"/>
        <v>0.26006487277268031</v>
      </c>
      <c r="AL118" s="99">
        <f t="shared" si="185"/>
        <v>1.666274697362571E-2</v>
      </c>
      <c r="AM118" s="99">
        <f t="shared" si="186"/>
        <v>0.30003896469964619</v>
      </c>
      <c r="AN118" s="99">
        <f t="shared" si="187"/>
        <v>1.8844460692833805E-2</v>
      </c>
      <c r="AO118" s="99">
        <f t="shared" si="188"/>
        <v>0.28036111166088074</v>
      </c>
      <c r="AP118" s="99">
        <f t="shared" si="189"/>
        <v>1.7620500932535765E-2</v>
      </c>
    </row>
    <row r="119" spans="1:42" s="29" customFormat="1" x14ac:dyDescent="0.25">
      <c r="A119" s="129">
        <v>0.2</v>
      </c>
      <c r="B119" s="129">
        <f>'Sub C_D_0'!AX134</f>
        <v>1.1573969496545879E-2</v>
      </c>
      <c r="C119" s="256">
        <f>'C_L vs. α'!X420</f>
        <v>0.10988714161748976</v>
      </c>
      <c r="D119" s="144">
        <v>2</v>
      </c>
      <c r="E119" s="14">
        <f t="shared" si="152"/>
        <v>0.31821693888368269</v>
      </c>
      <c r="F119" s="6">
        <f t="shared" si="153"/>
        <v>2.2072411678350931E-2</v>
      </c>
      <c r="G119" s="14">
        <f t="shared" si="154"/>
        <v>0.32073582666376682</v>
      </c>
      <c r="H119" s="6">
        <f t="shared" si="155"/>
        <v>2.086738302711932E-2</v>
      </c>
      <c r="I119" s="14">
        <f t="shared" si="156"/>
        <v>0.32449129222894785</v>
      </c>
      <c r="J119" s="6">
        <f t="shared" si="157"/>
        <v>2.0385176871790974E-2</v>
      </c>
      <c r="K119" s="14">
        <f t="shared" si="158"/>
        <v>0.3296614248524693</v>
      </c>
      <c r="L119" s="6">
        <f t="shared" si="159"/>
        <v>2.0227603859222978E-2</v>
      </c>
      <c r="M119">
        <f t="shared" si="160"/>
        <v>0.33641635215410348</v>
      </c>
      <c r="N119" s="6">
        <f t="shared" si="161"/>
        <v>2.0292353969818613E-2</v>
      </c>
      <c r="O119">
        <f t="shared" si="162"/>
        <v>0.34462100542763607</v>
      </c>
      <c r="P119" s="6">
        <f t="shared" si="163"/>
        <v>2.1003834334946278E-2</v>
      </c>
      <c r="Q119">
        <f t="shared" si="164"/>
        <v>0.35523671144785463</v>
      </c>
      <c r="R119" s="6">
        <f t="shared" si="165"/>
        <v>2.144277635602963E-2</v>
      </c>
      <c r="S119">
        <f t="shared" si="166"/>
        <v>0.36825700664313127</v>
      </c>
      <c r="T119" s="6">
        <f t="shared" si="167"/>
        <v>2.2096576260731422E-2</v>
      </c>
      <c r="U119">
        <f t="shared" si="168"/>
        <v>0.38414347199758858</v>
      </c>
      <c r="V119" s="6">
        <f t="shared" si="169"/>
        <v>2.300460467024815E-2</v>
      </c>
      <c r="W119">
        <f t="shared" si="170"/>
        <v>0.40351739105294671</v>
      </c>
      <c r="X119" s="6">
        <f t="shared" si="171"/>
        <v>2.4230192545100664E-2</v>
      </c>
      <c r="Y119">
        <f t="shared" si="172"/>
        <v>0.42722641749058199</v>
      </c>
      <c r="Z119" s="6">
        <f t="shared" si="173"/>
        <v>2.5870412487334581E-2</v>
      </c>
      <c r="AA119">
        <f t="shared" si="174"/>
        <v>0.45644608281225751</v>
      </c>
      <c r="AB119" s="6">
        <f t="shared" si="175"/>
        <v>2.807378827319339E-2</v>
      </c>
      <c r="AC119">
        <f t="shared" si="176"/>
        <v>0.49296790173712868</v>
      </c>
      <c r="AD119" s="6">
        <f t="shared" si="177"/>
        <v>3.1554997888297937E-2</v>
      </c>
      <c r="AE119">
        <f t="shared" si="178"/>
        <v>0.53917709948262837</v>
      </c>
      <c r="AF119" s="6">
        <f t="shared" si="179"/>
        <v>3.5737970357850375E-2</v>
      </c>
      <c r="AG119">
        <f t="shared" si="180"/>
        <v>0.59855760060683028</v>
      </c>
      <c r="AH119" s="6">
        <f t="shared" si="181"/>
        <v>4.1713669299986642E-2</v>
      </c>
      <c r="AI119">
        <f t="shared" si="182"/>
        <v>0.67604410930955372</v>
      </c>
      <c r="AJ119">
        <f t="shared" si="183"/>
        <v>5.5567429401383192E-2</v>
      </c>
      <c r="AK119">
        <f t="shared" si="184"/>
        <v>0.78019461831804093</v>
      </c>
      <c r="AL119">
        <f t="shared" si="185"/>
        <v>7.1242343982963849E-2</v>
      </c>
      <c r="AM119">
        <f t="shared" si="186"/>
        <v>0.90011689409893858</v>
      </c>
      <c r="AN119">
        <f t="shared" si="187"/>
        <v>9.1492224396450522E-2</v>
      </c>
      <c r="AO119">
        <f t="shared" si="188"/>
        <v>0.84108333498264221</v>
      </c>
      <c r="AP119">
        <f t="shared" si="189"/>
        <v>8.1051635609885722E-2</v>
      </c>
    </row>
    <row r="120" spans="1:42" s="29" customFormat="1" x14ac:dyDescent="0.25">
      <c r="A120" s="139">
        <v>0.25</v>
      </c>
      <c r="B120" s="129">
        <f>'Sub C_D_0'!AX135</f>
        <v>1.1184224747481417E-2</v>
      </c>
      <c r="C120" s="256">
        <f>'C_L vs. α'!X421</f>
        <v>0.11213878405136782</v>
      </c>
      <c r="D120" s="144">
        <v>4</v>
      </c>
      <c r="E120" s="14">
        <f t="shared" si="152"/>
        <v>0.53036156480613783</v>
      </c>
      <c r="F120" s="6">
        <f t="shared" si="153"/>
        <v>3.9330402071397312E-2</v>
      </c>
      <c r="G120" s="14">
        <f t="shared" si="154"/>
        <v>0.53455971110627809</v>
      </c>
      <c r="H120" s="6">
        <f t="shared" si="155"/>
        <v>3.8399584867557762E-2</v>
      </c>
      <c r="I120" s="14">
        <f t="shared" si="156"/>
        <v>0.5408188203815798</v>
      </c>
      <c r="J120" s="6">
        <f t="shared" si="157"/>
        <v>3.8330400651421646E-2</v>
      </c>
      <c r="K120" s="14">
        <f t="shared" si="158"/>
        <v>0.54943570808744879</v>
      </c>
      <c r="L120" s="6">
        <f t="shared" si="159"/>
        <v>3.8749312025693247E-2</v>
      </c>
      <c r="M120">
        <f t="shared" si="160"/>
        <v>0.56069392025683906</v>
      </c>
      <c r="N120" s="6">
        <f t="shared" si="161"/>
        <v>3.9580978628884225E-2</v>
      </c>
      <c r="O120">
        <f t="shared" si="162"/>
        <v>0.57436834237939349</v>
      </c>
      <c r="P120" s="6">
        <f t="shared" si="163"/>
        <v>4.1244829570645014E-2</v>
      </c>
      <c r="Q120">
        <f t="shared" si="164"/>
        <v>0.59206118574642441</v>
      </c>
      <c r="R120" s="6">
        <f t="shared" si="165"/>
        <v>4.2950115850417837E-2</v>
      </c>
      <c r="S120">
        <f t="shared" si="166"/>
        <v>0.61376167773855217</v>
      </c>
      <c r="T120" s="6">
        <f t="shared" si="167"/>
        <v>4.5209566713276639E-2</v>
      </c>
      <c r="U120">
        <f t="shared" si="168"/>
        <v>0.64023911999598104</v>
      </c>
      <c r="V120" s="6">
        <f t="shared" si="169"/>
        <v>4.8154991044067695E-2</v>
      </c>
      <c r="W120">
        <f t="shared" si="170"/>
        <v>0.67252898508824444</v>
      </c>
      <c r="X120" s="6">
        <f t="shared" si="171"/>
        <v>5.1981701824960189E-2</v>
      </c>
      <c r="Y120">
        <f t="shared" si="172"/>
        <v>0.71204402915096998</v>
      </c>
      <c r="Z120" s="6">
        <f t="shared" si="173"/>
        <v>5.6979235338758538E-2</v>
      </c>
      <c r="AA120">
        <f t="shared" si="174"/>
        <v>0.76074347135376252</v>
      </c>
      <c r="AB120" s="6">
        <f t="shared" si="175"/>
        <v>6.3583973749870709E-2</v>
      </c>
      <c r="AC120">
        <f t="shared" si="176"/>
        <v>0.82161316956188113</v>
      </c>
      <c r="AD120" s="6">
        <f t="shared" si="177"/>
        <v>7.2975959216458705E-2</v>
      </c>
      <c r="AE120">
        <f t="shared" si="178"/>
        <v>0.89862849913771381</v>
      </c>
      <c r="AF120" s="6">
        <f t="shared" si="179"/>
        <v>8.5289609801097593E-2</v>
      </c>
      <c r="AG120">
        <f t="shared" si="180"/>
        <v>0.99759600101138379</v>
      </c>
      <c r="AH120" s="6">
        <f t="shared" si="181"/>
        <v>0.10278321287121525</v>
      </c>
      <c r="AI120">
        <f t="shared" si="182"/>
        <v>1.1267401821825895</v>
      </c>
      <c r="AJ120">
        <f t="shared" si="183"/>
        <v>0.13752790798772832</v>
      </c>
      <c r="AK120">
        <f t="shared" si="184"/>
        <v>1.3003243638634014</v>
      </c>
      <c r="AL120">
        <f t="shared" si="185"/>
        <v>0.18040153800164008</v>
      </c>
      <c r="AM120">
        <f t="shared" si="186"/>
        <v>1.500194823498231</v>
      </c>
      <c r="AN120">
        <f t="shared" si="187"/>
        <v>0.23678775180368392</v>
      </c>
      <c r="AO120">
        <f t="shared" si="188"/>
        <v>1.4018055583044036</v>
      </c>
      <c r="AP120">
        <f t="shared" si="189"/>
        <v>0.20791390496458556</v>
      </c>
    </row>
    <row r="121" spans="1:42" s="29" customFormat="1" x14ac:dyDescent="0.25">
      <c r="A121" s="129">
        <v>0.3</v>
      </c>
      <c r="B121" s="129">
        <f>'Sub C_D_0'!AX136</f>
        <v>1.1405537904039628E-2</v>
      </c>
      <c r="C121" s="256">
        <f>'C_L vs. α'!X422</f>
        <v>0.1148736684758787</v>
      </c>
      <c r="D121" s="144">
        <v>6</v>
      </c>
      <c r="E121" s="14">
        <f t="shared" si="152"/>
        <v>0.74250619072859292</v>
      </c>
      <c r="F121" s="6">
        <f t="shared" si="153"/>
        <v>6.5668082265856492E-2</v>
      </c>
      <c r="G121" s="14">
        <f t="shared" si="154"/>
        <v>0.74838359554878919</v>
      </c>
      <c r="H121" s="6">
        <f t="shared" si="155"/>
        <v>6.5155788360651515E-2</v>
      </c>
      <c r="I121" s="14">
        <f t="shared" si="156"/>
        <v>0.75714634853421159</v>
      </c>
      <c r="J121" s="6">
        <f t="shared" si="157"/>
        <v>6.5716896612242046E-2</v>
      </c>
      <c r="K121" s="14">
        <f t="shared" si="158"/>
        <v>0.76920999132242829</v>
      </c>
      <c r="L121" s="6">
        <f t="shared" si="159"/>
        <v>6.70155454791765E-2</v>
      </c>
      <c r="M121">
        <f t="shared" si="160"/>
        <v>0.78497148835957475</v>
      </c>
      <c r="N121" s="6">
        <f t="shared" si="161"/>
        <v>6.9017560300389302E-2</v>
      </c>
      <c r="O121">
        <f t="shared" si="162"/>
        <v>0.80411567933115091</v>
      </c>
      <c r="P121" s="6">
        <f t="shared" si="163"/>
        <v>7.2134802429599548E-2</v>
      </c>
      <c r="Q121">
        <f t="shared" si="164"/>
        <v>0.8288856600449942</v>
      </c>
      <c r="R121" s="6">
        <f t="shared" si="165"/>
        <v>7.577259988793604E-2</v>
      </c>
      <c r="S121">
        <f t="shared" si="166"/>
        <v>0.8592663488339729</v>
      </c>
      <c r="T121" s="6">
        <f t="shared" si="167"/>
        <v>8.0482357996777346E-2</v>
      </c>
      <c r="U121">
        <f t="shared" si="168"/>
        <v>0.89633476799437339</v>
      </c>
      <c r="V121" s="6">
        <f t="shared" si="169"/>
        <v>8.6536946202466852E-2</v>
      </c>
      <c r="W121">
        <f t="shared" si="170"/>
        <v>0.94154057912354228</v>
      </c>
      <c r="X121" s="6">
        <f t="shared" si="171"/>
        <v>9.4333079401305836E-2</v>
      </c>
      <c r="Y121">
        <f t="shared" si="172"/>
        <v>0.99686164081135797</v>
      </c>
      <c r="Z121" s="6">
        <f t="shared" si="173"/>
        <v>0.1044539856901074</v>
      </c>
      <c r="AA121">
        <f t="shared" si="174"/>
        <v>1.0650408598952676</v>
      </c>
      <c r="AB121" s="6">
        <f t="shared" si="175"/>
        <v>0.11777529998835033</v>
      </c>
      <c r="AC121">
        <f t="shared" si="176"/>
        <v>1.1502584373866336</v>
      </c>
      <c r="AD121" s="6">
        <f t="shared" si="177"/>
        <v>0.13618714524708408</v>
      </c>
      <c r="AE121">
        <f t="shared" si="178"/>
        <v>1.2580798987927995</v>
      </c>
      <c r="AF121" s="6">
        <f t="shared" si="179"/>
        <v>0.16090802406845595</v>
      </c>
      <c r="AG121">
        <f t="shared" si="180"/>
        <v>1.3966344014159373</v>
      </c>
      <c r="AH121" s="6">
        <f t="shared" si="181"/>
        <v>0.19597725253577594</v>
      </c>
      <c r="AI121">
        <f t="shared" si="182"/>
        <v>1.5774362550556253</v>
      </c>
      <c r="AJ121">
        <f t="shared" si="183"/>
        <v>0.26046862586724601</v>
      </c>
      <c r="AK121">
        <f t="shared" si="184"/>
        <v>1.8204541094087623</v>
      </c>
      <c r="AL121">
        <f t="shared" si="185"/>
        <v>0.34414032902965458</v>
      </c>
      <c r="AM121">
        <f t="shared" si="186"/>
        <v>2.1002727528975234</v>
      </c>
      <c r="AN121">
        <f t="shared" si="187"/>
        <v>0.45473104291453409</v>
      </c>
      <c r="AO121">
        <f t="shared" si="188"/>
        <v>1.9625277816261653</v>
      </c>
      <c r="AP121">
        <f t="shared" si="189"/>
        <v>0.39820730899663553</v>
      </c>
    </row>
    <row r="122" spans="1:42" s="29" customFormat="1" x14ac:dyDescent="0.25">
      <c r="A122" s="139">
        <v>0.35</v>
      </c>
      <c r="B122" s="129">
        <f>'Sub C_D_0'!AX137</f>
        <v>1.1144273881283433E-2</v>
      </c>
      <c r="C122" s="256">
        <f>'C_L vs. α'!X423</f>
        <v>0.11841223714928488</v>
      </c>
      <c r="D122" s="144">
        <v>8</v>
      </c>
      <c r="E122" s="14">
        <f t="shared" si="152"/>
        <v>0.95465081665104801</v>
      </c>
      <c r="F122" s="6">
        <f t="shared" si="153"/>
        <v>0.10108545226172848</v>
      </c>
      <c r="G122" s="14">
        <f t="shared" si="154"/>
        <v>0.96220747999130052</v>
      </c>
      <c r="H122" s="6">
        <f t="shared" si="155"/>
        <v>0.10113599350640065</v>
      </c>
      <c r="I122" s="14">
        <f t="shared" si="156"/>
        <v>0.9734738766868436</v>
      </c>
      <c r="J122" s="6">
        <f t="shared" si="157"/>
        <v>0.10254466475425224</v>
      </c>
      <c r="K122" s="14">
        <f t="shared" si="158"/>
        <v>0.98898427455740789</v>
      </c>
      <c r="L122" s="6">
        <f t="shared" si="159"/>
        <v>0.10502630421967277</v>
      </c>
      <c r="M122">
        <f t="shared" si="160"/>
        <v>1.0092490564623104</v>
      </c>
      <c r="N122" s="6">
        <f t="shared" si="161"/>
        <v>0.10860209898433387</v>
      </c>
      <c r="O122">
        <f t="shared" si="162"/>
        <v>1.0338630162829083</v>
      </c>
      <c r="P122" s="6">
        <f t="shared" si="163"/>
        <v>0.11367375291180988</v>
      </c>
      <c r="Q122">
        <f t="shared" si="164"/>
        <v>1.065710134343564</v>
      </c>
      <c r="R122" s="6">
        <f t="shared" si="165"/>
        <v>0.11991022846858425</v>
      </c>
      <c r="S122">
        <f t="shared" si="166"/>
        <v>1.1047710199293939</v>
      </c>
      <c r="T122" s="6">
        <f t="shared" si="167"/>
        <v>0.12791495011123361</v>
      </c>
      <c r="U122">
        <f t="shared" si="168"/>
        <v>1.1524304159927659</v>
      </c>
      <c r="V122" s="6">
        <f t="shared" si="169"/>
        <v>0.13815047014544568</v>
      </c>
      <c r="W122">
        <f t="shared" si="170"/>
        <v>1.21055217315884</v>
      </c>
      <c r="X122" s="6">
        <f t="shared" si="171"/>
        <v>0.15128432527413754</v>
      </c>
      <c r="Y122">
        <f t="shared" si="172"/>
        <v>1.281679252471746</v>
      </c>
      <c r="Z122" s="6">
        <f t="shared" si="173"/>
        <v>0.16829466354138112</v>
      </c>
      <c r="AA122">
        <f t="shared" si="174"/>
        <v>1.3693382484367724</v>
      </c>
      <c r="AB122" s="6">
        <f t="shared" si="175"/>
        <v>0.19064776698863217</v>
      </c>
      <c r="AC122">
        <f t="shared" si="176"/>
        <v>1.478903705211386</v>
      </c>
      <c r="AD122" s="6">
        <f t="shared" si="177"/>
        <v>0.22118855598017412</v>
      </c>
      <c r="AE122">
        <f t="shared" si="178"/>
        <v>1.6175312984478849</v>
      </c>
      <c r="AF122" s="6">
        <f t="shared" si="179"/>
        <v>0.26259321315992529</v>
      </c>
      <c r="AG122">
        <f t="shared" si="180"/>
        <v>1.7956728018204908</v>
      </c>
      <c r="AH122" s="6">
        <f t="shared" si="181"/>
        <v>0.32129578829366878</v>
      </c>
      <c r="AI122">
        <f t="shared" si="182"/>
        <v>2.0281323279286614</v>
      </c>
      <c r="AJ122">
        <f t="shared" si="183"/>
        <v>0.42438958303993635</v>
      </c>
      <c r="AK122">
        <f t="shared" si="184"/>
        <v>2.3405838549541227</v>
      </c>
      <c r="AL122">
        <f t="shared" si="185"/>
        <v>0.5624587170670069</v>
      </c>
      <c r="AM122">
        <f t="shared" si="186"/>
        <v>2.7003506822968157</v>
      </c>
      <c r="AN122">
        <f t="shared" si="187"/>
        <v>0.74532209772900093</v>
      </c>
      <c r="AO122">
        <f t="shared" si="188"/>
        <v>2.5232500049479265</v>
      </c>
      <c r="AP122">
        <f t="shared" si="189"/>
        <v>0.65193184770603518</v>
      </c>
    </row>
    <row r="123" spans="1:42" s="29" customFormat="1" x14ac:dyDescent="0.25">
      <c r="A123" s="129">
        <v>0.4</v>
      </c>
      <c r="B123" s="129">
        <f>'Sub C_D_0'!AX138</f>
        <v>1.0924683512604961E-2</v>
      </c>
      <c r="C123" s="256">
        <f>'C_L vs. α'!X424</f>
        <v>0.12275233554771042</v>
      </c>
      <c r="D123" s="144">
        <v>10</v>
      </c>
      <c r="E123" s="14">
        <f t="shared" si="152"/>
        <v>1.1667954425735032</v>
      </c>
      <c r="F123" s="6">
        <f t="shared" si="153"/>
        <v>0.14558251205901329</v>
      </c>
      <c r="G123" s="14">
        <f t="shared" si="154"/>
        <v>1.1760313644338116</v>
      </c>
      <c r="H123" s="6">
        <f t="shared" si="155"/>
        <v>0.14634020030480505</v>
      </c>
      <c r="I123" s="14">
        <f t="shared" si="156"/>
        <v>1.1898014048394754</v>
      </c>
      <c r="J123" s="6">
        <f t="shared" si="157"/>
        <v>0.14881370507745217</v>
      </c>
      <c r="K123" s="14">
        <f t="shared" si="158"/>
        <v>1.2087585577923874</v>
      </c>
      <c r="L123" s="6">
        <f t="shared" si="159"/>
        <v>0.15278158824718199</v>
      </c>
      <c r="M123">
        <f t="shared" si="160"/>
        <v>1.233526624565046</v>
      </c>
      <c r="N123" s="6">
        <f t="shared" si="161"/>
        <v>0.15833459468071789</v>
      </c>
      <c r="O123">
        <f t="shared" si="162"/>
        <v>1.2636103532346656</v>
      </c>
      <c r="P123" s="6">
        <f t="shared" si="163"/>
        <v>0.165861681017276</v>
      </c>
      <c r="Q123">
        <f t="shared" si="164"/>
        <v>1.3025346086421337</v>
      </c>
      <c r="R123" s="6">
        <f t="shared" si="165"/>
        <v>0.17536300159236246</v>
      </c>
      <c r="S123">
        <f t="shared" si="166"/>
        <v>1.3502756910248146</v>
      </c>
      <c r="T123" s="6">
        <f t="shared" si="167"/>
        <v>0.18750734305664532</v>
      </c>
      <c r="U123">
        <f t="shared" si="168"/>
        <v>1.4085260639911583</v>
      </c>
      <c r="V123" s="6">
        <f t="shared" si="169"/>
        <v>0.20299556287300416</v>
      </c>
      <c r="W123">
        <f t="shared" si="170"/>
        <v>1.4795637671941377</v>
      </c>
      <c r="X123" s="6">
        <f t="shared" si="171"/>
        <v>0.22283543944345535</v>
      </c>
      <c r="Y123">
        <f t="shared" si="172"/>
        <v>1.566496864132134</v>
      </c>
      <c r="Z123" s="6">
        <f t="shared" si="173"/>
        <v>0.24850126889257976</v>
      </c>
      <c r="AA123">
        <f t="shared" si="174"/>
        <v>1.6736356369782777</v>
      </c>
      <c r="AB123" s="6">
        <f t="shared" si="175"/>
        <v>0.28220137475071638</v>
      </c>
      <c r="AC123">
        <f t="shared" si="176"/>
        <v>1.8075489730361385</v>
      </c>
      <c r="AD123" s="6">
        <f t="shared" si="177"/>
        <v>0.32798019141572882</v>
      </c>
      <c r="AE123">
        <f t="shared" si="178"/>
        <v>1.9769826981029706</v>
      </c>
      <c r="AF123" s="6">
        <f t="shared" si="179"/>
        <v>0.39034517707550576</v>
      </c>
      <c r="AG123">
        <f t="shared" si="180"/>
        <v>2.1947112022250446</v>
      </c>
      <c r="AH123" s="6">
        <f t="shared" si="181"/>
        <v>0.47873882014489394</v>
      </c>
      <c r="AI123">
        <f t="shared" si="182"/>
        <v>2.4788284008016968</v>
      </c>
      <c r="AJ123">
        <f t="shared" si="183"/>
        <v>0.62929077950579893</v>
      </c>
      <c r="AK123">
        <f t="shared" si="184"/>
        <v>2.8607136004994835</v>
      </c>
      <c r="AL123">
        <f t="shared" si="185"/>
        <v>0.83535670211369784</v>
      </c>
      <c r="AM123">
        <f t="shared" si="186"/>
        <v>3.3004286116961081</v>
      </c>
      <c r="AN123">
        <f t="shared" si="187"/>
        <v>1.1085609162470844</v>
      </c>
      <c r="AO123">
        <f t="shared" si="188"/>
        <v>3.0839722282696882</v>
      </c>
      <c r="AP123">
        <f t="shared" si="189"/>
        <v>0.96908752109278506</v>
      </c>
    </row>
    <row r="124" spans="1:42" s="29" customFormat="1" x14ac:dyDescent="0.25">
      <c r="A124" s="139">
        <v>0.45</v>
      </c>
      <c r="B124" s="129">
        <f>'Sub C_D_0'!AX139</f>
        <v>1.0735990583288821E-2</v>
      </c>
      <c r="C124" s="256">
        <f>'C_L vs. α'!X425</f>
        <v>0.1280478239991962</v>
      </c>
      <c r="D124" s="144">
        <v>12</v>
      </c>
      <c r="E124" s="14">
        <f t="shared" si="152"/>
        <v>1.3789400684959583</v>
      </c>
      <c r="F124" s="6">
        <f t="shared" si="153"/>
        <v>0.19915926165771089</v>
      </c>
      <c r="G124" s="14">
        <f t="shared" si="154"/>
        <v>1.3898552488763229</v>
      </c>
      <c r="H124" s="6">
        <f t="shared" si="155"/>
        <v>0.20076840875586482</v>
      </c>
      <c r="I124" s="14">
        <f t="shared" si="156"/>
        <v>1.4061289329921074</v>
      </c>
      <c r="J124" s="6">
        <f t="shared" si="157"/>
        <v>0.20452401758184188</v>
      </c>
      <c r="K124" s="14">
        <f t="shared" si="158"/>
        <v>1.428532841027367</v>
      </c>
      <c r="L124" s="6">
        <f t="shared" si="159"/>
        <v>0.21028139756170425</v>
      </c>
      <c r="M124">
        <f t="shared" si="160"/>
        <v>1.4578041926677816</v>
      </c>
      <c r="N124" s="6">
        <f t="shared" si="161"/>
        <v>0.21821504738954137</v>
      </c>
      <c r="O124">
        <f t="shared" si="162"/>
        <v>1.4933576901864229</v>
      </c>
      <c r="P124" s="6">
        <f t="shared" si="163"/>
        <v>0.22869858674599788</v>
      </c>
      <c r="Q124">
        <f t="shared" si="164"/>
        <v>1.5393590829407033</v>
      </c>
      <c r="R124" s="6">
        <f t="shared" si="165"/>
        <v>0.2421309192592706</v>
      </c>
      <c r="S124">
        <f t="shared" si="166"/>
        <v>1.5957803621202356</v>
      </c>
      <c r="T124" s="6">
        <f t="shared" si="167"/>
        <v>0.25925953683301256</v>
      </c>
      <c r="U124">
        <f t="shared" si="168"/>
        <v>1.6646217119895506</v>
      </c>
      <c r="V124" s="6">
        <f t="shared" si="169"/>
        <v>0.28107222438514223</v>
      </c>
      <c r="W124">
        <f t="shared" si="170"/>
        <v>1.7485753612294357</v>
      </c>
      <c r="X124" s="6">
        <f t="shared" si="171"/>
        <v>0.30898642190925929</v>
      </c>
      <c r="Y124">
        <f t="shared" si="172"/>
        <v>1.851314475792522</v>
      </c>
      <c r="Z124" s="6">
        <f t="shared" si="173"/>
        <v>0.34507380174370328</v>
      </c>
      <c r="AA124">
        <f t="shared" si="174"/>
        <v>1.9779330255197825</v>
      </c>
      <c r="AB124" s="6">
        <f t="shared" si="175"/>
        <v>0.3924361232746027</v>
      </c>
      <c r="AC124">
        <f t="shared" si="176"/>
        <v>2.1361942408608909</v>
      </c>
      <c r="AD124" s="6">
        <f t="shared" si="177"/>
        <v>0.45656205155374807</v>
      </c>
      <c r="AE124">
        <f t="shared" si="178"/>
        <v>2.336434097758056</v>
      </c>
      <c r="AF124" s="6">
        <f t="shared" si="179"/>
        <v>0.5441639158151973</v>
      </c>
      <c r="AG124">
        <f t="shared" si="180"/>
        <v>2.5937496026295976</v>
      </c>
      <c r="AH124" s="6">
        <f t="shared" si="181"/>
        <v>0.66830634808945066</v>
      </c>
      <c r="AI124">
        <f t="shared" si="182"/>
        <v>2.929524473674733</v>
      </c>
      <c r="AJ124">
        <f t="shared" si="183"/>
        <v>0.87517221526483469</v>
      </c>
      <c r="AK124">
        <f t="shared" si="184"/>
        <v>3.3808433460448439</v>
      </c>
      <c r="AL124">
        <f t="shared" si="185"/>
        <v>1.1628342841697266</v>
      </c>
      <c r="AM124">
        <f t="shared" si="186"/>
        <v>3.9005065410954005</v>
      </c>
      <c r="AN124">
        <f t="shared" si="187"/>
        <v>1.5444474984687846</v>
      </c>
      <c r="AO124">
        <f t="shared" si="188"/>
        <v>3.6446944515914494</v>
      </c>
      <c r="AP124">
        <f t="shared" si="189"/>
        <v>1.3496743291568845</v>
      </c>
    </row>
    <row r="125" spans="1:42" s="29" customFormat="1" x14ac:dyDescent="0.25">
      <c r="A125" s="129">
        <v>0.5</v>
      </c>
      <c r="B125" s="129">
        <f>'Sub C_D_0'!AX140</f>
        <v>1.057104665194818E-2</v>
      </c>
      <c r="C125" s="256">
        <f>'C_L vs. α'!X426</f>
        <v>0.13450579701764889</v>
      </c>
      <c r="D125" s="144">
        <v>14</v>
      </c>
      <c r="E125" s="14">
        <f t="shared" si="152"/>
        <v>1.5910846944184134</v>
      </c>
      <c r="F125" s="6">
        <f t="shared" si="153"/>
        <v>0.26181570105782132</v>
      </c>
      <c r="G125" s="14">
        <f t="shared" si="154"/>
        <v>1.603679133318834</v>
      </c>
      <c r="H125" s="6">
        <f t="shared" si="155"/>
        <v>0.2644206188595799</v>
      </c>
      <c r="I125" s="14">
        <f t="shared" si="156"/>
        <v>1.6224564611447392</v>
      </c>
      <c r="J125" s="6">
        <f t="shared" si="157"/>
        <v>0.26967560226742127</v>
      </c>
      <c r="K125" s="14">
        <f t="shared" si="158"/>
        <v>1.6483071242623464</v>
      </c>
      <c r="L125" s="6">
        <f t="shared" si="159"/>
        <v>0.27752573216323939</v>
      </c>
      <c r="M125">
        <f t="shared" si="160"/>
        <v>1.6820817607705172</v>
      </c>
      <c r="N125" s="6">
        <f t="shared" si="161"/>
        <v>0.28824345711080435</v>
      </c>
      <c r="O125">
        <f t="shared" si="162"/>
        <v>1.7231050271381805</v>
      </c>
      <c r="P125" s="6">
        <f t="shared" si="163"/>
        <v>0.30218447009797561</v>
      </c>
      <c r="Q125">
        <f t="shared" si="164"/>
        <v>1.7761835572392732</v>
      </c>
      <c r="R125" s="6">
        <f t="shared" si="165"/>
        <v>0.32021398146930885</v>
      </c>
      <c r="S125">
        <f t="shared" si="166"/>
        <v>1.8412850332156563</v>
      </c>
      <c r="T125" s="6">
        <f t="shared" si="167"/>
        <v>0.3431715314403353</v>
      </c>
      <c r="U125">
        <f t="shared" si="168"/>
        <v>1.920717359987943</v>
      </c>
      <c r="V125" s="6">
        <f t="shared" si="169"/>
        <v>0.37238045468185998</v>
      </c>
      <c r="W125">
        <f t="shared" si="170"/>
        <v>2.0175869552647332</v>
      </c>
      <c r="X125" s="6">
        <f t="shared" si="171"/>
        <v>0.40973727267154914</v>
      </c>
      <c r="Y125">
        <f t="shared" si="172"/>
        <v>2.1361320874529097</v>
      </c>
      <c r="Z125" s="6">
        <f t="shared" si="173"/>
        <v>0.45801226209475154</v>
      </c>
      <c r="AA125">
        <f t="shared" si="174"/>
        <v>2.2822304140612877</v>
      </c>
      <c r="AB125" s="6">
        <f t="shared" si="175"/>
        <v>0.52135201256029151</v>
      </c>
      <c r="AC125">
        <f t="shared" si="176"/>
        <v>2.4648395086856434</v>
      </c>
      <c r="AD125" s="6">
        <f t="shared" si="177"/>
        <v>0.60693413639423188</v>
      </c>
      <c r="AE125">
        <f t="shared" si="178"/>
        <v>2.6958854974131414</v>
      </c>
      <c r="AF125" s="6">
        <f t="shared" si="179"/>
        <v>0.72404942937899985</v>
      </c>
      <c r="AG125">
        <f t="shared" si="180"/>
        <v>2.9927880030341516</v>
      </c>
      <c r="AH125" s="6">
        <f t="shared" si="181"/>
        <v>0.88999837212734012</v>
      </c>
      <c r="AI125">
        <f t="shared" si="182"/>
        <v>3.3802205465477684</v>
      </c>
      <c r="AJ125">
        <f t="shared" si="183"/>
        <v>1.1620338903170422</v>
      </c>
      <c r="AK125">
        <f t="shared" si="184"/>
        <v>3.9009730915902048</v>
      </c>
      <c r="AL125">
        <f t="shared" si="185"/>
        <v>1.5448914632350936</v>
      </c>
      <c r="AM125">
        <f t="shared" si="186"/>
        <v>4.5005844704946929</v>
      </c>
      <c r="AN125">
        <f t="shared" si="187"/>
        <v>2.0529818443941013</v>
      </c>
      <c r="AO125">
        <f t="shared" si="188"/>
        <v>4.2054166749132111</v>
      </c>
      <c r="AP125">
        <f t="shared" si="189"/>
        <v>1.7936922718983344</v>
      </c>
    </row>
    <row r="126" spans="1:42" s="29" customFormat="1" x14ac:dyDescent="0.25">
      <c r="A126" s="139">
        <v>0.55000000000000004</v>
      </c>
      <c r="B126" s="129">
        <f>'Sub C_D_0'!AX141</f>
        <v>1.0424880483936898E-2</v>
      </c>
      <c r="C126" s="256">
        <f>'C_L vs. α'!X427</f>
        <v>0.142408805830194</v>
      </c>
      <c r="D126" s="144">
        <v>16</v>
      </c>
      <c r="E126" s="14">
        <f t="shared" si="152"/>
        <v>1.8032293203408685</v>
      </c>
      <c r="F126" s="6">
        <f t="shared" si="153"/>
        <v>0.33355183025934454</v>
      </c>
      <c r="G126" s="14">
        <f t="shared" si="154"/>
        <v>1.8175030177613454</v>
      </c>
      <c r="H126" s="6">
        <f t="shared" si="155"/>
        <v>0.33729683061595034</v>
      </c>
      <c r="I126" s="14">
        <f t="shared" si="156"/>
        <v>1.8387839892973712</v>
      </c>
      <c r="J126" s="6">
        <f t="shared" si="157"/>
        <v>0.34426845913419046</v>
      </c>
      <c r="K126" s="14">
        <f t="shared" si="158"/>
        <v>1.868081407497326</v>
      </c>
      <c r="L126" s="6">
        <f t="shared" si="159"/>
        <v>0.3545145920517877</v>
      </c>
      <c r="M126">
        <f t="shared" si="160"/>
        <v>1.906359328873253</v>
      </c>
      <c r="N126" s="6">
        <f t="shared" si="161"/>
        <v>0.36841982384450678</v>
      </c>
      <c r="O126">
        <f t="shared" si="162"/>
        <v>1.9528523640899378</v>
      </c>
      <c r="P126" s="6">
        <f t="shared" si="163"/>
        <v>0.38631933107320904</v>
      </c>
      <c r="Q126">
        <f t="shared" si="164"/>
        <v>2.0130080315378431</v>
      </c>
      <c r="R126" s="6">
        <f t="shared" si="165"/>
        <v>0.40961218822247719</v>
      </c>
      <c r="S126">
        <f t="shared" si="166"/>
        <v>2.086789704311077</v>
      </c>
      <c r="T126" s="6">
        <f t="shared" si="167"/>
        <v>0.4392433268786135</v>
      </c>
      <c r="U126">
        <f t="shared" si="168"/>
        <v>2.1768130079863353</v>
      </c>
      <c r="V126" s="6">
        <f t="shared" si="169"/>
        <v>0.47692025376315728</v>
      </c>
      <c r="W126">
        <f t="shared" si="170"/>
        <v>2.2865985493000314</v>
      </c>
      <c r="X126" s="6">
        <f t="shared" si="171"/>
        <v>0.52508799173032539</v>
      </c>
      <c r="Y126">
        <f t="shared" si="172"/>
        <v>2.4209496991132982</v>
      </c>
      <c r="Z126" s="6">
        <f t="shared" si="173"/>
        <v>0.58731664994572497</v>
      </c>
      <c r="AA126">
        <f t="shared" si="174"/>
        <v>2.5865278026027925</v>
      </c>
      <c r="AB126" s="6">
        <f t="shared" si="175"/>
        <v>0.66894904260778232</v>
      </c>
      <c r="AC126">
        <f t="shared" si="176"/>
        <v>2.7934847765103958</v>
      </c>
      <c r="AD126" s="6">
        <f t="shared" si="177"/>
        <v>0.77909644593718053</v>
      </c>
      <c r="AE126">
        <f t="shared" si="178"/>
        <v>3.0553368970682273</v>
      </c>
      <c r="AF126" s="6">
        <f t="shared" si="179"/>
        <v>0.93000171776691376</v>
      </c>
      <c r="AG126">
        <f t="shared" si="180"/>
        <v>3.3918264034387047</v>
      </c>
      <c r="AH126" s="6">
        <f t="shared" si="181"/>
        <v>1.1438148922585611</v>
      </c>
      <c r="AI126">
        <f t="shared" si="182"/>
        <v>3.8309166194208046</v>
      </c>
      <c r="AJ126">
        <f t="shared" si="183"/>
        <v>1.4898758046624232</v>
      </c>
      <c r="AK126">
        <f t="shared" si="184"/>
        <v>4.4211028371355656</v>
      </c>
      <c r="AL126">
        <f t="shared" si="185"/>
        <v>1.9815282393097988</v>
      </c>
      <c r="AM126">
        <f t="shared" si="186"/>
        <v>5.1006623998939853</v>
      </c>
      <c r="AN126">
        <f t="shared" si="187"/>
        <v>2.6341639540230348</v>
      </c>
      <c r="AO126">
        <f t="shared" si="188"/>
        <v>4.7661388982349724</v>
      </c>
      <c r="AP126">
        <f t="shared" si="189"/>
        <v>2.3011413493171338</v>
      </c>
    </row>
    <row r="127" spans="1:42" s="29" customFormat="1" x14ac:dyDescent="0.25">
      <c r="A127" s="129">
        <v>0.6</v>
      </c>
      <c r="B127" s="129">
        <f>'Sub C_D_0'!AX142</f>
        <v>1.0293903274596797E-2</v>
      </c>
      <c r="C127" s="256">
        <f>'C_L vs. α'!X428</f>
        <v>0.1521486942707525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</row>
    <row r="128" spans="1:42" s="29" customFormat="1" x14ac:dyDescent="0.25">
      <c r="A128" s="139">
        <v>0.65</v>
      </c>
      <c r="B128" s="129">
        <f>'Sub C_D_0'!AX143</f>
        <v>1.0695079401897137E-2</v>
      </c>
      <c r="C128" s="256">
        <f>'C_L vs. α'!X429</f>
        <v>0.16432263391237623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</row>
    <row r="129" spans="1:42" s="29" customFormat="1" x14ac:dyDescent="0.25">
      <c r="A129" s="129">
        <v>0.7</v>
      </c>
      <c r="B129" s="129">
        <f>'Sub C_D_0'!AX144</f>
        <v>1.0581399938447833E-2</v>
      </c>
      <c r="C129" s="256">
        <f>'C_L vs. α'!X430</f>
        <v>0.17972569982754277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</row>
    <row r="130" spans="1:42" s="29" customFormat="1" x14ac:dyDescent="0.25">
      <c r="A130" s="139">
        <v>0.75</v>
      </c>
      <c r="B130" s="129">
        <f>'Sub C_D_0'!AX145</f>
        <v>1.0477083568816371E-2</v>
      </c>
      <c r="C130" s="256">
        <f>'C_L vs. α'!X431</f>
        <v>0.19951920020227676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</row>
    <row r="131" spans="1:42" s="29" customFormat="1" x14ac:dyDescent="0.25">
      <c r="A131" s="129">
        <v>0.8</v>
      </c>
      <c r="B131" s="129">
        <f>'Sub C_D_0'!AX146</f>
        <v>1.038080263582546E-2</v>
      </c>
      <c r="C131" s="256">
        <f>'C_L vs. α'!X432</f>
        <v>0.22534803643651791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9" customFormat="1" x14ac:dyDescent="0.25">
      <c r="A132" s="139">
        <v>0.85</v>
      </c>
      <c r="B132" s="129">
        <f>'Sub C_D_0'!AX147</f>
        <v>1.0790890540452189E-2</v>
      </c>
      <c r="C132" s="256">
        <f>'C_L vs. α'!X433</f>
        <v>0.26006487277268031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</row>
    <row r="133" spans="1:42" s="29" customFormat="1" x14ac:dyDescent="0.25">
      <c r="A133" s="129">
        <v>0.9</v>
      </c>
      <c r="B133" s="129">
        <f>'Sub C_D_0'!AX148</f>
        <v>1.0703496270650294E-2</v>
      </c>
      <c r="C133" s="256">
        <f>'C_L vs. α'!X434</f>
        <v>0.30003896469964619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9" customFormat="1" x14ac:dyDescent="0.25">
      <c r="A134" s="139">
        <v>0.95</v>
      </c>
      <c r="B134" s="129">
        <f>'Sub C_D_0'!AX149</f>
        <v>1.062173880354644E-2</v>
      </c>
      <c r="C134" s="256">
        <f>'C_L vs. α'!X435</f>
        <v>0.28036111166088074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</row>
    <row r="135" spans="1:42" s="29" customFormat="1" x14ac:dyDescent="0.25">
      <c r="A135" s="11"/>
      <c r="B135" s="262"/>
      <c r="C135" s="262"/>
    </row>
    <row r="137" spans="1:42" x14ac:dyDescent="0.25">
      <c r="A137" s="122" t="s">
        <v>537</v>
      </c>
      <c r="B137" s="122" t="s">
        <v>192</v>
      </c>
    </row>
    <row r="138" spans="1:42" x14ac:dyDescent="0.25">
      <c r="A138" s="122" t="s">
        <v>202</v>
      </c>
      <c r="B138" s="145">
        <v>30000</v>
      </c>
      <c r="C138" s="122" t="s">
        <v>538</v>
      </c>
      <c r="D138" s="122" t="s">
        <v>539</v>
      </c>
      <c r="E138" s="1" t="s">
        <v>536</v>
      </c>
      <c r="F138" s="140">
        <v>0.05</v>
      </c>
      <c r="G138" s="1" t="s">
        <v>536</v>
      </c>
      <c r="H138" s="140">
        <v>0.1</v>
      </c>
      <c r="I138" s="1" t="s">
        <v>536</v>
      </c>
      <c r="J138" s="140">
        <v>0.15</v>
      </c>
      <c r="K138" s="1" t="s">
        <v>536</v>
      </c>
      <c r="L138" s="140">
        <v>0.2</v>
      </c>
      <c r="M138" t="s">
        <v>536</v>
      </c>
      <c r="N138" s="141">
        <v>0.25</v>
      </c>
      <c r="O138" t="s">
        <v>536</v>
      </c>
      <c r="P138" s="141">
        <v>0.3</v>
      </c>
      <c r="Q138" t="s">
        <v>536</v>
      </c>
      <c r="R138" s="141">
        <v>0.35</v>
      </c>
      <c r="S138" t="s">
        <v>536</v>
      </c>
      <c r="T138" s="141">
        <v>0.4</v>
      </c>
      <c r="U138" t="s">
        <v>536</v>
      </c>
      <c r="V138" s="141">
        <v>0.45</v>
      </c>
      <c r="W138" t="s">
        <v>536</v>
      </c>
      <c r="X138" s="141">
        <v>0.5</v>
      </c>
      <c r="Y138" t="s">
        <v>536</v>
      </c>
      <c r="Z138" s="141">
        <v>0.55000000000000004</v>
      </c>
      <c r="AA138" t="s">
        <v>536</v>
      </c>
      <c r="AB138" s="141">
        <v>0.6</v>
      </c>
      <c r="AC138" t="s">
        <v>536</v>
      </c>
      <c r="AD138" s="141">
        <v>0.65</v>
      </c>
      <c r="AE138" t="s">
        <v>536</v>
      </c>
      <c r="AF138" s="141">
        <v>0.7</v>
      </c>
      <c r="AG138" t="s">
        <v>536</v>
      </c>
      <c r="AH138" s="141">
        <v>0.75</v>
      </c>
      <c r="AI138" t="s">
        <v>536</v>
      </c>
      <c r="AJ138" s="141">
        <v>0.8</v>
      </c>
      <c r="AK138" t="s">
        <v>536</v>
      </c>
      <c r="AL138" s="141">
        <v>0.85</v>
      </c>
      <c r="AM138" t="s">
        <v>536</v>
      </c>
      <c r="AN138" s="141">
        <v>0.9</v>
      </c>
      <c r="AO138" t="s">
        <v>536</v>
      </c>
      <c r="AP138" s="141">
        <v>0.95</v>
      </c>
    </row>
    <row r="139" spans="1:42" x14ac:dyDescent="0.25">
      <c r="A139" s="121" t="s">
        <v>182</v>
      </c>
      <c r="B139" s="121" t="s">
        <v>534</v>
      </c>
      <c r="C139" s="121" t="s">
        <v>535</v>
      </c>
      <c r="D139" s="121" t="s">
        <v>421</v>
      </c>
      <c r="E139" s="14" t="s">
        <v>244</v>
      </c>
      <c r="F139" s="6" t="s">
        <v>245</v>
      </c>
      <c r="G139" s="14" t="s">
        <v>244</v>
      </c>
      <c r="H139" s="6" t="s">
        <v>245</v>
      </c>
      <c r="I139" s="14" t="s">
        <v>244</v>
      </c>
      <c r="J139" s="6" t="s">
        <v>245</v>
      </c>
      <c r="K139" s="14" t="s">
        <v>244</v>
      </c>
      <c r="L139" s="6" t="s">
        <v>245</v>
      </c>
      <c r="M139" t="s">
        <v>244</v>
      </c>
      <c r="N139" t="s">
        <v>245</v>
      </c>
      <c r="O139" t="s">
        <v>244</v>
      </c>
      <c r="P139" t="s">
        <v>245</v>
      </c>
      <c r="Q139" t="s">
        <v>244</v>
      </c>
      <c r="R139" t="s">
        <v>245</v>
      </c>
      <c r="S139" t="s">
        <v>244</v>
      </c>
      <c r="T139" t="s">
        <v>245</v>
      </c>
      <c r="U139" t="s">
        <v>244</v>
      </c>
      <c r="V139" t="s">
        <v>245</v>
      </c>
      <c r="W139" t="s">
        <v>244</v>
      </c>
      <c r="X139" t="s">
        <v>245</v>
      </c>
      <c r="Y139" t="s">
        <v>244</v>
      </c>
      <c r="Z139" t="s">
        <v>245</v>
      </c>
      <c r="AA139" t="s">
        <v>244</v>
      </c>
      <c r="AB139" t="s">
        <v>245</v>
      </c>
      <c r="AC139" t="s">
        <v>244</v>
      </c>
      <c r="AD139" t="s">
        <v>245</v>
      </c>
      <c r="AE139" t="s">
        <v>244</v>
      </c>
      <c r="AF139" t="s">
        <v>245</v>
      </c>
      <c r="AG139" t="s">
        <v>244</v>
      </c>
      <c r="AH139" t="s">
        <v>245</v>
      </c>
      <c r="AI139" t="s">
        <v>244</v>
      </c>
      <c r="AJ139" t="s">
        <v>245</v>
      </c>
      <c r="AK139" t="s">
        <v>244</v>
      </c>
      <c r="AL139" t="s">
        <v>245</v>
      </c>
      <c r="AM139" t="s">
        <v>244</v>
      </c>
      <c r="AN139" t="s">
        <v>245</v>
      </c>
      <c r="AO139" t="s">
        <v>244</v>
      </c>
      <c r="AP139" t="s">
        <v>245</v>
      </c>
    </row>
    <row r="140" spans="1:42" x14ac:dyDescent="0.25">
      <c r="A140" s="129">
        <v>0</v>
      </c>
      <c r="B140" s="129" t="e">
        <f>'Sub C_D_0'!AX160</f>
        <v>#DIV/0!</v>
      </c>
      <c r="C140" s="129" t="e">
        <f>'C_L vs. α'!X441</f>
        <v>#NUM!</v>
      </c>
      <c r="D140" s="144">
        <v>-6</v>
      </c>
      <c r="E140" s="14">
        <f>(D140-$B$12)*$C$141</f>
        <v>-0.53126263485977143</v>
      </c>
      <c r="F140" s="6">
        <f>$B$141+$B$7*E140^2+$B$8*(E140-E$143)^2</f>
        <v>4.3692689922071308E-2</v>
      </c>
      <c r="G140" s="14">
        <f>(D140-$B$12)*$C$142</f>
        <v>-0.53551568935020843</v>
      </c>
      <c r="H140" s="6">
        <f>$B$142+$B$7*G140^2+$B$8*(G140-G$143)^2</f>
        <v>4.2875754789197654E-2</v>
      </c>
      <c r="I140" s="14">
        <f>(D140-$B$12)*$C$143</f>
        <v>-0.54174613167662611</v>
      </c>
      <c r="J140" s="6">
        <f>$B$143+$B$7*I140^2+$B$8*(I140-I$143)^2</f>
        <v>4.2929616603556431E-2</v>
      </c>
      <c r="K140" s="14">
        <f>(D140-$B$12)*$C$144</f>
        <v>-0.55031900679526591</v>
      </c>
      <c r="L140" s="6">
        <f>$B$144+$B$7*K140^2+$B$8*(K140-K$143)^2</f>
        <v>4.3506493101654359E-2</v>
      </c>
      <c r="M140">
        <f>(D140-$B$12)*$C$145</f>
        <v>-0.56152754182081688</v>
      </c>
      <c r="N140" s="6">
        <f>$B$145+$B$7*M140^2+$B$8*(M140-M$143)^2</f>
        <v>4.4542282378416703E-2</v>
      </c>
      <c r="O140">
        <f>(D140-$B$12)*$C$146</f>
        <v>-0.57518600983374135</v>
      </c>
      <c r="P140" s="6">
        <f>$B$146+$B$7*O140^2+$B$8*(O140-O$143)^2</f>
        <v>4.6452945275183885E-2</v>
      </c>
      <c r="Q140">
        <f>(D140-$B$12)*$C$147</f>
        <v>-0.59282244600848555</v>
      </c>
      <c r="R140" s="6">
        <f>$B$147+$B$7*Q140^2+$B$8*(Q140-Q$143)^2</f>
        <v>4.8489563445340715E-2</v>
      </c>
      <c r="S140">
        <f>(D140-$B$12)*$C$148</f>
        <v>-0.61445212160883278</v>
      </c>
      <c r="T140" s="6">
        <f>$B$148+$B$7*S140^2+$B$8*(S140-S$143)^2</f>
        <v>5.1166122427987036E-2</v>
      </c>
      <c r="U140">
        <f>(D140-$B$12)*$C$149</f>
        <v>-0.64083850480831661</v>
      </c>
      <c r="V140" s="6">
        <f>$B$149+$B$7*U140^2+$B$8*(U140-U$143)^2</f>
        <v>5.4637629316282535E-2</v>
      </c>
      <c r="W140">
        <f>(D140-$B$12)*$C$150</f>
        <v>-0.67300756547032325</v>
      </c>
      <c r="X140" s="6">
        <f>$B$150+$B$7*W140^2+$B$8*(W140-W$143)^2</f>
        <v>5.9131983382357693E-2</v>
      </c>
      <c r="Y140">
        <f>(D140-$B$12)*$C$151</f>
        <v>-0.71235664087061346</v>
      </c>
      <c r="Z140" s="6">
        <f>$B$151+$B$7*Y140^2+$B$8*(Y140-Y$143)^2</f>
        <v>6.4985519266666222E-2</v>
      </c>
      <c r="AA140">
        <f>(D140-$B$12)*$C$152</f>
        <v>-0.7608191499083099</v>
      </c>
      <c r="AB140" s="6">
        <f>$B$152+$B$7*AA140^2+$B$8*(AA140-AA$143)^2</f>
        <v>7.2703361092143967E-2</v>
      </c>
      <c r="AC140">
        <f>(D140-$B$12)*$C$153</f>
        <v>-0.82131681196568496</v>
      </c>
      <c r="AD140" s="6">
        <f>$B$153+$B$7*AC140^2+$B$8*(AC140-AC$143)^2</f>
        <v>8.3563181444844703E-2</v>
      </c>
      <c r="AE140">
        <f>(D140-$B$12)*$C$154</f>
        <v>-0.89773573144003305</v>
      </c>
      <c r="AF140" s="6">
        <f>$B$154+$B$7*AE140^2+$B$8*(AE140-AE$143)^2</f>
        <v>9.7873314216066473E-2</v>
      </c>
      <c r="AG140">
        <f>(D140-$B$12)*$C$155</f>
        <v>-0.99569825350747698</v>
      </c>
      <c r="AH140" s="6">
        <f>$B$155+$B$7*AG140^2+$B$8*(AG140-AG$143)^2</f>
        <v>0.11812666706432286</v>
      </c>
      <c r="AI140">
        <f>(D140-$B$12)*$C$156</f>
        <v>-1.1229969191984597</v>
      </c>
      <c r="AJ140">
        <f>$B$156+$B$9*AI140^2</f>
        <v>0.13652585697950603</v>
      </c>
      <c r="AK140">
        <f>(D140-$B$12)*$C$157</f>
        <v>-1.2924047999753883</v>
      </c>
      <c r="AL140">
        <f>$B$157+$B$9*AK140^2</f>
        <v>0.17817195024294372</v>
      </c>
      <c r="AM140">
        <f>(D140-$B$12)*$C$158</f>
        <v>-1.481854981946771</v>
      </c>
      <c r="AN140">
        <f>$B$158+$B$9*AM140^2</f>
        <v>0.23111435157880356</v>
      </c>
      <c r="AO140">
        <f>(D140-$B$12)*$C$159</f>
        <v>-1.3417230013545796</v>
      </c>
      <c r="AP140">
        <f>$B$159+$B$9*AO140^2</f>
        <v>0.19113111603994085</v>
      </c>
    </row>
    <row r="141" spans="1:42" x14ac:dyDescent="0.25">
      <c r="A141" s="139">
        <v>0.05</v>
      </c>
      <c r="B141" s="256">
        <f>'Sub C_D_0'!AX161</f>
        <v>1.2738452071513423E-2</v>
      </c>
      <c r="C141" s="256">
        <f>'C_L vs. α'!X442</f>
        <v>0.10625252697195428</v>
      </c>
      <c r="D141" s="144">
        <v>-4</v>
      </c>
      <c r="E141" s="14">
        <f t="shared" ref="E141:E151" si="190">(D141-$B$12)*$C$141</f>
        <v>-0.31875758091586281</v>
      </c>
      <c r="F141" s="6">
        <f t="shared" ref="F141:F151" si="191">$B$141+$B$7*E141^2+$B$8*(E141-E$143)^2</f>
        <v>2.4568385346580152E-2</v>
      </c>
      <c r="G141" s="14">
        <f t="shared" ref="G141:G151" si="192">(D141-$B$12)*$C$142</f>
        <v>-0.32130941361012511</v>
      </c>
      <c r="H141" s="6">
        <f t="shared" ref="H141:H151" si="193">$B$142+$B$7*G141^2+$B$8*(G141-G$143)^2</f>
        <v>2.344402305050914E-2</v>
      </c>
      <c r="I141" s="14">
        <f t="shared" ref="I141:I151" si="194">(D141-$B$12)*$C$143</f>
        <v>-0.32504767900597564</v>
      </c>
      <c r="J141" s="6">
        <f t="shared" ref="J141:J151" si="195">$B$143+$B$7*I141^2+$B$8*(I141-I$143)^2</f>
        <v>2.30430986873373E-2</v>
      </c>
      <c r="K141" s="14">
        <f t="shared" ref="K141:K151" si="196">(D141-$B$12)*$C$144</f>
        <v>-0.33019140407715952</v>
      </c>
      <c r="L141" s="6">
        <f t="shared" ref="L141:L151" si="197">$B$144+$B$7*K141^2+$B$8*(K141-K$143)^2</f>
        <v>2.2985605897826139E-2</v>
      </c>
      <c r="M141">
        <f t="shared" ref="M141:M151" si="198">(D141-$B$12)*$C$145</f>
        <v>-0.33691652509249015</v>
      </c>
      <c r="N141" s="6">
        <f t="shared" ref="N141:N151" si="199">$B$145+$B$7*M141^2+$B$8*(M141-M$143)^2</f>
        <v>2.3176970697672425E-2</v>
      </c>
      <c r="O141">
        <f t="shared" ref="O141:O151" si="200">(D141-$B$12)*$C$146</f>
        <v>-0.34511160590024481</v>
      </c>
      <c r="P141" s="6">
        <f t="shared" ref="P141:P151" si="201">$B$146+$B$7*O141^2+$B$8*(O141-O$143)^2</f>
        <v>2.4035622946771487E-2</v>
      </c>
      <c r="Q141">
        <f t="shared" ref="Q141:Q151" si="202">(D141-$B$12)*$C$147</f>
        <v>-0.35569346760509135</v>
      </c>
      <c r="R141" s="6">
        <f t="shared" ref="R141:R151" si="203">$B$147+$B$7*Q141^2+$B$8*(Q141-Q$143)^2</f>
        <v>2.4676438764790341E-2</v>
      </c>
      <c r="S141">
        <f t="shared" ref="S141:S151" si="204">(D141-$B$12)*$C$148</f>
        <v>-0.36867127296529967</v>
      </c>
      <c r="T141" s="6">
        <f t="shared" ref="T141:T151" si="205">$B$148+$B$7*S141^2+$B$8*(S141-S$143)^2</f>
        <v>2.5583609387805253E-2</v>
      </c>
      <c r="U141">
        <f t="shared" ref="U141:U151" si="206">(D141-$B$12)*$C$149</f>
        <v>-0.38450310288499001</v>
      </c>
      <c r="V141" s="6">
        <f t="shared" ref="V141:V151" si="207">$B$149+$B$7*U141^2+$B$8*(U141-U$143)^2</f>
        <v>2.681076279209026E-2</v>
      </c>
      <c r="W141">
        <f t="shared" ref="W141:W151" si="208">(D141-$B$12)*$C$150</f>
        <v>-0.40380453928219395</v>
      </c>
      <c r="X141" s="6">
        <f t="shared" ref="X141:X151" si="209">$B$150+$B$7*W141^2+$B$8*(W141-W$143)^2</f>
        <v>2.8441268791186726E-2</v>
      </c>
      <c r="Y141">
        <f t="shared" ref="Y141:Y151" si="210">(D141-$B$12)*$C$151</f>
        <v>-0.42741398452236812</v>
      </c>
      <c r="Z141" s="6">
        <f t="shared" ref="Z141:Z151" si="211">$B$151+$B$7*Y141^2+$B$8*(Y141-Y$143)^2</f>
        <v>3.0601070798451428E-2</v>
      </c>
      <c r="AA141">
        <f t="shared" ref="AA141:AA151" si="212">(D141-$B$12)*$C$152</f>
        <v>-0.4564914899449859</v>
      </c>
      <c r="AB141" s="6">
        <f t="shared" ref="AB141:AB151" si="213">$B$152+$B$7*AA141^2+$B$8*(AA141-AA$143)^2</f>
        <v>3.3481339127119994E-2</v>
      </c>
      <c r="AC141">
        <f t="shared" ref="AC141:AC151" si="214">(D141-$B$12)*$C$153</f>
        <v>-0.49279008717941097</v>
      </c>
      <c r="AD141" s="6">
        <f t="shared" ref="AD141:AD150" si="215">$B$153+$B$7*AC141^2+$B$8*(AC141-AC$143)^2</f>
        <v>3.7855569311158022E-2</v>
      </c>
      <c r="AE141">
        <f t="shared" ref="AE141:AE151" si="216">(D141-$B$12)*$C$154</f>
        <v>-0.53864143886401983</v>
      </c>
      <c r="AF141" s="6">
        <f t="shared" ref="AF141:AF151" si="217">$B$154+$B$7*AE141^2+$B$8*(AE141-AE$143)^2</f>
        <v>4.3264325968383255E-2</v>
      </c>
      <c r="AG141">
        <f t="shared" ref="AG141:AG151" si="218">(D141-$B$12)*$C$155</f>
        <v>-0.59741895210448615</v>
      </c>
      <c r="AH141" s="6">
        <f t="shared" ref="AH141:AH151" si="219">$B$155+$B$7*AG141^2+$B$8*(AG141-AG$143)^2</f>
        <v>5.0949358706471673E-2</v>
      </c>
      <c r="AI141">
        <f t="shared" ref="AI141:AI151" si="220">(D141-$B$12)*$C$156</f>
        <v>-0.67379815151907585</v>
      </c>
      <c r="AJ141">
        <f t="shared" ref="AJ141:AJ151" si="221">$B$156+$B$9*AI141^2</f>
        <v>5.5109052977097825E-2</v>
      </c>
      <c r="AK141">
        <f t="shared" ref="AK141:AK151" si="222">(D141-$B$12)*$C$157</f>
        <v>-0.77544287998523287</v>
      </c>
      <c r="AL141">
        <f t="shared" ref="AL141:AL151" si="223">$B$157+$B$9*AK141^2</f>
        <v>7.0338364906976231E-2</v>
      </c>
      <c r="AM141">
        <f t="shared" ref="AM141:AM151" si="224">(D141-$B$12)*$C$158</f>
        <v>-0.8891129891680627</v>
      </c>
      <c r="AN141">
        <f t="shared" ref="AN141:AN151" si="225">$B$158+$B$9*AM141^2</f>
        <v>8.9349577624203813E-2</v>
      </c>
      <c r="AO141">
        <f t="shared" ref="AO141:AO151" si="226">(D141-$B$12)*$C$159</f>
        <v>-0.80503380081274767</v>
      </c>
      <c r="AP141">
        <f t="shared" ref="AP141:AP151" si="227">$B$159+$B$9*AO141^2</f>
        <v>7.49106398300384E-2</v>
      </c>
    </row>
    <row r="142" spans="1:42" x14ac:dyDescent="0.25">
      <c r="A142" s="129">
        <v>0.1</v>
      </c>
      <c r="B142" s="256">
        <f>'Sub C_D_0'!AX162</f>
        <v>1.1423921144043975E-2</v>
      </c>
      <c r="C142" s="256">
        <f>'C_L vs. α'!X443</f>
        <v>0.10710313787004169</v>
      </c>
      <c r="D142" s="144">
        <v>-2</v>
      </c>
      <c r="E142" s="14">
        <f t="shared" si="190"/>
        <v>-0.10625252697195428</v>
      </c>
      <c r="F142" s="6">
        <f t="shared" si="191"/>
        <v>1.4554649079317541E-2</v>
      </c>
      <c r="G142" s="14">
        <f t="shared" si="192"/>
        <v>-0.10710313787004169</v>
      </c>
      <c r="H142" s="6">
        <f t="shared" si="193"/>
        <v>1.3269313895500512E-2</v>
      </c>
      <c r="I142" s="14">
        <f t="shared" si="194"/>
        <v>-0.10834922633532522</v>
      </c>
      <c r="J142" s="6">
        <f t="shared" si="195"/>
        <v>1.2630257535329195E-2</v>
      </c>
      <c r="K142" s="14">
        <f t="shared" si="196"/>
        <v>-0.11006380135905318</v>
      </c>
      <c r="L142" s="6">
        <f t="shared" si="197"/>
        <v>1.2240600681127827E-2</v>
      </c>
      <c r="M142">
        <f t="shared" si="198"/>
        <v>-0.11230550836416338</v>
      </c>
      <c r="N142" s="6">
        <f t="shared" si="199"/>
        <v>1.1989813768942956E-2</v>
      </c>
      <c r="O142">
        <f t="shared" si="200"/>
        <v>-0.11503720196674827</v>
      </c>
      <c r="P142" s="6">
        <f t="shared" si="201"/>
        <v>1.2297619469111749E-2</v>
      </c>
      <c r="Q142">
        <f t="shared" si="202"/>
        <v>-0.11856448920169711</v>
      </c>
      <c r="R142" s="6">
        <f t="shared" si="203"/>
        <v>1.2207574900528779E-2</v>
      </c>
      <c r="S142">
        <f t="shared" si="204"/>
        <v>-0.12289042432176656</v>
      </c>
      <c r="T142" s="6">
        <f t="shared" si="205"/>
        <v>1.2188270612115007E-2</v>
      </c>
      <c r="U142">
        <f t="shared" si="206"/>
        <v>-0.12816770096166333</v>
      </c>
      <c r="V142" s="6">
        <f t="shared" si="207"/>
        <v>1.224025114720218E-2</v>
      </c>
      <c r="W142">
        <f t="shared" si="208"/>
        <v>-0.13460151309406465</v>
      </c>
      <c r="X142" s="6">
        <f t="shared" si="209"/>
        <v>1.2371208802512777E-2</v>
      </c>
      <c r="Y142">
        <f t="shared" si="210"/>
        <v>-0.1424713281741227</v>
      </c>
      <c r="Z142" s="6">
        <f t="shared" si="211"/>
        <v>1.2596923390276078E-2</v>
      </c>
      <c r="AA142">
        <f t="shared" si="212"/>
        <v>-0.15216382998166197</v>
      </c>
      <c r="AB142" s="6">
        <f t="shared" si="213"/>
        <v>1.2944174898420494E-2</v>
      </c>
      <c r="AC142">
        <f t="shared" si="214"/>
        <v>-0.16426336239313699</v>
      </c>
      <c r="AD142" s="6">
        <f t="shared" si="215"/>
        <v>1.3922465155326722E-2</v>
      </c>
      <c r="AE142">
        <f t="shared" si="216"/>
        <v>-0.17954714628800661</v>
      </c>
      <c r="AF142" s="6">
        <f t="shared" si="217"/>
        <v>1.4670344734934979E-2</v>
      </c>
      <c r="AG142">
        <f t="shared" si="218"/>
        <v>-0.19913965070149539</v>
      </c>
      <c r="AH142" s="6">
        <f t="shared" si="219"/>
        <v>1.577444050828555E-2</v>
      </c>
      <c r="AI142">
        <f t="shared" si="220"/>
        <v>-0.22459938383969194</v>
      </c>
      <c r="AJ142">
        <f t="shared" si="221"/>
        <v>1.4400650975893714E-2</v>
      </c>
      <c r="AK142">
        <f t="shared" si="222"/>
        <v>-0.25848095999507764</v>
      </c>
      <c r="AL142">
        <f t="shared" si="223"/>
        <v>1.6421572238992484E-2</v>
      </c>
      <c r="AM142">
        <f t="shared" si="224"/>
        <v>-0.29637099638935421</v>
      </c>
      <c r="AN142">
        <f t="shared" si="225"/>
        <v>1.84671906469039E-2</v>
      </c>
      <c r="AO142">
        <f t="shared" si="226"/>
        <v>-0.26834460027091589</v>
      </c>
      <c r="AP142">
        <f t="shared" si="227"/>
        <v>1.680040172508716E-2</v>
      </c>
    </row>
    <row r="143" spans="1:42" s="29" customFormat="1" x14ac:dyDescent="0.25">
      <c r="A143" s="139">
        <v>0.15</v>
      </c>
      <c r="B143" s="256">
        <f>'Sub C_D_0'!AX163</f>
        <v>1.0741674648955006E-2</v>
      </c>
      <c r="C143" s="256">
        <f>'C_L vs. α'!X444</f>
        <v>0.10834922633532522</v>
      </c>
      <c r="D143" s="143">
        <v>0</v>
      </c>
      <c r="E143" s="83">
        <f t="shared" si="190"/>
        <v>0.10625252697195428</v>
      </c>
      <c r="F143" s="21">
        <f t="shared" si="191"/>
        <v>1.3651481120283472E-2</v>
      </c>
      <c r="G143" s="83">
        <f t="shared" si="192"/>
        <v>0.10710313787004169</v>
      </c>
      <c r="H143" s="21">
        <f t="shared" si="193"/>
        <v>1.2351627324171778E-2</v>
      </c>
      <c r="I143" s="83">
        <f t="shared" si="194"/>
        <v>0.10834922633532522</v>
      </c>
      <c r="J143" s="21">
        <f t="shared" si="195"/>
        <v>1.1691093147532113E-2</v>
      </c>
      <c r="K143" s="83">
        <f t="shared" si="196"/>
        <v>0.11006380135905318</v>
      </c>
      <c r="L143" s="21">
        <f t="shared" si="197"/>
        <v>1.1271477451559417E-2</v>
      </c>
      <c r="M143" s="99">
        <f t="shared" si="198"/>
        <v>0.11230550836416338</v>
      </c>
      <c r="N143" s="21">
        <f t="shared" si="199"/>
        <v>1.0980811592228303E-2</v>
      </c>
      <c r="O143" s="99">
        <f t="shared" si="200"/>
        <v>0.11503720196674827</v>
      </c>
      <c r="P143" s="21">
        <f t="shared" si="201"/>
        <v>1.1238934842204673E-2</v>
      </c>
      <c r="Q143" s="99">
        <f t="shared" si="202"/>
        <v>0.11856448920169711</v>
      </c>
      <c r="R143" s="21">
        <f t="shared" si="203"/>
        <v>1.108297185255603E-2</v>
      </c>
      <c r="S143" s="99">
        <f t="shared" si="204"/>
        <v>0.12289042432176656</v>
      </c>
      <c r="T143" s="21">
        <f t="shared" si="205"/>
        <v>1.0980106100916301E-2</v>
      </c>
      <c r="U143" s="99">
        <f t="shared" si="206"/>
        <v>0.12816770096166333</v>
      </c>
      <c r="V143" s="21">
        <f t="shared" si="207"/>
        <v>1.0926094381618311E-2</v>
      </c>
      <c r="W143" s="99">
        <f t="shared" si="208"/>
        <v>0.13460151309406465</v>
      </c>
      <c r="X143" s="21">
        <f t="shared" si="209"/>
        <v>1.0921803416335843E-2</v>
      </c>
      <c r="Y143" s="99">
        <f t="shared" si="210"/>
        <v>0.1424713281741227</v>
      </c>
      <c r="Z143" s="21">
        <f t="shared" si="211"/>
        <v>1.0973077042140194E-2</v>
      </c>
      <c r="AA143" s="99">
        <f t="shared" si="212"/>
        <v>0.15216382998166197</v>
      </c>
      <c r="AB143" s="21">
        <f t="shared" si="213"/>
        <v>1.1091868406045443E-2</v>
      </c>
      <c r="AC143" s="99">
        <f t="shared" si="214"/>
        <v>0.16426336239313699</v>
      </c>
      <c r="AD143" s="21">
        <f t="shared" si="215"/>
        <v>1.1763868977350798E-2</v>
      </c>
      <c r="AE143" s="99">
        <f t="shared" si="216"/>
        <v>0.17954714628800661</v>
      </c>
      <c r="AF143" s="21">
        <f t="shared" si="217"/>
        <v>1.2091370515721633E-2</v>
      </c>
      <c r="AG143" s="99">
        <f t="shared" si="218"/>
        <v>0.19913965070149539</v>
      </c>
      <c r="AH143" s="21">
        <f t="shared" si="219"/>
        <v>1.2601912469764462E-2</v>
      </c>
      <c r="AI143" s="99">
        <f t="shared" si="220"/>
        <v>0.22459938383969194</v>
      </c>
      <c r="AJ143" s="99">
        <f t="shared" si="221"/>
        <v>1.4400650975893714E-2</v>
      </c>
      <c r="AK143" s="99">
        <f t="shared" si="222"/>
        <v>0.25848095999507764</v>
      </c>
      <c r="AL143" s="99">
        <f t="shared" si="223"/>
        <v>1.6421572238992484E-2</v>
      </c>
      <c r="AM143" s="99">
        <f t="shared" si="224"/>
        <v>0.29637099638935421</v>
      </c>
      <c r="AN143" s="99">
        <f t="shared" si="225"/>
        <v>1.84671906469039E-2</v>
      </c>
      <c r="AO143" s="99">
        <f t="shared" si="226"/>
        <v>0.26834460027091589</v>
      </c>
      <c r="AP143" s="99">
        <f t="shared" si="227"/>
        <v>1.680040172508716E-2</v>
      </c>
    </row>
    <row r="144" spans="1:42" x14ac:dyDescent="0.25">
      <c r="A144" s="129">
        <v>0.2</v>
      </c>
      <c r="B144" s="256">
        <f>'Sub C_D_0'!AX164</f>
        <v>1.0291773010560281E-2</v>
      </c>
      <c r="C144" s="256">
        <f>'C_L vs. α'!X445</f>
        <v>0.11006380135905318</v>
      </c>
      <c r="D144" s="144">
        <v>2</v>
      </c>
      <c r="E144" s="14">
        <f t="shared" si="190"/>
        <v>0.31875758091586281</v>
      </c>
      <c r="F144" s="6">
        <f t="shared" si="191"/>
        <v>2.1858881469477943E-2</v>
      </c>
      <c r="G144" s="14">
        <f t="shared" si="192"/>
        <v>0.32130941361012511</v>
      </c>
      <c r="H144" s="6">
        <f t="shared" si="193"/>
        <v>2.0690963336522941E-2</v>
      </c>
      <c r="I144" s="14">
        <f t="shared" si="194"/>
        <v>0.32504767900597564</v>
      </c>
      <c r="J144" s="6">
        <f t="shared" si="195"/>
        <v>2.022560552394605E-2</v>
      </c>
      <c r="K144" s="14">
        <f t="shared" si="196"/>
        <v>0.33019140407715952</v>
      </c>
      <c r="L144" s="6">
        <f t="shared" si="197"/>
        <v>2.0078236209120911E-2</v>
      </c>
      <c r="M144">
        <f t="shared" si="198"/>
        <v>0.33691652509249015</v>
      </c>
      <c r="N144" s="6">
        <f t="shared" si="199"/>
        <v>2.0149964167528466E-2</v>
      </c>
      <c r="O144">
        <f t="shared" si="200"/>
        <v>0.34511160590024481</v>
      </c>
      <c r="P144" s="6">
        <f t="shared" si="201"/>
        <v>2.0859569066050264E-2</v>
      </c>
      <c r="Q144">
        <f t="shared" si="202"/>
        <v>0.35569346760509135</v>
      </c>
      <c r="R144" s="6">
        <f t="shared" si="203"/>
        <v>2.1302629620872097E-2</v>
      </c>
      <c r="S144">
        <f t="shared" si="204"/>
        <v>0.36867127296529967</v>
      </c>
      <c r="T144" s="6">
        <f t="shared" si="205"/>
        <v>2.1959115854209132E-2</v>
      </c>
      <c r="U144">
        <f t="shared" si="206"/>
        <v>0.38450310288499001</v>
      </c>
      <c r="V144" s="6">
        <f t="shared" si="207"/>
        <v>2.2868292495338654E-2</v>
      </c>
      <c r="W144">
        <f t="shared" si="208"/>
        <v>0.40380453928219395</v>
      </c>
      <c r="X144" s="6">
        <f t="shared" si="209"/>
        <v>2.4093052632655928E-2</v>
      </c>
      <c r="Y144">
        <f t="shared" si="210"/>
        <v>0.42741398452236812</v>
      </c>
      <c r="Z144" s="6">
        <f t="shared" si="211"/>
        <v>2.5729531754043772E-2</v>
      </c>
      <c r="AA144">
        <f t="shared" si="212"/>
        <v>0.4564914899449859</v>
      </c>
      <c r="AB144" s="6">
        <f t="shared" si="213"/>
        <v>2.7924419649994842E-2</v>
      </c>
      <c r="AC144">
        <f t="shared" si="214"/>
        <v>0.49279008717941097</v>
      </c>
      <c r="AD144" s="6">
        <f t="shared" si="215"/>
        <v>3.1379780777230248E-2</v>
      </c>
      <c r="AE144">
        <f t="shared" si="216"/>
        <v>0.53864143886401983</v>
      </c>
      <c r="AF144" s="6">
        <f t="shared" si="217"/>
        <v>3.5527403310743215E-2</v>
      </c>
      <c r="AG144">
        <f t="shared" si="218"/>
        <v>0.59741895210448615</v>
      </c>
      <c r="AH144" s="6">
        <f t="shared" si="219"/>
        <v>4.1431774590908417E-2</v>
      </c>
      <c r="AI144">
        <f t="shared" si="220"/>
        <v>0.67379815151907585</v>
      </c>
      <c r="AJ144">
        <f t="shared" si="221"/>
        <v>5.5109052977097825E-2</v>
      </c>
      <c r="AK144">
        <f t="shared" si="222"/>
        <v>0.77544287998523287</v>
      </c>
      <c r="AL144">
        <f t="shared" si="223"/>
        <v>7.0338364906976231E-2</v>
      </c>
      <c r="AM144">
        <f t="shared" si="224"/>
        <v>0.8891129891680627</v>
      </c>
      <c r="AN144">
        <f t="shared" si="225"/>
        <v>8.9349577624203813E-2</v>
      </c>
      <c r="AO144">
        <f t="shared" si="226"/>
        <v>0.80503380081274767</v>
      </c>
      <c r="AP144">
        <f t="shared" si="227"/>
        <v>7.49106398300384E-2</v>
      </c>
    </row>
    <row r="145" spans="1:42" x14ac:dyDescent="0.25">
      <c r="A145" s="139">
        <v>0.25</v>
      </c>
      <c r="B145" s="256">
        <f>'Sub C_D_0'!AX165</f>
        <v>9.960792792405115E-3</v>
      </c>
      <c r="C145" s="256">
        <f>'C_L vs. α'!X446</f>
        <v>0.11230550836416338</v>
      </c>
      <c r="D145" s="144">
        <v>4</v>
      </c>
      <c r="E145" s="14">
        <f t="shared" si="190"/>
        <v>0.53126263485977143</v>
      </c>
      <c r="F145" s="6">
        <f t="shared" si="191"/>
        <v>3.9176850126900954E-2</v>
      </c>
      <c r="G145" s="14">
        <f t="shared" si="192"/>
        <v>0.53551568935020843</v>
      </c>
      <c r="H145" s="6">
        <f t="shared" si="193"/>
        <v>3.8287321932553998E-2</v>
      </c>
      <c r="I145" s="14">
        <f t="shared" si="194"/>
        <v>0.54174613167662611</v>
      </c>
      <c r="J145" s="6">
        <f t="shared" si="195"/>
        <v>3.8233794664571018E-2</v>
      </c>
      <c r="K145" s="14">
        <f t="shared" si="196"/>
        <v>0.55031900679526591</v>
      </c>
      <c r="L145" s="6">
        <f t="shared" si="197"/>
        <v>3.8660876953812318E-2</v>
      </c>
      <c r="M145">
        <f t="shared" si="198"/>
        <v>0.56152754182081688</v>
      </c>
      <c r="N145" s="6">
        <f t="shared" si="199"/>
        <v>3.9497271494843438E-2</v>
      </c>
      <c r="O145">
        <f t="shared" si="200"/>
        <v>0.57518600983374135</v>
      </c>
      <c r="P145" s="6">
        <f t="shared" si="201"/>
        <v>4.1159522140648511E-2</v>
      </c>
      <c r="Q145">
        <f t="shared" si="202"/>
        <v>0.59282244600848555</v>
      </c>
      <c r="R145" s="6">
        <f t="shared" si="203"/>
        <v>4.2866548205476973E-2</v>
      </c>
      <c r="S145">
        <f t="shared" si="204"/>
        <v>0.61445212160883278</v>
      </c>
      <c r="T145" s="6">
        <f t="shared" si="205"/>
        <v>4.5125299871993499E-2</v>
      </c>
      <c r="U145">
        <f t="shared" si="206"/>
        <v>0.64083850480831661</v>
      </c>
      <c r="V145" s="6">
        <f t="shared" si="207"/>
        <v>4.8066845488363201E-2</v>
      </c>
      <c r="W145">
        <f t="shared" si="208"/>
        <v>0.67300756547032325</v>
      </c>
      <c r="X145" s="6">
        <f t="shared" si="209"/>
        <v>5.1884956451473035E-2</v>
      </c>
      <c r="Y145">
        <f t="shared" si="210"/>
        <v>0.71235664087061346</v>
      </c>
      <c r="Z145" s="6">
        <f t="shared" si="211"/>
        <v>5.686628752598679E-2</v>
      </c>
      <c r="AA145">
        <f t="shared" si="212"/>
        <v>0.7608191499083099</v>
      </c>
      <c r="AB145" s="6">
        <f t="shared" si="213"/>
        <v>6.3441828630268718E-2</v>
      </c>
      <c r="AC145">
        <f t="shared" si="214"/>
        <v>0.82131681196568496</v>
      </c>
      <c r="AD145" s="6">
        <f t="shared" si="215"/>
        <v>7.2770200554965081E-2</v>
      </c>
      <c r="AE145">
        <f t="shared" si="216"/>
        <v>0.89773573144003305</v>
      </c>
      <c r="AF145" s="6">
        <f t="shared" si="217"/>
        <v>8.4978443119999733E-2</v>
      </c>
      <c r="AG145">
        <f t="shared" si="218"/>
        <v>0.99569825350747698</v>
      </c>
      <c r="AH145" s="6">
        <f t="shared" si="219"/>
        <v>0.10226402687171741</v>
      </c>
      <c r="AI145">
        <f t="shared" si="220"/>
        <v>1.1229969191984597</v>
      </c>
      <c r="AJ145">
        <f t="shared" si="221"/>
        <v>0.13652585697950603</v>
      </c>
      <c r="AK145">
        <f t="shared" si="222"/>
        <v>1.2924047999753883</v>
      </c>
      <c r="AL145">
        <f t="shared" si="223"/>
        <v>0.17817195024294372</v>
      </c>
      <c r="AM145">
        <f t="shared" si="224"/>
        <v>1.481854981946771</v>
      </c>
      <c r="AN145">
        <f t="shared" si="225"/>
        <v>0.23111435157880356</v>
      </c>
      <c r="AO145">
        <f t="shared" si="226"/>
        <v>1.3417230013545796</v>
      </c>
      <c r="AP145">
        <f t="shared" si="227"/>
        <v>0.19113111603994085</v>
      </c>
    </row>
    <row r="146" spans="1:42" x14ac:dyDescent="0.25">
      <c r="A146" s="129">
        <v>0.3</v>
      </c>
      <c r="B146" s="256">
        <f>'Sub C_D_0'!AX166</f>
        <v>1.0168691142587359E-2</v>
      </c>
      <c r="C146" s="256">
        <f>'C_L vs. α'!X447</f>
        <v>0.11503720196674827</v>
      </c>
      <c r="D146" s="144">
        <v>6</v>
      </c>
      <c r="E146" s="14">
        <f t="shared" si="190"/>
        <v>0.74376768880367994</v>
      </c>
      <c r="F146" s="6">
        <f t="shared" si="191"/>
        <v>6.5605387092552495E-2</v>
      </c>
      <c r="G146" s="14">
        <f t="shared" si="192"/>
        <v>0.74972196509029188</v>
      </c>
      <c r="H146" s="6">
        <f t="shared" si="193"/>
        <v>6.5140703112264969E-2</v>
      </c>
      <c r="I146" s="14">
        <f t="shared" si="194"/>
        <v>0.75844458434727657</v>
      </c>
      <c r="J146" s="6">
        <f t="shared" si="195"/>
        <v>6.5715660569407003E-2</v>
      </c>
      <c r="K146" s="14">
        <f t="shared" si="196"/>
        <v>0.77044660951337229</v>
      </c>
      <c r="L146" s="6">
        <f t="shared" si="197"/>
        <v>6.7019399685633627E-2</v>
      </c>
      <c r="M146">
        <f t="shared" si="198"/>
        <v>0.78613855854914361</v>
      </c>
      <c r="N146" s="6">
        <f t="shared" si="199"/>
        <v>6.9022733574173212E-2</v>
      </c>
      <c r="O146">
        <f t="shared" si="200"/>
        <v>0.80526041376723789</v>
      </c>
      <c r="P146" s="6">
        <f t="shared" si="201"/>
        <v>7.2138794065999434E-2</v>
      </c>
      <c r="Q146">
        <f t="shared" si="202"/>
        <v>0.82995142441187975</v>
      </c>
      <c r="R146" s="6">
        <f t="shared" si="203"/>
        <v>7.5774727606370676E-2</v>
      </c>
      <c r="S146">
        <f t="shared" si="204"/>
        <v>0.86023297025236589</v>
      </c>
      <c r="T146" s="6">
        <f t="shared" si="205"/>
        <v>8.0478658154269397E-2</v>
      </c>
      <c r="U146">
        <f t="shared" si="206"/>
        <v>0.89717390673164332</v>
      </c>
      <c r="V146" s="6">
        <f t="shared" si="207"/>
        <v>8.6521753360691955E-2</v>
      </c>
      <c r="W146">
        <f t="shared" si="208"/>
        <v>0.94221059165845256</v>
      </c>
      <c r="X146" s="6">
        <f t="shared" si="209"/>
        <v>9.4297514872787161E-2</v>
      </c>
      <c r="Y146">
        <f t="shared" si="210"/>
        <v>0.9972992972188589</v>
      </c>
      <c r="Z146" s="6">
        <f t="shared" si="211"/>
        <v>0.1043833443579693</v>
      </c>
      <c r="AA146">
        <f t="shared" si="212"/>
        <v>1.0651468098716339</v>
      </c>
      <c r="AB146" s="6">
        <f t="shared" si="213"/>
        <v>0.11764409534686703</v>
      </c>
      <c r="AC146">
        <f t="shared" si="214"/>
        <v>1.149843536751959</v>
      </c>
      <c r="AD146" s="6">
        <f t="shared" si="215"/>
        <v>0.13593512831055529</v>
      </c>
      <c r="AE146">
        <f t="shared" si="216"/>
        <v>1.2568300240160464</v>
      </c>
      <c r="AF146" s="6">
        <f t="shared" si="217"/>
        <v>0.1604444899434912</v>
      </c>
      <c r="AG146">
        <f t="shared" si="218"/>
        <v>1.3939775549104678</v>
      </c>
      <c r="AH146" s="6">
        <f t="shared" si="219"/>
        <v>0.19509866931219147</v>
      </c>
      <c r="AI146">
        <f t="shared" si="220"/>
        <v>1.5721956868778435</v>
      </c>
      <c r="AJ146">
        <f t="shared" si="221"/>
        <v>0.2586510629831183</v>
      </c>
      <c r="AK146">
        <f t="shared" si="222"/>
        <v>1.8093667199655434</v>
      </c>
      <c r="AL146">
        <f t="shared" si="223"/>
        <v>0.33992232824689494</v>
      </c>
      <c r="AM146">
        <f t="shared" si="224"/>
        <v>2.0745969747254795</v>
      </c>
      <c r="AN146">
        <f t="shared" si="225"/>
        <v>0.44376151251070334</v>
      </c>
      <c r="AO146">
        <f t="shared" si="226"/>
        <v>1.8784122018964111</v>
      </c>
      <c r="AP146">
        <f t="shared" si="227"/>
        <v>0.36546183035479446</v>
      </c>
    </row>
    <row r="147" spans="1:42" x14ac:dyDescent="0.25">
      <c r="A147" s="139">
        <v>0.35</v>
      </c>
      <c r="B147" s="256">
        <f>'Sub C_D_0'!AX167</f>
        <v>9.946090012513115E-3</v>
      </c>
      <c r="C147" s="256">
        <f>'C_L vs. α'!X448</f>
        <v>0.11856448920169711</v>
      </c>
      <c r="D147" s="144">
        <v>8</v>
      </c>
      <c r="E147" s="14">
        <f t="shared" si="190"/>
        <v>0.95627274274758856</v>
      </c>
      <c r="F147" s="6">
        <f t="shared" si="191"/>
        <v>0.10114449236643261</v>
      </c>
      <c r="G147" s="14">
        <f t="shared" si="192"/>
        <v>0.9639282408303752</v>
      </c>
      <c r="H147" s="6">
        <f t="shared" si="193"/>
        <v>0.10125110687565579</v>
      </c>
      <c r="I147" s="14">
        <f t="shared" si="194"/>
        <v>0.97514303701792693</v>
      </c>
      <c r="J147" s="6">
        <f t="shared" si="195"/>
        <v>0.10267120323845401</v>
      </c>
      <c r="K147" s="14">
        <f t="shared" si="196"/>
        <v>0.99057421223147857</v>
      </c>
      <c r="L147" s="6">
        <f t="shared" si="197"/>
        <v>0.10515380440458481</v>
      </c>
      <c r="M147">
        <f t="shared" si="198"/>
        <v>1.0107495752774704</v>
      </c>
      <c r="N147" s="6">
        <f t="shared" si="199"/>
        <v>0.10872635040551783</v>
      </c>
      <c r="O147">
        <f t="shared" si="200"/>
        <v>1.0353348177007344</v>
      </c>
      <c r="P147" s="6">
        <f t="shared" si="201"/>
        <v>0.11379738484210301</v>
      </c>
      <c r="Q147">
        <f t="shared" si="202"/>
        <v>1.0670804028152741</v>
      </c>
      <c r="R147" s="6">
        <f t="shared" si="203"/>
        <v>0.1200271678235532</v>
      </c>
      <c r="S147">
        <f t="shared" si="204"/>
        <v>1.106013818895899</v>
      </c>
      <c r="T147" s="6">
        <f t="shared" si="205"/>
        <v>0.12801919070103684</v>
      </c>
      <c r="U147">
        <f t="shared" si="206"/>
        <v>1.1535093086549699</v>
      </c>
      <c r="V147" s="6">
        <f t="shared" si="207"/>
        <v>0.13823301611232494</v>
      </c>
      <c r="W147">
        <f t="shared" si="208"/>
        <v>1.2114136178465817</v>
      </c>
      <c r="X147" s="6">
        <f t="shared" si="209"/>
        <v>0.15133072789659829</v>
      </c>
      <c r="Y147">
        <f t="shared" si="210"/>
        <v>1.2822419535671044</v>
      </c>
      <c r="Z147" s="6">
        <f t="shared" si="211"/>
        <v>0.16828070224999125</v>
      </c>
      <c r="AA147">
        <f t="shared" si="212"/>
        <v>1.3694744698349577</v>
      </c>
      <c r="AB147" s="6">
        <f t="shared" si="213"/>
        <v>0.19053121979978976</v>
      </c>
      <c r="AC147">
        <f t="shared" si="214"/>
        <v>1.4783702615382328</v>
      </c>
      <c r="AD147" s="6">
        <f t="shared" si="215"/>
        <v>0.22087456404400083</v>
      </c>
      <c r="AE147">
        <f t="shared" si="216"/>
        <v>1.6159243165920594</v>
      </c>
      <c r="AF147" s="6">
        <f t="shared" si="217"/>
        <v>0.26192554378121752</v>
      </c>
      <c r="AG147">
        <f t="shared" si="218"/>
        <v>1.7922568563134584</v>
      </c>
      <c r="AH147" s="6">
        <f t="shared" si="219"/>
        <v>0.31993570191233051</v>
      </c>
      <c r="AI147">
        <f t="shared" si="220"/>
        <v>2.0213944545572273</v>
      </c>
      <c r="AJ147">
        <f t="shared" si="221"/>
        <v>0.42148467098793468</v>
      </c>
      <c r="AK147">
        <f t="shared" si="222"/>
        <v>2.3263286399556988</v>
      </c>
      <c r="AL147">
        <f t="shared" si="223"/>
        <v>0.55558949891882992</v>
      </c>
      <c r="AM147">
        <f t="shared" si="224"/>
        <v>2.6673389675041879</v>
      </c>
      <c r="AN147">
        <f t="shared" si="225"/>
        <v>0.72729106041990288</v>
      </c>
      <c r="AO147">
        <f t="shared" si="226"/>
        <v>2.4151014024382431</v>
      </c>
      <c r="AP147">
        <f t="shared" si="227"/>
        <v>0.59790278277459952</v>
      </c>
    </row>
    <row r="148" spans="1:42" x14ac:dyDescent="0.25">
      <c r="A148" s="129">
        <v>0.4</v>
      </c>
      <c r="B148" s="256">
        <f>'Sub C_D_0'!AX168</f>
        <v>9.7587504456545359E-3</v>
      </c>
      <c r="C148" s="256">
        <f>'C_L vs. α'!X449</f>
        <v>0.12289042432176656</v>
      </c>
      <c r="D148" s="144">
        <v>10</v>
      </c>
      <c r="E148" s="14">
        <f t="shared" si="190"/>
        <v>1.1687777966914972</v>
      </c>
      <c r="F148" s="6">
        <f t="shared" si="191"/>
        <v>0.14579416594854125</v>
      </c>
      <c r="G148" s="14">
        <f t="shared" si="192"/>
        <v>1.1781345165704586</v>
      </c>
      <c r="H148" s="6">
        <f t="shared" si="193"/>
        <v>0.14661853322272655</v>
      </c>
      <c r="I148" s="14">
        <f t="shared" si="194"/>
        <v>1.1918414896885774</v>
      </c>
      <c r="J148" s="6">
        <f t="shared" si="195"/>
        <v>0.14910042267171203</v>
      </c>
      <c r="K148" s="14">
        <f t="shared" si="196"/>
        <v>1.210701814949585</v>
      </c>
      <c r="L148" s="6">
        <f t="shared" si="197"/>
        <v>0.15306409111066593</v>
      </c>
      <c r="M148">
        <f t="shared" si="198"/>
        <v>1.2353605920057971</v>
      </c>
      <c r="N148" s="6">
        <f t="shared" si="199"/>
        <v>0.15860812198887722</v>
      </c>
      <c r="O148">
        <f t="shared" si="200"/>
        <v>1.265409221634231</v>
      </c>
      <c r="P148" s="6">
        <f t="shared" si="201"/>
        <v>0.16613529446895925</v>
      </c>
      <c r="Q148">
        <f t="shared" si="202"/>
        <v>1.3042093812186681</v>
      </c>
      <c r="R148" s="6">
        <f t="shared" si="203"/>
        <v>0.1756238688570245</v>
      </c>
      <c r="S148">
        <f t="shared" si="204"/>
        <v>1.3517946675394321</v>
      </c>
      <c r="T148" s="6">
        <f t="shared" si="205"/>
        <v>0.18774689751229584</v>
      </c>
      <c r="U148">
        <f t="shared" si="206"/>
        <v>1.4098447105782965</v>
      </c>
      <c r="V148" s="6">
        <f t="shared" si="207"/>
        <v>0.20320063374326208</v>
      </c>
      <c r="W148">
        <f t="shared" si="208"/>
        <v>1.4806166440347113</v>
      </c>
      <c r="X148" s="6">
        <f t="shared" si="209"/>
        <v>0.2229845955229065</v>
      </c>
      <c r="Y148">
        <f t="shared" si="210"/>
        <v>1.5671846099153497</v>
      </c>
      <c r="Z148" s="6">
        <f t="shared" si="211"/>
        <v>0.24855836120205266</v>
      </c>
      <c r="AA148">
        <f t="shared" si="212"/>
        <v>1.6738021297982817</v>
      </c>
      <c r="AB148" s="6">
        <f t="shared" si="213"/>
        <v>0.28210320198903699</v>
      </c>
      <c r="AC148">
        <f t="shared" si="214"/>
        <v>1.806896986324507</v>
      </c>
      <c r="AD148" s="6">
        <f t="shared" si="215"/>
        <v>0.32758850775530185</v>
      </c>
      <c r="AE148">
        <f t="shared" si="216"/>
        <v>1.9750186091680728</v>
      </c>
      <c r="AF148" s="6">
        <f t="shared" si="217"/>
        <v>0.38942160463317887</v>
      </c>
      <c r="AG148">
        <f t="shared" si="218"/>
        <v>2.1905361577164495</v>
      </c>
      <c r="AH148" s="6">
        <f t="shared" si="219"/>
        <v>0.47677512467213479</v>
      </c>
      <c r="AI148">
        <f t="shared" si="220"/>
        <v>2.4705932222366114</v>
      </c>
      <c r="AJ148">
        <f t="shared" si="221"/>
        <v>0.62502668099395531</v>
      </c>
      <c r="AK148">
        <f t="shared" si="222"/>
        <v>2.8432905599458542</v>
      </c>
      <c r="AL148">
        <f t="shared" si="223"/>
        <v>0.82517346225874877</v>
      </c>
      <c r="AM148">
        <f t="shared" si="224"/>
        <v>3.2600809602828962</v>
      </c>
      <c r="AN148">
        <f t="shared" si="225"/>
        <v>1.0817029953064023</v>
      </c>
      <c r="AO148">
        <f t="shared" si="226"/>
        <v>2.9517906029800747</v>
      </c>
      <c r="AP148">
        <f t="shared" si="227"/>
        <v>0.88845397329935538</v>
      </c>
    </row>
    <row r="149" spans="1:42" x14ac:dyDescent="0.25">
      <c r="A149" s="139">
        <v>0.45</v>
      </c>
      <c r="B149" s="256">
        <f>'Sub C_D_0'!AX169</f>
        <v>9.597589213101252E-3</v>
      </c>
      <c r="C149" s="256">
        <f>'C_L vs. α'!X450</f>
        <v>0.12816770096166333</v>
      </c>
      <c r="D149" s="144">
        <v>12</v>
      </c>
      <c r="E149" s="14">
        <f t="shared" si="190"/>
        <v>1.3812828506354056</v>
      </c>
      <c r="F149" s="6">
        <f t="shared" si="191"/>
        <v>0.1995544078388784</v>
      </c>
      <c r="G149" s="14">
        <f t="shared" si="192"/>
        <v>1.392340792310542</v>
      </c>
      <c r="H149" s="6">
        <f t="shared" si="193"/>
        <v>0.20124298215347719</v>
      </c>
      <c r="I149" s="14">
        <f t="shared" si="194"/>
        <v>1.4085399423592277</v>
      </c>
      <c r="J149" s="6">
        <f t="shared" si="195"/>
        <v>0.20500331886918105</v>
      </c>
      <c r="K149" s="14">
        <f t="shared" si="196"/>
        <v>1.4308294176676912</v>
      </c>
      <c r="L149" s="6">
        <f t="shared" si="197"/>
        <v>0.21075025980387693</v>
      </c>
      <c r="M149">
        <f t="shared" si="198"/>
        <v>1.4599716087341239</v>
      </c>
      <c r="N149" s="6">
        <f t="shared" si="199"/>
        <v>0.21866804832425146</v>
      </c>
      <c r="O149">
        <f t="shared" si="200"/>
        <v>1.4954836255677275</v>
      </c>
      <c r="P149" s="6">
        <f t="shared" si="201"/>
        <v>0.22915252294656815</v>
      </c>
      <c r="Q149">
        <f t="shared" si="202"/>
        <v>1.5413383596220624</v>
      </c>
      <c r="R149" s="6">
        <f t="shared" si="203"/>
        <v>0.24256483070678467</v>
      </c>
      <c r="S149">
        <f t="shared" si="204"/>
        <v>1.5975755161829652</v>
      </c>
      <c r="T149" s="6">
        <f t="shared" si="205"/>
        <v>0.25966177858804634</v>
      </c>
      <c r="U149">
        <f t="shared" si="206"/>
        <v>1.6661801125016233</v>
      </c>
      <c r="V149" s="6">
        <f t="shared" si="207"/>
        <v>0.28142460625350352</v>
      </c>
      <c r="W149">
        <f t="shared" si="208"/>
        <v>1.7498196702228404</v>
      </c>
      <c r="X149" s="6">
        <f t="shared" si="209"/>
        <v>0.30925911775171161</v>
      </c>
      <c r="Y149">
        <f t="shared" si="210"/>
        <v>1.852127266263595</v>
      </c>
      <c r="Z149" s="6">
        <f t="shared" si="211"/>
        <v>0.34521632121415352</v>
      </c>
      <c r="AA149">
        <f t="shared" si="212"/>
        <v>1.9781297897616057</v>
      </c>
      <c r="AB149" s="6">
        <f t="shared" si="213"/>
        <v>0.39236004191460871</v>
      </c>
      <c r="AC149">
        <f t="shared" si="214"/>
        <v>2.1354237111107808</v>
      </c>
      <c r="AD149" s="6">
        <f t="shared" si="215"/>
        <v>0.45607695944445814</v>
      </c>
      <c r="AE149">
        <f t="shared" si="216"/>
        <v>2.3341129017440858</v>
      </c>
      <c r="AF149" s="6">
        <f t="shared" si="217"/>
        <v>0.54293267249937505</v>
      </c>
      <c r="AG149">
        <f t="shared" si="218"/>
        <v>2.5888154591194401</v>
      </c>
      <c r="AH149" s="6">
        <f t="shared" si="219"/>
        <v>0.6656169375916039</v>
      </c>
      <c r="AI149">
        <f t="shared" si="220"/>
        <v>2.9197919899159954</v>
      </c>
      <c r="AJ149">
        <f t="shared" si="221"/>
        <v>0.86927709300118006</v>
      </c>
      <c r="AK149">
        <f t="shared" si="222"/>
        <v>3.3602524799360092</v>
      </c>
      <c r="AL149">
        <f t="shared" si="223"/>
        <v>1.1486742182666509</v>
      </c>
      <c r="AM149">
        <f t="shared" si="224"/>
        <v>3.8528229530616049</v>
      </c>
      <c r="AN149">
        <f t="shared" si="225"/>
        <v>1.506997317170202</v>
      </c>
      <c r="AO149">
        <f t="shared" si="226"/>
        <v>3.4884798035219067</v>
      </c>
      <c r="AP149">
        <f t="shared" si="227"/>
        <v>1.2371154019290631</v>
      </c>
    </row>
    <row r="150" spans="1:42" x14ac:dyDescent="0.25">
      <c r="A150" s="129">
        <v>0.5</v>
      </c>
      <c r="B150" s="256">
        <f>'Sub C_D_0'!AX170</f>
        <v>9.4565729375679485E-3</v>
      </c>
      <c r="C150" s="256">
        <f>'C_L vs. α'!X451</f>
        <v>0.13460151309406465</v>
      </c>
      <c r="D150" s="144">
        <v>14</v>
      </c>
      <c r="E150" s="14">
        <f t="shared" si="190"/>
        <v>1.5937879045793142</v>
      </c>
      <c r="F150" s="6">
        <f t="shared" si="191"/>
        <v>0.26242521803744406</v>
      </c>
      <c r="G150" s="14">
        <f t="shared" si="192"/>
        <v>1.6065470680506253</v>
      </c>
      <c r="H150" s="6">
        <f t="shared" si="193"/>
        <v>0.26512445366790766</v>
      </c>
      <c r="I150" s="14">
        <f t="shared" si="194"/>
        <v>1.6252383950298783</v>
      </c>
      <c r="J150" s="6">
        <f t="shared" si="195"/>
        <v>0.2703798918308612</v>
      </c>
      <c r="K150" s="14">
        <f t="shared" si="196"/>
        <v>1.6509570203857977</v>
      </c>
      <c r="L150" s="6">
        <f t="shared" si="197"/>
        <v>0.27821231048421791</v>
      </c>
      <c r="M150">
        <f t="shared" si="198"/>
        <v>1.6845826254624507</v>
      </c>
      <c r="N150" s="6">
        <f t="shared" si="199"/>
        <v>0.28890612941164051</v>
      </c>
      <c r="O150">
        <f t="shared" si="200"/>
        <v>1.7255580295012241</v>
      </c>
      <c r="P150" s="6">
        <f t="shared" si="201"/>
        <v>0.30284907027492969</v>
      </c>
      <c r="Q150">
        <f t="shared" si="202"/>
        <v>1.7784673380254568</v>
      </c>
      <c r="R150" s="6">
        <f t="shared" si="203"/>
        <v>0.32085005337283368</v>
      </c>
      <c r="S150">
        <f t="shared" si="204"/>
        <v>1.8433563648264983</v>
      </c>
      <c r="T150" s="6">
        <f t="shared" si="205"/>
        <v>0.34376383392828846</v>
      </c>
      <c r="U150">
        <f t="shared" si="206"/>
        <v>1.9225155144249499</v>
      </c>
      <c r="V150" s="6">
        <f t="shared" si="207"/>
        <v>0.37290493364304911</v>
      </c>
      <c r="W150">
        <f t="shared" si="208"/>
        <v>2.0190226964109699</v>
      </c>
      <c r="X150" s="6">
        <f t="shared" si="209"/>
        <v>0.41015429458301395</v>
      </c>
      <c r="Y150">
        <f t="shared" si="210"/>
        <v>2.1370699226118406</v>
      </c>
      <c r="Z150" s="6">
        <f t="shared" si="211"/>
        <v>0.4582545822862939</v>
      </c>
      <c r="AA150">
        <f t="shared" si="212"/>
        <v>2.2824574497249297</v>
      </c>
      <c r="AB150" s="6">
        <f t="shared" si="213"/>
        <v>0.52130173957650483</v>
      </c>
      <c r="AC150">
        <f t="shared" si="214"/>
        <v>2.463950435897055</v>
      </c>
      <c r="AD150" s="6">
        <f t="shared" si="215"/>
        <v>0.60633991911146978</v>
      </c>
      <c r="AE150">
        <f t="shared" si="216"/>
        <v>2.6932071943200993</v>
      </c>
      <c r="AF150" s="6">
        <f t="shared" si="217"/>
        <v>0.7224587473798062</v>
      </c>
      <c r="AG150">
        <f t="shared" si="218"/>
        <v>2.9870947605224307</v>
      </c>
      <c r="AH150" s="6">
        <f t="shared" si="219"/>
        <v>0.88646114067073789</v>
      </c>
      <c r="AI150">
        <f t="shared" si="220"/>
        <v>3.368990757595379</v>
      </c>
      <c r="AJ150">
        <f t="shared" si="221"/>
        <v>1.1542359070096089</v>
      </c>
      <c r="AK150">
        <f t="shared" si="222"/>
        <v>3.8772143999261646</v>
      </c>
      <c r="AL150">
        <f t="shared" si="223"/>
        <v>1.5260917669425371</v>
      </c>
      <c r="AM150">
        <f t="shared" si="224"/>
        <v>4.4455649458403128</v>
      </c>
      <c r="AN150">
        <f t="shared" si="225"/>
        <v>2.0031740260113007</v>
      </c>
      <c r="AO150">
        <f t="shared" si="226"/>
        <v>4.0251690040637387</v>
      </c>
      <c r="AP150">
        <f t="shared" si="227"/>
        <v>1.6438870686637219</v>
      </c>
    </row>
    <row r="151" spans="1:42" x14ac:dyDescent="0.25">
      <c r="A151" s="139">
        <v>0.55000000000000004</v>
      </c>
      <c r="B151" s="256">
        <f>'Sub C_D_0'!AX171</f>
        <v>9.3315009966692328E-3</v>
      </c>
      <c r="C151" s="256">
        <f>'C_L vs. α'!X452</f>
        <v>0.1424713281741227</v>
      </c>
      <c r="D151" s="144">
        <v>16</v>
      </c>
      <c r="E151" s="14">
        <f t="shared" si="190"/>
        <v>1.8062929585232228</v>
      </c>
      <c r="F151" s="6">
        <f t="shared" si="191"/>
        <v>0.33440659654423838</v>
      </c>
      <c r="G151" s="14">
        <f t="shared" si="192"/>
        <v>1.8207533437907089</v>
      </c>
      <c r="H151" s="6">
        <f t="shared" si="193"/>
        <v>0.33826294776601812</v>
      </c>
      <c r="I151" s="14">
        <f t="shared" si="194"/>
        <v>1.8419368477005287</v>
      </c>
      <c r="J151" s="6">
        <f t="shared" si="195"/>
        <v>0.34523014155675225</v>
      </c>
      <c r="K151" s="14">
        <f t="shared" si="196"/>
        <v>1.871084623103904</v>
      </c>
      <c r="L151" s="6">
        <f t="shared" si="197"/>
        <v>0.35545024315168872</v>
      </c>
      <c r="M151">
        <f t="shared" si="198"/>
        <v>1.9091936421907774</v>
      </c>
      <c r="N151" s="6">
        <f t="shared" si="199"/>
        <v>0.36932236525104434</v>
      </c>
      <c r="O151">
        <f t="shared" si="200"/>
        <v>1.9556324334347206</v>
      </c>
      <c r="P151" s="6">
        <f t="shared" si="201"/>
        <v>0.38722493645404393</v>
      </c>
      <c r="Q151">
        <f t="shared" si="202"/>
        <v>2.0155963164288511</v>
      </c>
      <c r="R151" s="6">
        <f t="shared" si="203"/>
        <v>0.41047953685517147</v>
      </c>
      <c r="S151">
        <f t="shared" si="204"/>
        <v>2.0891372134700315</v>
      </c>
      <c r="T151" s="6">
        <f t="shared" si="205"/>
        <v>0.44005306353302204</v>
      </c>
      <c r="U151">
        <f t="shared" si="206"/>
        <v>2.1788509163482765</v>
      </c>
      <c r="V151" s="6">
        <f t="shared" si="207"/>
        <v>0.47764161591189891</v>
      </c>
      <c r="W151">
        <f t="shared" si="208"/>
        <v>2.288225722599099</v>
      </c>
      <c r="X151" s="6">
        <f t="shared" si="209"/>
        <v>0.52567012601681307</v>
      </c>
      <c r="Y151">
        <f t="shared" si="210"/>
        <v>2.4220125789600857</v>
      </c>
      <c r="Z151" s="6">
        <f t="shared" si="211"/>
        <v>0.58767314441847363</v>
      </c>
      <c r="AA151">
        <f t="shared" si="212"/>
        <v>2.5867851096882535</v>
      </c>
      <c r="AB151" s="6">
        <f t="shared" si="213"/>
        <v>0.66892829497472528</v>
      </c>
      <c r="AC151">
        <f t="shared" si="214"/>
        <v>2.7924771606833287</v>
      </c>
      <c r="AD151" s="6">
        <f>$B$153+$B$7*AC151^2+$B$8*(AC151-AC$143)^2</f>
        <v>0.77837738675633694</v>
      </c>
      <c r="AE151">
        <f t="shared" si="216"/>
        <v>3.0523014868961122</v>
      </c>
      <c r="AF151" s="6">
        <f t="shared" si="217"/>
        <v>0.92799982927447222</v>
      </c>
      <c r="AG151">
        <f t="shared" si="218"/>
        <v>3.3853740619254218</v>
      </c>
      <c r="AH151" s="6">
        <f t="shared" si="219"/>
        <v>1.1393077339095372</v>
      </c>
      <c r="AI151">
        <f t="shared" si="220"/>
        <v>3.8181895252747631</v>
      </c>
      <c r="AJ151">
        <f t="shared" si="221"/>
        <v>1.4799031230192419</v>
      </c>
      <c r="AK151">
        <f t="shared" si="222"/>
        <v>4.39417631991632</v>
      </c>
      <c r="AL151">
        <f t="shared" si="223"/>
        <v>1.9574261082864073</v>
      </c>
      <c r="AM151">
        <f t="shared" si="224"/>
        <v>5.038306938619022</v>
      </c>
      <c r="AN151">
        <f t="shared" si="225"/>
        <v>2.5702331218297005</v>
      </c>
      <c r="AO151">
        <f t="shared" si="226"/>
        <v>4.5618582046055698</v>
      </c>
      <c r="AP151">
        <f t="shared" si="227"/>
        <v>2.1087689735033313</v>
      </c>
    </row>
    <row r="152" spans="1:42" x14ac:dyDescent="0.25">
      <c r="A152" s="129">
        <v>0.6</v>
      </c>
      <c r="B152" s="256">
        <f>'Sub C_D_0'!AX172</f>
        <v>9.2193378120986498E-3</v>
      </c>
      <c r="C152" s="256">
        <f>'C_L vs. α'!X453</f>
        <v>0.15216382998166197</v>
      </c>
      <c r="T152" s="6"/>
    </row>
    <row r="153" spans="1:42" x14ac:dyDescent="0.25">
      <c r="A153" s="139">
        <v>0.65</v>
      </c>
      <c r="B153" s="256">
        <f>'Sub C_D_0'!AX173</f>
        <v>9.5817045246128565E-3</v>
      </c>
      <c r="C153" s="256">
        <f>'C_L vs. α'!X454</f>
        <v>0.16426336239313699</v>
      </c>
    </row>
    <row r="154" spans="1:42" x14ac:dyDescent="0.25">
      <c r="A154" s="129">
        <v>0.7</v>
      </c>
      <c r="B154" s="256">
        <f>'Sub C_D_0'!AX174</f>
        <v>9.4842381937456036E-3</v>
      </c>
      <c r="C154" s="256">
        <f>'C_L vs. α'!X455</f>
        <v>0.17954714628800661</v>
      </c>
    </row>
    <row r="155" spans="1:42" x14ac:dyDescent="0.25">
      <c r="A155" s="139">
        <v>0.75</v>
      </c>
      <c r="B155" s="256">
        <f>'Sub C_D_0'!AX175</f>
        <v>9.3947457094366027E-3</v>
      </c>
      <c r="C155" s="256">
        <f>'C_L vs. α'!X456</f>
        <v>0.19913965070149539</v>
      </c>
    </row>
    <row r="156" spans="1:42" x14ac:dyDescent="0.25">
      <c r="A156" s="129">
        <v>0.8</v>
      </c>
      <c r="B156" s="256">
        <f>'Sub C_D_0'!AX176</f>
        <v>9.3121007257432001E-3</v>
      </c>
      <c r="C156" s="256">
        <f>'C_L vs. α'!X457</f>
        <v>0.22459938383969194</v>
      </c>
    </row>
    <row r="157" spans="1:42" x14ac:dyDescent="0.25">
      <c r="A157" s="139">
        <v>0.85</v>
      </c>
      <c r="B157" s="256">
        <f>'Sub C_D_0'!AX177</f>
        <v>9.6819731554945165E-3</v>
      </c>
      <c r="C157" s="256">
        <f>'C_L vs. α'!X458</f>
        <v>0.25848095999507764</v>
      </c>
    </row>
    <row r="158" spans="1:42" x14ac:dyDescent="0.25">
      <c r="A158" s="129">
        <v>0.9</v>
      </c>
      <c r="B158" s="256">
        <f>'Sub C_D_0'!AX178</f>
        <v>9.6068922747414125E-3</v>
      </c>
      <c r="C158" s="256">
        <f>'C_L vs. α'!X459</f>
        <v>0.29637099638935421</v>
      </c>
    </row>
    <row r="159" spans="1:42" x14ac:dyDescent="0.25">
      <c r="A159" s="139">
        <v>0.95</v>
      </c>
      <c r="B159" s="256">
        <f>'Sub C_D_0'!AX179</f>
        <v>9.5366219619682571E-3</v>
      </c>
      <c r="C159" s="256">
        <f>'C_L vs. α'!X460</f>
        <v>0.26834460027091589</v>
      </c>
    </row>
    <row r="161" spans="1:42" x14ac:dyDescent="0.25">
      <c r="A161" s="122" t="s">
        <v>537</v>
      </c>
      <c r="B161" s="122" t="s">
        <v>192</v>
      </c>
    </row>
    <row r="162" spans="1:42" x14ac:dyDescent="0.25">
      <c r="A162" s="122" t="s">
        <v>202</v>
      </c>
      <c r="B162" s="145">
        <v>36000</v>
      </c>
      <c r="C162" s="122" t="s">
        <v>538</v>
      </c>
      <c r="D162" s="122" t="s">
        <v>539</v>
      </c>
      <c r="E162" s="1" t="s">
        <v>536</v>
      </c>
      <c r="F162" s="140">
        <v>0.05</v>
      </c>
      <c r="G162" s="1" t="s">
        <v>536</v>
      </c>
      <c r="H162" s="140">
        <v>0.1</v>
      </c>
      <c r="I162" s="1" t="s">
        <v>536</v>
      </c>
      <c r="J162" s="140">
        <v>0.15</v>
      </c>
      <c r="K162" s="1" t="s">
        <v>536</v>
      </c>
      <c r="L162" s="140">
        <v>0.2</v>
      </c>
      <c r="M162" t="s">
        <v>536</v>
      </c>
      <c r="N162" s="141">
        <v>0.25</v>
      </c>
      <c r="O162" t="s">
        <v>536</v>
      </c>
      <c r="P162" s="141">
        <v>0.3</v>
      </c>
      <c r="Q162" t="s">
        <v>536</v>
      </c>
      <c r="R162" s="141">
        <v>0.35</v>
      </c>
      <c r="S162" t="s">
        <v>536</v>
      </c>
      <c r="T162" s="141">
        <v>0.4</v>
      </c>
      <c r="U162" t="s">
        <v>536</v>
      </c>
      <c r="V162" s="141">
        <v>0.45</v>
      </c>
      <c r="W162" t="s">
        <v>536</v>
      </c>
      <c r="X162" s="141">
        <v>0.5</v>
      </c>
      <c r="Y162" t="s">
        <v>536</v>
      </c>
      <c r="Z162" s="141">
        <v>0.55000000000000004</v>
      </c>
      <c r="AA162" t="s">
        <v>536</v>
      </c>
      <c r="AB162" s="141">
        <v>0.6</v>
      </c>
      <c r="AC162" t="s">
        <v>536</v>
      </c>
      <c r="AD162" s="141">
        <v>0.65</v>
      </c>
      <c r="AE162" t="s">
        <v>536</v>
      </c>
      <c r="AF162" s="141">
        <v>0.7</v>
      </c>
      <c r="AG162" t="s">
        <v>536</v>
      </c>
      <c r="AH162" s="141">
        <v>0.75</v>
      </c>
      <c r="AI162" t="s">
        <v>536</v>
      </c>
      <c r="AJ162" s="141">
        <v>0.8</v>
      </c>
      <c r="AK162" t="s">
        <v>536</v>
      </c>
      <c r="AL162" s="141">
        <v>0.85</v>
      </c>
      <c r="AM162" t="s">
        <v>536</v>
      </c>
      <c r="AN162" s="141">
        <v>0.9</v>
      </c>
      <c r="AO162" t="s">
        <v>536</v>
      </c>
      <c r="AP162" s="141">
        <v>0.95</v>
      </c>
    </row>
    <row r="163" spans="1:42" x14ac:dyDescent="0.25">
      <c r="A163" s="121" t="s">
        <v>182</v>
      </c>
      <c r="B163" s="121" t="s">
        <v>534</v>
      </c>
      <c r="C163" s="121" t="s">
        <v>535</v>
      </c>
      <c r="D163" s="121" t="s">
        <v>421</v>
      </c>
      <c r="E163" s="14" t="s">
        <v>244</v>
      </c>
      <c r="F163" s="6" t="s">
        <v>245</v>
      </c>
      <c r="G163" s="14" t="s">
        <v>244</v>
      </c>
      <c r="H163" s="6" t="s">
        <v>245</v>
      </c>
      <c r="I163" s="14" t="s">
        <v>244</v>
      </c>
      <c r="J163" s="6" t="s">
        <v>245</v>
      </c>
      <c r="K163" s="14" t="s">
        <v>244</v>
      </c>
      <c r="L163" s="6" t="s">
        <v>245</v>
      </c>
      <c r="M163" t="s">
        <v>244</v>
      </c>
      <c r="N163" t="s">
        <v>245</v>
      </c>
      <c r="O163" t="s">
        <v>244</v>
      </c>
      <c r="P163" t="s">
        <v>245</v>
      </c>
      <c r="Q163" t="s">
        <v>244</v>
      </c>
      <c r="R163" t="s">
        <v>245</v>
      </c>
      <c r="S163" t="s">
        <v>244</v>
      </c>
      <c r="T163" t="s">
        <v>245</v>
      </c>
      <c r="U163" t="s">
        <v>244</v>
      </c>
      <c r="V163" t="s">
        <v>245</v>
      </c>
      <c r="W163" t="s">
        <v>244</v>
      </c>
      <c r="X163" t="s">
        <v>245</v>
      </c>
      <c r="Y163" t="s">
        <v>244</v>
      </c>
      <c r="Z163" t="s">
        <v>245</v>
      </c>
      <c r="AA163" t="s">
        <v>244</v>
      </c>
      <c r="AB163" t="s">
        <v>245</v>
      </c>
      <c r="AC163" t="s">
        <v>244</v>
      </c>
      <c r="AD163" t="s">
        <v>245</v>
      </c>
      <c r="AE163" t="s">
        <v>244</v>
      </c>
      <c r="AF163" t="s">
        <v>245</v>
      </c>
      <c r="AG163" t="s">
        <v>244</v>
      </c>
      <c r="AH163" t="s">
        <v>245</v>
      </c>
      <c r="AI163" t="s">
        <v>244</v>
      </c>
      <c r="AJ163" t="s">
        <v>245</v>
      </c>
      <c r="AK163" t="s">
        <v>244</v>
      </c>
      <c r="AL163" t="s">
        <v>245</v>
      </c>
      <c r="AM163" t="s">
        <v>244</v>
      </c>
      <c r="AN163" t="s">
        <v>245</v>
      </c>
      <c r="AO163" t="s">
        <v>244</v>
      </c>
      <c r="AP163" t="s">
        <v>245</v>
      </c>
    </row>
    <row r="164" spans="1:42" x14ac:dyDescent="0.25">
      <c r="A164" s="129">
        <v>0</v>
      </c>
      <c r="B164" s="129" t="e">
        <f>'Sub C_D_0'!AX190</f>
        <v>#DIV/0!</v>
      </c>
      <c r="C164" s="129" t="e">
        <f>'C_L vs. α'!X466</f>
        <v>#NUM!</v>
      </c>
      <c r="D164" s="144">
        <v>-6</v>
      </c>
      <c r="E164" s="14">
        <f>(D164-$B$12)*$C$165</f>
        <v>-0.53128535299205581</v>
      </c>
      <c r="F164" s="6">
        <f>$B$165+$B$7*E164^2+$B$8*(E164-E$167)^2</f>
        <v>4.3657756039820167E-2</v>
      </c>
      <c r="G164" s="14">
        <f>(D164-$B$12)*$C$166</f>
        <v>-0.53553798169851552</v>
      </c>
      <c r="H164" s="6">
        <f>$B$166+$B$7*G164^2+$B$8*(G164-G$167)^2</f>
        <v>4.2846102765886136E-2</v>
      </c>
      <c r="I164" s="14">
        <f>(D164-$B$12)*$C$167</f>
        <v>-0.54176712266256621</v>
      </c>
      <c r="J164" s="6">
        <f>$B$167+$B$7*I164^2+$B$8*(I164-I$167)^2</f>
        <v>4.2902505886071474E-2</v>
      </c>
      <c r="K164" s="14">
        <f>(D164-$B$12)*$C$168</f>
        <v>-0.55033866395242814</v>
      </c>
      <c r="L164" s="6">
        <f>$B$168+$B$7*K164^2+$B$8*(K164-K$167)^2</f>
        <v>4.3480983132151166E-2</v>
      </c>
      <c r="M164">
        <f>(D164-$B$12)*$C$169</f>
        <v>-0.56154588087175217</v>
      </c>
      <c r="N164" s="6">
        <f>$B$169+$B$7*M164^2+$B$8*(M164-M$167)^2</f>
        <v>4.4517906932878853E-2</v>
      </c>
      <c r="O164">
        <f>(D164-$B$12)*$C$170</f>
        <v>-0.57520436545948939</v>
      </c>
      <c r="P164" s="6">
        <f>$B$170+$B$7*O164^2+$B$8*(O164-O$167)^2</f>
        <v>4.6428313803179001E-2</v>
      </c>
      <c r="Q164">
        <f>(D164-$B$12)*$C$171</f>
        <v>-0.5928393972765702</v>
      </c>
      <c r="R164" s="6">
        <f>$B$171+$B$7*Q164^2+$B$8*(Q164-Q$167)^2</f>
        <v>4.8465643635306033E-2</v>
      </c>
      <c r="S164">
        <f>(D164-$B$12)*$C$172</f>
        <v>-0.61446739584155285</v>
      </c>
      <c r="T164" s="6">
        <f>$B$172+$B$7*S164^2+$B$8*(S164-S$167)^2</f>
        <v>5.1142744349959572E-2</v>
      </c>
      <c r="U164">
        <f>(D164-$B$12)*$C$173</f>
        <v>-0.64085169280018595</v>
      </c>
      <c r="V164" s="6">
        <f>$B$173+$B$7*U164^2+$B$8*(U164-U$167)^2</f>
        <v>5.4614633592806647E-2</v>
      </c>
      <c r="W164">
        <f>(D164-$B$12)*$C$174</f>
        <v>-0.67301804692845424</v>
      </c>
      <c r="X164" s="6">
        <f>$B$174+$B$7*W164^2+$B$8*(W164-W$167)^2</f>
        <v>5.9109191846122726E-2</v>
      </c>
      <c r="Y164">
        <f>(D164-$B$12)*$C$175</f>
        <v>-0.71236346007140061</v>
      </c>
      <c r="Z164" s="6">
        <f>$B$175+$B$7*Y164^2+$B$8*(Y164-Y$167)^2</f>
        <v>6.496269642456784E-2</v>
      </c>
      <c r="AA164">
        <f>(D164-$B$12)*$C$176</f>
        <v>-0.76082079493027577</v>
      </c>
      <c r="AB164" s="6">
        <f>$B$176+$B$7*AA164^2+$B$8*(AA164-AA$167)^2</f>
        <v>7.2680149242471154E-2</v>
      </c>
      <c r="AC164">
        <f>(D164-$B$12)*$C$177</f>
        <v>-0.82131021685919126</v>
      </c>
      <c r="AD164" s="6">
        <f>$B$177+$B$7*AC164^2+$B$8*(AC164-AC$167)^2</f>
        <v>8.3537652324788214E-2</v>
      </c>
      <c r="AE164">
        <f>(D164-$B$12)*$C$178</f>
        <v>-0.89771593053439713</v>
      </c>
      <c r="AF164" s="6">
        <f>$B$178+$B$7*AE164^2+$B$8*(AE164-AE$167)^2</f>
        <v>9.7845420853401643E-2</v>
      </c>
      <c r="AG164">
        <f>(D164-$B$12)*$C$179</f>
        <v>-0.99565629010468493</v>
      </c>
      <c r="AH164" s="6">
        <f>$B$179+$B$7*AG164^2+$B$8*(AG164-AG$167)^2</f>
        <v>0.11809382512755115</v>
      </c>
      <c r="AI164">
        <f>(D164-$B$12)*$C$180</f>
        <v>-1.1229143744711729</v>
      </c>
      <c r="AJ164">
        <f>$B$180+$B$9*AI164^2</f>
        <v>0.13648377086775348</v>
      </c>
      <c r="AK164">
        <f>(D164-$B$12)*$C$181</f>
        <v>-1.2922260063787632</v>
      </c>
      <c r="AL164">
        <f>$B$181+$B$9*AK164^2</f>
        <v>0.17810106531152783</v>
      </c>
      <c r="AM164">
        <f>(D164-$B$12)*$C$182</f>
        <v>-1.4814420930783068</v>
      </c>
      <c r="AN164">
        <f>$B$182+$B$9*AM164^2</f>
        <v>0.23096692555828269</v>
      </c>
      <c r="AO164">
        <f>(D164-$B$12)*$C$183</f>
        <v>-1.3403738199248305</v>
      </c>
      <c r="AP164">
        <f>$B$183+$B$9*AO164^2</f>
        <v>0.19074233171796262</v>
      </c>
    </row>
    <row r="165" spans="1:42" x14ac:dyDescent="0.25">
      <c r="A165" s="139">
        <v>0.05</v>
      </c>
      <c r="B165" s="256">
        <f>'Sub C_D_0'!AX191</f>
        <v>1.2700870769850896E-2</v>
      </c>
      <c r="C165" s="256">
        <f>'C_L vs. α'!X467</f>
        <v>0.10625707059841116</v>
      </c>
      <c r="D165" s="144">
        <v>-4</v>
      </c>
      <c r="E165" s="14">
        <f t="shared" ref="E165:E175" si="228">(D165-$B$12)*$C$165</f>
        <v>-0.31877121179523349</v>
      </c>
      <c r="F165" s="6">
        <f t="shared" ref="F165:F175" si="229">$B$165+$B$7*E165^2+$B$8*(E165-E$167)^2</f>
        <v>2.4531815822210902E-2</v>
      </c>
      <c r="G165" s="14">
        <f t="shared" ref="G165:G175" si="230">(D165-$B$12)*$C$166</f>
        <v>-0.32132278901910932</v>
      </c>
      <c r="H165" s="6">
        <f t="shared" ref="H165:H175" si="231">$B$166+$B$7*G165^2+$B$8*(G165-G$167)^2</f>
        <v>2.3412753192438004E-2</v>
      </c>
      <c r="I165" s="14">
        <f t="shared" ref="I165:I175" si="232">(D165-$B$12)*$C$167</f>
        <v>-0.32506027359753975</v>
      </c>
      <c r="J165" s="6">
        <f t="shared" ref="J165:J175" si="233">$B$167+$B$7*I165^2+$B$8*(I165-I$167)^2</f>
        <v>2.3014446857952231E-2</v>
      </c>
      <c r="K165" s="14">
        <f t="shared" ref="K165:K175" si="234">(D165-$B$12)*$C$168</f>
        <v>-0.3302031983714569</v>
      </c>
      <c r="L165" s="6">
        <f t="shared" ref="L165:L175" si="235">$B$168+$B$7*K165^2+$B$8*(K165-K$167)^2</f>
        <v>2.2958629907690497E-2</v>
      </c>
      <c r="M165">
        <f t="shared" ref="M165:M175" si="236">(D165-$B$12)*$C$169</f>
        <v>-0.3369275285230513</v>
      </c>
      <c r="N165" s="6">
        <f t="shared" ref="N165:N175" si="237">$B$169+$B$7*M165^2+$B$8*(M165-M$167)^2</f>
        <v>2.3151199680561535E-2</v>
      </c>
      <c r="O165">
        <f t="shared" ref="O165:O175" si="238">(D165-$B$12)*$C$170</f>
        <v>-0.3451226192756936</v>
      </c>
      <c r="P165" s="6">
        <f t="shared" ref="P165:P175" si="239">$B$170+$B$7*O165^2+$B$8*(O165-O$167)^2</f>
        <v>2.4009560666166805E-2</v>
      </c>
      <c r="Q165">
        <f t="shared" ref="Q165:Q175" si="240">(D165-$B$12)*$C$171</f>
        <v>-0.3557036383659421</v>
      </c>
      <c r="R165" s="6">
        <f t="shared" ref="R165:R175" si="241">$B$171+$B$7*Q165^2+$B$8*(Q165-Q$167)^2</f>
        <v>2.4651157102031251E-2</v>
      </c>
      <c r="S165">
        <f t="shared" ref="S165:S175" si="242">(D165-$B$12)*$C$172</f>
        <v>-0.36868043750493174</v>
      </c>
      <c r="T165" s="6">
        <f t="shared" ref="T165:T175" si="243">$B$172+$B$7*S165^2+$B$8*(S165-S$167)^2</f>
        <v>2.5558959418606031E-2</v>
      </c>
      <c r="U165">
        <f t="shared" ref="U165:U175" si="244">(D165-$B$12)*$C$173</f>
        <v>-0.38451101568011153</v>
      </c>
      <c r="V165" s="6">
        <f t="shared" ref="V165:V175" si="245">$B$173+$B$7*U165^2+$B$8*(U165-U$167)^2</f>
        <v>2.6786621743348123E-2</v>
      </c>
      <c r="W165">
        <f t="shared" ref="W165:W175" si="246">(D165-$B$12)*$C$174</f>
        <v>-0.40381082815707259</v>
      </c>
      <c r="X165" s="6">
        <f t="shared" ref="X165:X175" si="247">$B$174+$B$7*W165^2+$B$8*(W165-W$167)^2</f>
        <v>2.8417521289635886E-2</v>
      </c>
      <c r="Y165">
        <f t="shared" ref="Y165:Y175" si="248">(D165-$B$12)*$C$175</f>
        <v>-0.42741807604284032</v>
      </c>
      <c r="Z165" s="6">
        <f t="shared" ref="Z165:Z175" si="249">$B$175+$B$7*Y165^2+$B$8*(Y165-Y$167)^2</f>
        <v>3.0577589646829731E-2</v>
      </c>
      <c r="AA165">
        <f t="shared" ref="AA165:AA175" si="250">(D165-$B$12)*$C$176</f>
        <v>-0.45649247695816542</v>
      </c>
      <c r="AB165" s="6">
        <f t="shared" ref="AB165:AB175" si="251">$B$176+$B$7*AA165^2+$B$8*(AA165-AA$167)^2</f>
        <v>3.3457957667737882E-2</v>
      </c>
      <c r="AC165">
        <f t="shared" ref="AC165:AC175" si="252">(D165-$B$12)*$C$177</f>
        <v>-0.49278613011551475</v>
      </c>
      <c r="AD165" s="6">
        <f t="shared" ref="AD165:AD175" si="253">$B$177+$B$7*AC165^2+$B$8*(AC165-AC$167)^2</f>
        <v>3.7830774244891514E-2</v>
      </c>
      <c r="AE165">
        <f t="shared" ref="AE165:AE175" si="254">(D165-$B$12)*$C$178</f>
        <v>-0.53862955832063819</v>
      </c>
      <c r="AF165" s="6">
        <f t="shared" ref="AF165:AF175" si="255">$B$178+$B$7*AE165^2+$B$8*(AE165-AE$167)^2</f>
        <v>4.3238841545143181E-2</v>
      </c>
      <c r="AG165">
        <f t="shared" ref="AG165:AG175" si="256">(D165-$B$12)*$C$179</f>
        <v>-0.59739377406281091</v>
      </c>
      <c r="AH165" s="6">
        <f t="shared" ref="AH165:AH175" si="257">$B$179+$B$7*AG165^2+$B$8*(AG165-AG$167)^2</f>
        <v>5.0922178985208462E-2</v>
      </c>
      <c r="AI165">
        <f t="shared" ref="AI165:AI175" si="258">(D165-$B$12)*$C$180</f>
        <v>-0.6737486246827038</v>
      </c>
      <c r="AJ165">
        <f t="shared" ref="AJ165:AJ175" si="259">$B$180+$B$9*AI165^2</f>
        <v>5.507893534143872E-2</v>
      </c>
      <c r="AK165">
        <f t="shared" ref="AK165:AK175" si="260">(D165-$B$12)*$C$181</f>
        <v>-0.77533560382725797</v>
      </c>
      <c r="AL165">
        <f t="shared" ref="AL165:AL175" si="261">$B$181+$B$9*AK165^2</f>
        <v>7.0297313694760138E-2</v>
      </c>
      <c r="AM165">
        <f t="shared" ref="AM165:AM175" si="262">(D165-$B$12)*$C$182</f>
        <v>-0.88886525584698406</v>
      </c>
      <c r="AN165">
        <f t="shared" ref="AN165:AN175" si="263">$B$182+$B$9*AM165^2</f>
        <v>8.9281140362081512E-2</v>
      </c>
      <c r="AO165">
        <f t="shared" ref="AO165:AO175" si="264">(D165-$B$12)*$C$183</f>
        <v>-0.80422429195489831</v>
      </c>
      <c r="AP165">
        <f t="shared" ref="AP165:AP175" si="265">$B$183+$B$9*AO165^2</f>
        <v>7.475547104722334E-2</v>
      </c>
    </row>
    <row r="166" spans="1:42" x14ac:dyDescent="0.25">
      <c r="A166" s="129">
        <v>0.1</v>
      </c>
      <c r="B166" s="256">
        <f>'Sub C_D_0'!AX192</f>
        <v>1.1391650523974891E-2</v>
      </c>
      <c r="C166" s="256">
        <f>'C_L vs. α'!X468</f>
        <v>0.10710759633970311</v>
      </c>
      <c r="D166" s="144">
        <v>-2</v>
      </c>
      <c r="E166" s="14">
        <f t="shared" si="228"/>
        <v>-0.10625707059841116</v>
      </c>
      <c r="F166" s="6">
        <f t="shared" si="229"/>
        <v>1.4517223111320041E-2</v>
      </c>
      <c r="G166" s="14">
        <f t="shared" si="230"/>
        <v>-0.10710759633970311</v>
      </c>
      <c r="H166" s="6">
        <f t="shared" si="231"/>
        <v>1.3237196917967183E-2</v>
      </c>
      <c r="I166" s="14">
        <f t="shared" si="232"/>
        <v>-0.10835342453251325</v>
      </c>
      <c r="J166" s="6">
        <f t="shared" si="233"/>
        <v>1.2600798759575685E-2</v>
      </c>
      <c r="K166" s="14">
        <f t="shared" si="234"/>
        <v>-0.11006773279048564</v>
      </c>
      <c r="L166" s="6">
        <f t="shared" si="235"/>
        <v>1.2212857063394651E-2</v>
      </c>
      <c r="M166">
        <f t="shared" si="236"/>
        <v>-0.11230917617435043</v>
      </c>
      <c r="N166" s="6">
        <f t="shared" si="237"/>
        <v>1.1963312012284425E-2</v>
      </c>
      <c r="O166">
        <f t="shared" si="238"/>
        <v>-0.11504087309189787</v>
      </c>
      <c r="P166" s="6">
        <f t="shared" si="239"/>
        <v>1.2270807998390861E-2</v>
      </c>
      <c r="Q166">
        <f t="shared" si="240"/>
        <v>-0.11856787945531404</v>
      </c>
      <c r="R166" s="6">
        <f t="shared" si="241"/>
        <v>1.2181580153852664E-2</v>
      </c>
      <c r="S166">
        <f t="shared" si="242"/>
        <v>-0.12289347916831057</v>
      </c>
      <c r="T166" s="6">
        <f t="shared" si="243"/>
        <v>1.2162954664045583E-2</v>
      </c>
      <c r="U166">
        <f t="shared" si="244"/>
        <v>-0.12817033856003718</v>
      </c>
      <c r="V166" s="6">
        <f t="shared" si="245"/>
        <v>1.2215510391155085E-2</v>
      </c>
      <c r="W166">
        <f t="shared" si="246"/>
        <v>-0.13460360938569085</v>
      </c>
      <c r="X166" s="6">
        <f t="shared" si="247"/>
        <v>1.2346960745006231E-2</v>
      </c>
      <c r="Y166">
        <f t="shared" si="248"/>
        <v>-0.14247269201428012</v>
      </c>
      <c r="Z166" s="6">
        <f t="shared" si="249"/>
        <v>1.257309753916884E-2</v>
      </c>
      <c r="AA166">
        <f t="shared" si="250"/>
        <v>-0.15216415898605515</v>
      </c>
      <c r="AB166" s="6">
        <f t="shared" si="251"/>
        <v>1.2920704629173902E-2</v>
      </c>
      <c r="AC166">
        <f t="shared" si="252"/>
        <v>-0.16426204337183825</v>
      </c>
      <c r="AD166" s="6">
        <f t="shared" si="253"/>
        <v>1.3898054449235499E-2</v>
      </c>
      <c r="AE166">
        <f t="shared" si="254"/>
        <v>-0.17954318610687942</v>
      </c>
      <c r="AF166" s="6">
        <f t="shared" si="255"/>
        <v>1.4646121663917579E-2</v>
      </c>
      <c r="AG166">
        <f t="shared" si="256"/>
        <v>-0.19913125802093698</v>
      </c>
      <c r="AH166" s="6">
        <f t="shared" si="257"/>
        <v>1.575022559719709E-2</v>
      </c>
      <c r="AI166">
        <f t="shared" si="258"/>
        <v>-0.22458287489423459</v>
      </c>
      <c r="AJ166">
        <f t="shared" si="259"/>
        <v>1.4376517578281321E-2</v>
      </c>
      <c r="AK166">
        <f t="shared" si="260"/>
        <v>-0.25844520127575266</v>
      </c>
      <c r="AL166">
        <f t="shared" si="261"/>
        <v>1.6395437886376277E-2</v>
      </c>
      <c r="AM166">
        <f t="shared" si="262"/>
        <v>-0.29628841861566135</v>
      </c>
      <c r="AN166">
        <f t="shared" si="263"/>
        <v>1.8438247763980918E-2</v>
      </c>
      <c r="AO166">
        <f t="shared" si="264"/>
        <v>-0.2680747639849661</v>
      </c>
      <c r="AP166">
        <f t="shared" si="265"/>
        <v>1.6762040711853689E-2</v>
      </c>
    </row>
    <row r="167" spans="1:42" s="29" customFormat="1" x14ac:dyDescent="0.25">
      <c r="A167" s="139">
        <v>0.15</v>
      </c>
      <c r="B167" s="256">
        <f>'Sub C_D_0'!AX193</f>
        <v>1.0712069516882465E-2</v>
      </c>
      <c r="C167" s="256">
        <f>'C_L vs. α'!X469</f>
        <v>0.10835342453251325</v>
      </c>
      <c r="D167" s="143">
        <v>0</v>
      </c>
      <c r="E167" s="83">
        <f t="shared" si="228"/>
        <v>0.10625707059841116</v>
      </c>
      <c r="F167" s="21">
        <f t="shared" si="229"/>
        <v>1.3613977907147582E-2</v>
      </c>
      <c r="G167" s="83">
        <f t="shared" si="230"/>
        <v>0.10710759633970311</v>
      </c>
      <c r="H167" s="21">
        <f t="shared" si="231"/>
        <v>1.231943394247368E-2</v>
      </c>
      <c r="I167" s="83">
        <f t="shared" si="232"/>
        <v>0.10835342453251325</v>
      </c>
      <c r="J167" s="21">
        <f t="shared" si="233"/>
        <v>1.1661561590941841E-2</v>
      </c>
      <c r="K167" s="83">
        <f t="shared" si="234"/>
        <v>0.11006773279048564</v>
      </c>
      <c r="L167" s="21">
        <f t="shared" si="235"/>
        <v>1.1243664599263632E-2</v>
      </c>
      <c r="M167" s="99">
        <f t="shared" si="236"/>
        <v>0.11230917617435043</v>
      </c>
      <c r="N167" s="21">
        <f t="shared" si="237"/>
        <v>1.0954243928047523E-2</v>
      </c>
      <c r="O167" s="99">
        <f t="shared" si="238"/>
        <v>0.11504087309189787</v>
      </c>
      <c r="P167" s="21">
        <f t="shared" si="239"/>
        <v>1.121205579985117E-2</v>
      </c>
      <c r="Q167" s="99">
        <f t="shared" si="240"/>
        <v>0.11856787945531404</v>
      </c>
      <c r="R167" s="21">
        <f t="shared" si="241"/>
        <v>1.1056912790770274E-2</v>
      </c>
      <c r="S167" s="99">
        <f t="shared" si="242"/>
        <v>0.12289347916831057</v>
      </c>
      <c r="T167" s="21">
        <f t="shared" si="243"/>
        <v>1.0954730086278223E-2</v>
      </c>
      <c r="U167" s="99">
        <f t="shared" si="244"/>
        <v>0.12817033856003718</v>
      </c>
      <c r="V167" s="21">
        <f t="shared" si="245"/>
        <v>1.090129953622752E-2</v>
      </c>
      <c r="W167" s="99">
        <f t="shared" si="246"/>
        <v>0.13460360938569085</v>
      </c>
      <c r="X167" s="21">
        <f t="shared" si="247"/>
        <v>1.089751021223378E-2</v>
      </c>
      <c r="Y167" s="99">
        <f t="shared" si="248"/>
        <v>0.14247269201428012</v>
      </c>
      <c r="Z167" s="21">
        <f t="shared" si="249"/>
        <v>1.0949220101585166E-2</v>
      </c>
      <c r="AA167" s="99">
        <f t="shared" si="250"/>
        <v>0.15216415898605515</v>
      </c>
      <c r="AB167" s="21">
        <f t="shared" si="251"/>
        <v>1.1068390126779225E-2</v>
      </c>
      <c r="AC167" s="99">
        <f t="shared" si="252"/>
        <v>0.16426204337183825</v>
      </c>
      <c r="AD167" s="21">
        <f t="shared" si="253"/>
        <v>1.1739492937820166E-2</v>
      </c>
      <c r="AE167" s="99">
        <f t="shared" si="254"/>
        <v>0.17954318610687942</v>
      </c>
      <c r="AF167" s="21">
        <f t="shared" si="255"/>
        <v>1.2067261209724815E-2</v>
      </c>
      <c r="AG167" s="99">
        <f t="shared" si="256"/>
        <v>0.19913125802093698</v>
      </c>
      <c r="AH167" s="21">
        <f t="shared" si="257"/>
        <v>1.2577964963517011E-2</v>
      </c>
      <c r="AI167" s="99">
        <f t="shared" si="258"/>
        <v>0.22458287489423459</v>
      </c>
      <c r="AJ167" s="99">
        <f t="shared" si="259"/>
        <v>1.4376517578281321E-2</v>
      </c>
      <c r="AK167" s="99">
        <f t="shared" si="260"/>
        <v>0.25844520127575266</v>
      </c>
      <c r="AL167" s="99">
        <f t="shared" si="261"/>
        <v>1.6395437886376277E-2</v>
      </c>
      <c r="AM167" s="99">
        <f t="shared" si="262"/>
        <v>0.29628841861566135</v>
      </c>
      <c r="AN167" s="99">
        <f t="shared" si="263"/>
        <v>1.8438247763980918E-2</v>
      </c>
      <c r="AO167" s="99">
        <f t="shared" si="264"/>
        <v>0.2680747639849661</v>
      </c>
      <c r="AP167" s="99">
        <f t="shared" si="265"/>
        <v>1.6762040711853689E-2</v>
      </c>
    </row>
    <row r="168" spans="1:42" x14ac:dyDescent="0.25">
      <c r="A168" s="129">
        <v>0.2</v>
      </c>
      <c r="B168" s="256">
        <f>'Sub C_D_0'!AX194</f>
        <v>1.0263890167775784E-2</v>
      </c>
      <c r="C168" s="256">
        <f>'C_L vs. α'!X470</f>
        <v>0.11006773279048564</v>
      </c>
      <c r="D168" s="144">
        <v>2</v>
      </c>
      <c r="E168" s="14">
        <f t="shared" si="228"/>
        <v>0.31877121179523349</v>
      </c>
      <c r="F168" s="6">
        <f t="shared" si="229"/>
        <v>2.1822080209693524E-2</v>
      </c>
      <c r="G168" s="14">
        <f t="shared" si="230"/>
        <v>0.32132278901910932</v>
      </c>
      <c r="H168" s="6">
        <f t="shared" si="231"/>
        <v>2.0659464265957495E-2</v>
      </c>
      <c r="I168" s="14">
        <f t="shared" si="232"/>
        <v>0.32506027359753975</v>
      </c>
      <c r="J168" s="6">
        <f t="shared" si="233"/>
        <v>2.0196735352050701E-2</v>
      </c>
      <c r="K168" s="14">
        <f t="shared" si="234"/>
        <v>0.3302031983714569</v>
      </c>
      <c r="L168" s="6">
        <f t="shared" si="235"/>
        <v>2.0051052515297436E-2</v>
      </c>
      <c r="M168">
        <f t="shared" si="236"/>
        <v>0.3369275285230513</v>
      </c>
      <c r="N168" s="6">
        <f t="shared" si="237"/>
        <v>2.012399542785083E-2</v>
      </c>
      <c r="O168">
        <f t="shared" si="238"/>
        <v>0.3451226192756936</v>
      </c>
      <c r="P168" s="6">
        <f t="shared" si="239"/>
        <v>2.0833304070547728E-2</v>
      </c>
      <c r="Q168">
        <f t="shared" si="240"/>
        <v>0.3557036383659421</v>
      </c>
      <c r="R168" s="6">
        <f t="shared" si="241"/>
        <v>2.1277155012784078E-2</v>
      </c>
      <c r="S168">
        <f t="shared" si="242"/>
        <v>0.36868043750493174</v>
      </c>
      <c r="T168" s="6">
        <f t="shared" si="243"/>
        <v>2.1934285685303954E-2</v>
      </c>
      <c r="U168">
        <f t="shared" si="244"/>
        <v>0.38451101568011153</v>
      </c>
      <c r="V168" s="6">
        <f t="shared" si="245"/>
        <v>2.2843989178565428E-2</v>
      </c>
      <c r="W168">
        <f t="shared" si="246"/>
        <v>0.40381082815707259</v>
      </c>
      <c r="X168" s="6">
        <f t="shared" si="247"/>
        <v>2.4069169691318532E-2</v>
      </c>
      <c r="Y168">
        <f t="shared" si="248"/>
        <v>0.42741807604284032</v>
      </c>
      <c r="Z168" s="6">
        <f t="shared" si="249"/>
        <v>2.5705957334078711E-2</v>
      </c>
      <c r="AA168">
        <f t="shared" si="250"/>
        <v>0.45649247695816542</v>
      </c>
      <c r="AB168" s="6">
        <f t="shared" si="251"/>
        <v>2.7901014160553846E-2</v>
      </c>
      <c r="AC168">
        <f t="shared" si="252"/>
        <v>0.49278613011551475</v>
      </c>
      <c r="AD168" s="6">
        <f t="shared" si="253"/>
        <v>3.1355089710645517E-2</v>
      </c>
      <c r="AE168">
        <f t="shared" si="254"/>
        <v>0.53862955832063819</v>
      </c>
      <c r="AF168" s="6">
        <f t="shared" si="255"/>
        <v>3.5502260182564888E-2</v>
      </c>
      <c r="AG168">
        <f t="shared" si="256"/>
        <v>0.59739377406281091</v>
      </c>
      <c r="AH168" s="6">
        <f t="shared" si="257"/>
        <v>4.1405397084168225E-2</v>
      </c>
      <c r="AI168">
        <f t="shared" si="258"/>
        <v>0.6737486246827038</v>
      </c>
      <c r="AJ168">
        <f t="shared" si="259"/>
        <v>5.507893534143872E-2</v>
      </c>
      <c r="AK168">
        <f t="shared" si="260"/>
        <v>0.77533560382725797</v>
      </c>
      <c r="AL168">
        <f t="shared" si="261"/>
        <v>7.0297313694760138E-2</v>
      </c>
      <c r="AM168">
        <f t="shared" si="262"/>
        <v>0.88886525584698406</v>
      </c>
      <c r="AN168">
        <f t="shared" si="263"/>
        <v>8.9281140362081512E-2</v>
      </c>
      <c r="AO168">
        <f t="shared" si="264"/>
        <v>0.80422429195489831</v>
      </c>
      <c r="AP168">
        <f t="shared" si="265"/>
        <v>7.475547104722334E-2</v>
      </c>
    </row>
    <row r="169" spans="1:42" x14ac:dyDescent="0.25">
      <c r="A169" s="139">
        <v>0.25</v>
      </c>
      <c r="B169" s="256">
        <f>'Sub C_D_0'!AX195</f>
        <v>9.9341585011017228E-3</v>
      </c>
      <c r="C169" s="256">
        <f>'C_L vs. α'!X471</f>
        <v>0.11230917617435043</v>
      </c>
      <c r="D169" s="144">
        <v>4</v>
      </c>
      <c r="E169" s="14">
        <f t="shared" si="228"/>
        <v>0.53128535299205581</v>
      </c>
      <c r="F169" s="6">
        <f t="shared" si="229"/>
        <v>3.9141530018957871E-2</v>
      </c>
      <c r="G169" s="14">
        <f t="shared" si="230"/>
        <v>0.53553798169851552</v>
      </c>
      <c r="H169" s="6">
        <f t="shared" si="231"/>
        <v>3.8257287888418624E-2</v>
      </c>
      <c r="I169" s="14">
        <f t="shared" si="232"/>
        <v>0.54176712266256621</v>
      </c>
      <c r="J169" s="6">
        <f t="shared" si="233"/>
        <v>3.820632004290226E-2</v>
      </c>
      <c r="K169" s="14">
        <f t="shared" si="234"/>
        <v>0.55033866395242814</v>
      </c>
      <c r="L169" s="6">
        <f t="shared" si="235"/>
        <v>3.8635020811496064E-2</v>
      </c>
      <c r="M169">
        <f t="shared" si="236"/>
        <v>0.56154588087175217</v>
      </c>
      <c r="N169" s="6">
        <f t="shared" si="237"/>
        <v>3.947256651169434E-2</v>
      </c>
      <c r="O169">
        <f t="shared" si="238"/>
        <v>0.57520436545948939</v>
      </c>
      <c r="P169" s="6">
        <f t="shared" si="239"/>
        <v>4.1134552810480542E-2</v>
      </c>
      <c r="Q169">
        <f t="shared" si="240"/>
        <v>0.5928393972765702</v>
      </c>
      <c r="R169" s="6">
        <f t="shared" si="241"/>
        <v>4.284230681989408E-2</v>
      </c>
      <c r="S169">
        <f t="shared" si="242"/>
        <v>0.61446739584155285</v>
      </c>
      <c r="T169" s="6">
        <f t="shared" si="243"/>
        <v>4.510162146112278E-2</v>
      </c>
      <c r="U169">
        <f t="shared" si="244"/>
        <v>0.64085169280018595</v>
      </c>
      <c r="V169" s="6">
        <f t="shared" si="245"/>
        <v>4.8043579318168821E-2</v>
      </c>
      <c r="W169">
        <f t="shared" si="246"/>
        <v>0.67301804692845424</v>
      </c>
      <c r="X169" s="6">
        <f t="shared" si="247"/>
        <v>5.1861939182260466E-2</v>
      </c>
      <c r="Y169">
        <f t="shared" si="248"/>
        <v>0.71236346007140061</v>
      </c>
      <c r="Z169" s="6">
        <f t="shared" si="249"/>
        <v>5.6843309236649479E-2</v>
      </c>
      <c r="AA169">
        <f t="shared" si="250"/>
        <v>0.76082079493027577</v>
      </c>
      <c r="AB169" s="6">
        <f t="shared" si="251"/>
        <v>6.3418576730497778E-2</v>
      </c>
      <c r="AC169">
        <f t="shared" si="252"/>
        <v>0.82131021685919126</v>
      </c>
      <c r="AD169" s="6">
        <f t="shared" si="253"/>
        <v>7.274484476771155E-2</v>
      </c>
      <c r="AE169">
        <f t="shared" si="254"/>
        <v>0.89771593053439713</v>
      </c>
      <c r="AF169" s="6">
        <f t="shared" si="255"/>
        <v>8.4951118582437812E-2</v>
      </c>
      <c r="AG169">
        <f t="shared" si="256"/>
        <v>0.99565629010468493</v>
      </c>
      <c r="AH169" s="6">
        <f t="shared" si="257"/>
        <v>0.10223252195915075</v>
      </c>
      <c r="AI169">
        <f t="shared" si="258"/>
        <v>1.1229143744711729</v>
      </c>
      <c r="AJ169">
        <f t="shared" si="259"/>
        <v>0.13648377086775348</v>
      </c>
      <c r="AK169">
        <f t="shared" si="260"/>
        <v>1.2922260063787632</v>
      </c>
      <c r="AL169">
        <f t="shared" si="261"/>
        <v>0.17810106531152783</v>
      </c>
      <c r="AM169">
        <f t="shared" si="262"/>
        <v>1.4814420930783068</v>
      </c>
      <c r="AN169">
        <f t="shared" si="263"/>
        <v>0.23096692555828269</v>
      </c>
      <c r="AO169">
        <f t="shared" si="264"/>
        <v>1.3403738199248305</v>
      </c>
      <c r="AP169">
        <f t="shared" si="265"/>
        <v>0.19074233171796262</v>
      </c>
    </row>
    <row r="170" spans="1:42" x14ac:dyDescent="0.25">
      <c r="A170" s="129">
        <v>0.3</v>
      </c>
      <c r="B170" s="256">
        <f>'Sub C_D_0'!AX196</f>
        <v>1.0141743790831562E-2</v>
      </c>
      <c r="C170" s="256">
        <f>'C_L vs. α'!X472</f>
        <v>0.11504087309189787</v>
      </c>
      <c r="D170" s="144">
        <v>6</v>
      </c>
      <c r="E170" s="14">
        <f t="shared" si="228"/>
        <v>0.74379949418887814</v>
      </c>
      <c r="F170" s="6">
        <f t="shared" si="229"/>
        <v>6.5572327334940617E-2</v>
      </c>
      <c r="G170" s="14">
        <f t="shared" si="230"/>
        <v>0.74975317437792177</v>
      </c>
      <c r="H170" s="6">
        <f t="shared" si="231"/>
        <v>6.5112904809857083E-2</v>
      </c>
      <c r="I170" s="14">
        <f t="shared" si="232"/>
        <v>0.75847397172759268</v>
      </c>
      <c r="J170" s="6">
        <f t="shared" si="233"/>
        <v>6.5690315663496507E-2</v>
      </c>
      <c r="K170" s="14">
        <f t="shared" si="234"/>
        <v>0.77047412953339944</v>
      </c>
      <c r="L170" s="6">
        <f t="shared" si="235"/>
        <v>6.6995569487859521E-2</v>
      </c>
      <c r="M170">
        <f t="shared" si="236"/>
        <v>0.78616423322045303</v>
      </c>
      <c r="N170" s="6">
        <f t="shared" si="237"/>
        <v>6.8999957179578048E-2</v>
      </c>
      <c r="O170">
        <f t="shared" si="238"/>
        <v>0.80528611164328501</v>
      </c>
      <c r="P170" s="6">
        <f t="shared" si="239"/>
        <v>7.211580201964958E-2</v>
      </c>
      <c r="Q170">
        <f t="shared" si="240"/>
        <v>0.8299751561871983</v>
      </c>
      <c r="R170" s="6">
        <f t="shared" si="241"/>
        <v>7.5752368212100282E-2</v>
      </c>
      <c r="S170">
        <f t="shared" si="242"/>
        <v>0.86025435417817397</v>
      </c>
      <c r="T170" s="6">
        <f t="shared" si="243"/>
        <v>8.0456737413734672E-2</v>
      </c>
      <c r="U170">
        <f t="shared" si="244"/>
        <v>0.89719236992026019</v>
      </c>
      <c r="V170" s="6">
        <f t="shared" si="245"/>
        <v>8.6500069955037673E-2</v>
      </c>
      <c r="W170">
        <f t="shared" si="246"/>
        <v>0.942225265699836</v>
      </c>
      <c r="X170" s="6">
        <f t="shared" si="247"/>
        <v>9.4275818685059617E-2</v>
      </c>
      <c r="Y170">
        <f t="shared" si="248"/>
        <v>0.99730884409996079</v>
      </c>
      <c r="Z170" s="6">
        <f t="shared" si="249"/>
        <v>0.10436127580929747</v>
      </c>
      <c r="AA170">
        <f t="shared" si="250"/>
        <v>1.065149112902386</v>
      </c>
      <c r="AB170" s="6">
        <f t="shared" si="251"/>
        <v>0.11762107783661099</v>
      </c>
      <c r="AC170">
        <f t="shared" si="252"/>
        <v>1.1498343036028678</v>
      </c>
      <c r="AD170" s="6">
        <f t="shared" si="253"/>
        <v>0.13590875810901826</v>
      </c>
      <c r="AE170">
        <f t="shared" si="254"/>
        <v>1.2568023027481559</v>
      </c>
      <c r="AF170" s="6">
        <f t="shared" si="255"/>
        <v>0.16041383640934354</v>
      </c>
      <c r="AG170">
        <f t="shared" si="256"/>
        <v>1.3939188061465588</v>
      </c>
      <c r="AH170" s="6">
        <f t="shared" si="257"/>
        <v>0.19505933958846455</v>
      </c>
      <c r="AI170">
        <f t="shared" si="258"/>
        <v>1.5720801242596421</v>
      </c>
      <c r="AJ170">
        <f t="shared" si="259"/>
        <v>0.25859102415722568</v>
      </c>
      <c r="AK170">
        <f t="shared" si="260"/>
        <v>1.8091164089302687</v>
      </c>
      <c r="AL170">
        <f t="shared" si="261"/>
        <v>0.33980669273667946</v>
      </c>
      <c r="AM170">
        <f t="shared" si="262"/>
        <v>2.0740189303096295</v>
      </c>
      <c r="AN170">
        <f t="shared" si="263"/>
        <v>0.44349560335258437</v>
      </c>
      <c r="AO170">
        <f t="shared" si="264"/>
        <v>1.8765233478947627</v>
      </c>
      <c r="AP170">
        <f t="shared" si="265"/>
        <v>0.36472262272407152</v>
      </c>
    </row>
    <row r="171" spans="1:42" x14ac:dyDescent="0.25">
      <c r="A171" s="139">
        <v>0.35</v>
      </c>
      <c r="B171" s="256">
        <f>'Sub C_D_0'!AX197</f>
        <v>9.9199659334038466E-3</v>
      </c>
      <c r="C171" s="256">
        <f>'C_L vs. α'!X473</f>
        <v>0.11856787945531404</v>
      </c>
      <c r="D171" s="144">
        <v>8</v>
      </c>
      <c r="E171" s="14">
        <f t="shared" si="228"/>
        <v>0.95631363538570047</v>
      </c>
      <c r="F171" s="6">
        <f t="shared" si="229"/>
        <v>0.10111447215764177</v>
      </c>
      <c r="G171" s="14">
        <f t="shared" si="230"/>
        <v>0.96396836705732802</v>
      </c>
      <c r="H171" s="6">
        <f t="shared" si="231"/>
        <v>0.10122631503027285</v>
      </c>
      <c r="I171" s="14">
        <f t="shared" si="232"/>
        <v>0.97518082079261925</v>
      </c>
      <c r="J171" s="6">
        <f t="shared" si="233"/>
        <v>0.1026487222138335</v>
      </c>
      <c r="K171" s="14">
        <f t="shared" si="234"/>
        <v>0.99060959511437074</v>
      </c>
      <c r="L171" s="6">
        <f t="shared" si="235"/>
        <v>0.10513269854438782</v>
      </c>
      <c r="M171">
        <f t="shared" si="236"/>
        <v>1.0107825855691539</v>
      </c>
      <c r="N171" s="6">
        <f t="shared" si="237"/>
        <v>0.10870616743150199</v>
      </c>
      <c r="O171">
        <f t="shared" si="238"/>
        <v>1.0353678578270809</v>
      </c>
      <c r="P171" s="6">
        <f t="shared" si="239"/>
        <v>0.1137770516980549</v>
      </c>
      <c r="Q171">
        <f t="shared" si="240"/>
        <v>1.0671109150978264</v>
      </c>
      <c r="R171" s="6">
        <f t="shared" si="241"/>
        <v>0.12000733918940271</v>
      </c>
      <c r="S171">
        <f t="shared" si="242"/>
        <v>1.1060413125147952</v>
      </c>
      <c r="T171" s="6">
        <f t="shared" si="243"/>
        <v>0.1279996335431397</v>
      </c>
      <c r="U171">
        <f t="shared" si="244"/>
        <v>1.1535330470403347</v>
      </c>
      <c r="V171" s="6">
        <f t="shared" si="245"/>
        <v>0.13821346108917201</v>
      </c>
      <c r="W171">
        <f t="shared" si="246"/>
        <v>1.2114324844712177</v>
      </c>
      <c r="X171" s="6">
        <f t="shared" si="247"/>
        <v>0.15131080819971596</v>
      </c>
      <c r="Y171">
        <f t="shared" si="248"/>
        <v>1.282254228128521</v>
      </c>
      <c r="Z171" s="6">
        <f t="shared" si="249"/>
        <v>0.16825985705202265</v>
      </c>
      <c r="AA171">
        <f t="shared" si="250"/>
        <v>1.3694774308744964</v>
      </c>
      <c r="AB171" s="6">
        <f t="shared" si="251"/>
        <v>0.19050851747889352</v>
      </c>
      <c r="AC171">
        <f t="shared" si="252"/>
        <v>1.4783583903465443</v>
      </c>
      <c r="AD171" s="6">
        <f t="shared" si="253"/>
        <v>0.22084682973456565</v>
      </c>
      <c r="AE171">
        <f t="shared" si="254"/>
        <v>1.6158886749619148</v>
      </c>
      <c r="AF171" s="6">
        <f t="shared" si="255"/>
        <v>0.2618904136632822</v>
      </c>
      <c r="AG171">
        <f t="shared" si="256"/>
        <v>1.7921813221884328</v>
      </c>
      <c r="AH171" s="6">
        <f t="shared" si="257"/>
        <v>0.31988584997210967</v>
      </c>
      <c r="AI171">
        <f t="shared" si="258"/>
        <v>2.0212458740481112</v>
      </c>
      <c r="AJ171">
        <f t="shared" si="259"/>
        <v>0.42140069520985518</v>
      </c>
      <c r="AK171">
        <f t="shared" si="260"/>
        <v>2.3260068114817738</v>
      </c>
      <c r="AL171">
        <f t="shared" si="261"/>
        <v>0.55541419597021491</v>
      </c>
      <c r="AM171">
        <f t="shared" si="262"/>
        <v>2.6665957675409522</v>
      </c>
      <c r="AN171">
        <f t="shared" si="263"/>
        <v>0.72686717374498677</v>
      </c>
      <c r="AO171">
        <f t="shared" si="264"/>
        <v>2.4126728758646951</v>
      </c>
      <c r="AP171">
        <f t="shared" si="265"/>
        <v>0.59669634406555028</v>
      </c>
    </row>
    <row r="172" spans="1:42" x14ac:dyDescent="0.25">
      <c r="A172" s="129">
        <v>0.4</v>
      </c>
      <c r="B172" s="256">
        <f>'Sub C_D_0'!AX198</f>
        <v>9.7333137086209279E-3</v>
      </c>
      <c r="C172" s="256">
        <f>'C_L vs. α'!X474</f>
        <v>0.12289347916831057</v>
      </c>
      <c r="D172" s="144">
        <v>10</v>
      </c>
      <c r="E172" s="14">
        <f t="shared" si="228"/>
        <v>1.1688277765825228</v>
      </c>
      <c r="F172" s="6">
        <f t="shared" si="229"/>
        <v>0.14576796448706134</v>
      </c>
      <c r="G172" s="14">
        <f t="shared" si="230"/>
        <v>1.1781835597367343</v>
      </c>
      <c r="H172" s="6">
        <f t="shared" si="231"/>
        <v>0.14659751854966596</v>
      </c>
      <c r="I172" s="14">
        <f t="shared" si="232"/>
        <v>1.1918876698576457</v>
      </c>
      <c r="J172" s="6">
        <f t="shared" si="233"/>
        <v>0.14908153969391316</v>
      </c>
      <c r="K172" s="14">
        <f t="shared" si="234"/>
        <v>1.210745060695342</v>
      </c>
      <c r="L172" s="6">
        <f t="shared" si="235"/>
        <v>0.15304640798108093</v>
      </c>
      <c r="M172">
        <f t="shared" si="236"/>
        <v>1.2354009379178548</v>
      </c>
      <c r="N172" s="6">
        <f t="shared" si="237"/>
        <v>0.15859119726746609</v>
      </c>
      <c r="O172">
        <f t="shared" si="238"/>
        <v>1.2654496040108765</v>
      </c>
      <c r="P172" s="6">
        <f t="shared" si="239"/>
        <v>0.16611830184569643</v>
      </c>
      <c r="Q172">
        <f t="shared" si="240"/>
        <v>1.3042466740084544</v>
      </c>
      <c r="R172" s="6">
        <f t="shared" si="241"/>
        <v>0.17560721975180127</v>
      </c>
      <c r="S172">
        <f t="shared" si="242"/>
        <v>1.3518282708514162</v>
      </c>
      <c r="T172" s="6">
        <f t="shared" si="243"/>
        <v>0.18773030984933775</v>
      </c>
      <c r="U172">
        <f t="shared" si="244"/>
        <v>1.4098737241604089</v>
      </c>
      <c r="V172" s="6">
        <f t="shared" si="245"/>
        <v>0.20318375272057182</v>
      </c>
      <c r="W172">
        <f t="shared" si="246"/>
        <v>1.4806397032425993</v>
      </c>
      <c r="X172" s="6">
        <f t="shared" si="247"/>
        <v>0.22296690772622949</v>
      </c>
      <c r="Y172">
        <f t="shared" si="248"/>
        <v>1.5671996121570813</v>
      </c>
      <c r="Z172" s="6">
        <f t="shared" si="249"/>
        <v>0.24853905296482509</v>
      </c>
      <c r="AA172">
        <f t="shared" si="250"/>
        <v>1.6738057488466067</v>
      </c>
      <c r="AB172" s="6">
        <f t="shared" si="251"/>
        <v>0.2820808956573454</v>
      </c>
      <c r="AC172">
        <f t="shared" si="252"/>
        <v>1.8068824770902208</v>
      </c>
      <c r="AD172" s="6">
        <f t="shared" si="253"/>
        <v>0.32755905964435367</v>
      </c>
      <c r="AE172">
        <f t="shared" si="254"/>
        <v>1.9749750471756735</v>
      </c>
      <c r="AF172" s="6">
        <f t="shared" si="255"/>
        <v>0.38938085034425363</v>
      </c>
      <c r="AG172">
        <f t="shared" si="256"/>
        <v>2.1904438382303066</v>
      </c>
      <c r="AH172" s="6">
        <f t="shared" si="257"/>
        <v>0.47671205311008602</v>
      </c>
      <c r="AI172">
        <f t="shared" si="258"/>
        <v>2.4704116238365805</v>
      </c>
      <c r="AJ172">
        <f t="shared" si="259"/>
        <v>0.62491278402564232</v>
      </c>
      <c r="AK172">
        <f t="shared" si="260"/>
        <v>2.8428972140332793</v>
      </c>
      <c r="AL172">
        <f t="shared" si="261"/>
        <v>0.82492357501213431</v>
      </c>
      <c r="AM172">
        <f t="shared" si="262"/>
        <v>3.2591726047722749</v>
      </c>
      <c r="AN172">
        <f t="shared" si="263"/>
        <v>1.0810816367354898</v>
      </c>
      <c r="AO172">
        <f t="shared" si="264"/>
        <v>2.9488224038346269</v>
      </c>
      <c r="AP172">
        <f t="shared" si="265"/>
        <v>0.88666349574239822</v>
      </c>
    </row>
    <row r="173" spans="1:42" x14ac:dyDescent="0.25">
      <c r="A173" s="139">
        <v>0.45</v>
      </c>
      <c r="B173" s="256">
        <f>'Sub C_D_0'!AX199</f>
        <v>9.5727396878012277E-3</v>
      </c>
      <c r="C173" s="256">
        <f>'C_L vs. α'!X475</f>
        <v>0.12817033856003718</v>
      </c>
      <c r="D173" s="144">
        <v>12</v>
      </c>
      <c r="E173" s="14">
        <f t="shared" si="228"/>
        <v>1.3813419177793451</v>
      </c>
      <c r="F173" s="6">
        <f t="shared" si="229"/>
        <v>0.19953280432319931</v>
      </c>
      <c r="G173" s="14">
        <f t="shared" si="230"/>
        <v>1.3923987524161405</v>
      </c>
      <c r="H173" s="6">
        <f t="shared" si="231"/>
        <v>0.20122651536803637</v>
      </c>
      <c r="I173" s="14">
        <f t="shared" si="232"/>
        <v>1.4085945189226723</v>
      </c>
      <c r="J173" s="6">
        <f t="shared" si="233"/>
        <v>0.20498876810373556</v>
      </c>
      <c r="K173" s="14">
        <f t="shared" si="234"/>
        <v>1.4308805262763133</v>
      </c>
      <c r="L173" s="6">
        <f t="shared" si="235"/>
        <v>0.21073669779793888</v>
      </c>
      <c r="M173">
        <f t="shared" si="236"/>
        <v>1.4600192902665556</v>
      </c>
      <c r="N173" s="6">
        <f t="shared" si="237"/>
        <v>0.21865504668747046</v>
      </c>
      <c r="O173">
        <f t="shared" si="238"/>
        <v>1.4955313501946723</v>
      </c>
      <c r="P173" s="6">
        <f t="shared" si="239"/>
        <v>0.22913955246257423</v>
      </c>
      <c r="Q173">
        <f t="shared" si="240"/>
        <v>1.5413824329190824</v>
      </c>
      <c r="R173" s="6">
        <f t="shared" si="241"/>
        <v>0.24255200989929607</v>
      </c>
      <c r="S173">
        <f t="shared" si="242"/>
        <v>1.5976152291880374</v>
      </c>
      <c r="T173" s="6">
        <f t="shared" si="243"/>
        <v>0.25964876633232897</v>
      </c>
      <c r="U173">
        <f t="shared" si="244"/>
        <v>1.6662144012804834</v>
      </c>
      <c r="V173" s="6">
        <f t="shared" si="245"/>
        <v>0.28141094484923712</v>
      </c>
      <c r="W173">
        <f t="shared" si="246"/>
        <v>1.7498469220139812</v>
      </c>
      <c r="X173" s="6">
        <f t="shared" si="247"/>
        <v>0.30924411726460027</v>
      </c>
      <c r="Y173">
        <f t="shared" si="248"/>
        <v>1.8521449961856415</v>
      </c>
      <c r="Z173" s="6">
        <f t="shared" si="249"/>
        <v>0.34519886354770474</v>
      </c>
      <c r="AA173">
        <f t="shared" si="250"/>
        <v>1.9781340668187168</v>
      </c>
      <c r="AB173" s="6">
        <f t="shared" si="251"/>
        <v>0.39233821237196642</v>
      </c>
      <c r="AC173">
        <f t="shared" si="252"/>
        <v>2.1354065638338975</v>
      </c>
      <c r="AD173" s="6">
        <f t="shared" si="253"/>
        <v>0.45604544783838258</v>
      </c>
      <c r="AE173">
        <f t="shared" si="254"/>
        <v>2.3340614193894322</v>
      </c>
      <c r="AF173" s="6">
        <f t="shared" si="255"/>
        <v>0.54288514645225783</v>
      </c>
      <c r="AG173">
        <f t="shared" si="256"/>
        <v>2.5887063542721807</v>
      </c>
      <c r="AH173" s="6">
        <f t="shared" si="257"/>
        <v>0.66553794900239371</v>
      </c>
      <c r="AI173">
        <f t="shared" si="258"/>
        <v>2.9195773736250499</v>
      </c>
      <c r="AJ173">
        <f t="shared" si="259"/>
        <v>0.8691272906045866</v>
      </c>
      <c r="AK173">
        <f t="shared" si="260"/>
        <v>3.3597876165847844</v>
      </c>
      <c r="AL173">
        <f t="shared" si="261"/>
        <v>1.1483348298624372</v>
      </c>
      <c r="AM173">
        <f t="shared" si="262"/>
        <v>3.8517494420035976</v>
      </c>
      <c r="AN173">
        <f t="shared" si="263"/>
        <v>1.5061389923240933</v>
      </c>
      <c r="AO173">
        <f t="shared" si="264"/>
        <v>3.4849719318045596</v>
      </c>
      <c r="AP173">
        <f t="shared" si="265"/>
        <v>1.2346240777546165</v>
      </c>
    </row>
    <row r="174" spans="1:42" x14ac:dyDescent="0.25">
      <c r="A174" s="129">
        <v>0.5</v>
      </c>
      <c r="B174" s="256">
        <f>'Sub C_D_0'!AX200</f>
        <v>9.4322340939447438E-3</v>
      </c>
      <c r="C174" s="256">
        <f>'C_L vs. α'!X476</f>
        <v>0.13460360938569085</v>
      </c>
      <c r="D174" s="144">
        <v>14</v>
      </c>
      <c r="E174" s="14">
        <f t="shared" si="228"/>
        <v>1.5938560589761674</v>
      </c>
      <c r="F174" s="6">
        <f t="shared" si="229"/>
        <v>0.26240899166605569</v>
      </c>
      <c r="G174" s="14">
        <f t="shared" si="230"/>
        <v>1.6066139450955468</v>
      </c>
      <c r="H174" s="6">
        <f t="shared" si="231"/>
        <v>0.26511330548538414</v>
      </c>
      <c r="I174" s="14">
        <f t="shared" si="232"/>
        <v>1.6253013679876986</v>
      </c>
      <c r="J174" s="6">
        <f t="shared" si="233"/>
        <v>0.2703704074433006</v>
      </c>
      <c r="K174" s="14">
        <f t="shared" si="234"/>
        <v>1.6510159918572846</v>
      </c>
      <c r="L174" s="6">
        <f t="shared" si="235"/>
        <v>0.27820356799496165</v>
      </c>
      <c r="M174">
        <f t="shared" si="236"/>
        <v>1.6846376426152565</v>
      </c>
      <c r="N174" s="6">
        <f t="shared" si="237"/>
        <v>0.28889771569151501</v>
      </c>
      <c r="O174">
        <f t="shared" si="238"/>
        <v>1.7256130963784679</v>
      </c>
      <c r="P174" s="6">
        <f t="shared" si="239"/>
        <v>0.30284080354868831</v>
      </c>
      <c r="Q174">
        <f t="shared" si="240"/>
        <v>1.7785181918297106</v>
      </c>
      <c r="R174" s="6">
        <f t="shared" si="241"/>
        <v>0.32084170963188707</v>
      </c>
      <c r="S174">
        <f t="shared" si="242"/>
        <v>1.8434021875246587</v>
      </c>
      <c r="T174" s="6">
        <f t="shared" si="243"/>
        <v>0.34375500299211326</v>
      </c>
      <c r="U174">
        <f t="shared" si="244"/>
        <v>1.9225550784005576</v>
      </c>
      <c r="V174" s="6">
        <f t="shared" si="245"/>
        <v>0.37289503747516783</v>
      </c>
      <c r="W174">
        <f t="shared" si="246"/>
        <v>2.0190541407853626</v>
      </c>
      <c r="X174" s="6">
        <f t="shared" si="247"/>
        <v>0.41014243681482809</v>
      </c>
      <c r="Y174">
        <f t="shared" si="248"/>
        <v>2.1370903802142016</v>
      </c>
      <c r="Z174" s="6">
        <f t="shared" si="249"/>
        <v>0.45823928880066156</v>
      </c>
      <c r="AA174">
        <f t="shared" si="250"/>
        <v>2.2824623847908274</v>
      </c>
      <c r="AB174" s="6">
        <f t="shared" si="251"/>
        <v>0.52128046762275704</v>
      </c>
      <c r="AC174">
        <f t="shared" si="252"/>
        <v>2.4639306505775735</v>
      </c>
      <c r="AD174" s="6">
        <f t="shared" si="253"/>
        <v>0.60630599431665178</v>
      </c>
      <c r="AE174">
        <f t="shared" si="254"/>
        <v>2.6931477916031912</v>
      </c>
      <c r="AF174" s="6">
        <f t="shared" si="255"/>
        <v>0.72240330198729508</v>
      </c>
      <c r="AG174">
        <f t="shared" si="256"/>
        <v>2.9869688703140547</v>
      </c>
      <c r="AH174" s="6">
        <f t="shared" si="257"/>
        <v>0.88636353764903286</v>
      </c>
      <c r="AI174">
        <f t="shared" si="258"/>
        <v>3.3687431234135188</v>
      </c>
      <c r="AJ174">
        <f t="shared" si="259"/>
        <v>1.1540442149466883</v>
      </c>
      <c r="AK174">
        <f t="shared" si="260"/>
        <v>3.87667801913629</v>
      </c>
      <c r="AL174">
        <f t="shared" si="261"/>
        <v>1.5256479605211246</v>
      </c>
      <c r="AM174">
        <f t="shared" si="262"/>
        <v>4.4443262792349199</v>
      </c>
      <c r="AN174">
        <f t="shared" si="263"/>
        <v>2.002039240510797</v>
      </c>
      <c r="AO174">
        <f t="shared" si="264"/>
        <v>4.0211214597744913</v>
      </c>
      <c r="AP174">
        <f t="shared" si="265"/>
        <v>1.6405780901022036</v>
      </c>
    </row>
    <row r="175" spans="1:42" x14ac:dyDescent="0.25">
      <c r="A175" s="139">
        <v>0.55000000000000004</v>
      </c>
      <c r="B175" s="256">
        <f>'Sub C_D_0'!AX201</f>
        <v>9.3076126272214326E-3</v>
      </c>
      <c r="C175" s="256">
        <f>'C_L vs. α'!X477</f>
        <v>0.14247269201428012</v>
      </c>
      <c r="D175" s="144">
        <v>16</v>
      </c>
      <c r="E175" s="14">
        <f t="shared" si="228"/>
        <v>1.8063702001729898</v>
      </c>
      <c r="F175" s="6">
        <f t="shared" si="229"/>
        <v>0.3343965265156304</v>
      </c>
      <c r="G175" s="14">
        <f t="shared" si="230"/>
        <v>1.8208291377749528</v>
      </c>
      <c r="H175" s="6">
        <f t="shared" si="231"/>
        <v>0.3382578889017091</v>
      </c>
      <c r="I175" s="14">
        <f t="shared" si="232"/>
        <v>1.8420082170527252</v>
      </c>
      <c r="J175" s="6">
        <f t="shared" si="233"/>
        <v>0.3452264577126084</v>
      </c>
      <c r="K175" s="14">
        <f t="shared" si="234"/>
        <v>1.8711514574382557</v>
      </c>
      <c r="L175" s="6">
        <f t="shared" si="235"/>
        <v>0.35544701857214916</v>
      </c>
      <c r="M175">
        <f t="shared" si="236"/>
        <v>1.9092559949639574</v>
      </c>
      <c r="N175" s="6">
        <f t="shared" si="237"/>
        <v>0.36931920427959974</v>
      </c>
      <c r="O175">
        <f t="shared" si="238"/>
        <v>1.9556948425622638</v>
      </c>
      <c r="P175" s="6">
        <f t="shared" si="239"/>
        <v>0.38722205510403862</v>
      </c>
      <c r="Q175">
        <f t="shared" si="240"/>
        <v>2.0156539507403388</v>
      </c>
      <c r="R175" s="6">
        <f t="shared" si="241"/>
        <v>0.41047631894957431</v>
      </c>
      <c r="S175">
        <f t="shared" si="242"/>
        <v>2.0891891458612797</v>
      </c>
      <c r="T175" s="6">
        <f t="shared" si="243"/>
        <v>0.44004901982869055</v>
      </c>
      <c r="U175">
        <f t="shared" si="244"/>
        <v>2.1788957555206321</v>
      </c>
      <c r="V175" s="6">
        <f t="shared" si="245"/>
        <v>0.47763603059836407</v>
      </c>
      <c r="W175">
        <f t="shared" si="246"/>
        <v>2.2882613595567447</v>
      </c>
      <c r="X175" s="6">
        <f t="shared" si="247"/>
        <v>0.52566186637691337</v>
      </c>
      <c r="Y175">
        <f t="shared" si="248"/>
        <v>2.4220357642427621</v>
      </c>
      <c r="Z175" s="6">
        <f t="shared" si="249"/>
        <v>0.58766032872369578</v>
      </c>
      <c r="AA175">
        <f t="shared" si="250"/>
        <v>2.5867907027629373</v>
      </c>
      <c r="AB175" s="6">
        <f t="shared" si="251"/>
        <v>0.66890766140971658</v>
      </c>
      <c r="AC175">
        <f t="shared" si="252"/>
        <v>2.7924547373212505</v>
      </c>
      <c r="AD175" s="6">
        <f t="shared" si="253"/>
        <v>0.77834069907916215</v>
      </c>
      <c r="AE175">
        <f t="shared" si="254"/>
        <v>3.0522341638169501</v>
      </c>
      <c r="AF175" s="6">
        <f t="shared" si="255"/>
        <v>0.92793531694936493</v>
      </c>
      <c r="AG175">
        <f t="shared" si="256"/>
        <v>3.3852313863559287</v>
      </c>
      <c r="AH175" s="6">
        <f t="shared" si="257"/>
        <v>1.1391888190500032</v>
      </c>
      <c r="AI175">
        <f t="shared" si="258"/>
        <v>3.8179088732019881</v>
      </c>
      <c r="AJ175">
        <f t="shared" si="259"/>
        <v>1.4796635570519476</v>
      </c>
      <c r="AK175">
        <f t="shared" si="260"/>
        <v>4.393568421687795</v>
      </c>
      <c r="AL175">
        <f t="shared" si="261"/>
        <v>1.9568629669881954</v>
      </c>
      <c r="AM175">
        <f t="shared" si="262"/>
        <v>5.0369031164662434</v>
      </c>
      <c r="AN175">
        <f t="shared" si="263"/>
        <v>2.5687823812956028</v>
      </c>
      <c r="AO175">
        <f t="shared" si="264"/>
        <v>4.557270987744424</v>
      </c>
      <c r="AP175">
        <f t="shared" si="265"/>
        <v>2.1045255327851611</v>
      </c>
    </row>
    <row r="176" spans="1:42" x14ac:dyDescent="0.25">
      <c r="A176" s="129">
        <v>0.6</v>
      </c>
      <c r="B176" s="256">
        <f>'Sub C_D_0'!AX202</f>
        <v>9.1958514353567312E-3</v>
      </c>
      <c r="C176" s="256">
        <f>'C_L vs. α'!X478</f>
        <v>0.15216415898605515</v>
      </c>
    </row>
    <row r="177" spans="1:42" x14ac:dyDescent="0.25">
      <c r="A177" s="139">
        <v>0.65</v>
      </c>
      <c r="B177" s="256">
        <f>'Sub C_D_0'!AX203</f>
        <v>9.5573635301439142E-3</v>
      </c>
      <c r="C177" s="256">
        <f>'C_L vs. α'!X479</f>
        <v>0.16426204337183825</v>
      </c>
    </row>
    <row r="178" spans="1:42" x14ac:dyDescent="0.25">
      <c r="A178" s="129">
        <v>0.7</v>
      </c>
      <c r="B178" s="256">
        <f>'Sub C_D_0'!AX204</f>
        <v>9.4602438948939004E-3</v>
      </c>
      <c r="C178" s="256">
        <f>'C_L vs. α'!X480</f>
        <v>0.17954318610687942</v>
      </c>
    </row>
    <row r="179" spans="1:42" x14ac:dyDescent="0.25">
      <c r="A179" s="139">
        <v>0.75</v>
      </c>
      <c r="B179" s="256">
        <f>'Sub C_D_0'!AX205</f>
        <v>9.3710685276456179E-3</v>
      </c>
      <c r="C179" s="256">
        <f>'C_L vs. α'!X481</f>
        <v>0.19913125802093698</v>
      </c>
    </row>
    <row r="180" spans="1:42" x14ac:dyDescent="0.25">
      <c r="A180" s="129">
        <v>0.8</v>
      </c>
      <c r="B180" s="256">
        <f>'Sub C_D_0'!AX206</f>
        <v>9.2887153578866469E-3</v>
      </c>
      <c r="C180" s="256">
        <f>'C_L vs. α'!X482</f>
        <v>0.22458287489423459</v>
      </c>
    </row>
    <row r="181" spans="1:42" x14ac:dyDescent="0.25">
      <c r="A181" s="139">
        <v>0.85</v>
      </c>
      <c r="B181" s="256">
        <f>'Sub C_D_0'!AX207</f>
        <v>9.6577034103282923E-3</v>
      </c>
      <c r="C181" s="256">
        <f>'C_L vs. α'!X483</f>
        <v>0.25844520127575266</v>
      </c>
    </row>
    <row r="182" spans="1:42" x14ac:dyDescent="0.25">
      <c r="A182" s="129">
        <v>0.9</v>
      </c>
      <c r="B182" s="256">
        <f>'Sub C_D_0'!AX208</f>
        <v>9.5828861892183429E-3</v>
      </c>
      <c r="C182" s="256">
        <f>'C_L vs. α'!X484</f>
        <v>0.29628841861566135</v>
      </c>
    </row>
    <row r="183" spans="1:42" x14ac:dyDescent="0.25">
      <c r="A183" s="139">
        <v>0.95</v>
      </c>
      <c r="B183" s="256">
        <f>'Sub C_D_0'!AX209</f>
        <v>9.5128619199324853E-3</v>
      </c>
      <c r="C183" s="256">
        <f>'C_L vs. α'!X485</f>
        <v>0.2680747639849661</v>
      </c>
    </row>
    <row r="185" spans="1:42" x14ac:dyDescent="0.25">
      <c r="A185" s="122" t="s">
        <v>537</v>
      </c>
      <c r="B185" s="122" t="s">
        <v>192</v>
      </c>
    </row>
    <row r="186" spans="1:42" x14ac:dyDescent="0.25">
      <c r="A186" s="122" t="s">
        <v>202</v>
      </c>
      <c r="B186" s="145">
        <v>40000</v>
      </c>
      <c r="C186" s="122" t="s">
        <v>538</v>
      </c>
      <c r="D186" s="122" t="s">
        <v>539</v>
      </c>
      <c r="E186" s="1" t="s">
        <v>536</v>
      </c>
      <c r="F186" s="140">
        <v>0.05</v>
      </c>
      <c r="G186" s="1" t="s">
        <v>536</v>
      </c>
      <c r="H186" s="140">
        <v>0.1</v>
      </c>
      <c r="I186" s="1" t="s">
        <v>536</v>
      </c>
      <c r="J186" s="140">
        <v>0.15</v>
      </c>
      <c r="K186" s="1" t="s">
        <v>536</v>
      </c>
      <c r="L186" s="140">
        <v>0.2</v>
      </c>
      <c r="M186" t="s">
        <v>536</v>
      </c>
      <c r="N186" s="141">
        <v>0.25</v>
      </c>
      <c r="O186" t="s">
        <v>536</v>
      </c>
      <c r="P186" s="141">
        <v>0.3</v>
      </c>
      <c r="Q186" t="s">
        <v>536</v>
      </c>
      <c r="R186" s="141">
        <v>0.35</v>
      </c>
      <c r="S186" t="s">
        <v>536</v>
      </c>
      <c r="T186" s="141">
        <v>0.4</v>
      </c>
      <c r="U186" t="s">
        <v>536</v>
      </c>
      <c r="V186" s="141">
        <v>0.45</v>
      </c>
      <c r="W186" t="s">
        <v>536</v>
      </c>
      <c r="X186" s="141">
        <v>0.5</v>
      </c>
      <c r="Y186" t="s">
        <v>536</v>
      </c>
      <c r="Z186" s="141">
        <v>0.55000000000000004</v>
      </c>
      <c r="AA186" t="s">
        <v>536</v>
      </c>
      <c r="AB186" s="141">
        <v>0.6</v>
      </c>
      <c r="AC186" t="s">
        <v>536</v>
      </c>
      <c r="AD186" s="141">
        <v>0.65</v>
      </c>
      <c r="AE186" t="s">
        <v>536</v>
      </c>
      <c r="AF186" s="141">
        <v>0.7</v>
      </c>
      <c r="AG186" t="s">
        <v>536</v>
      </c>
      <c r="AH186" s="141">
        <v>0.75</v>
      </c>
      <c r="AI186" t="s">
        <v>536</v>
      </c>
      <c r="AJ186" s="141">
        <v>0.8</v>
      </c>
      <c r="AK186" t="s">
        <v>536</v>
      </c>
      <c r="AL186" s="141">
        <v>0.85</v>
      </c>
      <c r="AM186" t="s">
        <v>536</v>
      </c>
      <c r="AN186" s="141">
        <v>0.9</v>
      </c>
      <c r="AO186" t="s">
        <v>536</v>
      </c>
      <c r="AP186" s="141">
        <v>0.95</v>
      </c>
    </row>
    <row r="187" spans="1:42" x14ac:dyDescent="0.25">
      <c r="A187" s="121" t="s">
        <v>182</v>
      </c>
      <c r="B187" s="121" t="s">
        <v>534</v>
      </c>
      <c r="C187" s="121" t="s">
        <v>535</v>
      </c>
      <c r="D187" s="121" t="s">
        <v>421</v>
      </c>
      <c r="E187" s="14" t="s">
        <v>244</v>
      </c>
      <c r="F187" s="6" t="s">
        <v>245</v>
      </c>
      <c r="G187" s="14" t="s">
        <v>244</v>
      </c>
      <c r="H187" s="6" t="s">
        <v>245</v>
      </c>
      <c r="I187" s="14" t="s">
        <v>244</v>
      </c>
      <c r="J187" s="6" t="s">
        <v>245</v>
      </c>
      <c r="K187" s="14" t="s">
        <v>244</v>
      </c>
      <c r="L187" s="6" t="s">
        <v>245</v>
      </c>
      <c r="M187" t="s">
        <v>244</v>
      </c>
      <c r="N187" t="s">
        <v>245</v>
      </c>
      <c r="O187" t="s">
        <v>244</v>
      </c>
      <c r="P187" t="s">
        <v>245</v>
      </c>
      <c r="Q187" t="s">
        <v>244</v>
      </c>
      <c r="R187" t="s">
        <v>245</v>
      </c>
      <c r="S187" t="s">
        <v>244</v>
      </c>
      <c r="T187" t="s">
        <v>245</v>
      </c>
      <c r="U187" t="s">
        <v>244</v>
      </c>
      <c r="V187" t="s">
        <v>245</v>
      </c>
      <c r="W187" t="s">
        <v>244</v>
      </c>
      <c r="X187" t="s">
        <v>245</v>
      </c>
      <c r="Y187" t="s">
        <v>244</v>
      </c>
      <c r="Z187" t="s">
        <v>245</v>
      </c>
      <c r="AA187" t="s">
        <v>244</v>
      </c>
      <c r="AB187" t="s">
        <v>245</v>
      </c>
      <c r="AC187" t="s">
        <v>244</v>
      </c>
      <c r="AD187" t="s">
        <v>245</v>
      </c>
      <c r="AE187" t="s">
        <v>244</v>
      </c>
      <c r="AF187" t="s">
        <v>245</v>
      </c>
      <c r="AG187" t="s">
        <v>244</v>
      </c>
      <c r="AH187" t="s">
        <v>245</v>
      </c>
      <c r="AI187" t="s">
        <v>244</v>
      </c>
      <c r="AJ187" t="s">
        <v>245</v>
      </c>
      <c r="AK187" t="s">
        <v>244</v>
      </c>
      <c r="AL187" t="s">
        <v>245</v>
      </c>
      <c r="AM187" t="s">
        <v>244</v>
      </c>
      <c r="AN187" t="s">
        <v>245</v>
      </c>
      <c r="AO187" t="s">
        <v>244</v>
      </c>
      <c r="AP187" t="s">
        <v>245</v>
      </c>
    </row>
    <row r="188" spans="1:42" x14ac:dyDescent="0.25">
      <c r="A188" s="129">
        <v>0</v>
      </c>
      <c r="B188" s="129" t="e">
        <f>'Sub C_D_0'!AX220</f>
        <v>#DIV/0!</v>
      </c>
      <c r="C188" s="129" t="e">
        <f>'C_L vs. α'!X491</f>
        <v>#NUM!</v>
      </c>
      <c r="D188" s="144">
        <v>-6</v>
      </c>
      <c r="E188" s="14">
        <f>(D188-$B$12)*$C$189</f>
        <v>-0.53142156643688421</v>
      </c>
      <c r="F188" s="6">
        <f>$B$189+$B$7*E188^2+$B$8*(E188-E$191)^2</f>
        <v>4.345229457000218E-2</v>
      </c>
      <c r="G188" s="14">
        <f>(D188-$B$12)*$C$190</f>
        <v>-0.53567035246122652</v>
      </c>
      <c r="H188" s="6">
        <f>$B$190+$B$7*G188^2+$B$8*(G188-G$191)^2</f>
        <v>4.2671481366183622E-2</v>
      </c>
      <c r="I188" s="14">
        <f>(D188-$B$12)*$C$191</f>
        <v>-0.54189128441526069</v>
      </c>
      <c r="J188" s="6">
        <f>$B$191+$B$7*I188^2+$B$8*(I188-I$191)^2</f>
        <v>4.2742740776247082E-2</v>
      </c>
      <c r="K188" s="14">
        <f>(D188-$B$12)*$C$192</f>
        <v>-0.55045467258878689</v>
      </c>
      <c r="L188" s="6">
        <f>$B$192+$B$7*K188^2+$B$8*(K188-K$191)^2</f>
        <v>4.3330583540240906E-2</v>
      </c>
      <c r="M188">
        <f>(D188-$B$12)*$C$193</f>
        <v>-0.56165394198934249</v>
      </c>
      <c r="N188" s="6">
        <f>$B$193+$B$7*M188^2+$B$8*(M188-M$191)^2</f>
        <v>4.4374149068026308E-2</v>
      </c>
      <c r="O188">
        <f>(D188-$B$12)*$C$194</f>
        <v>-0.57531284110323644</v>
      </c>
      <c r="P188" s="6">
        <f>$B$194+$B$7*O188^2+$B$8*(O188-O$191)^2</f>
        <v>4.6283067046777961E-2</v>
      </c>
      <c r="Q188">
        <f>(D188-$B$12)*$C$195</f>
        <v>-0.59293946414242549</v>
      </c>
      <c r="R188" s="6">
        <f>$B$195+$B$7*Q188^2+$B$8*(Q188-Q$191)^2</f>
        <v>4.832456144102177E-2</v>
      </c>
      <c r="S188">
        <f>(D188-$B$12)*$C$196</f>
        <v>-0.61455748281419853</v>
      </c>
      <c r="T188" s="6">
        <f>$B$196+$B$7*S188^2+$B$8*(S188-S$191)^2</f>
        <v>5.1004831801750486E-2</v>
      </c>
      <c r="U188">
        <f>(D188-$B$12)*$C$197</f>
        <v>-0.64092941745577159</v>
      </c>
      <c r="V188" s="6">
        <f>$B$197+$B$7*U188^2+$B$8*(U188-U$191)^2</f>
        <v>5.4478956481610129E-2</v>
      </c>
      <c r="W188">
        <f>(D188-$B$12)*$C$198</f>
        <v>-0.6730797811408793</v>
      </c>
      <c r="X188" s="6">
        <f>$B$198+$B$7*W188^2+$B$8*(W188-W$191)^2</f>
        <v>5.8974704762979668E-2</v>
      </c>
      <c r="Y188">
        <f>(D188-$B$12)*$C$199</f>
        <v>-0.712403601914256</v>
      </c>
      <c r="Z188" s="6">
        <f>$B$199+$B$7*Y188^2+$B$8*(Y188-Y$191)^2</f>
        <v>6.4828016689910103E-2</v>
      </c>
      <c r="AA188">
        <f>(D188-$B$12)*$C$200</f>
        <v>-0.7608304737650522</v>
      </c>
      <c r="AB188" s="6">
        <f>$B$200+$B$7*AA188^2+$B$8*(AA188-AA$191)^2</f>
        <v>7.2543176068462167E-2</v>
      </c>
      <c r="AC188">
        <f>(D188-$B$12)*$C$201</f>
        <v>-0.82127128061632959</v>
      </c>
      <c r="AD188" s="6">
        <f>$B$201+$B$7*AC188^2+$B$8*(AC188-AC$191)^2</f>
        <v>8.3387000987137833E-2</v>
      </c>
      <c r="AE188">
        <f>(D188-$B$12)*$C$202</f>
        <v>-0.89759908347829942</v>
      </c>
      <c r="AF188" s="6">
        <f>$B$202+$B$7*AE188^2+$B$8*(AE188-AE$191)^2</f>
        <v>9.7680815705927918E-2</v>
      </c>
      <c r="AG188">
        <f>(D188-$B$12)*$C$203</f>
        <v>-0.9954087628192626</v>
      </c>
      <c r="AH188" s="6">
        <f>$B$203+$B$7*AG188^2+$B$8*(AG188-AG$191)^2</f>
        <v>0.11790004027070612</v>
      </c>
      <c r="AI188">
        <f>(D188-$B$12)*$C$204</f>
        <v>-1.1224276564227389</v>
      </c>
      <c r="AJ188">
        <f>$B$204+$B$9*AI188^2</f>
        <v>0.13623551474957765</v>
      </c>
      <c r="AK188">
        <f>(D188-$B$12)*$C$205</f>
        <v>-1.2911682043819241</v>
      </c>
      <c r="AL188">
        <f>$B$205+$B$9*AK188^2</f>
        <v>0.17768216632647146</v>
      </c>
      <c r="AM188">
        <f>(D188-$B$12)*$C$206</f>
        <v>-1.4790002308818497</v>
      </c>
      <c r="AN188">
        <f>$B$206+$B$9*AM188^2</f>
        <v>0.23009602286342587</v>
      </c>
      <c r="AO188">
        <f>(D188-$B$12)*$C$207</f>
        <v>-1.3323974242911165</v>
      </c>
      <c r="AP188">
        <f>$B$207+$B$9*AO188^2</f>
        <v>0.18845156027462331</v>
      </c>
    </row>
    <row r="189" spans="1:42" x14ac:dyDescent="0.25">
      <c r="A189" s="139">
        <v>0.05</v>
      </c>
      <c r="B189" s="256">
        <f>'Sub C_D_0'!AX221</f>
        <v>1.2479533520607084E-2</v>
      </c>
      <c r="C189" s="256">
        <f>'C_L vs. α'!X492</f>
        <v>0.10628431328737685</v>
      </c>
      <c r="D189" s="144">
        <v>-4</v>
      </c>
      <c r="E189" s="14">
        <f t="shared" ref="E189:E199" si="266">(D189-$B$12)*$C$189</f>
        <v>-0.31885293986213054</v>
      </c>
      <c r="F189" s="6">
        <f t="shared" ref="F189:F199" si="267">$B$189+$B$7*E189^2+$B$8*(E189-E$191)^2</f>
        <v>2.4316545897648249E-2</v>
      </c>
      <c r="G189" s="14">
        <f t="shared" ref="G189:G199" si="268">(D189-$B$12)*$C$190</f>
        <v>-0.32140221147673592</v>
      </c>
      <c r="H189" s="6">
        <f t="shared" ref="H189:H199" si="269">$B$190+$B$7*G189^2+$B$8*(G189-G$191)^2</f>
        <v>2.3228523789910797E-2</v>
      </c>
      <c r="I189" s="14">
        <f t="shared" ref="I189:I199" si="270">(D189-$B$12)*$C$191</f>
        <v>-0.32513477064915641</v>
      </c>
      <c r="J189" s="6">
        <f t="shared" ref="J189:J199" si="271">$B$191+$B$7*I189^2+$B$8*(I189-I$191)^2</f>
        <v>2.2845564844854956E-2</v>
      </c>
      <c r="K189" s="14">
        <f t="shared" ref="K189:K199" si="272">(D189-$B$12)*$C$192</f>
        <v>-0.3302728035532721</v>
      </c>
      <c r="L189" s="6">
        <f t="shared" ref="L189:L199" si="273">$B$192+$B$7*K189^2+$B$8*(K189-K$191)^2</f>
        <v>2.2799577385155423E-2</v>
      </c>
      <c r="M189">
        <f t="shared" ref="M189:M199" si="274">(D189-$B$12)*$C$193</f>
        <v>-0.33699236519360548</v>
      </c>
      <c r="N189" s="6">
        <f t="shared" ref="N189:N199" si="275">$B$193+$B$7*M189^2+$B$8*(M189-M$191)^2</f>
        <v>2.2999217617112884E-2</v>
      </c>
      <c r="O189">
        <f t="shared" ref="O189:O199" si="276">(D189-$B$12)*$C$194</f>
        <v>-0.34518770466194182</v>
      </c>
      <c r="P189" s="6">
        <f t="shared" ref="P189:P199" si="277">$B$194+$B$7*O189^2+$B$8*(O189-O$191)^2</f>
        <v>2.3855857374541087E-2</v>
      </c>
      <c r="Q189">
        <f t="shared" ref="Q189:Q199" si="278">(D189-$B$12)*$C$195</f>
        <v>-0.35576367848545531</v>
      </c>
      <c r="R189" s="6">
        <f t="shared" ref="R189:R199" si="279">$B$195+$B$7*Q189^2+$B$8*(Q189-Q$191)^2</f>
        <v>2.4502034814055315E-2</v>
      </c>
      <c r="S189">
        <f t="shared" ref="S189:S199" si="280">(D189-$B$12)*$C$196</f>
        <v>-0.36873448968851907</v>
      </c>
      <c r="T189" s="6">
        <f t="shared" ref="T189:T199" si="281">$B$196+$B$7*S189^2+$B$8*(S189-S$191)^2</f>
        <v>2.5413544650752549E-2</v>
      </c>
      <c r="U189">
        <f t="shared" ref="U189:U199" si="282">(D189-$B$12)*$C$197</f>
        <v>-0.38455765047346291</v>
      </c>
      <c r="V189" s="6">
        <f t="shared" ref="V189:V199" si="283">$B$197+$B$7*U189^2+$B$8*(U189-U$191)^2</f>
        <v>2.6644194072469193E-2</v>
      </c>
      <c r="W189">
        <f t="shared" ref="W189:W199" si="284">(D189-$B$12)*$C$198</f>
        <v>-0.40384786868452754</v>
      </c>
      <c r="X189" s="6">
        <f t="shared" ref="X189:X199" si="285">$B$198+$B$7*W189^2+$B$8*(W189-W$191)^2</f>
        <v>2.8277403412437192E-2</v>
      </c>
      <c r="Y189">
        <f t="shared" ref="Y189:Y199" si="286">(D189-$B$12)*$C$199</f>
        <v>-0.4274421611485536</v>
      </c>
      <c r="Z189" s="6">
        <f t="shared" ref="Z189:Z199" si="287">$B$199+$B$7*Y189^2+$B$8*(Y189-Y$191)^2</f>
        <v>3.0439034585825829E-2</v>
      </c>
      <c r="AA189">
        <f t="shared" ref="AA189:AA199" si="288">(D189-$B$12)*$C$200</f>
        <v>-0.45649828425903127</v>
      </c>
      <c r="AB189" s="6">
        <f t="shared" ref="AB189:AB199" si="289">$B$200+$B$7*AA189^2+$B$8*(AA189-AA$191)^2</f>
        <v>3.3319986551692951E-2</v>
      </c>
      <c r="AC189">
        <f t="shared" ref="AC189:AC199" si="290">(D189-$B$12)*$C$201</f>
        <v>-0.49276276836979771</v>
      </c>
      <c r="AD189" s="6">
        <f t="shared" ref="AD189:AD199" si="291">$B$201+$B$7*AC189^2+$B$8*(AC189-AC$191)^2</f>
        <v>3.7684456499796987E-2</v>
      </c>
      <c r="AE189">
        <f t="shared" ref="AE189:AE199" si="292">(D189-$B$12)*$C$202</f>
        <v>-0.5385594500869797</v>
      </c>
      <c r="AF189" s="6">
        <f t="shared" ref="AF189:AF199" si="293">$B$202+$B$7*AE189^2+$B$8*(AE189-AE$191)^2</f>
        <v>4.3088450699915529E-2</v>
      </c>
      <c r="AG189">
        <f t="shared" ref="AG189:AG199" si="294">(D189-$B$12)*$C$203</f>
        <v>-0.59724525769155756</v>
      </c>
      <c r="AH189" s="6">
        <f t="shared" ref="AH189:AH199" si="295">$B$203+$B$7*AG189^2+$B$8*(AG189-AG$191)^2</f>
        <v>5.0761788681523007E-2</v>
      </c>
      <c r="AI189">
        <f t="shared" ref="AI189:AI199" si="296">(D189-$B$12)*$C$204</f>
        <v>-0.67345659385364343</v>
      </c>
      <c r="AJ189">
        <f t="shared" ref="AJ189:AJ199" si="297">$B$204+$B$9*AI189^2</f>
        <v>5.4901232449471343E-2</v>
      </c>
      <c r="AK189">
        <f t="shared" ref="AK189:AK199" si="298">(D189-$B$12)*$C$205</f>
        <v>-0.77470092262915458</v>
      </c>
      <c r="AL189">
        <f t="shared" ref="AL189:AL199" si="299">$B$205+$B$9*AK189^2</f>
        <v>7.0054836402590553E-2</v>
      </c>
      <c r="AM189">
        <f t="shared" ref="AM189:AM199" si="300">(D189-$B$12)*$C$206</f>
        <v>-0.88740013852910993</v>
      </c>
      <c r="AN189">
        <f t="shared" ref="AN189:AN199" si="301">$B$206+$B$9*AM189^2</f>
        <v>8.8876934309696287E-2</v>
      </c>
      <c r="AO189">
        <f t="shared" ref="AO189:AO199" si="302">$C$37*(RADIANS(D189-$B$12))+$E$10*RADIANS(D189)^2</f>
        <v>-1.0398478548845499E-2</v>
      </c>
      <c r="AP189">
        <f t="shared" ref="AP189:AP199" si="303">$B$207+$B$9*AO189^2</f>
        <v>9.3835273551781152E-3</v>
      </c>
    </row>
    <row r="190" spans="1:42" x14ac:dyDescent="0.25">
      <c r="A190" s="129">
        <v>0.1</v>
      </c>
      <c r="B190" s="256">
        <f>'Sub C_D_0'!AX222</f>
        <v>1.1201477792534784E-2</v>
      </c>
      <c r="C190" s="256">
        <f>'C_L vs. α'!X493</f>
        <v>0.10713407049224531</v>
      </c>
      <c r="D190" s="144">
        <v>-2</v>
      </c>
      <c r="E190" s="14">
        <f t="shared" si="266"/>
        <v>-0.10628431328737685</v>
      </c>
      <c r="F190" s="6">
        <f t="shared" si="267"/>
        <v>1.4296817351432515E-2</v>
      </c>
      <c r="G190" s="14">
        <f t="shared" si="268"/>
        <v>-0.10713407049224531</v>
      </c>
      <c r="H190" s="6">
        <f t="shared" si="269"/>
        <v>1.3047936639364892E-2</v>
      </c>
      <c r="I190" s="14">
        <f t="shared" si="270"/>
        <v>-0.10837825688305214</v>
      </c>
      <c r="J190" s="6">
        <f t="shared" si="271"/>
        <v>1.2427143016558539E-2</v>
      </c>
      <c r="K190" s="14">
        <f t="shared" si="272"/>
        <v>-0.11009093451775737</v>
      </c>
      <c r="L190" s="6">
        <f t="shared" si="273"/>
        <v>1.204927375309296E-2</v>
      </c>
      <c r="M190">
        <f t="shared" si="274"/>
        <v>-0.11233078839786849</v>
      </c>
      <c r="N190" s="6">
        <f t="shared" si="275"/>
        <v>1.1807023650772705E-2</v>
      </c>
      <c r="O190">
        <f t="shared" si="276"/>
        <v>-0.11506256822064728</v>
      </c>
      <c r="P190" s="6">
        <f t="shared" si="277"/>
        <v>1.2112676754201414E-2</v>
      </c>
      <c r="Q190">
        <f t="shared" si="278"/>
        <v>-0.1185878928284851</v>
      </c>
      <c r="R190" s="6">
        <f t="shared" si="279"/>
        <v>1.2028247967552072E-2</v>
      </c>
      <c r="S190">
        <f t="shared" si="280"/>
        <v>-0.1229114965628397</v>
      </c>
      <c r="T190" s="6">
        <f t="shared" si="281"/>
        <v>1.2013611635760904E-2</v>
      </c>
      <c r="U190">
        <f t="shared" si="282"/>
        <v>-0.12818588349115431</v>
      </c>
      <c r="V190" s="6">
        <f t="shared" si="283"/>
        <v>1.2069548038842422E-2</v>
      </c>
      <c r="W190">
        <f t="shared" si="284"/>
        <v>-0.13461595622817585</v>
      </c>
      <c r="X190" s="6">
        <f t="shared" si="285"/>
        <v>1.220389451031691E-2</v>
      </c>
      <c r="Y190">
        <f t="shared" si="286"/>
        <v>-0.1424807203828512</v>
      </c>
      <c r="Z190" s="6">
        <f t="shared" si="287"/>
        <v>1.2432513306551044E-2</v>
      </c>
      <c r="AA190">
        <f t="shared" si="288"/>
        <v>-0.15216609475301043</v>
      </c>
      <c r="AB190" s="6">
        <f t="shared" si="289"/>
        <v>1.278221097761306E-2</v>
      </c>
      <c r="AC190">
        <f t="shared" si="290"/>
        <v>-0.16425425612326591</v>
      </c>
      <c r="AD190" s="6">
        <f t="shared" si="291"/>
        <v>1.3754005829942274E-2</v>
      </c>
      <c r="AE190">
        <f t="shared" si="292"/>
        <v>-0.17951981669565989</v>
      </c>
      <c r="AF190" s="6">
        <f t="shared" si="293"/>
        <v>1.450317361345161E-2</v>
      </c>
      <c r="AG190">
        <f t="shared" si="294"/>
        <v>-0.19908175256385252</v>
      </c>
      <c r="AH190" s="6">
        <f t="shared" si="295"/>
        <v>1.560732111877566E-2</v>
      </c>
      <c r="AI190">
        <f t="shared" si="296"/>
        <v>-0.22448553128454779</v>
      </c>
      <c r="AJ190">
        <f t="shared" si="297"/>
        <v>1.4234091299418161E-2</v>
      </c>
      <c r="AK190">
        <f t="shared" si="298"/>
        <v>-0.25823364087638484</v>
      </c>
      <c r="AL190">
        <f t="shared" si="299"/>
        <v>1.6241171440650074E-2</v>
      </c>
      <c r="AM190">
        <f t="shared" si="300"/>
        <v>-0.29580004617636996</v>
      </c>
      <c r="AN190">
        <f t="shared" si="301"/>
        <v>1.8267390032831472E-2</v>
      </c>
      <c r="AO190">
        <f t="shared" si="302"/>
        <v>-3.7910847640543225E-3</v>
      </c>
      <c r="AP190">
        <f t="shared" si="303"/>
        <v>9.3740698591572216E-3</v>
      </c>
    </row>
    <row r="191" spans="1:42" s="29" customFormat="1" x14ac:dyDescent="0.25">
      <c r="A191" s="139">
        <v>0.15</v>
      </c>
      <c r="B191" s="256">
        <f>'Sub C_D_0'!AX223</f>
        <v>1.0537547959771045E-2</v>
      </c>
      <c r="C191" s="256">
        <f>'C_L vs. α'!X494</f>
        <v>0.10837825688305214</v>
      </c>
      <c r="D191" s="143">
        <v>0</v>
      </c>
      <c r="E191" s="83">
        <f t="shared" si="266"/>
        <v>0.10628431328737685</v>
      </c>
      <c r="F191" s="21">
        <f t="shared" si="267"/>
        <v>1.3393108931354973E-2</v>
      </c>
      <c r="G191" s="83">
        <f t="shared" si="268"/>
        <v>0.10713407049224531</v>
      </c>
      <c r="H191" s="21">
        <f t="shared" si="269"/>
        <v>1.2129719914545901E-2</v>
      </c>
      <c r="I191" s="83">
        <f t="shared" si="270"/>
        <v>0.10837825688305214</v>
      </c>
      <c r="J191" s="21">
        <f t="shared" si="271"/>
        <v>1.1487475291357832E-2</v>
      </c>
      <c r="K191" s="83">
        <f t="shared" si="272"/>
        <v>0.11009093451775737</v>
      </c>
      <c r="L191" s="21">
        <f t="shared" si="273"/>
        <v>1.1079672644053509E-2</v>
      </c>
      <c r="M191" s="99">
        <f t="shared" si="274"/>
        <v>0.11233078839786849</v>
      </c>
      <c r="N191" s="21">
        <f t="shared" si="275"/>
        <v>1.0797567169005769E-2</v>
      </c>
      <c r="O191" s="99">
        <f t="shared" si="276"/>
        <v>0.11506256822064728</v>
      </c>
      <c r="P191" s="21">
        <f t="shared" si="277"/>
        <v>1.1053525185758925E-2</v>
      </c>
      <c r="Q191" s="99">
        <f t="shared" si="278"/>
        <v>0.1185878928284851</v>
      </c>
      <c r="R191" s="21">
        <f t="shared" si="279"/>
        <v>1.0903200901512051E-2</v>
      </c>
      <c r="S191" s="99">
        <f t="shared" si="280"/>
        <v>0.1229114965628397</v>
      </c>
      <c r="T191" s="21">
        <f t="shared" si="281"/>
        <v>1.0805032756775548E-2</v>
      </c>
      <c r="U191" s="99">
        <f t="shared" si="282"/>
        <v>0.12818588349115431</v>
      </c>
      <c r="V191" s="21">
        <f t="shared" si="283"/>
        <v>1.0755018380729798E-2</v>
      </c>
      <c r="W191" s="99">
        <f t="shared" si="284"/>
        <v>0.13461595622817585</v>
      </c>
      <c r="X191" s="21">
        <f t="shared" si="285"/>
        <v>1.0754178056618817E-2</v>
      </c>
      <c r="Y191" s="99">
        <f t="shared" si="286"/>
        <v>0.1424807203828512</v>
      </c>
      <c r="Z191" s="21">
        <f t="shared" si="287"/>
        <v>1.0808452852085745E-2</v>
      </c>
      <c r="AA191" s="99">
        <f t="shared" si="288"/>
        <v>0.15216609475301043</v>
      </c>
      <c r="AB191" s="21">
        <f t="shared" si="289"/>
        <v>1.0929849346222488E-2</v>
      </c>
      <c r="AC191" s="99">
        <f t="shared" si="290"/>
        <v>0.16425425612326591</v>
      </c>
      <c r="AD191" s="21">
        <f t="shared" si="291"/>
        <v>1.159564897757368E-2</v>
      </c>
      <c r="AE191" s="99">
        <f t="shared" si="292"/>
        <v>0.17951981669565989</v>
      </c>
      <c r="AF191" s="21">
        <f t="shared" si="293"/>
        <v>1.1924984446536144E-2</v>
      </c>
      <c r="AG191" s="99">
        <f t="shared" si="294"/>
        <v>0.19908175256385252</v>
      </c>
      <c r="AH191" s="21">
        <f t="shared" si="295"/>
        <v>1.243663758246406E-2</v>
      </c>
      <c r="AI191" s="99">
        <f t="shared" si="296"/>
        <v>0.22448553128454779</v>
      </c>
      <c r="AJ191" s="99">
        <f t="shared" si="297"/>
        <v>1.4234091299418161E-2</v>
      </c>
      <c r="AK191" s="99">
        <f t="shared" si="298"/>
        <v>0.25823364087638484</v>
      </c>
      <c r="AL191" s="99">
        <f t="shared" si="299"/>
        <v>1.6241171440650074E-2</v>
      </c>
      <c r="AM191" s="99">
        <f t="shared" si="300"/>
        <v>0.29580004617636996</v>
      </c>
      <c r="AN191" s="99">
        <f t="shared" si="301"/>
        <v>1.8267390032831472E-2</v>
      </c>
      <c r="AO191" s="99">
        <f t="shared" si="302"/>
        <v>4.7658605073717898E-3</v>
      </c>
      <c r="AP191" s="99">
        <f t="shared" si="303"/>
        <v>9.3749112551017987E-3</v>
      </c>
    </row>
    <row r="192" spans="1:42" x14ac:dyDescent="0.25">
      <c r="A192" s="129">
        <v>0.2</v>
      </c>
      <c r="B192" s="256">
        <f>'Sub C_D_0'!AX224</f>
        <v>1.0099485105935495E-2</v>
      </c>
      <c r="C192" s="256">
        <f>'C_L vs. α'!X495</f>
        <v>0.11009093451775737</v>
      </c>
      <c r="D192" s="144">
        <v>2</v>
      </c>
      <c r="E192" s="14">
        <f t="shared" si="266"/>
        <v>0.31885293986213054</v>
      </c>
      <c r="F192" s="6">
        <f t="shared" si="267"/>
        <v>2.1605420637415624E-2</v>
      </c>
      <c r="G192" s="14">
        <f t="shared" si="268"/>
        <v>0.32140221147673592</v>
      </c>
      <c r="H192" s="6">
        <f t="shared" si="269"/>
        <v>2.0473873615453827E-2</v>
      </c>
      <c r="I192" s="14">
        <f t="shared" si="270"/>
        <v>0.32513477064915641</v>
      </c>
      <c r="J192" s="6">
        <f t="shared" si="271"/>
        <v>2.0026561669252835E-2</v>
      </c>
      <c r="K192" s="14">
        <f t="shared" si="272"/>
        <v>0.3302728035532721</v>
      </c>
      <c r="L192" s="6">
        <f t="shared" si="273"/>
        <v>1.9890774058037068E-2</v>
      </c>
      <c r="M192">
        <f t="shared" si="274"/>
        <v>0.33699236519360548</v>
      </c>
      <c r="N192" s="6">
        <f t="shared" si="275"/>
        <v>1.9970848171812078E-2</v>
      </c>
      <c r="O192">
        <f t="shared" si="276"/>
        <v>0.34518770466194182</v>
      </c>
      <c r="P192" s="6">
        <f t="shared" si="277"/>
        <v>2.0678402669213621E-2</v>
      </c>
      <c r="Q192">
        <f t="shared" si="278"/>
        <v>0.35576367848545531</v>
      </c>
      <c r="R192" s="6">
        <f t="shared" si="279"/>
        <v>2.1126893615935251E-2</v>
      </c>
      <c r="S192">
        <f t="shared" si="280"/>
        <v>0.36873448968851907</v>
      </c>
      <c r="T192" s="6">
        <f t="shared" si="281"/>
        <v>2.1787808013796477E-2</v>
      </c>
      <c r="U192">
        <f t="shared" si="282"/>
        <v>0.38455765047346291</v>
      </c>
      <c r="V192" s="6">
        <f t="shared" si="283"/>
        <v>2.2700605098131321E-2</v>
      </c>
      <c r="W192">
        <f t="shared" si="284"/>
        <v>0.40384786868452754</v>
      </c>
      <c r="X192" s="6">
        <f t="shared" si="285"/>
        <v>2.3928254051342916E-2</v>
      </c>
      <c r="Y192">
        <f t="shared" si="286"/>
        <v>0.4274421611485536</v>
      </c>
      <c r="Z192" s="6">
        <f t="shared" si="287"/>
        <v>2.5566853222429933E-2</v>
      </c>
      <c r="AA192">
        <f t="shared" si="288"/>
        <v>0.45649828425903127</v>
      </c>
      <c r="AB192" s="6">
        <f t="shared" si="289"/>
        <v>2.7762901657521235E-2</v>
      </c>
      <c r="AC192">
        <f t="shared" si="290"/>
        <v>0.49276276836979771</v>
      </c>
      <c r="AD192" s="6">
        <f t="shared" si="291"/>
        <v>3.1209385942691202E-2</v>
      </c>
      <c r="AE192">
        <f t="shared" si="292"/>
        <v>0.5385594500869797</v>
      </c>
      <c r="AF192" s="6">
        <f t="shared" si="293"/>
        <v>3.5353883199169135E-2</v>
      </c>
      <c r="AG192">
        <f t="shared" si="294"/>
        <v>0.59724525769155756</v>
      </c>
      <c r="AH192" s="6">
        <f t="shared" si="295"/>
        <v>4.1249738072588207E-2</v>
      </c>
      <c r="AI192">
        <f t="shared" si="296"/>
        <v>0.67345659385364343</v>
      </c>
      <c r="AJ192">
        <f t="shared" si="297"/>
        <v>5.4901232449471343E-2</v>
      </c>
      <c r="AK192">
        <f t="shared" si="298"/>
        <v>0.77470092262915458</v>
      </c>
      <c r="AL192">
        <f t="shared" si="299"/>
        <v>7.0054836402590553E-2</v>
      </c>
      <c r="AM192">
        <f t="shared" si="300"/>
        <v>0.88740013852910993</v>
      </c>
      <c r="AN192">
        <f t="shared" si="301"/>
        <v>8.8876934309696287E-2</v>
      </c>
      <c r="AO192">
        <f t="shared" si="302"/>
        <v>1.5272357265432837E-2</v>
      </c>
      <c r="AP192">
        <f t="shared" si="303"/>
        <v>9.3961482943467588E-3</v>
      </c>
    </row>
    <row r="193" spans="1:42" x14ac:dyDescent="0.25">
      <c r="A193" s="139">
        <v>0.25</v>
      </c>
      <c r="B193" s="256">
        <f>'Sub C_D_0'!AX225</f>
        <v>9.7770891038758481E-3</v>
      </c>
      <c r="C193" s="256">
        <f>'C_L vs. α'!X496</f>
        <v>0.11233078839786849</v>
      </c>
      <c r="D193" s="144">
        <v>4</v>
      </c>
      <c r="E193" s="14">
        <f t="shared" si="266"/>
        <v>0.53142156643688421</v>
      </c>
      <c r="F193" s="6">
        <f t="shared" si="267"/>
        <v>3.8933752469614474E-2</v>
      </c>
      <c r="G193" s="14">
        <f t="shared" si="268"/>
        <v>0.53567035246122652</v>
      </c>
      <c r="H193" s="6">
        <f t="shared" si="269"/>
        <v>3.8080397742088663E-2</v>
      </c>
      <c r="I193" s="14">
        <f t="shared" si="270"/>
        <v>0.54189128441526069</v>
      </c>
      <c r="J193" s="6">
        <f t="shared" si="271"/>
        <v>3.8044402150243545E-2</v>
      </c>
      <c r="K193" s="14">
        <f t="shared" si="272"/>
        <v>0.55045467258878689</v>
      </c>
      <c r="L193" s="6">
        <f t="shared" si="273"/>
        <v>3.8482577995043649E-2</v>
      </c>
      <c r="M193">
        <f t="shared" si="274"/>
        <v>0.56165394198934249</v>
      </c>
      <c r="N193" s="6">
        <f t="shared" si="275"/>
        <v>3.9326866659191634E-2</v>
      </c>
      <c r="O193">
        <f t="shared" si="276"/>
        <v>0.57531284110323644</v>
      </c>
      <c r="P193" s="6">
        <f t="shared" si="277"/>
        <v>4.0987309204565517E-2</v>
      </c>
      <c r="Q193">
        <f t="shared" si="278"/>
        <v>0.59293946414242549</v>
      </c>
      <c r="R193" s="6">
        <f t="shared" si="279"/>
        <v>4.269932611082166E-2</v>
      </c>
      <c r="S193">
        <f t="shared" si="280"/>
        <v>0.61455748281419853</v>
      </c>
      <c r="T193" s="6">
        <f t="shared" si="281"/>
        <v>4.4961937406823707E-2</v>
      </c>
      <c r="U193">
        <f t="shared" si="282"/>
        <v>0.64092941745577159</v>
      </c>
      <c r="V193" s="6">
        <f t="shared" si="283"/>
        <v>4.7906308191047013E-2</v>
      </c>
      <c r="W193">
        <f t="shared" si="284"/>
        <v>0.6730797811408793</v>
      </c>
      <c r="X193" s="6">
        <f t="shared" si="285"/>
        <v>5.1726122494489206E-2</v>
      </c>
      <c r="Y193">
        <f t="shared" si="286"/>
        <v>0.712403601914256</v>
      </c>
      <c r="Z193" s="6">
        <f t="shared" si="287"/>
        <v>5.6707714417583613E-2</v>
      </c>
      <c r="AA193">
        <f t="shared" si="288"/>
        <v>0.7608304737650522</v>
      </c>
      <c r="AB193" s="6">
        <f t="shared" si="289"/>
        <v>6.3281367911509304E-2</v>
      </c>
      <c r="AC193">
        <f t="shared" si="290"/>
        <v>0.82127128061632959</v>
      </c>
      <c r="AD193" s="6">
        <f t="shared" si="291"/>
        <v>7.2595216725294856E-2</v>
      </c>
      <c r="AE193">
        <f t="shared" si="292"/>
        <v>0.89759908347829942</v>
      </c>
      <c r="AF193" s="6">
        <f t="shared" si="293"/>
        <v>8.4789869871350579E-2</v>
      </c>
      <c r="AG193">
        <f t="shared" si="294"/>
        <v>0.9954087628192626</v>
      </c>
      <c r="AH193" s="6">
        <f t="shared" si="295"/>
        <v>0.10204662258914812</v>
      </c>
      <c r="AI193">
        <f t="shared" si="296"/>
        <v>1.1224276564227389</v>
      </c>
      <c r="AJ193">
        <f t="shared" si="297"/>
        <v>0.13623551474957765</v>
      </c>
      <c r="AK193">
        <f t="shared" si="298"/>
        <v>1.2911682043819241</v>
      </c>
      <c r="AL193">
        <f t="shared" si="299"/>
        <v>0.17768216632647146</v>
      </c>
      <c r="AM193">
        <f t="shared" si="300"/>
        <v>1.4790002308818497</v>
      </c>
      <c r="AN193">
        <f t="shared" si="301"/>
        <v>0.23009602286342587</v>
      </c>
      <c r="AO193">
        <f t="shared" si="302"/>
        <v>2.7728405510128815E-2</v>
      </c>
      <c r="AP193">
        <f t="shared" si="303"/>
        <v>9.4501780978041069E-3</v>
      </c>
    </row>
    <row r="194" spans="1:42" x14ac:dyDescent="0.25">
      <c r="A194" s="129">
        <v>0.3</v>
      </c>
      <c r="B194" s="256">
        <f>'Sub C_D_0'!AX226</f>
        <v>9.9828094463823985E-3</v>
      </c>
      <c r="C194" s="256">
        <f>'C_L vs. α'!X497</f>
        <v>0.11506256822064728</v>
      </c>
      <c r="D194" s="144">
        <v>6</v>
      </c>
      <c r="E194" s="14">
        <f t="shared" si="266"/>
        <v>0.74399019301163793</v>
      </c>
      <c r="F194" s="6">
        <f t="shared" si="267"/>
        <v>6.5378104427951514E-2</v>
      </c>
      <c r="G194" s="14">
        <f t="shared" si="268"/>
        <v>0.74993849344571717</v>
      </c>
      <c r="H194" s="6">
        <f t="shared" si="269"/>
        <v>6.4949292294450414E-2</v>
      </c>
      <c r="I194" s="14">
        <f t="shared" si="270"/>
        <v>0.75864779818136496</v>
      </c>
      <c r="J194" s="6">
        <f t="shared" si="271"/>
        <v>6.5540996734329976E-2</v>
      </c>
      <c r="K194" s="14">
        <f t="shared" si="272"/>
        <v>0.77063654162430151</v>
      </c>
      <c r="L194" s="6">
        <f t="shared" si="273"/>
        <v>6.685508445507321E-2</v>
      </c>
      <c r="M194">
        <f t="shared" si="274"/>
        <v>0.78631551878507944</v>
      </c>
      <c r="N194" s="6">
        <f t="shared" si="275"/>
        <v>6.8865622631144416E-2</v>
      </c>
      <c r="O194">
        <f t="shared" si="276"/>
        <v>0.80543797754453095</v>
      </c>
      <c r="P194" s="6">
        <f t="shared" si="277"/>
        <v>7.1980244791814585E-2</v>
      </c>
      <c r="Q194">
        <f t="shared" si="278"/>
        <v>0.83011524979939566</v>
      </c>
      <c r="R194" s="6">
        <f t="shared" si="279"/>
        <v>7.5620498386171298E-2</v>
      </c>
      <c r="S194">
        <f t="shared" si="280"/>
        <v>0.86038047593987788</v>
      </c>
      <c r="T194" s="6">
        <f t="shared" si="281"/>
        <v>8.0327420935857208E-2</v>
      </c>
      <c r="U194">
        <f t="shared" si="282"/>
        <v>0.89730118443808016</v>
      </c>
      <c r="V194" s="6">
        <f t="shared" si="283"/>
        <v>8.6372127659476827E-2</v>
      </c>
      <c r="W194">
        <f t="shared" si="284"/>
        <v>0.94231169359723088</v>
      </c>
      <c r="X194" s="6">
        <f t="shared" si="285"/>
        <v>9.4147783386057671E-2</v>
      </c>
      <c r="Y194">
        <f t="shared" si="286"/>
        <v>0.9973650426799584</v>
      </c>
      <c r="Z194" s="6">
        <f t="shared" si="287"/>
        <v>0.10423103643754678</v>
      </c>
      <c r="AA194">
        <f t="shared" si="288"/>
        <v>1.0651626632710731</v>
      </c>
      <c r="AB194" s="6">
        <f t="shared" si="289"/>
        <v>0.11748524810818671</v>
      </c>
      <c r="AC194">
        <f t="shared" si="290"/>
        <v>1.1497797928628615</v>
      </c>
      <c r="AD194" s="6">
        <f t="shared" si="291"/>
        <v>0.13575314132538466</v>
      </c>
      <c r="AE194">
        <f t="shared" si="292"/>
        <v>1.2566387168696191</v>
      </c>
      <c r="AF194" s="6">
        <f t="shared" si="293"/>
        <v>0.16023294446308045</v>
      </c>
      <c r="AG194">
        <f t="shared" si="294"/>
        <v>1.3935722679469675</v>
      </c>
      <c r="AH194" s="6">
        <f t="shared" si="295"/>
        <v>0.19482729113214373</v>
      </c>
      <c r="AI194">
        <f t="shared" si="296"/>
        <v>1.5713987189918346</v>
      </c>
      <c r="AJ194">
        <f t="shared" si="297"/>
        <v>0.25823693819973725</v>
      </c>
      <c r="AK194">
        <f t="shared" si="298"/>
        <v>1.8076354861346939</v>
      </c>
      <c r="AL194">
        <f t="shared" si="299"/>
        <v>0.33912316121229291</v>
      </c>
      <c r="AM194">
        <f t="shared" si="300"/>
        <v>2.0706003232345895</v>
      </c>
      <c r="AN194">
        <f t="shared" si="301"/>
        <v>0.44192465569402023</v>
      </c>
      <c r="AO194">
        <f t="shared" si="302"/>
        <v>4.2134005241459743E-2</v>
      </c>
      <c r="AP194">
        <f t="shared" si="303"/>
        <v>9.5516981559629222E-3</v>
      </c>
    </row>
    <row r="195" spans="1:42" x14ac:dyDescent="0.25">
      <c r="A195" s="139">
        <v>0.35</v>
      </c>
      <c r="B195" s="256">
        <f>'Sub C_D_0'!AX227</f>
        <v>9.7658701954641547E-3</v>
      </c>
      <c r="C195" s="256">
        <f>'C_L vs. α'!X498</f>
        <v>0.1185878928284851</v>
      </c>
      <c r="D195" s="144">
        <v>8</v>
      </c>
      <c r="E195" s="14">
        <f t="shared" si="266"/>
        <v>0.95655881958639166</v>
      </c>
      <c r="F195" s="6">
        <f t="shared" si="267"/>
        <v>0.10093847651242675</v>
      </c>
      <c r="G195" s="14">
        <f t="shared" si="268"/>
        <v>0.96420663443020782</v>
      </c>
      <c r="H195" s="6">
        <f t="shared" si="269"/>
        <v>0.1010805572725391</v>
      </c>
      <c r="I195" s="14">
        <f t="shared" si="270"/>
        <v>0.97540431194746924</v>
      </c>
      <c r="J195" s="6">
        <f t="shared" si="271"/>
        <v>0.1025163454215121</v>
      </c>
      <c r="K195" s="14">
        <f t="shared" si="272"/>
        <v>0.99081841065981635</v>
      </c>
      <c r="L195" s="6">
        <f t="shared" si="273"/>
        <v>0.10500829343812584</v>
      </c>
      <c r="M195">
        <f t="shared" si="274"/>
        <v>1.0109770955808164</v>
      </c>
      <c r="N195" s="6">
        <f t="shared" si="275"/>
        <v>0.10858711608767044</v>
      </c>
      <c r="O195">
        <f t="shared" si="276"/>
        <v>1.0355631139858255</v>
      </c>
      <c r="P195" s="6">
        <f t="shared" si="277"/>
        <v>0.11365720943096083</v>
      </c>
      <c r="Q195">
        <f t="shared" si="278"/>
        <v>1.0672910354563658</v>
      </c>
      <c r="R195" s="6">
        <f t="shared" si="279"/>
        <v>0.11989041044198413</v>
      </c>
      <c r="S195">
        <f t="shared" si="280"/>
        <v>1.1062034690655573</v>
      </c>
      <c r="T195" s="6">
        <f t="shared" si="281"/>
        <v>0.12788425860089703</v>
      </c>
      <c r="U195">
        <f t="shared" si="282"/>
        <v>1.1536729514203887</v>
      </c>
      <c r="V195" s="6">
        <f t="shared" si="283"/>
        <v>0.1380980635034208</v>
      </c>
      <c r="W195">
        <f t="shared" si="284"/>
        <v>1.2115436060535827</v>
      </c>
      <c r="X195" s="6">
        <f t="shared" si="285"/>
        <v>0.15119323672604834</v>
      </c>
      <c r="Y195">
        <f t="shared" si="286"/>
        <v>1.2823264834456607</v>
      </c>
      <c r="Z195" s="6">
        <f t="shared" si="287"/>
        <v>0.16813681928231941</v>
      </c>
      <c r="AA195">
        <f t="shared" si="288"/>
        <v>1.3694948527770938</v>
      </c>
      <c r="AB195" s="6">
        <f t="shared" si="289"/>
        <v>0.19037454224755337</v>
      </c>
      <c r="AC195">
        <f t="shared" si="290"/>
        <v>1.4782883051093931</v>
      </c>
      <c r="AD195" s="6">
        <f t="shared" si="291"/>
        <v>0.22068315974296054</v>
      </c>
      <c r="AE195">
        <f t="shared" si="292"/>
        <v>1.6156783502609391</v>
      </c>
      <c r="AF195" s="6">
        <f t="shared" si="293"/>
        <v>0.26168310697435887</v>
      </c>
      <c r="AG195">
        <f t="shared" si="294"/>
        <v>1.7917357730746728</v>
      </c>
      <c r="AH195" s="6">
        <f t="shared" si="295"/>
        <v>0.31959174370157523</v>
      </c>
      <c r="AI195">
        <f t="shared" si="296"/>
        <v>2.0203697815609303</v>
      </c>
      <c r="AJ195">
        <f t="shared" si="297"/>
        <v>0.42090550279994998</v>
      </c>
      <c r="AK195">
        <f t="shared" si="298"/>
        <v>2.3241027678874637</v>
      </c>
      <c r="AL195">
        <f t="shared" si="299"/>
        <v>0.55437782106005484</v>
      </c>
      <c r="AM195">
        <f t="shared" si="300"/>
        <v>2.6622004155873298</v>
      </c>
      <c r="AN195">
        <f t="shared" si="301"/>
        <v>0.72436283280147951</v>
      </c>
      <c r="AO195">
        <f t="shared" si="302"/>
        <v>5.8489156459425581E-2</v>
      </c>
      <c r="AP195">
        <f t="shared" si="303"/>
        <v>9.7177063288893754E-3</v>
      </c>
    </row>
    <row r="196" spans="1:42" x14ac:dyDescent="0.25">
      <c r="A196" s="129">
        <v>0.4</v>
      </c>
      <c r="B196" s="256">
        <f>'Sub C_D_0'!AX228</f>
        <v>9.5832582095211009E-3</v>
      </c>
      <c r="C196" s="256">
        <f>'C_L vs. α'!X499</f>
        <v>0.1229114965628397</v>
      </c>
      <c r="D196" s="144">
        <v>10</v>
      </c>
      <c r="E196" s="14">
        <f t="shared" si="266"/>
        <v>1.1691274461611454</v>
      </c>
      <c r="F196" s="6">
        <f t="shared" si="267"/>
        <v>0.14561486872304019</v>
      </c>
      <c r="G196" s="14">
        <f t="shared" si="268"/>
        <v>1.1784747754146985</v>
      </c>
      <c r="H196" s="6">
        <f t="shared" si="269"/>
        <v>0.1464741926763547</v>
      </c>
      <c r="I196" s="14">
        <f t="shared" si="270"/>
        <v>1.1921608257135734</v>
      </c>
      <c r="J196" s="6">
        <f t="shared" si="271"/>
        <v>0.1489704482117899</v>
      </c>
      <c r="K196" s="14">
        <f t="shared" si="272"/>
        <v>1.211000279695331</v>
      </c>
      <c r="L196" s="6">
        <f t="shared" si="273"/>
        <v>0.15294220494420141</v>
      </c>
      <c r="M196">
        <f t="shared" si="274"/>
        <v>1.2356386723765533</v>
      </c>
      <c r="N196" s="6">
        <f t="shared" si="275"/>
        <v>0.15849134702876971</v>
      </c>
      <c r="O196">
        <f t="shared" si="276"/>
        <v>1.2656882504271201</v>
      </c>
      <c r="P196" s="6">
        <f t="shared" si="277"/>
        <v>0.16601820312200427</v>
      </c>
      <c r="Q196">
        <f t="shared" si="278"/>
        <v>1.3044668211133361</v>
      </c>
      <c r="R196" s="6">
        <f t="shared" si="279"/>
        <v>0.17550906227826021</v>
      </c>
      <c r="S196">
        <f t="shared" si="280"/>
        <v>1.3520264621912368</v>
      </c>
      <c r="T196" s="6">
        <f t="shared" si="281"/>
        <v>0.18763245040194312</v>
      </c>
      <c r="U196">
        <f t="shared" si="282"/>
        <v>1.4100447184026974</v>
      </c>
      <c r="V196" s="6">
        <f t="shared" si="283"/>
        <v>0.20308411572287893</v>
      </c>
      <c r="W196">
        <f t="shared" si="284"/>
        <v>1.4807755185099343</v>
      </c>
      <c r="X196" s="6">
        <f t="shared" si="285"/>
        <v>0.22286248251446117</v>
      </c>
      <c r="Y196">
        <f t="shared" si="286"/>
        <v>1.5672879242113633</v>
      </c>
      <c r="Z196" s="6">
        <f t="shared" si="287"/>
        <v>0.24842506295190164</v>
      </c>
      <c r="AA196">
        <f t="shared" si="288"/>
        <v>1.6738270422831147</v>
      </c>
      <c r="AB196" s="6">
        <f t="shared" si="289"/>
        <v>0.28194925032960938</v>
      </c>
      <c r="AC196">
        <f t="shared" si="290"/>
        <v>1.806796817355925</v>
      </c>
      <c r="AD196" s="6">
        <f t="shared" si="291"/>
        <v>0.32738527197802247</v>
      </c>
      <c r="AE196">
        <f t="shared" si="292"/>
        <v>1.9747179836522588</v>
      </c>
      <c r="AF196" s="6">
        <f t="shared" si="293"/>
        <v>0.38914035740518566</v>
      </c>
      <c r="AG196">
        <f t="shared" si="294"/>
        <v>2.1898992782023776</v>
      </c>
      <c r="AH196" s="6">
        <f t="shared" si="295"/>
        <v>0.47633998029744229</v>
      </c>
      <c r="AI196">
        <f t="shared" si="296"/>
        <v>2.4693408441300257</v>
      </c>
      <c r="AJ196">
        <f t="shared" si="297"/>
        <v>0.62424120855021581</v>
      </c>
      <c r="AK196">
        <f t="shared" si="298"/>
        <v>2.8405700496402333</v>
      </c>
      <c r="AL196">
        <f t="shared" si="299"/>
        <v>0.82344614586975717</v>
      </c>
      <c r="AM196">
        <f t="shared" si="300"/>
        <v>3.2538005079400696</v>
      </c>
      <c r="AN196">
        <f t="shared" si="301"/>
        <v>1.0774105541858034</v>
      </c>
      <c r="AO196">
        <f t="shared" si="302"/>
        <v>7.6793859164026368E-2</v>
      </c>
      <c r="AP196">
        <f t="shared" si="303"/>
        <v>9.9675008462267196E-3</v>
      </c>
    </row>
    <row r="197" spans="1:42" x14ac:dyDescent="0.25">
      <c r="A197" s="139">
        <v>0.45</v>
      </c>
      <c r="B197" s="256">
        <f>'Sub C_D_0'!AX229</f>
        <v>9.4261362483186849E-3</v>
      </c>
      <c r="C197" s="256">
        <f>'C_L vs. α'!X500</f>
        <v>0.12818588349115431</v>
      </c>
      <c r="D197" s="144">
        <v>12</v>
      </c>
      <c r="E197" s="14">
        <f t="shared" si="266"/>
        <v>1.3816960727358991</v>
      </c>
      <c r="F197" s="6">
        <f t="shared" si="267"/>
        <v>0.19940728105979183</v>
      </c>
      <c r="G197" s="14">
        <f t="shared" si="268"/>
        <v>1.3927429163991891</v>
      </c>
      <c r="H197" s="6">
        <f t="shared" si="269"/>
        <v>0.2011301985058972</v>
      </c>
      <c r="I197" s="14">
        <f t="shared" si="270"/>
        <v>1.4089173394796779</v>
      </c>
      <c r="J197" s="6">
        <f t="shared" si="271"/>
        <v>0.20490330510516352</v>
      </c>
      <c r="K197" s="14">
        <f t="shared" si="272"/>
        <v>1.4311821487308458</v>
      </c>
      <c r="L197" s="6">
        <f t="shared" si="273"/>
        <v>0.21065681897330008</v>
      </c>
      <c r="M197">
        <f t="shared" si="274"/>
        <v>1.4603002491722903</v>
      </c>
      <c r="N197" s="6">
        <f t="shared" si="275"/>
        <v>0.21857831545444223</v>
      </c>
      <c r="O197">
        <f t="shared" si="276"/>
        <v>1.4958133868684147</v>
      </c>
      <c r="P197" s="6">
        <f t="shared" si="277"/>
        <v>0.22906322586494496</v>
      </c>
      <c r="Q197">
        <f t="shared" si="278"/>
        <v>1.5416426067703064</v>
      </c>
      <c r="R197" s="6">
        <f t="shared" si="279"/>
        <v>0.24247645389499953</v>
      </c>
      <c r="S197">
        <f t="shared" si="280"/>
        <v>1.597849455316916</v>
      </c>
      <c r="T197" s="6">
        <f t="shared" si="281"/>
        <v>0.25957199633899541</v>
      </c>
      <c r="U197">
        <f t="shared" si="282"/>
        <v>1.6664164853850061</v>
      </c>
      <c r="V197" s="6">
        <f t="shared" si="283"/>
        <v>0.28133028431785123</v>
      </c>
      <c r="W197">
        <f t="shared" si="284"/>
        <v>1.7500074309662861</v>
      </c>
      <c r="X197" s="6">
        <f t="shared" si="285"/>
        <v>0.30915552075129621</v>
      </c>
      <c r="Y197">
        <f t="shared" si="286"/>
        <v>1.8522493649770655</v>
      </c>
      <c r="Z197" s="6">
        <f t="shared" si="287"/>
        <v>0.34509576744629317</v>
      </c>
      <c r="AA197">
        <f t="shared" si="288"/>
        <v>1.9781592317891357</v>
      </c>
      <c r="AB197" s="6">
        <f t="shared" si="289"/>
        <v>0.39220937235435477</v>
      </c>
      <c r="AC197">
        <f t="shared" si="290"/>
        <v>2.1353053296024567</v>
      </c>
      <c r="AD197" s="6">
        <f t="shared" si="291"/>
        <v>0.45585947803057059</v>
      </c>
      <c r="AE197">
        <f t="shared" si="292"/>
        <v>2.3337576170435788</v>
      </c>
      <c r="AF197" s="6">
        <f t="shared" si="293"/>
        <v>0.54260469575556103</v>
      </c>
      <c r="AG197">
        <f t="shared" si="294"/>
        <v>2.5880627833300829</v>
      </c>
      <c r="AH197" s="6">
        <f t="shared" si="295"/>
        <v>0.66507200091974539</v>
      </c>
      <c r="AI197">
        <f t="shared" si="296"/>
        <v>2.9183119066991212</v>
      </c>
      <c r="AJ197">
        <f t="shared" si="297"/>
        <v>0.86824405545053485</v>
      </c>
      <c r="AK197">
        <f t="shared" si="298"/>
        <v>3.3570373313930029</v>
      </c>
      <c r="AL197">
        <f t="shared" si="299"/>
        <v>1.1463281356414001</v>
      </c>
      <c r="AM197">
        <f t="shared" si="300"/>
        <v>3.8454006002928094</v>
      </c>
      <c r="AN197">
        <f t="shared" si="301"/>
        <v>1.501067819846992</v>
      </c>
      <c r="AO197">
        <f t="shared" si="302"/>
        <v>9.7048113355262103E-2</v>
      </c>
      <c r="AP197">
        <f t="shared" si="303"/>
        <v>1.0322680307195294E-2</v>
      </c>
    </row>
    <row r="198" spans="1:42" x14ac:dyDescent="0.25">
      <c r="A198" s="129">
        <v>0.5</v>
      </c>
      <c r="B198" s="256">
        <f>'Sub C_D_0'!AX230</f>
        <v>9.2886331139905663E-3</v>
      </c>
      <c r="C198" s="256">
        <f>'C_L vs. α'!X501</f>
        <v>0.13461595622817585</v>
      </c>
      <c r="D198" s="144">
        <v>14</v>
      </c>
      <c r="E198" s="14">
        <f t="shared" si="266"/>
        <v>1.5942646993106528</v>
      </c>
      <c r="F198" s="6">
        <f t="shared" si="267"/>
        <v>0.26231571352268168</v>
      </c>
      <c r="G198" s="14">
        <f t="shared" si="268"/>
        <v>1.6070110573836798</v>
      </c>
      <c r="H198" s="6">
        <f t="shared" si="269"/>
        <v>0.26504857476116667</v>
      </c>
      <c r="I198" s="14">
        <f t="shared" si="270"/>
        <v>1.625673853245782</v>
      </c>
      <c r="J198" s="6">
        <f t="shared" si="271"/>
        <v>0.27031491610163272</v>
      </c>
      <c r="K198" s="14">
        <f t="shared" si="272"/>
        <v>1.6513640177663604</v>
      </c>
      <c r="L198" s="6">
        <f t="shared" si="273"/>
        <v>0.27815213552542162</v>
      </c>
      <c r="M198">
        <f t="shared" si="274"/>
        <v>1.6849618259680272</v>
      </c>
      <c r="N198" s="6">
        <f t="shared" si="275"/>
        <v>0.28884802136468796</v>
      </c>
      <c r="O198">
        <f t="shared" si="276"/>
        <v>1.7259385233097093</v>
      </c>
      <c r="P198" s="6">
        <f t="shared" si="277"/>
        <v>0.30279227765978278</v>
      </c>
      <c r="Q198">
        <f t="shared" si="278"/>
        <v>1.7788183924272765</v>
      </c>
      <c r="R198" s="6">
        <f t="shared" si="279"/>
        <v>0.320792585292202</v>
      </c>
      <c r="S198">
        <f t="shared" si="280"/>
        <v>1.8436724484425955</v>
      </c>
      <c r="T198" s="6">
        <f t="shared" si="281"/>
        <v>0.34370289641205409</v>
      </c>
      <c r="U198">
        <f t="shared" si="282"/>
        <v>1.9227882523673148</v>
      </c>
      <c r="V198" s="6">
        <f t="shared" si="283"/>
        <v>0.37283656928833769</v>
      </c>
      <c r="W198">
        <f t="shared" si="284"/>
        <v>2.0192393434226377</v>
      </c>
      <c r="X198" s="6">
        <f t="shared" si="285"/>
        <v>0.41007235143655341</v>
      </c>
      <c r="Y198">
        <f t="shared" si="286"/>
        <v>2.1372108057427681</v>
      </c>
      <c r="Z198" s="6">
        <f t="shared" si="287"/>
        <v>0.4581489327654944</v>
      </c>
      <c r="AA198">
        <f t="shared" si="288"/>
        <v>2.2824914212951564</v>
      </c>
      <c r="AB198" s="6">
        <f t="shared" si="289"/>
        <v>0.52115490832178935</v>
      </c>
      <c r="AC198">
        <f t="shared" si="290"/>
        <v>2.4638138418489888</v>
      </c>
      <c r="AD198" s="6">
        <f t="shared" si="291"/>
        <v>0.60610577790060505</v>
      </c>
      <c r="AE198">
        <f t="shared" si="292"/>
        <v>2.6927972504348983</v>
      </c>
      <c r="AF198" s="6">
        <f t="shared" si="293"/>
        <v>0.72207612202548455</v>
      </c>
      <c r="AG198">
        <f t="shared" si="294"/>
        <v>2.9862262884577877</v>
      </c>
      <c r="AH198" s="6">
        <f t="shared" si="295"/>
        <v>0.88578780556848391</v>
      </c>
      <c r="AI198">
        <f t="shared" si="296"/>
        <v>3.3672829692682167</v>
      </c>
      <c r="AJ198">
        <f t="shared" si="297"/>
        <v>1.1529140435009069</v>
      </c>
      <c r="AK198">
        <f t="shared" si="298"/>
        <v>3.8735046131457724</v>
      </c>
      <c r="AL198">
        <f t="shared" si="299"/>
        <v>1.5230237903749833</v>
      </c>
      <c r="AM198">
        <f t="shared" si="300"/>
        <v>4.4370006926455492</v>
      </c>
      <c r="AN198">
        <f t="shared" si="301"/>
        <v>1.9953346297850456</v>
      </c>
      <c r="AO198">
        <f t="shared" si="302"/>
        <v>0.11925191903313276</v>
      </c>
      <c r="AP198">
        <f t="shared" si="303"/>
        <v>1.080714368059252E-2</v>
      </c>
    </row>
    <row r="199" spans="1:42" x14ac:dyDescent="0.25">
      <c r="A199" s="139">
        <v>0.55000000000000004</v>
      </c>
      <c r="B199" s="256">
        <f>'Sub C_D_0'!AX231</f>
        <v>9.1666603626008834E-3</v>
      </c>
      <c r="C199" s="256">
        <f>'C_L vs. α'!X502</f>
        <v>0.1424807203828512</v>
      </c>
      <c r="D199" s="144">
        <v>16</v>
      </c>
      <c r="E199" s="14">
        <f t="shared" si="266"/>
        <v>1.8068333258854063</v>
      </c>
      <c r="F199" s="6">
        <f t="shared" si="267"/>
        <v>0.33434016611170964</v>
      </c>
      <c r="G199" s="14">
        <f t="shared" si="268"/>
        <v>1.8212791983681702</v>
      </c>
      <c r="H199" s="6">
        <f t="shared" si="269"/>
        <v>0.33822932144216289</v>
      </c>
      <c r="I199" s="14">
        <f t="shared" si="270"/>
        <v>1.8424303670118864</v>
      </c>
      <c r="J199" s="6">
        <f t="shared" si="271"/>
        <v>0.3452052812011977</v>
      </c>
      <c r="K199" s="14">
        <f t="shared" si="272"/>
        <v>1.8715458868018753</v>
      </c>
      <c r="L199" s="6">
        <f t="shared" si="273"/>
        <v>0.35542815460056637</v>
      </c>
      <c r="M199">
        <f t="shared" si="274"/>
        <v>1.9096234027637644</v>
      </c>
      <c r="N199" s="6">
        <f t="shared" si="275"/>
        <v>0.36930046475950706</v>
      </c>
      <c r="O199">
        <f t="shared" si="276"/>
        <v>1.9560636597510037</v>
      </c>
      <c r="P199" s="6">
        <f t="shared" si="277"/>
        <v>0.38720535850651777</v>
      </c>
      <c r="Q199">
        <f t="shared" si="278"/>
        <v>2.0159941780842465</v>
      </c>
      <c r="R199" s="6">
        <f t="shared" si="279"/>
        <v>0.41045745646986764</v>
      </c>
      <c r="S199">
        <f t="shared" si="280"/>
        <v>2.0894954415682747</v>
      </c>
      <c r="T199" s="6">
        <f t="shared" si="281"/>
        <v>0.44002515062111902</v>
      </c>
      <c r="U199">
        <f t="shared" si="282"/>
        <v>2.1791600193496232</v>
      </c>
      <c r="V199" s="6">
        <f t="shared" si="283"/>
        <v>0.47760297063433815</v>
      </c>
      <c r="W199">
        <f t="shared" si="284"/>
        <v>2.2884712558789895</v>
      </c>
      <c r="X199" s="6">
        <f t="shared" si="285"/>
        <v>0.52561297457023293</v>
      </c>
      <c r="Y199">
        <f t="shared" si="286"/>
        <v>2.4221722465084703</v>
      </c>
      <c r="Z199" s="6">
        <f t="shared" si="287"/>
        <v>0.58758455890950489</v>
      </c>
      <c r="AA199">
        <f t="shared" si="288"/>
        <v>2.5868236108011775</v>
      </c>
      <c r="AB199" s="6">
        <f t="shared" si="289"/>
        <v>0.6687858582319135</v>
      </c>
      <c r="AC199">
        <f t="shared" si="290"/>
        <v>2.7923223540955204</v>
      </c>
      <c r="AD199" s="6">
        <f t="shared" si="291"/>
        <v>0.7781241715881253</v>
      </c>
      <c r="AE199">
        <f t="shared" si="292"/>
        <v>3.0518368838262182</v>
      </c>
      <c r="AF199" s="6">
        <f t="shared" si="293"/>
        <v>0.92755463621495682</v>
      </c>
      <c r="AG199">
        <f t="shared" si="294"/>
        <v>3.384389793585493</v>
      </c>
      <c r="AH199" s="6">
        <f t="shared" si="295"/>
        <v>1.1384873942436582</v>
      </c>
      <c r="AI199">
        <f t="shared" si="296"/>
        <v>3.8162540318373126</v>
      </c>
      <c r="AJ199">
        <f t="shared" si="297"/>
        <v>1.4782511727013325</v>
      </c>
      <c r="AK199">
        <f t="shared" si="298"/>
        <v>4.389971894898542</v>
      </c>
      <c r="AL199">
        <f t="shared" si="299"/>
        <v>1.9535331100705071</v>
      </c>
      <c r="AM199">
        <f t="shared" si="300"/>
        <v>5.0286007849982894</v>
      </c>
      <c r="AN199">
        <f t="shared" si="301"/>
        <v>2.5602109839999643</v>
      </c>
      <c r="AO199">
        <f t="shared" si="302"/>
        <v>0.14340527619763835</v>
      </c>
      <c r="AP199">
        <f t="shared" si="303"/>
        <v>1.1447090304792903E-2</v>
      </c>
    </row>
    <row r="200" spans="1:42" x14ac:dyDescent="0.25">
      <c r="A200" s="129">
        <v>0.6</v>
      </c>
      <c r="B200" s="256">
        <f>'Sub C_D_0'!AX232</f>
        <v>9.0572630112339663E-3</v>
      </c>
      <c r="C200" s="256">
        <f>'C_L vs. α'!X503</f>
        <v>0.15216609475301043</v>
      </c>
    </row>
    <row r="201" spans="1:42" x14ac:dyDescent="0.25">
      <c r="A201" s="139">
        <v>0.65</v>
      </c>
      <c r="B201" s="256">
        <f>'Sub C_D_0'!AX233</f>
        <v>9.4137264634800641E-3</v>
      </c>
      <c r="C201" s="256">
        <f>'C_L vs. α'!X504</f>
        <v>0.16425425612326591</v>
      </c>
    </row>
    <row r="202" spans="1:42" x14ac:dyDescent="0.25">
      <c r="A202" s="129">
        <v>0.7</v>
      </c>
      <c r="B202" s="256">
        <f>'Sub C_D_0'!AX234</f>
        <v>9.3186457483214538E-3</v>
      </c>
      <c r="C202" s="256">
        <f>'C_L vs. α'!X505</f>
        <v>0.17951981669565989</v>
      </c>
    </row>
    <row r="203" spans="1:42" x14ac:dyDescent="0.25">
      <c r="A203" s="139">
        <v>0.75</v>
      </c>
      <c r="B203" s="256">
        <f>'Sub C_D_0'!AX235</f>
        <v>9.2313354632374903E-3</v>
      </c>
      <c r="C203" s="256">
        <f>'C_L vs. α'!X506</f>
        <v>0.19908175256385252</v>
      </c>
    </row>
    <row r="204" spans="1:42" x14ac:dyDescent="0.25">
      <c r="A204" s="129">
        <v>0.8</v>
      </c>
      <c r="B204" s="256">
        <f>'Sub C_D_0'!AX236</f>
        <v>9.1506986556615152E-3</v>
      </c>
      <c r="C204" s="256">
        <f>'C_L vs. α'!X507</f>
        <v>0.22448553128454779</v>
      </c>
    </row>
    <row r="205" spans="1:42" x14ac:dyDescent="0.25">
      <c r="A205" s="139">
        <v>0.85</v>
      </c>
      <c r="B205" s="256">
        <f>'Sub C_D_0'!AX237</f>
        <v>9.5144633204075138E-3</v>
      </c>
      <c r="C205" s="256">
        <f>'C_L vs. α'!X508</f>
        <v>0.25823364087638484</v>
      </c>
    </row>
    <row r="206" spans="1:42" x14ac:dyDescent="0.25">
      <c r="A206" s="129">
        <v>0.9</v>
      </c>
      <c r="B206" s="256">
        <f>'Sub C_D_0'!AX238</f>
        <v>9.4411969982233709E-3</v>
      </c>
      <c r="C206" s="256">
        <f>'C_L vs. α'!X509</f>
        <v>0.29580004617636996</v>
      </c>
    </row>
    <row r="207" spans="1:42" x14ac:dyDescent="0.25">
      <c r="A207" s="139">
        <v>0.95</v>
      </c>
      <c r="B207" s="256">
        <f>'Sub C_D_0'!AX239</f>
        <v>9.3726200730415831E-3</v>
      </c>
      <c r="C207" s="256">
        <f>'C_L vs. α'!X510</f>
        <v>0.26647948485822331</v>
      </c>
    </row>
    <row r="209" spans="1:42" x14ac:dyDescent="0.25">
      <c r="A209" s="122" t="s">
        <v>537</v>
      </c>
      <c r="B209" s="122" t="s">
        <v>192</v>
      </c>
    </row>
    <row r="210" spans="1:42" x14ac:dyDescent="0.25">
      <c r="A210" s="122" t="s">
        <v>202</v>
      </c>
      <c r="B210" s="145">
        <v>45000</v>
      </c>
      <c r="C210" s="122" t="s">
        <v>538</v>
      </c>
      <c r="D210" s="122" t="s">
        <v>539</v>
      </c>
      <c r="E210" s="1" t="s">
        <v>536</v>
      </c>
      <c r="F210" s="140">
        <v>0.05</v>
      </c>
      <c r="G210" s="1" t="s">
        <v>536</v>
      </c>
      <c r="H210" s="140">
        <v>0.1</v>
      </c>
      <c r="I210" s="1" t="s">
        <v>536</v>
      </c>
      <c r="J210" s="140">
        <v>0.15</v>
      </c>
      <c r="K210" s="1" t="s">
        <v>536</v>
      </c>
      <c r="L210" s="140">
        <v>0.2</v>
      </c>
      <c r="M210" t="s">
        <v>536</v>
      </c>
      <c r="N210" s="141">
        <v>0.25</v>
      </c>
      <c r="O210" t="s">
        <v>536</v>
      </c>
      <c r="P210" s="141">
        <v>0.3</v>
      </c>
      <c r="Q210" t="s">
        <v>536</v>
      </c>
      <c r="R210" s="141">
        <v>0.35</v>
      </c>
      <c r="S210" t="s">
        <v>536</v>
      </c>
      <c r="T210" s="141">
        <v>0.4</v>
      </c>
      <c r="U210" t="s">
        <v>536</v>
      </c>
      <c r="V210" s="141">
        <v>0.45</v>
      </c>
      <c r="W210" t="s">
        <v>536</v>
      </c>
      <c r="X210" s="141">
        <v>0.5</v>
      </c>
      <c r="Y210" t="s">
        <v>536</v>
      </c>
      <c r="Z210" s="141">
        <v>0.55000000000000004</v>
      </c>
      <c r="AA210" t="s">
        <v>536</v>
      </c>
      <c r="AB210" s="141">
        <v>0.6</v>
      </c>
      <c r="AC210" t="s">
        <v>536</v>
      </c>
      <c r="AD210" s="141">
        <v>0.65</v>
      </c>
      <c r="AE210" t="s">
        <v>536</v>
      </c>
      <c r="AF210" s="141">
        <v>0.7</v>
      </c>
      <c r="AG210" t="s">
        <v>536</v>
      </c>
      <c r="AH210" s="141">
        <v>0.75</v>
      </c>
      <c r="AI210" t="s">
        <v>536</v>
      </c>
      <c r="AJ210" s="141">
        <v>0.8</v>
      </c>
      <c r="AK210" t="s">
        <v>536</v>
      </c>
      <c r="AL210" s="141">
        <v>0.85</v>
      </c>
      <c r="AM210" t="s">
        <v>536</v>
      </c>
      <c r="AN210" s="141">
        <v>0.9</v>
      </c>
      <c r="AO210" t="s">
        <v>536</v>
      </c>
      <c r="AP210" s="141">
        <v>0.95</v>
      </c>
    </row>
    <row r="211" spans="1:42" x14ac:dyDescent="0.25">
      <c r="A211" s="121" t="s">
        <v>182</v>
      </c>
      <c r="B211" s="121" t="s">
        <v>534</v>
      </c>
      <c r="C211" s="121" t="s">
        <v>535</v>
      </c>
      <c r="D211" s="121" t="s">
        <v>421</v>
      </c>
      <c r="E211" s="14" t="s">
        <v>244</v>
      </c>
      <c r="F211" s="6" t="s">
        <v>245</v>
      </c>
      <c r="G211" s="14" t="s">
        <v>244</v>
      </c>
      <c r="H211" s="6" t="s">
        <v>245</v>
      </c>
      <c r="I211" s="14" t="s">
        <v>244</v>
      </c>
      <c r="J211" s="6" t="s">
        <v>245</v>
      </c>
      <c r="K211" s="14" t="s">
        <v>244</v>
      </c>
      <c r="L211" s="6" t="s">
        <v>245</v>
      </c>
      <c r="M211" t="s">
        <v>244</v>
      </c>
      <c r="N211" t="s">
        <v>245</v>
      </c>
      <c r="O211" t="s">
        <v>244</v>
      </c>
      <c r="P211" t="s">
        <v>245</v>
      </c>
      <c r="Q211" t="s">
        <v>244</v>
      </c>
      <c r="R211" t="s">
        <v>245</v>
      </c>
      <c r="S211" t="s">
        <v>244</v>
      </c>
      <c r="T211" t="s">
        <v>245</v>
      </c>
      <c r="U211" t="s">
        <v>244</v>
      </c>
      <c r="V211" t="s">
        <v>245</v>
      </c>
      <c r="W211" t="s">
        <v>244</v>
      </c>
      <c r="X211" t="s">
        <v>245</v>
      </c>
      <c r="Y211" t="s">
        <v>244</v>
      </c>
      <c r="Z211" t="s">
        <v>245</v>
      </c>
      <c r="AA211" t="s">
        <v>244</v>
      </c>
      <c r="AB211" t="s">
        <v>245</v>
      </c>
      <c r="AC211" t="s">
        <v>244</v>
      </c>
      <c r="AD211" t="s">
        <v>245</v>
      </c>
      <c r="AE211" t="s">
        <v>244</v>
      </c>
      <c r="AF211" t="s">
        <v>245</v>
      </c>
      <c r="AG211" t="s">
        <v>244</v>
      </c>
      <c r="AH211" t="s">
        <v>245</v>
      </c>
      <c r="AI211" t="s">
        <v>244</v>
      </c>
      <c r="AJ211" t="s">
        <v>245</v>
      </c>
      <c r="AK211" t="s">
        <v>244</v>
      </c>
      <c r="AL211" t="s">
        <v>245</v>
      </c>
      <c r="AM211" t="s">
        <v>244</v>
      </c>
      <c r="AN211" t="s">
        <v>245</v>
      </c>
      <c r="AO211" t="s">
        <v>244</v>
      </c>
      <c r="AP211" t="s">
        <v>245</v>
      </c>
    </row>
    <row r="212" spans="1:42" x14ac:dyDescent="0.25">
      <c r="A212" s="129">
        <v>0</v>
      </c>
      <c r="B212" s="129" t="e">
        <f>'Sub C_D_0'!AX250</f>
        <v>#DIV/0!</v>
      </c>
      <c r="C212" s="129" t="e">
        <f>'C_L vs. α'!X516</f>
        <v>#NUM!</v>
      </c>
      <c r="D212" s="144">
        <v>-6</v>
      </c>
      <c r="E212" s="14">
        <f>(D212-$B$12)*$C$213</f>
        <v>-0.53166131047017628</v>
      </c>
      <c r="F212" s="6">
        <f>$B$213+$B$7*E212^2+$B$8*(E212-E$215)^2</f>
        <v>4.310505294222422E-2</v>
      </c>
      <c r="G212" s="14">
        <f>(D212-$B$12)*$C$214</f>
        <v>-0.53589846446135525</v>
      </c>
      <c r="H212" s="6">
        <f>$B$214+$B$7*G212^2+$B$8*(G212-G$215)^2</f>
        <v>4.2375476957840864E-2</v>
      </c>
      <c r="I212" s="14">
        <f>(D212-$B$12)*$C$215</f>
        <v>-0.54210341958264752</v>
      </c>
      <c r="J212" s="6">
        <f>$B$215+$B$7*I212^2+$B$8*(I212-I$215)^2</f>
        <v>4.2471490924990911E-2</v>
      </c>
      <c r="K212" s="14">
        <f>(D212-$B$12)*$C$216</f>
        <v>-0.550651873047037</v>
      </c>
      <c r="L212" s="6">
        <f>$B$216+$B$7*K212^2+$B$8*(K212-K$215)^2</f>
        <v>4.3074969778519913E-2</v>
      </c>
      <c r="M212">
        <f>(D212-$B$12)*$C$217</f>
        <v>-0.56183698829887363</v>
      </c>
      <c r="N212" s="6">
        <f>$B$217+$B$7*M212^2+$B$8*(M212-M$215)^2</f>
        <v>4.4129639758568741E-2</v>
      </c>
      <c r="O212">
        <f>(D212-$B$12)*$C$218</f>
        <v>-0.57549783145280375</v>
      </c>
      <c r="P212" s="6">
        <f>$B$218+$B$7*O212^2+$B$8*(O212-O$215)^2</f>
        <v>4.603610628563698E-2</v>
      </c>
      <c r="Q212">
        <f>(D212-$B$12)*$C$219</f>
        <v>-0.59310969543334346</v>
      </c>
      <c r="R212" s="6">
        <f>$B$219+$B$7*Q212^2+$B$8*(Q212-Q$215)^2</f>
        <v>4.8084557612194559E-2</v>
      </c>
      <c r="S212">
        <f>(D212-$B$12)*$C$220</f>
        <v>-0.6147104300100148</v>
      </c>
      <c r="T212" s="6">
        <f>$B$220+$B$7*S212^2+$B$8*(S212-S$215)^2</f>
        <v>5.0770121884416701E-2</v>
      </c>
      <c r="U212">
        <f>(D212-$B$12)*$C$221</f>
        <v>-0.64106115481239168</v>
      </c>
      <c r="V212" s="6">
        <f>$B$221+$B$7*U212^2+$B$8*(U212-U$215)^2</f>
        <v>5.4247975160303351E-2</v>
      </c>
      <c r="W212">
        <f>(D212-$B$12)*$C$222</f>
        <v>-0.67318426527554143</v>
      </c>
      <c r="X212" s="6">
        <f>$B$222+$B$7*W212^2+$B$8*(W212-W$215)^2</f>
        <v>5.8745696823405386E-2</v>
      </c>
      <c r="Y212">
        <f>(D212-$B$12)*$C$223</f>
        <v>-0.71247145591155991</v>
      </c>
      <c r="Z212" s="6">
        <f>$B$223+$B$7*Y212^2+$B$8*(Y212-Y$215)^2</f>
        <v>6.4598657755168737E-2</v>
      </c>
      <c r="AA212">
        <f>(D212-$B$12)*$C$224</f>
        <v>-0.76084681622353978</v>
      </c>
      <c r="AB212" s="6">
        <f>$B$224+$B$7*AA212^2+$B$8*(AA212-AA$215)^2</f>
        <v>7.2309933018752881E-2</v>
      </c>
      <c r="AC212">
        <f>(D212-$B$12)*$C$225</f>
        <v>-0.82120501862513162</v>
      </c>
      <c r="AD212" s="6">
        <f>$B$225+$B$7*AC212^2+$B$8*(AC212-AC$215)^2</f>
        <v>8.3130475530912198E-2</v>
      </c>
      <c r="AE212">
        <f>(D212-$B$12)*$C$226</f>
        <v>-0.89740043855688356</v>
      </c>
      <c r="AF212" s="6">
        <f>$B$226+$B$7*AE212^2+$B$8*(AE212-AE$215)^2</f>
        <v>9.7400564789453151E-2</v>
      </c>
      <c r="AG212">
        <f>(D212-$B$12)*$C$227</f>
        <v>-0.99498835119726281</v>
      </c>
      <c r="AH212" s="6">
        <f>$B$227+$B$7*AG212^2+$B$8*(AG212-AG$215)^2</f>
        <v>0.11757027326815533</v>
      </c>
      <c r="AI212">
        <f>(D212-$B$12)*$C$228</f>
        <v>-1.121601700496375</v>
      </c>
      <c r="AJ212">
        <f>$B$228+$B$9*AI212^2</f>
        <v>0.13581345535758368</v>
      </c>
      <c r="AK212">
        <f>(D212-$B$12)*$C$229</f>
        <v>-1.2893591862852709</v>
      </c>
      <c r="AL212">
        <f>$B$229+$B$9*AK212^2</f>
        <v>0.17696726019426065</v>
      </c>
      <c r="AM212">
        <f>(D212-$B$12)*$C$230</f>
        <v>-1.4748277929092191</v>
      </c>
      <c r="AN212">
        <f>$B$230+$B$9*AM212^2</f>
        <v>0.22861140591963183</v>
      </c>
      <c r="AO212">
        <f>(D212-$B$12)*$C$231</f>
        <v>-1.318778775413614</v>
      </c>
      <c r="AP212">
        <f>$B$231+$B$9*AO212^2</f>
        <v>0.18457054068813669</v>
      </c>
    </row>
    <row r="213" spans="1:42" x14ac:dyDescent="0.25">
      <c r="A213" s="139">
        <v>0.05</v>
      </c>
      <c r="B213" s="256">
        <f>'Sub C_D_0'!AX251</f>
        <v>1.2104339660203725E-2</v>
      </c>
      <c r="C213" s="256">
        <f>'C_L vs. α'!X517</f>
        <v>0.10633226209403525</v>
      </c>
      <c r="D213" s="144">
        <v>-4</v>
      </c>
      <c r="E213" s="14">
        <f t="shared" ref="E213:E223" si="304">(D213-$B$12)*$C$213</f>
        <v>-0.31899678628210576</v>
      </c>
      <c r="F213" s="6">
        <f t="shared" ref="F213:F223" si="305">$B$213+$B$7*E213^2+$B$8*(E213-E$215)^2</f>
        <v>2.3952034679422807E-2</v>
      </c>
      <c r="G213" s="14">
        <f t="shared" ref="G213:G223" si="306">(D213-$B$12)*$C$214</f>
        <v>-0.32153907867681319</v>
      </c>
      <c r="H213" s="6">
        <f t="shared" ref="H213:H223" si="307">$B$214+$B$7*G213^2+$B$8*(G213-G$215)^2</f>
        <v>2.2915956522464812E-2</v>
      </c>
      <c r="I213" s="14">
        <f t="shared" ref="I213:I223" si="308">(D213-$B$12)*$C$215</f>
        <v>-0.32526205174958855</v>
      </c>
      <c r="J213" s="6">
        <f t="shared" ref="J213:J223" si="309">$B$215+$B$7*I213^2+$B$8*(I213-I$215)^2</f>
        <v>2.2558733577000886E-2</v>
      </c>
      <c r="K213" s="14">
        <f t="shared" ref="K213:K223" si="310">(D213-$B$12)*$C$216</f>
        <v>-0.33039112382822222</v>
      </c>
      <c r="L213" s="6">
        <f t="shared" ref="L213:L223" si="311">$B$216+$B$7*K213^2+$B$8*(K213-K$215)^2</f>
        <v>2.2529250517154521E-2</v>
      </c>
      <c r="M213">
        <f t="shared" ref="M213:M223" si="312">(D213-$B$12)*$C$217</f>
        <v>-0.3371021929793242</v>
      </c>
      <c r="N213" s="6">
        <f t="shared" ref="N213:N223" si="313">$B$217+$B$7*M213^2+$B$8*(M213-M$215)^2</f>
        <v>2.2740773606601792E-2</v>
      </c>
      <c r="O213">
        <f t="shared" ref="O213:O223" si="314">(D213-$B$12)*$C$218</f>
        <v>-0.34529869887168224</v>
      </c>
      <c r="P213" s="6">
        <f t="shared" ref="P213:P223" si="315">$B$218+$B$7*O213^2+$B$8*(O213-O$215)^2</f>
        <v>2.3594471472567685E-2</v>
      </c>
      <c r="Q213">
        <f t="shared" ref="Q213:Q223" si="316">(D213-$B$12)*$C$219</f>
        <v>-0.3558658172600061</v>
      </c>
      <c r="R213" s="6">
        <f t="shared" ref="R213:R223" si="317">$B$219+$B$7*Q213^2+$B$8*(Q213-Q$215)^2</f>
        <v>2.4248350257786856E-2</v>
      </c>
      <c r="S213">
        <f t="shared" ref="S213:S223" si="318">(D213-$B$12)*$C$220</f>
        <v>-0.36882625800600888</v>
      </c>
      <c r="T213" s="6">
        <f t="shared" ref="T213:T223" si="319">$B$220+$B$7*S213^2+$B$8*(S213-S$215)^2</f>
        <v>2.5166095151600093E-2</v>
      </c>
      <c r="U213">
        <f t="shared" ref="U213:U223" si="320">(D213-$B$12)*$C$221</f>
        <v>-0.38463669288743496</v>
      </c>
      <c r="V213" s="6">
        <f t="shared" ref="V213:V223" si="321">$B$221+$B$7*U213^2+$B$8*(U213-U$215)^2</f>
        <v>2.6401769198193328E-2</v>
      </c>
      <c r="W213">
        <f t="shared" ref="W213:W223" si="322">(D213-$B$12)*$C$222</f>
        <v>-0.40391055916532481</v>
      </c>
      <c r="X213" s="6">
        <f t="shared" ref="X213:X223" si="323">$B$222+$B$7*W213^2+$B$8*(W213-W$215)^2</f>
        <v>2.8038864270163045E-2</v>
      </c>
      <c r="Y213">
        <f t="shared" ref="Y213:Y223" si="324">(D213-$B$12)*$C$223</f>
        <v>-0.42748287354693598</v>
      </c>
      <c r="Z213" s="6">
        <f t="shared" ref="Z213:Z223" si="325">$B$223+$B$7*Y213^2+$B$8*(Y213-Y$215)^2</f>
        <v>3.0203124474144048E-2</v>
      </c>
      <c r="AA213">
        <f t="shared" ref="AA213:AA223" si="326">(D213-$B$12)*$C$224</f>
        <v>-0.45650808973412382</v>
      </c>
      <c r="AB213" s="6">
        <f t="shared" ref="AB213:AB223" si="327">$B$224+$B$7*AA213^2+$B$8*(AA213-AA$215)^2</f>
        <v>3.3085058474233507E-2</v>
      </c>
      <c r="AC213">
        <f t="shared" ref="AC213:AC223" si="328">(D213-$B$12)*$C$225</f>
        <v>-0.49272301117507894</v>
      </c>
      <c r="AD213" s="6">
        <f t="shared" ref="AD213:AD223" si="329">$B$225+$B$7*AC213^2+$B$8*(AC213-AC$215)^2</f>
        <v>3.7435305511680374E-2</v>
      </c>
      <c r="AE213">
        <f t="shared" ref="AE213:AE223" si="330">(D213-$B$12)*$C$226</f>
        <v>-0.53844026313413018</v>
      </c>
      <c r="AF213" s="6">
        <f t="shared" ref="AF213:AF223" si="331">$B$226+$B$7*AE213^2+$B$8*(AE213-AE$215)^2</f>
        <v>4.2832360449989802E-2</v>
      </c>
      <c r="AG213">
        <f t="shared" ref="AG213:AG223" si="332">(D213-$B$12)*$C$227</f>
        <v>-0.59699301071835764</v>
      </c>
      <c r="AH213" s="6">
        <f t="shared" ref="AH213:AH223" si="333">$B$227+$B$7*AG213^2+$B$8*(AG213-AG$215)^2</f>
        <v>5.0488721482570678E-2</v>
      </c>
      <c r="AI213">
        <f t="shared" ref="AI213:AI223" si="334">(D213-$B$12)*$C$228</f>
        <v>-0.6729610202978249</v>
      </c>
      <c r="AJ213">
        <f t="shared" ref="AJ213:AJ223" si="335">$B$228+$B$9*AI213^2</f>
        <v>5.4598831219696956E-2</v>
      </c>
      <c r="AK213">
        <f t="shared" ref="AK213:AK223" si="336">(D213-$B$12)*$C$229</f>
        <v>-0.77361551177116261</v>
      </c>
      <c r="AL213">
        <f t="shared" ref="AL213:AL223" si="337">$B$229+$B$9*AK213^2</f>
        <v>6.9641306021069452E-2</v>
      </c>
      <c r="AM213">
        <f t="shared" ref="AM213:AM223" si="338">(D213-$B$12)*$C$230</f>
        <v>-0.88489667574553144</v>
      </c>
      <c r="AN213">
        <f t="shared" ref="AN213:AN223" si="339">$B$230+$B$9*AM213^2</f>
        <v>8.8187985593397245E-2</v>
      </c>
      <c r="AO213">
        <f t="shared" ref="AO213:AO223" si="340">(D213-$B$12)*$C$231</f>
        <v>-0.79126726524816848</v>
      </c>
      <c r="AP213">
        <f t="shared" ref="AP213:AP223" si="341">$B$231+$B$9*AO213^2</f>
        <v>7.2290950592333134E-2</v>
      </c>
    </row>
    <row r="214" spans="1:42" x14ac:dyDescent="0.25">
      <c r="A214" s="129">
        <v>0.1</v>
      </c>
      <c r="B214" s="256">
        <f>'Sub C_D_0'!AX252</f>
        <v>1.0878665053560031E-2</v>
      </c>
      <c r="C214" s="256">
        <f>'C_L vs. α'!X518</f>
        <v>0.10717969289227106</v>
      </c>
      <c r="D214" s="144">
        <v>-2</v>
      </c>
      <c r="E214" s="14">
        <f t="shared" si="304"/>
        <v>-0.10633226209403525</v>
      </c>
      <c r="F214" s="6">
        <f t="shared" si="305"/>
        <v>1.3923263549540717E-2</v>
      </c>
      <c r="G214" s="14">
        <f t="shared" si="306"/>
        <v>-0.10717969289227106</v>
      </c>
      <c r="H214" s="6">
        <f t="shared" si="307"/>
        <v>1.2726696842037519E-2</v>
      </c>
      <c r="I214" s="14">
        <f t="shared" si="308"/>
        <v>-0.10842068391652951</v>
      </c>
      <c r="J214" s="6">
        <f t="shared" si="309"/>
        <v>1.2132153114968751E-2</v>
      </c>
      <c r="K214" s="14">
        <f t="shared" si="310"/>
        <v>-0.1101303746094074</v>
      </c>
      <c r="L214" s="6">
        <f t="shared" si="311"/>
        <v>1.1771242910007486E-2</v>
      </c>
      <c r="M214">
        <f t="shared" si="312"/>
        <v>-0.11236739765977473</v>
      </c>
      <c r="N214" s="6">
        <f t="shared" si="313"/>
        <v>1.1541283248345116E-2</v>
      </c>
      <c r="O214">
        <f t="shared" si="314"/>
        <v>-0.11509956629056074</v>
      </c>
      <c r="P214" s="6">
        <f t="shared" si="315"/>
        <v>1.1843737659622032E-2</v>
      </c>
      <c r="Q214">
        <f t="shared" si="316"/>
        <v>-0.1186219390866687</v>
      </c>
      <c r="R214" s="6">
        <f t="shared" si="317"/>
        <v>1.1767400003275754E-2</v>
      </c>
      <c r="S214">
        <f t="shared" si="318"/>
        <v>-0.12294208600200296</v>
      </c>
      <c r="T214" s="6">
        <f t="shared" si="319"/>
        <v>1.1759491524770831E-2</v>
      </c>
      <c r="U214">
        <f t="shared" si="320"/>
        <v>-0.12821223096247833</v>
      </c>
      <c r="V214" s="6">
        <f t="shared" si="321"/>
        <v>1.1821131170403286E-2</v>
      </c>
      <c r="W214">
        <f t="shared" si="322"/>
        <v>-0.13463685305510828</v>
      </c>
      <c r="X214" s="6">
        <f t="shared" si="323"/>
        <v>1.1960364705518563E-2</v>
      </c>
      <c r="Y214">
        <f t="shared" si="324"/>
        <v>-0.14249429118231199</v>
      </c>
      <c r="Z214" s="6">
        <f t="shared" si="325"/>
        <v>1.2193172912849715E-2</v>
      </c>
      <c r="AA214">
        <f t="shared" si="326"/>
        <v>-0.15216936324470795</v>
      </c>
      <c r="AB214" s="6">
        <f t="shared" si="327"/>
        <v>1.2546400597561833E-2</v>
      </c>
      <c r="AC214">
        <f t="shared" si="328"/>
        <v>-0.16424100372502631</v>
      </c>
      <c r="AD214" s="6">
        <f t="shared" si="329"/>
        <v>1.3508716209880305E-2</v>
      </c>
      <c r="AE214">
        <f t="shared" si="330"/>
        <v>-0.17948008771137672</v>
      </c>
      <c r="AF214" s="6">
        <f t="shared" si="331"/>
        <v>1.4259734204862786E-2</v>
      </c>
      <c r="AG214">
        <f t="shared" si="332"/>
        <v>-0.19899767023945256</v>
      </c>
      <c r="AH214" s="6">
        <f t="shared" si="333"/>
        <v>1.5363942679349155E-2</v>
      </c>
      <c r="AI214">
        <f t="shared" si="334"/>
        <v>-0.22432034009927498</v>
      </c>
      <c r="AJ214">
        <f t="shared" si="335"/>
        <v>1.3991519150753608E-2</v>
      </c>
      <c r="AK214">
        <f t="shared" si="336"/>
        <v>-0.2578718372570542</v>
      </c>
      <c r="AL214">
        <f t="shared" si="337"/>
        <v>1.5978328934473832E-2</v>
      </c>
      <c r="AM214">
        <f t="shared" si="338"/>
        <v>-0.29496555858184381</v>
      </c>
      <c r="AN214">
        <f t="shared" si="339"/>
        <v>1.7976275430279957E-2</v>
      </c>
      <c r="AO214">
        <f t="shared" si="340"/>
        <v>-0.26375575508272281</v>
      </c>
      <c r="AP214">
        <f t="shared" si="341"/>
        <v>1.615115554443133E-2</v>
      </c>
    </row>
    <row r="215" spans="1:42" s="29" customFormat="1" x14ac:dyDescent="0.25">
      <c r="A215" s="139">
        <v>0.15</v>
      </c>
      <c r="B215" s="256">
        <f>'Sub C_D_0'!AX253</f>
        <v>1.0241078322168334E-2</v>
      </c>
      <c r="C215" s="256">
        <f>'C_L vs. α'!X519</f>
        <v>0.10842068391652951</v>
      </c>
      <c r="D215" s="143">
        <v>0</v>
      </c>
      <c r="E215" s="83">
        <f t="shared" si="304"/>
        <v>0.10633226209403525</v>
      </c>
      <c r="F215" s="21">
        <f t="shared" si="305"/>
        <v>1.3018739552577948E-2</v>
      </c>
      <c r="G215" s="83">
        <f t="shared" si="306"/>
        <v>0.10717969289227106</v>
      </c>
      <c r="H215" s="21">
        <f t="shared" si="307"/>
        <v>1.1807697916558996E-2</v>
      </c>
      <c r="I215" s="83">
        <f t="shared" si="308"/>
        <v>0.10842068391652951</v>
      </c>
      <c r="J215" s="21">
        <f t="shared" si="309"/>
        <v>1.1191749538894511E-2</v>
      </c>
      <c r="K215" s="83">
        <f t="shared" si="310"/>
        <v>0.1101303746094074</v>
      </c>
      <c r="L215" s="21">
        <f t="shared" si="311"/>
        <v>1.0800946957078813E-2</v>
      </c>
      <c r="M215" s="99">
        <f t="shared" si="312"/>
        <v>0.11236739765977473</v>
      </c>
      <c r="N215" s="21">
        <f t="shared" si="313"/>
        <v>1.0531168683798721E-2</v>
      </c>
      <c r="O215" s="99">
        <f t="shared" si="314"/>
        <v>0.11509956629056074</v>
      </c>
      <c r="P215" s="21">
        <f t="shared" si="315"/>
        <v>1.0783904846800018E-2</v>
      </c>
      <c r="Q215" s="99">
        <f t="shared" si="316"/>
        <v>0.1186219390866687</v>
      </c>
      <c r="R215" s="21">
        <f t="shared" si="317"/>
        <v>1.0641706848661246E-2</v>
      </c>
      <c r="S215" s="99">
        <f t="shared" si="318"/>
        <v>0.12294208600200296</v>
      </c>
      <c r="T215" s="21">
        <f t="shared" si="319"/>
        <v>1.0550311003928919E-2</v>
      </c>
      <c r="U215" s="99">
        <f t="shared" si="320"/>
        <v>0.12821223096247833</v>
      </c>
      <c r="V215" s="21">
        <f t="shared" si="321"/>
        <v>1.0506061076933214E-2</v>
      </c>
      <c r="W215" s="99">
        <f t="shared" si="322"/>
        <v>0.13463685305510828</v>
      </c>
      <c r="X215" s="21">
        <f t="shared" si="323"/>
        <v>1.0510198129471937E-2</v>
      </c>
      <c r="Y215" s="99">
        <f t="shared" si="324"/>
        <v>0.14249429118231199</v>
      </c>
      <c r="Z215" s="21">
        <f t="shared" si="325"/>
        <v>1.0568803071285753E-2</v>
      </c>
      <c r="AA215" s="99">
        <f t="shared" si="326"/>
        <v>0.15216936324470795</v>
      </c>
      <c r="AB215" s="21">
        <f t="shared" si="327"/>
        <v>1.0693959388737843E-2</v>
      </c>
      <c r="AC215" s="99">
        <f t="shared" si="328"/>
        <v>0.16424100372502631</v>
      </c>
      <c r="AD215" s="21">
        <f t="shared" si="329"/>
        <v>1.1350707625511975E-2</v>
      </c>
      <c r="AE215" s="99">
        <f t="shared" si="330"/>
        <v>0.17948008771137672</v>
      </c>
      <c r="AF215" s="21">
        <f t="shared" si="331"/>
        <v>1.1682686054072107E-2</v>
      </c>
      <c r="AG215" s="99">
        <f t="shared" si="332"/>
        <v>0.19899767023945256</v>
      </c>
      <c r="AH215" s="21">
        <f t="shared" si="333"/>
        <v>1.2195936858490764E-2</v>
      </c>
      <c r="AI215" s="99">
        <f t="shared" si="334"/>
        <v>0.22432034009927498</v>
      </c>
      <c r="AJ215" s="99">
        <f t="shared" si="335"/>
        <v>1.3991519150753608E-2</v>
      </c>
      <c r="AK215" s="99">
        <f t="shared" si="336"/>
        <v>0.2578718372570542</v>
      </c>
      <c r="AL215" s="99">
        <f t="shared" si="337"/>
        <v>1.5978328934473832E-2</v>
      </c>
      <c r="AM215" s="99">
        <f t="shared" si="338"/>
        <v>0.29496555858184381</v>
      </c>
      <c r="AN215" s="99">
        <f t="shared" si="339"/>
        <v>1.7976275430279957E-2</v>
      </c>
      <c r="AO215" s="99">
        <f t="shared" si="340"/>
        <v>0.26375575508272281</v>
      </c>
      <c r="AP215" s="99">
        <f t="shared" si="341"/>
        <v>1.615115554443133E-2</v>
      </c>
    </row>
    <row r="216" spans="1:42" x14ac:dyDescent="0.25">
      <c r="A216" s="129">
        <v>0.2</v>
      </c>
      <c r="B216" s="256">
        <f>'Sub C_D_0'!AX254</f>
        <v>9.8200569885336861E-3</v>
      </c>
      <c r="C216" s="256">
        <f>'C_L vs. α'!X520</f>
        <v>0.1101303746094074</v>
      </c>
      <c r="D216" s="144">
        <v>2</v>
      </c>
      <c r="E216" s="14">
        <f t="shared" si="304"/>
        <v>0.31899678628210576</v>
      </c>
      <c r="F216" s="6">
        <f t="shared" si="305"/>
        <v>2.1238462688534503E-2</v>
      </c>
      <c r="G216" s="14">
        <f t="shared" si="306"/>
        <v>0.32153907867681319</v>
      </c>
      <c r="H216" s="6">
        <f t="shared" si="307"/>
        <v>2.0158959746029242E-2</v>
      </c>
      <c r="I216" s="14">
        <f t="shared" si="308"/>
        <v>0.32526205174958855</v>
      </c>
      <c r="J216" s="6">
        <f t="shared" si="309"/>
        <v>1.9737522848778166E-2</v>
      </c>
      <c r="K216" s="14">
        <f t="shared" si="310"/>
        <v>0.33039112382822222</v>
      </c>
      <c r="L216" s="6">
        <f t="shared" si="311"/>
        <v>1.9618362658368502E-2</v>
      </c>
      <c r="M216">
        <f t="shared" si="312"/>
        <v>0.3371021929793242</v>
      </c>
      <c r="N216" s="6">
        <f t="shared" si="313"/>
        <v>1.9710429912962603E-2</v>
      </c>
      <c r="O216">
        <f t="shared" si="314"/>
        <v>0.34529869887168224</v>
      </c>
      <c r="P216" s="6">
        <f t="shared" si="315"/>
        <v>2.0414973034101641E-2</v>
      </c>
      <c r="Q216">
        <f t="shared" si="316"/>
        <v>0.3558658172600061</v>
      </c>
      <c r="R216" s="6">
        <f t="shared" si="317"/>
        <v>2.0871270793943332E-2</v>
      </c>
      <c r="S216">
        <f t="shared" si="318"/>
        <v>0.36882625800600888</v>
      </c>
      <c r="T216" s="6">
        <f t="shared" si="319"/>
        <v>2.1538553589074357E-2</v>
      </c>
      <c r="U216">
        <f t="shared" si="320"/>
        <v>0.38463669288743496</v>
      </c>
      <c r="V216" s="6">
        <f t="shared" si="321"/>
        <v>2.2456558917783115E-2</v>
      </c>
      <c r="W216">
        <f t="shared" si="322"/>
        <v>0.40391055916532481</v>
      </c>
      <c r="X216" s="6">
        <f t="shared" si="323"/>
        <v>2.3688364542023169E-2</v>
      </c>
      <c r="Y216">
        <f t="shared" si="324"/>
        <v>0.42748287354693598</v>
      </c>
      <c r="Z216" s="6">
        <f t="shared" si="325"/>
        <v>2.5330014949452164E-2</v>
      </c>
      <c r="AA216">
        <f t="shared" si="326"/>
        <v>0.45650808973412382</v>
      </c>
      <c r="AB216" s="6">
        <f t="shared" si="327"/>
        <v>2.7527734847761536E-2</v>
      </c>
      <c r="AC216">
        <f t="shared" si="328"/>
        <v>0.49272301117507894</v>
      </c>
      <c r="AD216" s="6">
        <f t="shared" si="329"/>
        <v>3.0961279758575388E-2</v>
      </c>
      <c r="AE216">
        <f t="shared" si="330"/>
        <v>0.53844026313413018</v>
      </c>
      <c r="AF216" s="6">
        <f t="shared" si="331"/>
        <v>3.5101215997617764E-2</v>
      </c>
      <c r="AG216">
        <f t="shared" si="332"/>
        <v>0.59699301071835764</v>
      </c>
      <c r="AH216" s="6">
        <f t="shared" si="333"/>
        <v>4.0984704019995495E-2</v>
      </c>
      <c r="AI216">
        <f t="shared" si="334"/>
        <v>0.6729610202978249</v>
      </c>
      <c r="AJ216">
        <f t="shared" si="335"/>
        <v>5.4598831219696956E-2</v>
      </c>
      <c r="AK216">
        <f t="shared" si="336"/>
        <v>0.77361551177116261</v>
      </c>
      <c r="AL216">
        <f t="shared" si="337"/>
        <v>6.9641306021069452E-2</v>
      </c>
      <c r="AM216">
        <f t="shared" si="338"/>
        <v>0.88489667574553144</v>
      </c>
      <c r="AN216">
        <f t="shared" si="339"/>
        <v>8.8187985593397245E-2</v>
      </c>
      <c r="AO216">
        <f t="shared" si="340"/>
        <v>0.79126726524816848</v>
      </c>
      <c r="AP216">
        <f t="shared" si="341"/>
        <v>7.2290950592333134E-2</v>
      </c>
    </row>
    <row r="217" spans="1:42" x14ac:dyDescent="0.25">
      <c r="A217" s="139">
        <v>0.25</v>
      </c>
      <c r="B217" s="256">
        <f>'Sub C_D_0'!AX255</f>
        <v>9.5100253507215352E-3</v>
      </c>
      <c r="C217" s="256">
        <f>'C_L vs. α'!X521</f>
        <v>0.11236739765977473</v>
      </c>
      <c r="D217" s="144">
        <v>4</v>
      </c>
      <c r="E217" s="14">
        <f t="shared" si="304"/>
        <v>0.53166131047017628</v>
      </c>
      <c r="F217" s="6">
        <f t="shared" si="305"/>
        <v>3.858243295741038E-2</v>
      </c>
      <c r="G217" s="14">
        <f t="shared" si="306"/>
        <v>0.53589846446135525</v>
      </c>
      <c r="H217" s="6">
        <f t="shared" si="307"/>
        <v>3.7780482330448249E-2</v>
      </c>
      <c r="I217" s="14">
        <f t="shared" si="308"/>
        <v>0.54210341958264752</v>
      </c>
      <c r="J217" s="6">
        <f t="shared" si="309"/>
        <v>3.7769473044619709E-2</v>
      </c>
      <c r="K217" s="14">
        <f t="shared" si="310"/>
        <v>0.550651873047037</v>
      </c>
      <c r="L217" s="6">
        <f t="shared" si="311"/>
        <v>3.8223490013876552E-2</v>
      </c>
      <c r="M217">
        <f t="shared" si="312"/>
        <v>0.56183698829887363</v>
      </c>
      <c r="N217" s="6">
        <f t="shared" si="313"/>
        <v>3.9079066935836758E-2</v>
      </c>
      <c r="O217">
        <f t="shared" si="314"/>
        <v>0.57549783145280375</v>
      </c>
      <c r="P217" s="6">
        <f t="shared" si="315"/>
        <v>4.0736942221526906E-2</v>
      </c>
      <c r="Q217">
        <f t="shared" si="316"/>
        <v>0.59310969543334346</v>
      </c>
      <c r="R217" s="6">
        <f t="shared" si="317"/>
        <v>4.2456091839122023E-2</v>
      </c>
      <c r="S217">
        <f t="shared" si="318"/>
        <v>0.6147104300100148</v>
      </c>
      <c r="T217" s="6">
        <f t="shared" si="319"/>
        <v>4.4724219280207145E-2</v>
      </c>
      <c r="U217">
        <f t="shared" si="320"/>
        <v>0.64106115481239168</v>
      </c>
      <c r="V217" s="6">
        <f t="shared" si="321"/>
        <v>4.7672624692952997E-2</v>
      </c>
      <c r="W217">
        <f t="shared" si="322"/>
        <v>0.67318426527554143</v>
      </c>
      <c r="X217" s="6">
        <f t="shared" si="323"/>
        <v>5.1494863943172257E-2</v>
      </c>
      <c r="Y217">
        <f t="shared" si="324"/>
        <v>0.71247145591155991</v>
      </c>
      <c r="Z217" s="6">
        <f t="shared" si="325"/>
        <v>5.6476808547348933E-2</v>
      </c>
      <c r="AA217">
        <f t="shared" si="326"/>
        <v>0.76084681622353978</v>
      </c>
      <c r="AB217" s="6">
        <f t="shared" si="327"/>
        <v>6.3047726974632928E-2</v>
      </c>
      <c r="AC217">
        <f t="shared" si="328"/>
        <v>0.82120501862513162</v>
      </c>
      <c r="AD217" s="6">
        <f t="shared" si="329"/>
        <v>7.234043260907054E-2</v>
      </c>
      <c r="AE217">
        <f t="shared" si="330"/>
        <v>0.89740043855688356</v>
      </c>
      <c r="AF217" s="6">
        <f t="shared" si="331"/>
        <v>8.4515324035499745E-2</v>
      </c>
      <c r="AG217">
        <f t="shared" si="332"/>
        <v>0.99498835119726281</v>
      </c>
      <c r="AH217" s="6">
        <f t="shared" si="333"/>
        <v>0.10173024416386338</v>
      </c>
      <c r="AI217">
        <f t="shared" si="334"/>
        <v>1.121601700496375</v>
      </c>
      <c r="AJ217">
        <f t="shared" si="335"/>
        <v>0.13581345535758368</v>
      </c>
      <c r="AK217">
        <f t="shared" si="336"/>
        <v>1.2893591862852709</v>
      </c>
      <c r="AL217">
        <f t="shared" si="337"/>
        <v>0.17696726019426065</v>
      </c>
      <c r="AM217">
        <f t="shared" si="338"/>
        <v>1.4748277929092191</v>
      </c>
      <c r="AN217">
        <f t="shared" si="339"/>
        <v>0.22861140591963183</v>
      </c>
      <c r="AO217">
        <f t="shared" si="340"/>
        <v>1.318778775413614</v>
      </c>
      <c r="AP217">
        <f t="shared" si="341"/>
        <v>0.18457054068813669</v>
      </c>
    </row>
    <row r="218" spans="1:42" x14ac:dyDescent="0.25">
      <c r="A218" s="129">
        <v>0.3</v>
      </c>
      <c r="B218" s="256">
        <f>'Sub C_D_0'!AX256</f>
        <v>9.7125004249900664E-3</v>
      </c>
      <c r="C218" s="256">
        <f>'C_L vs. α'!X522</f>
        <v>0.11509956629056074</v>
      </c>
      <c r="D218" s="144">
        <v>6</v>
      </c>
      <c r="E218" s="14">
        <f t="shared" si="304"/>
        <v>0.74432583465824675</v>
      </c>
      <c r="F218" s="6">
        <f t="shared" si="305"/>
        <v>6.5050650359205583E-2</v>
      </c>
      <c r="G218" s="14">
        <f t="shared" si="306"/>
        <v>0.75025785024589742</v>
      </c>
      <c r="H218" s="6">
        <f t="shared" si="307"/>
        <v>6.4672265669816056E-2</v>
      </c>
      <c r="I218" s="14">
        <f t="shared" si="308"/>
        <v>0.75894478741570659</v>
      </c>
      <c r="J218" s="6">
        <f t="shared" si="309"/>
        <v>6.5287600126419154E-2</v>
      </c>
      <c r="K218" s="14">
        <f t="shared" si="310"/>
        <v>0.77091262226585178</v>
      </c>
      <c r="L218" s="6">
        <f t="shared" si="311"/>
        <v>6.6616329023602955E-2</v>
      </c>
      <c r="M218">
        <f t="shared" si="312"/>
        <v>0.78657178361842306</v>
      </c>
      <c r="N218" s="6">
        <f t="shared" si="313"/>
        <v>6.8637079752421185E-2</v>
      </c>
      <c r="O218">
        <f t="shared" si="314"/>
        <v>0.80569696403392521</v>
      </c>
      <c r="P218" s="6">
        <f t="shared" si="315"/>
        <v>7.1749812409075797E-2</v>
      </c>
      <c r="Q218">
        <f t="shared" si="316"/>
        <v>0.83035357360668083</v>
      </c>
      <c r="R218" s="6">
        <f t="shared" si="317"/>
        <v>7.5396169984197292E-2</v>
      </c>
      <c r="S218">
        <f t="shared" si="318"/>
        <v>0.86059460201402072</v>
      </c>
      <c r="T218" s="6">
        <f t="shared" si="319"/>
        <v>8.0107308077327272E-2</v>
      </c>
      <c r="U218">
        <f t="shared" si="320"/>
        <v>0.89748561673734828</v>
      </c>
      <c r="V218" s="6">
        <f t="shared" si="321"/>
        <v>8.6154258402442854E-2</v>
      </c>
      <c r="W218">
        <f t="shared" si="322"/>
        <v>0.94245797138575793</v>
      </c>
      <c r="X218" s="6">
        <f t="shared" si="323"/>
        <v>9.3929696332919199E-2</v>
      </c>
      <c r="Y218">
        <f t="shared" si="324"/>
        <v>0.99746003827618401</v>
      </c>
      <c r="Z218" s="6">
        <f t="shared" si="325"/>
        <v>0.1040091838649761</v>
      </c>
      <c r="AA218">
        <f t="shared" si="326"/>
        <v>1.0651855427129557</v>
      </c>
      <c r="AB218" s="6">
        <f t="shared" si="327"/>
        <v>0.11725393576935202</v>
      </c>
      <c r="AC218">
        <f t="shared" si="328"/>
        <v>1.1496870260751841</v>
      </c>
      <c r="AD218" s="6">
        <f t="shared" si="329"/>
        <v>0.13548816617699744</v>
      </c>
      <c r="AE218">
        <f t="shared" si="330"/>
        <v>1.2563606139796371</v>
      </c>
      <c r="AF218" s="6">
        <f t="shared" si="331"/>
        <v>0.15992501016771807</v>
      </c>
      <c r="AG218">
        <f t="shared" si="332"/>
        <v>1.392983691676168</v>
      </c>
      <c r="AH218" s="6">
        <f t="shared" si="333"/>
        <v>0.1944325572900944</v>
      </c>
      <c r="AI218">
        <f t="shared" si="334"/>
        <v>1.5702423806949248</v>
      </c>
      <c r="AJ218">
        <f t="shared" si="335"/>
        <v>0.25763539156441373</v>
      </c>
      <c r="AK218">
        <f t="shared" si="336"/>
        <v>1.8051028607993795</v>
      </c>
      <c r="AL218">
        <f t="shared" si="337"/>
        <v>0.33795619145404759</v>
      </c>
      <c r="AM218">
        <f t="shared" si="338"/>
        <v>2.0647589100729067</v>
      </c>
      <c r="AN218">
        <f t="shared" si="339"/>
        <v>0.43924653640898365</v>
      </c>
      <c r="AO218">
        <f t="shared" si="340"/>
        <v>1.8462902855790597</v>
      </c>
      <c r="AP218">
        <f t="shared" si="341"/>
        <v>0.35298992583184213</v>
      </c>
    </row>
    <row r="219" spans="1:42" x14ac:dyDescent="0.25">
      <c r="A219" s="139">
        <v>0.35</v>
      </c>
      <c r="B219" s="256">
        <f>'Sub C_D_0'!AX257</f>
        <v>9.5037229998277978E-3</v>
      </c>
      <c r="C219" s="256">
        <f>'C_L vs. α'!X523</f>
        <v>0.1186219390866687</v>
      </c>
      <c r="D219" s="144">
        <v>8</v>
      </c>
      <c r="E219" s="14">
        <f t="shared" si="304"/>
        <v>0.95699035884631722</v>
      </c>
      <c r="F219" s="6">
        <f t="shared" si="305"/>
        <v>0.1006431148939201</v>
      </c>
      <c r="G219" s="14">
        <f t="shared" si="306"/>
        <v>0.96461723603043947</v>
      </c>
      <c r="H219" s="6">
        <f t="shared" si="307"/>
        <v>0.1008343097641326</v>
      </c>
      <c r="I219" s="14">
        <f t="shared" si="308"/>
        <v>0.97578615524876555</v>
      </c>
      <c r="J219" s="6">
        <f t="shared" si="309"/>
        <v>0.10229190409417649</v>
      </c>
      <c r="K219" s="14">
        <f t="shared" si="310"/>
        <v>0.99117337148466667</v>
      </c>
      <c r="L219" s="6">
        <f t="shared" si="311"/>
        <v>0.10479687968754775</v>
      </c>
      <c r="M219">
        <f t="shared" si="312"/>
        <v>1.0113065789379725</v>
      </c>
      <c r="N219" s="6">
        <f t="shared" si="313"/>
        <v>0.10838446836271588</v>
      </c>
      <c r="O219">
        <f t="shared" si="314"/>
        <v>1.0358960966150468</v>
      </c>
      <c r="P219" s="6">
        <f t="shared" si="315"/>
        <v>0.11345358359674836</v>
      </c>
      <c r="Q219">
        <f t="shared" si="316"/>
        <v>1.0675974517800182</v>
      </c>
      <c r="R219" s="6">
        <f t="shared" si="317"/>
        <v>0.11969150522916916</v>
      </c>
      <c r="S219">
        <f t="shared" si="318"/>
        <v>1.1064787740180266</v>
      </c>
      <c r="T219" s="6">
        <f t="shared" si="319"/>
        <v>0.12768781998043474</v>
      </c>
      <c r="U219">
        <f t="shared" si="320"/>
        <v>1.1539100786623049</v>
      </c>
      <c r="V219" s="6">
        <f t="shared" si="321"/>
        <v>0.13790146004625267</v>
      </c>
      <c r="W219">
        <f t="shared" si="322"/>
        <v>1.2117316774959745</v>
      </c>
      <c r="X219" s="6">
        <f t="shared" si="323"/>
        <v>0.15099286171126403</v>
      </c>
      <c r="Y219">
        <f t="shared" si="324"/>
        <v>1.2824486206408079</v>
      </c>
      <c r="Z219" s="6">
        <f t="shared" si="325"/>
        <v>0.16792714090233363</v>
      </c>
      <c r="AA219">
        <f t="shared" si="326"/>
        <v>1.3695242692023715</v>
      </c>
      <c r="AB219" s="6">
        <f t="shared" si="327"/>
        <v>0.19014636123191875</v>
      </c>
      <c r="AC219">
        <f t="shared" si="328"/>
        <v>1.4781690335252369</v>
      </c>
      <c r="AD219" s="6">
        <f t="shared" si="329"/>
        <v>0.22040448046235608</v>
      </c>
      <c r="AE219">
        <f t="shared" si="330"/>
        <v>1.6153207894023904</v>
      </c>
      <c r="AF219" s="6">
        <f t="shared" si="331"/>
        <v>0.26133027439427275</v>
      </c>
      <c r="AG219">
        <f t="shared" si="332"/>
        <v>1.7909790321550729</v>
      </c>
      <c r="AH219" s="6">
        <f t="shared" si="333"/>
        <v>0.31909164339868851</v>
      </c>
      <c r="AI219">
        <f t="shared" si="334"/>
        <v>2.0188830608934749</v>
      </c>
      <c r="AJ219">
        <f t="shared" si="335"/>
        <v>0.42006463984018722</v>
      </c>
      <c r="AK219">
        <f t="shared" si="336"/>
        <v>2.3208465353134877</v>
      </c>
      <c r="AL219">
        <f t="shared" si="337"/>
        <v>0.55260809980042991</v>
      </c>
      <c r="AM219">
        <f t="shared" si="338"/>
        <v>2.6546900272365943</v>
      </c>
      <c r="AN219">
        <f t="shared" si="339"/>
        <v>0.72009337706145282</v>
      </c>
      <c r="AO219">
        <f t="shared" si="340"/>
        <v>2.3738017957445052</v>
      </c>
      <c r="AP219">
        <f t="shared" si="341"/>
        <v>0.57754910602344933</v>
      </c>
    </row>
    <row r="220" spans="1:42" x14ac:dyDescent="0.25">
      <c r="A220" s="129">
        <v>0.4</v>
      </c>
      <c r="B220" s="256">
        <f>'Sub C_D_0'!AX258</f>
        <v>9.3279282458909787E-3</v>
      </c>
      <c r="C220" s="256">
        <f>'C_L vs. α'!X524</f>
        <v>0.12294208600200296</v>
      </c>
      <c r="D220" s="144">
        <v>10</v>
      </c>
      <c r="E220" s="14">
        <f t="shared" si="304"/>
        <v>1.1696548830343878</v>
      </c>
      <c r="F220" s="6">
        <f t="shared" si="305"/>
        <v>0.14535982656155397</v>
      </c>
      <c r="G220" s="14">
        <f t="shared" si="306"/>
        <v>1.1789766218149815</v>
      </c>
      <c r="H220" s="6">
        <f t="shared" si="307"/>
        <v>0.14626661461339791</v>
      </c>
      <c r="I220" s="14">
        <f t="shared" si="308"/>
        <v>1.1926275230818246</v>
      </c>
      <c r="J220" s="6">
        <f t="shared" si="309"/>
        <v>0.14878238494789173</v>
      </c>
      <c r="K220" s="14">
        <f t="shared" si="310"/>
        <v>1.2114341207034813</v>
      </c>
      <c r="L220" s="6">
        <f t="shared" si="311"/>
        <v>0.15276514200571084</v>
      </c>
      <c r="M220">
        <f t="shared" si="312"/>
        <v>1.236041374257522</v>
      </c>
      <c r="N220" s="6">
        <f t="shared" si="313"/>
        <v>0.15832123276672092</v>
      </c>
      <c r="O220">
        <f t="shared" si="314"/>
        <v>1.2660952291961682</v>
      </c>
      <c r="P220" s="6">
        <f t="shared" si="315"/>
        <v>0.16584825578454448</v>
      </c>
      <c r="Q220">
        <f t="shared" si="316"/>
        <v>1.3048413299533557</v>
      </c>
      <c r="R220" s="6">
        <f t="shared" si="317"/>
        <v>0.17534209757403763</v>
      </c>
      <c r="S220">
        <f t="shared" si="318"/>
        <v>1.3523629460220326</v>
      </c>
      <c r="T220" s="6">
        <f t="shared" si="319"/>
        <v>0.18746575498952961</v>
      </c>
      <c r="U220">
        <f t="shared" si="320"/>
        <v>1.4103345405872616</v>
      </c>
      <c r="V220" s="6">
        <f t="shared" si="321"/>
        <v>0.20291422962438249</v>
      </c>
      <c r="W220">
        <f t="shared" si="322"/>
        <v>1.4810053836061912</v>
      </c>
      <c r="X220" s="6">
        <f t="shared" si="323"/>
        <v>0.22268436007820666</v>
      </c>
      <c r="Y220">
        <f t="shared" si="324"/>
        <v>1.567437203005432</v>
      </c>
      <c r="Z220" s="6">
        <f t="shared" si="325"/>
        <v>0.24823067965942153</v>
      </c>
      <c r="AA220">
        <f t="shared" si="326"/>
        <v>1.6738629956917874</v>
      </c>
      <c r="AB220" s="6">
        <f t="shared" si="327"/>
        <v>0.28172500336233314</v>
      </c>
      <c r="AC220">
        <f t="shared" si="328"/>
        <v>1.8066510409752894</v>
      </c>
      <c r="AD220" s="6">
        <f t="shared" si="329"/>
        <v>0.32708937546514638</v>
      </c>
      <c r="AE220">
        <f t="shared" si="330"/>
        <v>1.9742809648251438</v>
      </c>
      <c r="AF220" s="6">
        <f t="shared" si="331"/>
        <v>0.38873111671516369</v>
      </c>
      <c r="AG220">
        <f t="shared" si="332"/>
        <v>2.1889743726339783</v>
      </c>
      <c r="AH220" s="6">
        <f t="shared" si="333"/>
        <v>0.47570750248964583</v>
      </c>
      <c r="AI220">
        <f t="shared" si="334"/>
        <v>2.467523741092025</v>
      </c>
      <c r="AJ220">
        <f t="shared" si="335"/>
        <v>0.62310120018490411</v>
      </c>
      <c r="AK220">
        <f t="shared" si="336"/>
        <v>2.8365902098275964</v>
      </c>
      <c r="AL220">
        <f t="shared" si="337"/>
        <v>0.82092298523340812</v>
      </c>
      <c r="AM220">
        <f t="shared" si="338"/>
        <v>3.2446211444002819</v>
      </c>
      <c r="AN220">
        <f t="shared" si="339"/>
        <v>1.0711519278770394</v>
      </c>
      <c r="AO220">
        <f t="shared" si="340"/>
        <v>2.9013133059099507</v>
      </c>
      <c r="AP220">
        <f t="shared" si="341"/>
        <v>0.85824808126295826</v>
      </c>
    </row>
    <row r="221" spans="1:42" x14ac:dyDescent="0.25">
      <c r="A221" s="139">
        <v>0.45</v>
      </c>
      <c r="B221" s="256">
        <f>'Sub C_D_0'!AX259</f>
        <v>9.1766326085107337E-3</v>
      </c>
      <c r="C221" s="256">
        <f>'C_L vs. α'!X525</f>
        <v>0.12821223096247833</v>
      </c>
      <c r="D221" s="144">
        <v>12</v>
      </c>
      <c r="E221" s="14">
        <f t="shared" si="304"/>
        <v>1.3823194072224583</v>
      </c>
      <c r="F221" s="6">
        <f t="shared" si="305"/>
        <v>0.19920078536210711</v>
      </c>
      <c r="G221" s="14">
        <f t="shared" si="306"/>
        <v>1.3933360075995238</v>
      </c>
      <c r="H221" s="6">
        <f t="shared" si="307"/>
        <v>0.20096918021761201</v>
      </c>
      <c r="I221" s="14">
        <f t="shared" si="308"/>
        <v>1.4094688909148836</v>
      </c>
      <c r="J221" s="6">
        <f t="shared" si="309"/>
        <v>0.20475904268756484</v>
      </c>
      <c r="K221" s="14">
        <f t="shared" si="310"/>
        <v>1.4316948699222962</v>
      </c>
      <c r="L221" s="6">
        <f t="shared" si="311"/>
        <v>0.21052111597809237</v>
      </c>
      <c r="M221">
        <f t="shared" si="312"/>
        <v>1.4607761695770716</v>
      </c>
      <c r="N221" s="6">
        <f t="shared" si="313"/>
        <v>0.21844737296443623</v>
      </c>
      <c r="O221">
        <f t="shared" si="314"/>
        <v>1.4962943617772897</v>
      </c>
      <c r="P221" s="6">
        <f t="shared" si="315"/>
        <v>0.22893382897246434</v>
      </c>
      <c r="Q221">
        <f t="shared" si="316"/>
        <v>1.5420852081266931</v>
      </c>
      <c r="R221" s="6">
        <f t="shared" si="317"/>
        <v>0.24234794701880275</v>
      </c>
      <c r="S221">
        <f t="shared" si="318"/>
        <v>1.5982471180260385</v>
      </c>
      <c r="T221" s="6">
        <f t="shared" si="319"/>
        <v>0.25944111310461182</v>
      </c>
      <c r="U221">
        <f t="shared" si="320"/>
        <v>1.6667590025122183</v>
      </c>
      <c r="V221" s="6">
        <f t="shared" si="321"/>
        <v>0.28119256713683227</v>
      </c>
      <c r="W221">
        <f t="shared" si="322"/>
        <v>1.7502790897164076</v>
      </c>
      <c r="X221" s="6">
        <f t="shared" si="323"/>
        <v>0.30900419143374713</v>
      </c>
      <c r="Y221">
        <f t="shared" si="324"/>
        <v>1.8524257853700559</v>
      </c>
      <c r="Z221" s="6">
        <f t="shared" si="325"/>
        <v>0.34491980013623974</v>
      </c>
      <c r="AA221">
        <f t="shared" si="326"/>
        <v>1.9782017221812034</v>
      </c>
      <c r="AB221" s="6">
        <f t="shared" si="327"/>
        <v>0.39198986216059534</v>
      </c>
      <c r="AC221">
        <f t="shared" si="328"/>
        <v>2.1351330484253421</v>
      </c>
      <c r="AD221" s="6">
        <f t="shared" si="329"/>
        <v>0.45554285118536852</v>
      </c>
      <c r="AE221">
        <f t="shared" si="330"/>
        <v>2.3332411402478974</v>
      </c>
      <c r="AF221" s="6">
        <f t="shared" si="331"/>
        <v>0.54212753713039108</v>
      </c>
      <c r="AG221">
        <f t="shared" si="332"/>
        <v>2.5869697131128833</v>
      </c>
      <c r="AH221" s="6">
        <f t="shared" si="333"/>
        <v>0.66428013456296608</v>
      </c>
      <c r="AI221">
        <f t="shared" si="334"/>
        <v>2.9161644212905746</v>
      </c>
      <c r="AJ221">
        <f t="shared" si="335"/>
        <v>0.86674507259856393</v>
      </c>
      <c r="AK221">
        <f t="shared" si="336"/>
        <v>3.3523338843417045</v>
      </c>
      <c r="AL221">
        <f t="shared" si="337"/>
        <v>1.1429008477529816</v>
      </c>
      <c r="AM221">
        <f t="shared" si="338"/>
        <v>3.8345522615639696</v>
      </c>
      <c r="AN221">
        <f t="shared" si="339"/>
        <v>1.492422188855743</v>
      </c>
      <c r="AO221">
        <f t="shared" si="340"/>
        <v>3.4288248160753967</v>
      </c>
      <c r="AP221">
        <f t="shared" si="341"/>
        <v>1.1950868515503694</v>
      </c>
    </row>
    <row r="222" spans="1:42" x14ac:dyDescent="0.25">
      <c r="A222" s="129">
        <v>0.5</v>
      </c>
      <c r="B222" s="256">
        <f>'Sub C_D_0'!AX260</f>
        <v>9.0441981499088612E-3</v>
      </c>
      <c r="C222" s="256">
        <f>'C_L vs. α'!X526</f>
        <v>0.13463685305510828</v>
      </c>
      <c r="D222" s="144">
        <v>14</v>
      </c>
      <c r="E222" s="14">
        <f t="shared" si="304"/>
        <v>1.5949839314105287</v>
      </c>
      <c r="F222" s="6">
        <f t="shared" si="305"/>
        <v>0.26216599129557955</v>
      </c>
      <c r="G222" s="14">
        <f t="shared" si="306"/>
        <v>1.6076953933840659</v>
      </c>
      <c r="H222" s="6">
        <f t="shared" si="307"/>
        <v>0.26494200657677491</v>
      </c>
      <c r="I222" s="14">
        <f t="shared" si="308"/>
        <v>1.6263102587479425</v>
      </c>
      <c r="J222" s="6">
        <f t="shared" si="309"/>
        <v>0.27022187731319586</v>
      </c>
      <c r="K222" s="14">
        <f t="shared" si="310"/>
        <v>1.6519556191411111</v>
      </c>
      <c r="L222" s="6">
        <f t="shared" si="311"/>
        <v>0.27806480160469227</v>
      </c>
      <c r="M222">
        <f t="shared" si="312"/>
        <v>1.6855109648966209</v>
      </c>
      <c r="N222" s="6">
        <f t="shared" si="313"/>
        <v>0.28876288895586166</v>
      </c>
      <c r="O222">
        <f t="shared" si="314"/>
        <v>1.7264934943584112</v>
      </c>
      <c r="P222" s="6">
        <f t="shared" si="315"/>
        <v>0.30271030316050773</v>
      </c>
      <c r="Q222">
        <f t="shared" si="316"/>
        <v>1.7793290863000304</v>
      </c>
      <c r="R222" s="6">
        <f t="shared" si="317"/>
        <v>0.32070905356346441</v>
      </c>
      <c r="S222">
        <f t="shared" si="318"/>
        <v>1.8441312900300444</v>
      </c>
      <c r="T222" s="6">
        <f t="shared" si="319"/>
        <v>0.34361389432568135</v>
      </c>
      <c r="U222">
        <f t="shared" si="320"/>
        <v>1.923183464437175</v>
      </c>
      <c r="V222" s="6">
        <f t="shared" si="321"/>
        <v>0.3727364725836021</v>
      </c>
      <c r="W222">
        <f t="shared" si="322"/>
        <v>2.0195527958266242</v>
      </c>
      <c r="X222" s="6">
        <f t="shared" si="323"/>
        <v>0.40995235577788552</v>
      </c>
      <c r="Y222">
        <f t="shared" si="324"/>
        <v>2.1374143677346797</v>
      </c>
      <c r="Z222" s="6">
        <f t="shared" si="325"/>
        <v>0.45799450233278832</v>
      </c>
      <c r="AA222">
        <f t="shared" si="326"/>
        <v>2.2825404486706193</v>
      </c>
      <c r="AB222" s="6">
        <f t="shared" si="327"/>
        <v>0.52094093762670524</v>
      </c>
      <c r="AC222">
        <f t="shared" si="328"/>
        <v>2.4636150558753949</v>
      </c>
      <c r="AD222" s="6">
        <f t="shared" si="329"/>
        <v>0.6057649076230226</v>
      </c>
      <c r="AE222">
        <f t="shared" si="330"/>
        <v>2.6922013156706508</v>
      </c>
      <c r="AF222" s="6">
        <f t="shared" si="331"/>
        <v>0.72151953563995475</v>
      </c>
      <c r="AG222">
        <f t="shared" si="332"/>
        <v>2.9849650535917882</v>
      </c>
      <c r="AH222" s="6">
        <f t="shared" si="333"/>
        <v>0.8848095396186495</v>
      </c>
      <c r="AI222">
        <f t="shared" si="334"/>
        <v>3.3648051014891247</v>
      </c>
      <c r="AJ222">
        <f t="shared" si="335"/>
        <v>1.1509962570811676</v>
      </c>
      <c r="AK222">
        <f t="shared" si="336"/>
        <v>3.8680775588558132</v>
      </c>
      <c r="AL222">
        <f t="shared" si="337"/>
        <v>1.5185416873591513</v>
      </c>
      <c r="AM222">
        <f t="shared" si="338"/>
        <v>4.4244833787276576</v>
      </c>
      <c r="AN222">
        <f t="shared" si="339"/>
        <v>1.9839041599975642</v>
      </c>
      <c r="AO222">
        <f t="shared" si="340"/>
        <v>3.9563363262408422</v>
      </c>
      <c r="AP222">
        <f t="shared" si="341"/>
        <v>1.5880654168856818</v>
      </c>
    </row>
    <row r="223" spans="1:42" x14ac:dyDescent="0.25">
      <c r="A223" s="139">
        <v>0.55000000000000004</v>
      </c>
      <c r="B223" s="256">
        <f>'Sub C_D_0'!AX261</f>
        <v>8.9266978167104466E-3</v>
      </c>
      <c r="C223" s="256">
        <f>'C_L vs. α'!X527</f>
        <v>0.14249429118231199</v>
      </c>
      <c r="D223" s="144">
        <v>16</v>
      </c>
      <c r="E223" s="14">
        <f t="shared" si="304"/>
        <v>1.8076484555985992</v>
      </c>
      <c r="F223" s="6">
        <f t="shared" si="305"/>
        <v>0.33425544436197141</v>
      </c>
      <c r="G223" s="14">
        <f t="shared" si="306"/>
        <v>1.8220547791686079</v>
      </c>
      <c r="H223" s="6">
        <f t="shared" si="307"/>
        <v>0.33818509369088656</v>
      </c>
      <c r="I223" s="14">
        <f t="shared" si="308"/>
        <v>1.8431516265810017</v>
      </c>
      <c r="J223" s="6">
        <f t="shared" si="309"/>
        <v>0.34517088882478475</v>
      </c>
      <c r="K223" s="14">
        <f t="shared" si="310"/>
        <v>1.8722163683599258</v>
      </c>
      <c r="L223" s="6">
        <f t="shared" si="311"/>
        <v>0.35539619888551044</v>
      </c>
      <c r="M223">
        <f t="shared" si="312"/>
        <v>1.9102457602161704</v>
      </c>
      <c r="N223" s="6">
        <f t="shared" si="313"/>
        <v>0.36926778074099759</v>
      </c>
      <c r="O223">
        <f t="shared" si="314"/>
        <v>1.9566926269395326</v>
      </c>
      <c r="P223" s="6">
        <f t="shared" si="315"/>
        <v>0.38717767834867478</v>
      </c>
      <c r="Q223">
        <f t="shared" si="316"/>
        <v>2.0165729644733679</v>
      </c>
      <c r="R223" s="6">
        <f t="shared" si="317"/>
        <v>0.41042541720802267</v>
      </c>
      <c r="S223">
        <f t="shared" si="318"/>
        <v>2.0900154620340503</v>
      </c>
      <c r="T223" s="6">
        <f t="shared" si="319"/>
        <v>0.43998409865273824</v>
      </c>
      <c r="U223">
        <f t="shared" si="320"/>
        <v>2.1796079263621317</v>
      </c>
      <c r="V223" s="6">
        <f t="shared" si="321"/>
        <v>0.4775459459646918</v>
      </c>
      <c r="W223">
        <f t="shared" si="322"/>
        <v>2.2888265019368408</v>
      </c>
      <c r="X223" s="6">
        <f t="shared" si="323"/>
        <v>0.52552885311062181</v>
      </c>
      <c r="Y223">
        <f t="shared" si="324"/>
        <v>2.4224029500993041</v>
      </c>
      <c r="Z223" s="6">
        <f t="shared" si="325"/>
        <v>0.58745478624906755</v>
      </c>
      <c r="AA223">
        <f t="shared" si="326"/>
        <v>2.5868791751600351</v>
      </c>
      <c r="AB223" s="6">
        <f t="shared" si="327"/>
        <v>0.66857822976066261</v>
      </c>
      <c r="AC223">
        <f t="shared" si="328"/>
        <v>2.7920970633254472</v>
      </c>
      <c r="AD223" s="6">
        <f t="shared" si="329"/>
        <v>0.77775554477810804</v>
      </c>
      <c r="AE223">
        <f t="shared" si="330"/>
        <v>3.0511614910934042</v>
      </c>
      <c r="AF223" s="6">
        <f t="shared" si="331"/>
        <v>0.92690711224385469</v>
      </c>
      <c r="AG223">
        <f t="shared" si="332"/>
        <v>3.3829603940706936</v>
      </c>
      <c r="AH223" s="6">
        <f t="shared" si="333"/>
        <v>1.1372957176566965</v>
      </c>
      <c r="AI223">
        <f t="shared" si="334"/>
        <v>3.8134457816876748</v>
      </c>
      <c r="AJ223">
        <f t="shared" si="335"/>
        <v>1.4758547536327145</v>
      </c>
      <c r="AK223">
        <f t="shared" si="336"/>
        <v>4.3838212333699218</v>
      </c>
      <c r="AL223">
        <f t="shared" si="337"/>
        <v>1.9478455040519163</v>
      </c>
      <c r="AM223">
        <f t="shared" si="338"/>
        <v>5.0144144958913444</v>
      </c>
      <c r="AN223">
        <f t="shared" si="339"/>
        <v>2.5455978413025018</v>
      </c>
      <c r="AO223">
        <f t="shared" si="340"/>
        <v>4.4838478364062881</v>
      </c>
      <c r="AP223">
        <f t="shared" si="341"/>
        <v>2.0371837772688965</v>
      </c>
    </row>
    <row r="224" spans="1:42" x14ac:dyDescent="0.25">
      <c r="A224" s="129">
        <v>0.6</v>
      </c>
      <c r="B224" s="256">
        <f>'Sub C_D_0'!AX262</f>
        <v>8.82129260746288E-3</v>
      </c>
      <c r="C224" s="256">
        <f>'C_L vs. α'!X528</f>
        <v>0.15216936324470795</v>
      </c>
    </row>
    <row r="225" spans="1:3" x14ac:dyDescent="0.25">
      <c r="A225" s="139">
        <v>0.65</v>
      </c>
      <c r="B225" s="256">
        <f>'Sub C_D_0'!AX263</f>
        <v>9.1691371819250904E-3</v>
      </c>
      <c r="C225" s="256">
        <f>'C_L vs. α'!X529</f>
        <v>0.16424100372502631</v>
      </c>
    </row>
    <row r="226" spans="1:3" x14ac:dyDescent="0.25">
      <c r="A226" s="129">
        <v>0.7</v>
      </c>
      <c r="B226" s="256">
        <f>'Sub C_D_0'!AX264</f>
        <v>9.0775008299777346E-3</v>
      </c>
      <c r="C226" s="256">
        <f>'C_L vs. α'!X530</f>
        <v>0.17948008771137672</v>
      </c>
    </row>
    <row r="227" spans="1:3" x14ac:dyDescent="0.25">
      <c r="A227" s="139">
        <v>0.75</v>
      </c>
      <c r="B227" s="256">
        <f>'Sub C_D_0'!AX265</f>
        <v>8.99334169090997E-3</v>
      </c>
      <c r="C227" s="256">
        <f>'C_L vs. α'!X531</f>
        <v>0.19899767023945256</v>
      </c>
    </row>
    <row r="228" spans="1:3" x14ac:dyDescent="0.25">
      <c r="A228" s="129">
        <v>0.8</v>
      </c>
      <c r="B228" s="256">
        <f>'Sub C_D_0'!AX266</f>
        <v>8.9156051421356887E-3</v>
      </c>
      <c r="C228" s="256">
        <f>'C_L vs. α'!X532</f>
        <v>0.22432034009927498</v>
      </c>
    </row>
    <row r="229" spans="1:3" x14ac:dyDescent="0.25">
      <c r="A229" s="139">
        <v>0.85</v>
      </c>
      <c r="B229" s="256">
        <f>'Sub C_D_0'!AX267</f>
        <v>9.2704567986493808E-3</v>
      </c>
      <c r="C229" s="256">
        <f>'C_L vs. α'!X533</f>
        <v>0.2578718372570542</v>
      </c>
    </row>
    <row r="230" spans="1:3" x14ac:dyDescent="0.25">
      <c r="A230" s="129">
        <v>0.9</v>
      </c>
      <c r="B230" s="256">
        <f>'Sub C_D_0'!AX268</f>
        <v>9.1998116598902991E-3</v>
      </c>
      <c r="C230" s="256">
        <f>'C_L vs. α'!X534</f>
        <v>0.29496555858184381</v>
      </c>
    </row>
    <row r="231" spans="1:3" x14ac:dyDescent="0.25">
      <c r="A231" s="139">
        <v>0.95</v>
      </c>
      <c r="B231" s="256">
        <f>'Sub C_D_0'!AX269</f>
        <v>9.1336811634436053E-3</v>
      </c>
      <c r="C231" s="256">
        <f>'C_L vs. α'!X535</f>
        <v>0.26375575508272281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5B13-56DD-4CDB-88B2-B0E2A4559DC6}">
  <dimension ref="A1:AQ279"/>
  <sheetViews>
    <sheetView zoomScale="115" zoomScaleNormal="115" workbookViewId="0">
      <selection activeCell="AL21" sqref="AL21"/>
    </sheetView>
  </sheetViews>
  <sheetFormatPr defaultRowHeight="15" x14ac:dyDescent="0.25"/>
  <cols>
    <col min="2" max="2" width="11.85546875" bestFit="1" customWidth="1"/>
  </cols>
  <sheetData>
    <row r="1" spans="1:43" x14ac:dyDescent="0.25">
      <c r="A1" t="s">
        <v>524</v>
      </c>
      <c r="E1" t="s">
        <v>542</v>
      </c>
      <c r="H1" t="s">
        <v>541</v>
      </c>
      <c r="I1">
        <v>0</v>
      </c>
    </row>
    <row r="2" spans="1:43" x14ac:dyDescent="0.25">
      <c r="A2" t="s">
        <v>525</v>
      </c>
      <c r="B2" s="28">
        <v>0.98499999999999999</v>
      </c>
      <c r="C2" t="s">
        <v>529</v>
      </c>
      <c r="E2" t="s">
        <v>525</v>
      </c>
      <c r="F2" s="28"/>
      <c r="G2" t="s">
        <v>529</v>
      </c>
      <c r="I2">
        <v>15</v>
      </c>
    </row>
    <row r="3" spans="1:43" x14ac:dyDescent="0.25">
      <c r="A3" t="s">
        <v>519</v>
      </c>
      <c r="B3">
        <f>B4/B5</f>
        <v>3.2258064516129031E-2</v>
      </c>
      <c r="E3" t="s">
        <v>519</v>
      </c>
      <c r="F3">
        <f>F4/F5</f>
        <v>0.27093397849462364</v>
      </c>
      <c r="I3">
        <v>30</v>
      </c>
    </row>
    <row r="4" spans="1:43" x14ac:dyDescent="0.25">
      <c r="A4" s="70" t="s">
        <v>144</v>
      </c>
      <c r="B4">
        <v>1.5</v>
      </c>
      <c r="E4" s="70" t="s">
        <v>144</v>
      </c>
      <c r="F4">
        <v>12.59843</v>
      </c>
      <c r="I4">
        <v>36</v>
      </c>
    </row>
    <row r="5" spans="1:43" x14ac:dyDescent="0.25">
      <c r="A5" s="70" t="s">
        <v>143</v>
      </c>
      <c r="B5">
        <v>46.5</v>
      </c>
      <c r="E5" s="70" t="s">
        <v>143</v>
      </c>
      <c r="F5">
        <v>46.5</v>
      </c>
      <c r="I5">
        <v>40</v>
      </c>
    </row>
    <row r="6" spans="1:43" x14ac:dyDescent="0.25">
      <c r="A6" t="s">
        <v>155</v>
      </c>
      <c r="B6">
        <f>B2*(1-B3^2)</f>
        <v>0.9839750260145681</v>
      </c>
      <c r="C6" t="s">
        <v>530</v>
      </c>
      <c r="E6" t="s">
        <v>155</v>
      </c>
      <c r="F6">
        <f>F2*(1-F3^2)</f>
        <v>0</v>
      </c>
      <c r="G6" t="s">
        <v>530</v>
      </c>
      <c r="I6">
        <v>45</v>
      </c>
    </row>
    <row r="7" spans="1:43" x14ac:dyDescent="0.25">
      <c r="A7" t="s">
        <v>526</v>
      </c>
      <c r="B7">
        <f>1/(PI()*4*B6)</f>
        <v>8.0873466746674824E-2</v>
      </c>
      <c r="C7" t="s">
        <v>531</v>
      </c>
      <c r="E7" t="s">
        <v>526</v>
      </c>
      <c r="F7" t="e">
        <f>1/(PI()*4*F6)</f>
        <v>#DIV/0!</v>
      </c>
      <c r="G7" t="s">
        <v>531</v>
      </c>
    </row>
    <row r="8" spans="1:43" x14ac:dyDescent="0.25">
      <c r="A8" t="s">
        <v>527</v>
      </c>
      <c r="B8" s="28">
        <v>0.02</v>
      </c>
      <c r="C8" t="s">
        <v>532</v>
      </c>
      <c r="E8" t="s">
        <v>527</v>
      </c>
      <c r="F8" s="28"/>
      <c r="G8" t="s">
        <v>532</v>
      </c>
    </row>
    <row r="9" spans="1:43" x14ac:dyDescent="0.25">
      <c r="A9" t="s">
        <v>528</v>
      </c>
      <c r="B9">
        <f>B7+B8</f>
        <v>0.10087346674667483</v>
      </c>
      <c r="E9" t="s">
        <v>528</v>
      </c>
      <c r="F9" t="e">
        <f>F7+F8</f>
        <v>#DIV/0!</v>
      </c>
    </row>
    <row r="10" spans="1:43" x14ac:dyDescent="0.25">
      <c r="A10" t="s">
        <v>268</v>
      </c>
      <c r="B10">
        <v>4</v>
      </c>
      <c r="D10" t="s">
        <v>416</v>
      </c>
      <c r="E10">
        <v>0.8</v>
      </c>
    </row>
    <row r="11" spans="1:43" x14ac:dyDescent="0.25">
      <c r="A11" t="s">
        <v>410</v>
      </c>
      <c r="B11" s="29">
        <v>24.1</v>
      </c>
      <c r="D11" t="s">
        <v>144</v>
      </c>
      <c r="E11" s="29">
        <v>12.5984</v>
      </c>
    </row>
    <row r="12" spans="1:43" x14ac:dyDescent="0.25">
      <c r="A12" t="s">
        <v>422</v>
      </c>
      <c r="B12" s="29">
        <v>-1</v>
      </c>
      <c r="D12" t="s">
        <v>143</v>
      </c>
      <c r="E12">
        <v>46.5</v>
      </c>
    </row>
    <row r="13" spans="1:43" x14ac:dyDescent="0.25">
      <c r="A13" t="s">
        <v>191</v>
      </c>
      <c r="B13">
        <v>100</v>
      </c>
      <c r="C13" t="s">
        <v>414</v>
      </c>
      <c r="D13" t="s">
        <v>519</v>
      </c>
      <c r="E13">
        <f>E11/E12</f>
        <v>0.2709333333333333</v>
      </c>
    </row>
    <row r="15" spans="1:43" x14ac:dyDescent="0.25">
      <c r="A15" s="122" t="s">
        <v>537</v>
      </c>
      <c r="B15" s="122" t="s">
        <v>290</v>
      </c>
      <c r="C15" t="s">
        <v>1089</v>
      </c>
    </row>
    <row r="16" spans="1:43" x14ac:dyDescent="0.25">
      <c r="A16" s="122" t="s">
        <v>202</v>
      </c>
      <c r="B16" s="143" t="s">
        <v>533</v>
      </c>
      <c r="C16" s="122" t="s">
        <v>538</v>
      </c>
      <c r="D16" s="122" t="s">
        <v>540</v>
      </c>
      <c r="F16" s="1" t="s">
        <v>536</v>
      </c>
      <c r="G16" s="140">
        <v>0.05</v>
      </c>
      <c r="H16" s="1" t="s">
        <v>536</v>
      </c>
      <c r="I16" s="140">
        <v>0.1</v>
      </c>
      <c r="J16" s="1" t="s">
        <v>536</v>
      </c>
      <c r="K16" s="140">
        <v>0.15</v>
      </c>
      <c r="L16" s="1" t="s">
        <v>536</v>
      </c>
      <c r="M16" s="140">
        <v>0.2</v>
      </c>
      <c r="N16" t="s">
        <v>536</v>
      </c>
      <c r="O16" s="141">
        <v>0.25</v>
      </c>
      <c r="P16" t="s">
        <v>536</v>
      </c>
      <c r="Q16" s="141">
        <v>0.3</v>
      </c>
      <c r="R16" t="s">
        <v>536</v>
      </c>
      <c r="S16" s="141">
        <v>0.35</v>
      </c>
      <c r="T16" t="s">
        <v>536</v>
      </c>
      <c r="U16" s="141">
        <v>0.4</v>
      </c>
      <c r="V16" t="s">
        <v>536</v>
      </c>
      <c r="W16" s="141">
        <v>0.45</v>
      </c>
      <c r="X16" t="s">
        <v>536</v>
      </c>
      <c r="Y16" s="141">
        <v>0.5</v>
      </c>
      <c r="Z16" t="s">
        <v>536</v>
      </c>
      <c r="AA16" s="141">
        <v>0.55000000000000004</v>
      </c>
      <c r="AB16" t="s">
        <v>536</v>
      </c>
      <c r="AC16" s="141">
        <v>0.6</v>
      </c>
      <c r="AD16" t="s">
        <v>536</v>
      </c>
      <c r="AE16" s="141">
        <v>0.65</v>
      </c>
      <c r="AF16" t="s">
        <v>536</v>
      </c>
      <c r="AG16" s="141">
        <v>0.7</v>
      </c>
      <c r="AH16" t="s">
        <v>536</v>
      </c>
      <c r="AI16" s="141">
        <v>0.75</v>
      </c>
      <c r="AJ16" t="s">
        <v>536</v>
      </c>
      <c r="AK16" s="141">
        <v>0.8</v>
      </c>
      <c r="AL16" t="s">
        <v>536</v>
      </c>
      <c r="AM16" s="141">
        <v>0.85</v>
      </c>
      <c r="AN16" t="s">
        <v>536</v>
      </c>
      <c r="AO16" s="141">
        <v>0.9</v>
      </c>
      <c r="AP16" t="s">
        <v>536</v>
      </c>
      <c r="AQ16" s="141">
        <v>0.95</v>
      </c>
    </row>
    <row r="17" spans="1:43" x14ac:dyDescent="0.25">
      <c r="A17" s="121" t="s">
        <v>182</v>
      </c>
      <c r="B17" s="121" t="s">
        <v>534</v>
      </c>
      <c r="C17" s="121" t="s">
        <v>535</v>
      </c>
      <c r="D17" s="248" t="s">
        <v>1126</v>
      </c>
      <c r="E17" s="121" t="s">
        <v>421</v>
      </c>
      <c r="F17" s="14" t="s">
        <v>244</v>
      </c>
      <c r="G17" s="6" t="s">
        <v>245</v>
      </c>
      <c r="H17" s="14" t="s">
        <v>244</v>
      </c>
      <c r="I17" s="6" t="s">
        <v>245</v>
      </c>
      <c r="J17" s="14" t="s">
        <v>244</v>
      </c>
      <c r="K17" s="6" t="s">
        <v>245</v>
      </c>
      <c r="L17" s="14" t="s">
        <v>244</v>
      </c>
      <c r="M17" s="6" t="s">
        <v>245</v>
      </c>
      <c r="N17" t="s">
        <v>244</v>
      </c>
      <c r="O17" t="s">
        <v>245</v>
      </c>
      <c r="P17" t="s">
        <v>244</v>
      </c>
      <c r="Q17" t="s">
        <v>245</v>
      </c>
      <c r="R17" t="s">
        <v>244</v>
      </c>
      <c r="S17" t="s">
        <v>245</v>
      </c>
      <c r="T17" t="s">
        <v>244</v>
      </c>
      <c r="U17" t="s">
        <v>245</v>
      </c>
      <c r="V17" t="s">
        <v>244</v>
      </c>
      <c r="W17" t="s">
        <v>245</v>
      </c>
      <c r="X17" t="s">
        <v>244</v>
      </c>
      <c r="Y17" t="s">
        <v>245</v>
      </c>
      <c r="Z17" t="s">
        <v>244</v>
      </c>
      <c r="AA17" t="s">
        <v>245</v>
      </c>
      <c r="AB17" t="s">
        <v>244</v>
      </c>
      <c r="AC17" t="s">
        <v>245</v>
      </c>
      <c r="AD17" t="s">
        <v>244</v>
      </c>
      <c r="AE17" t="s">
        <v>245</v>
      </c>
      <c r="AF17" t="s">
        <v>244</v>
      </c>
      <c r="AG17" t="s">
        <v>245</v>
      </c>
      <c r="AH17" t="s">
        <v>244</v>
      </c>
      <c r="AI17" t="s">
        <v>245</v>
      </c>
      <c r="AJ17" t="s">
        <v>244</v>
      </c>
      <c r="AK17" t="s">
        <v>245</v>
      </c>
      <c r="AL17" t="s">
        <v>244</v>
      </c>
      <c r="AM17" t="s">
        <v>245</v>
      </c>
      <c r="AN17" t="s">
        <v>244</v>
      </c>
      <c r="AO17" t="s">
        <v>245</v>
      </c>
      <c r="AP17" t="s">
        <v>244</v>
      </c>
      <c r="AQ17" t="s">
        <v>245</v>
      </c>
    </row>
    <row r="18" spans="1:43" x14ac:dyDescent="0.25">
      <c r="A18" s="129">
        <v>0</v>
      </c>
      <c r="B18" s="129" t="e">
        <f>'Sub C_D_0'!AY10</f>
        <v>#DIV/0!</v>
      </c>
      <c r="C18" s="129" t="e">
        <f>'C_L vs. α'!Y316</f>
        <v>#NUM!</v>
      </c>
      <c r="D18" s="247">
        <f>'C_L vs. α'!AA316</f>
        <v>0.38204298311929219</v>
      </c>
      <c r="E18" s="144">
        <v>-6</v>
      </c>
      <c r="F18" s="14">
        <f>$D$19+(E18-$B$12)*$C$19</f>
        <v>-0.14842288082677685</v>
      </c>
      <c r="G18" s="6">
        <f>$B$19+$B$7*F18^2+$B$8*(F18-F$21)^2</f>
        <v>6.8854372941346706E-2</v>
      </c>
      <c r="H18" s="14">
        <f>$D$20+(E18-$B$12)*$C$20</f>
        <v>-0.15141728133260574</v>
      </c>
      <c r="I18" s="6">
        <f>$B$20+$B$7*H18^2+$B$8*(H18-H$21)^2</f>
        <v>6.4826111433077663E-2</v>
      </c>
      <c r="J18" s="14">
        <f>$D$21+(E18-$B$12)*$C$21</f>
        <v>-0.15554669618373879</v>
      </c>
      <c r="K18" s="6">
        <f>$B$21+$B$7*J18^2+$B$8*(J18-J$21)^2</f>
        <v>6.2942686622901395E-2</v>
      </c>
      <c r="L18" s="14">
        <f>$D$22+(E18-$B$12)*$C$22</f>
        <v>-0.16111362850082256</v>
      </c>
      <c r="M18" s="6">
        <f>$B$22+$B$7*L18^2+$B$8*(L18-L$21)^2</f>
        <v>6.1924346863016594E-2</v>
      </c>
      <c r="N18" s="14">
        <f>$D$23+(E18-$B$12)*$C$23</f>
        <v>-0.16834548451063802</v>
      </c>
      <c r="O18" s="6">
        <f>$B$23+$B$7*N18^2+$B$8*(N18-N$21)^2</f>
        <v>6.1426954369348044E-2</v>
      </c>
      <c r="P18" s="14">
        <f>$D$24+(E18-$B$12)*$C$24</f>
        <v>-0.17694795582270151</v>
      </c>
      <c r="Q18" s="6">
        <f>$B$24+$B$7*P18^2+$B$8*(P18-P$21)^2</f>
        <v>6.1783422715963016E-2</v>
      </c>
      <c r="R18" s="14">
        <f>$D$25+(E18-$B$12)*$C$25</f>
        <v>-0.18837108695797034</v>
      </c>
      <c r="S18" s="6">
        <f>$B$25+$B$7*R18^2+$B$8*(R18-R$21)^2</f>
        <v>6.2034011650987722E-2</v>
      </c>
      <c r="T18" s="14">
        <f>$D$26+(E18-$B$12)*$C$26</f>
        <v>-0.20245617159856216</v>
      </c>
      <c r="U18" s="6">
        <f>$B$26+$B$7*T18^2+$B$8*(T18-T$21)^2</f>
        <v>6.2659992371786988E-2</v>
      </c>
      <c r="V18" s="14">
        <f>$D$27+(E18-$B$12)*$C$27</f>
        <v>-0.21976004420733264</v>
      </c>
      <c r="W18" s="6">
        <f>$B$27+$B$7*V18^2+$B$8*(V18-V$21)^2</f>
        <v>6.3714389696406928E-2</v>
      </c>
      <c r="X18" s="14">
        <f>$D$28+(E18-$B$12)*$C$28</f>
        <v>-0.24103360220968612</v>
      </c>
      <c r="Y18" s="6">
        <f>$B$28+$B$7*X18^2+$B$8*(X18-X$21)^2</f>
        <v>6.529642380022542E-2</v>
      </c>
      <c r="Z18" s="14">
        <f>$D$29+(E18-$B$12)*$C$29</f>
        <v>-0.26730335600130772</v>
      </c>
      <c r="AA18" s="6">
        <f>$B$29+$B$7*Z18^2+$B$8*(Z18-Z$21)^2</f>
        <v>6.7568161329526658E-2</v>
      </c>
      <c r="AB18" s="14">
        <f>$D$30+(E18-$B$12)*$C$30</f>
        <v>-0.29999361784725675</v>
      </c>
      <c r="AC18" s="6">
        <f>$B$30+$B$7*AB18^2+$B$8*(AB18-AB$21)^2</f>
        <v>7.0786939836063115E-2</v>
      </c>
      <c r="AD18" s="14">
        <f>$D$31+(E18-$B$12)*$C$31</f>
        <v>-0.34131926610854441</v>
      </c>
      <c r="AE18" s="6">
        <f>$B$31+$B$7*AD18^2+$B$8*(AD18-AD$21)^2</f>
        <v>7.5870789536069169E-2</v>
      </c>
      <c r="AF18" s="14">
        <f>$D$32+(E18-$B$12)*$C$32</f>
        <v>-0.39413013574408584</v>
      </c>
      <c r="AG18" s="6">
        <f>$B$32+$B$7*AF18^2+$B$8*(AF18-AF$21)^2</f>
        <v>8.252172266027484E-2</v>
      </c>
      <c r="AH18" s="14">
        <f>$D$33+(E18-$B$12)*$C$33</f>
        <v>-0.46249146774082439</v>
      </c>
      <c r="AI18" s="6">
        <f>$B$33+$B$7*AH18^2+$B$8*(AH18-AH$21)^2</f>
        <v>9.2361504006365502E-2</v>
      </c>
      <c r="AJ18" s="14">
        <f>$D$34+(E18-$B$12)*$C$34</f>
        <v>-0.55175322563275475</v>
      </c>
      <c r="AK18">
        <f>$B$34+$B$9*AJ18^2</f>
        <v>7.6934502782725095E-2</v>
      </c>
      <c r="AL18" s="14">
        <f>$D$35+(E18-$B$12)*$C$35</f>
        <v>-0.67084294875451123</v>
      </c>
      <c r="AM18">
        <f>$B$35+$B$9*AL18^2</f>
        <v>9.1863759078291946E-2</v>
      </c>
      <c r="AN18" s="14">
        <f>$D$36+(E18-$B$12)*$C$36</f>
        <v>-0.79088237903537462</v>
      </c>
      <c r="AO18">
        <f>$B$36+$B$9*AN18^2</f>
        <v>0.10935032312562776</v>
      </c>
      <c r="AP18" s="14">
        <f>$D$37+(E18-$B$12)*$C$37</f>
        <v>-0.55642947981213042</v>
      </c>
      <c r="AQ18">
        <f>$B$37+$B$9*AP18^2</f>
        <v>7.7286890950478859E-2</v>
      </c>
    </row>
    <row r="19" spans="1:43" x14ac:dyDescent="0.25">
      <c r="A19" s="139">
        <v>0.05</v>
      </c>
      <c r="B19" s="129">
        <f>'Sub C_D_0'!AY11</f>
        <v>5.8955930279185401E-2</v>
      </c>
      <c r="C19" s="129">
        <f>'C_L vs. α'!Y317</f>
        <v>0.10617629882976769</v>
      </c>
      <c r="D19" s="247">
        <f>'C_L vs. α'!AA317</f>
        <v>0.3824586133220616</v>
      </c>
      <c r="E19" s="144">
        <v>-4</v>
      </c>
      <c r="F19" s="14">
        <f t="shared" ref="F19:F29" si="0">$D$19+(E19-$B$12)*$C$19</f>
        <v>6.3929716832758554E-2</v>
      </c>
      <c r="G19" s="6">
        <f t="shared" ref="G19:G29" si="1">$B$19+$B$7*F19^2+$B$8*(F19-F$21)^2</f>
        <v>6.2893950899538795E-2</v>
      </c>
      <c r="H19" s="14">
        <f t="shared" ref="H19:H29" si="2">$D$20+(E19-$B$12)*$C$20</f>
        <v>6.2635101382341185E-2</v>
      </c>
      <c r="I19" s="6">
        <f t="shared" ref="I19:I29" si="3">$B$20+$B$7*H19^2+$B$8*(H19-H$21)^2</f>
        <v>5.8707346811091847E-2</v>
      </c>
      <c r="J19" s="14">
        <f t="shared" ref="J19:J29" si="4">$D$21+(E19-$B$12)*$C$21</f>
        <v>6.1005235881231967E-2</v>
      </c>
      <c r="K19" s="6">
        <f t="shared" ref="K19:K29" si="5">$B$21+$B$7*J19^2+$B$8*(J19-J$21)^2</f>
        <v>5.6597479220295122E-2</v>
      </c>
      <c r="L19" s="14">
        <f t="shared" ref="L19:L29" si="6">$D$22+(E19-$B$12)*$C$22</f>
        <v>5.8875880938994429E-2</v>
      </c>
      <c r="M19" s="6">
        <f t="shared" ref="M19:M29" si="7">$B$22+$B$7*L19^2+$B$8*(L19-L$21)^2</f>
        <v>5.5265864538886114E-2</v>
      </c>
      <c r="N19" s="14">
        <f t="shared" ref="N19:N29" si="8">$D$23+(E19-$B$12)*$C$23</f>
        <v>5.6136133667654242E-2</v>
      </c>
      <c r="O19" s="6">
        <f t="shared" ref="O19:O29" si="9">$B$23+$B$7*N19^2+$B$8*(N19-N$21)^2</f>
        <v>5.4350638048646489E-2</v>
      </c>
      <c r="P19" s="14">
        <f t="shared" ref="P19:P28" si="10">$D$24+(E19-$B$12)*$C$24</f>
        <v>5.2997959464004707E-2</v>
      </c>
      <c r="Q19" s="6">
        <f t="shared" ref="Q19:Q29" si="11">$B$24+$B$7*P19^2+$B$8*(P19-P$21)^2</f>
        <v>5.4190871320790493E-2</v>
      </c>
      <c r="R19" s="14">
        <f t="shared" ref="R19:R29" si="12">$D$25+(E19-$B$12)*$C$25</f>
        <v>4.8638867700709743E-2</v>
      </c>
      <c r="S19" s="6">
        <f t="shared" ref="S19:S29" si="13">$B$25+$B$7*R19^2+$B$8*(R19-R$21)^2</f>
        <v>5.3738278226305079E-2</v>
      </c>
      <c r="T19" s="14">
        <f t="shared" ref="T19:T29" si="14">$D$26+(E19-$B$12)*$C$26</f>
        <v>4.3217161516264813E-2</v>
      </c>
      <c r="U19" s="6">
        <f t="shared" ref="U19:U29" si="15">$B$26+$B$7*T19^2+$B$8*(T19-T$21)^2</f>
        <v>5.3460620742897036E-2</v>
      </c>
      <c r="V19" s="14">
        <f t="shared" ref="V19:V29" si="16">$D$27+(E19-$B$12)*$C$27</f>
        <v>3.6482334519147619E-2</v>
      </c>
      <c r="W19" s="6">
        <f t="shared" ref="W19:W29" si="17">$B$27+$B$7*V19^2+$B$8*(V19-V$21)^2</f>
        <v>5.3350271657229824E-2</v>
      </c>
      <c r="X19" s="14">
        <f t="shared" ref="X19:X29" si="18">$D$28+(E19-$B$12)*$C$28</f>
        <v>2.8095360693635663E-2</v>
      </c>
      <c r="Y19" s="6">
        <f t="shared" ref="Y19:Y29" si="19">$B$28+$B$7*X19^2+$B$8*(X19-X$21)^2</f>
        <v>5.3418699585109627E-2</v>
      </c>
      <c r="Z19" s="14">
        <f t="shared" ref="Z19:Z29" si="20">$D$29+(E19-$B$12)*$C$29</f>
        <v>1.7591040858271234E-2</v>
      </c>
      <c r="AA19" s="6">
        <f t="shared" ref="AA19:AA29" si="21">$B$29+$B$7*Z19^2+$B$8*(Z19-Z$21)^2</f>
        <v>5.3698208584112055E-2</v>
      </c>
      <c r="AB19" s="14">
        <f t="shared" ref="AB19:AB29" si="22">$D$30+(E19-$B$12)*$C$30</f>
        <v>4.3223844942302803E-3</v>
      </c>
      <c r="AC19" s="6">
        <f t="shared" ref="AC19:AC29" si="23">$B$30+$B$7*AB19^2+$B$8*(AB19-AB$21)^2</f>
        <v>5.4249325545151703E-2</v>
      </c>
      <c r="AD19" s="14">
        <f t="shared" ref="AD19:AD29" si="24">$D$31+(E19-$B$12)*$C$31</f>
        <v>-1.2746235399800188E-2</v>
      </c>
      <c r="AE19" s="6">
        <f t="shared" ref="AE19:AE29" si="25">$B$31+$B$7*AD19^2+$B$8*(AD19-AD$21)^2</f>
        <v>5.5666239938251726E-2</v>
      </c>
      <c r="AF19" s="14">
        <f t="shared" ref="AF19:AF29" si="26">$D$32+(E19-$B$12)*$C$32</f>
        <v>-3.4896637388047047E-2</v>
      </c>
      <c r="AG19" s="6">
        <f t="shared" ref="AG19:AG29" si="27">$B$32+$B$7*AF19^2+$B$8*(AF19-AF$21)^2</f>
        <v>5.7152569554296352E-2</v>
      </c>
      <c r="AH19" s="14">
        <f t="shared" ref="AH19:AH29" si="28">$D$33+(E19-$B$12)*$C$33</f>
        <v>-6.3916810209653563E-2</v>
      </c>
      <c r="AI19" s="6">
        <f t="shared" ref="AI19:AI29" si="29">$B$33+$B$7*AH19^2+$B$8*(AH19-AH$21)^2</f>
        <v>5.9507023637562759E-2</v>
      </c>
      <c r="AJ19" s="14">
        <f t="shared" ref="AJ19:AJ29" si="30">$D$34+(E19-$B$12)*$C$34</f>
        <v>-0.10197286096602876</v>
      </c>
      <c r="AK19">
        <f t="shared" ref="AK19:AK29" si="31">$B$34+$B$9*AJ19^2</f>
        <v>4.7274358834866741E-2</v>
      </c>
      <c r="AL19" s="14">
        <f t="shared" ref="AL19:AL29" si="32">$D$35+(E19-$B$12)*$C$35</f>
        <v>-0.15263283032307418</v>
      </c>
      <c r="AM19">
        <f t="shared" ref="AM19:AM29" si="33">$B$35+$B$9*AL19^2</f>
        <v>4.8817673472823037E-2</v>
      </c>
      <c r="AN19" s="14">
        <f t="shared" ref="AN19:AN29" si="34">$D$36+(E19-$B$12)*$C$36</f>
        <v>-0.19525485149083366</v>
      </c>
      <c r="AO19">
        <f t="shared" ref="AO19:AO29" si="35">$B$36+$B$9*AN19^2</f>
        <v>5.0100226499192158E-2</v>
      </c>
      <c r="AP19" s="14">
        <f t="shared" ref="AP19:AP29" si="36">$D$37+(E19-$B$12)*$C$37</f>
        <v>-1.0302094171169118E-2</v>
      </c>
      <c r="AQ19">
        <f t="shared" ref="AQ19:AQ29" si="37">$B$37+$B$9*AP19^2</f>
        <v>4.6065783039365232E-2</v>
      </c>
    </row>
    <row r="20" spans="1:43" x14ac:dyDescent="0.25">
      <c r="A20" s="129">
        <v>0.1</v>
      </c>
      <c r="B20" s="129">
        <f>'Sub C_D_0'!AY12</f>
        <v>5.4724593787159409E-2</v>
      </c>
      <c r="C20" s="129">
        <f>'C_L vs. α'!Y318</f>
        <v>0.10702619135747343</v>
      </c>
      <c r="D20" s="247">
        <f>'C_L vs. α'!AA318</f>
        <v>0.38371367545476148</v>
      </c>
      <c r="E20" s="144">
        <v>-2</v>
      </c>
      <c r="F20" s="14">
        <f t="shared" si="0"/>
        <v>0.2762823144922939</v>
      </c>
      <c r="G20" s="6">
        <f t="shared" si="1"/>
        <v>6.603102956941051E-2</v>
      </c>
      <c r="H20" s="14">
        <f t="shared" si="2"/>
        <v>0.27668748409728805</v>
      </c>
      <c r="I20" s="6">
        <f t="shared" si="3"/>
        <v>6.1832308435253225E-2</v>
      </c>
      <c r="J20" s="14">
        <f t="shared" si="4"/>
        <v>0.27755716794620272</v>
      </c>
      <c r="K20" s="6">
        <f t="shared" si="5"/>
        <v>5.9713141664615187E-2</v>
      </c>
      <c r="L20" s="14">
        <f t="shared" si="6"/>
        <v>0.27886539037881142</v>
      </c>
      <c r="M20" s="6">
        <f t="shared" si="7"/>
        <v>5.8371002585163465E-2</v>
      </c>
      <c r="N20" s="14">
        <f t="shared" si="8"/>
        <v>0.28061775184594662</v>
      </c>
      <c r="O20" s="6">
        <f t="shared" si="9"/>
        <v>5.7440752575115148E-2</v>
      </c>
      <c r="P20" s="14">
        <f t="shared" si="10"/>
        <v>0.28294387475071087</v>
      </c>
      <c r="Q20" s="6">
        <f t="shared" si="11"/>
        <v>5.7265714042031755E-2</v>
      </c>
      <c r="R20" s="14">
        <f t="shared" si="12"/>
        <v>0.28564882235938976</v>
      </c>
      <c r="S20" s="6">
        <f t="shared" si="13"/>
        <v>5.6775420273565448E-2</v>
      </c>
      <c r="T20" s="14">
        <f t="shared" si="14"/>
        <v>0.28889049463109184</v>
      </c>
      <c r="U20" s="6">
        <f t="shared" si="15"/>
        <v>5.6437763281118984E-2</v>
      </c>
      <c r="V20" s="14">
        <f t="shared" si="16"/>
        <v>0.29272471324562788</v>
      </c>
      <c r="W20" s="6">
        <f t="shared" si="17"/>
        <v>5.6232888875973629E-2</v>
      </c>
      <c r="X20" s="14">
        <f t="shared" si="18"/>
        <v>0.2972243235969575</v>
      </c>
      <c r="Y20" s="6">
        <f t="shared" si="19"/>
        <v>5.6153586194056603E-2</v>
      </c>
      <c r="Z20" s="14">
        <f t="shared" si="20"/>
        <v>0.30248543771785019</v>
      </c>
      <c r="AA20" s="6">
        <f t="shared" si="21"/>
        <v>5.6203008849025363E-2</v>
      </c>
      <c r="AB20" s="14">
        <f t="shared" si="22"/>
        <v>0.30863838683571743</v>
      </c>
      <c r="AC20" s="6">
        <f t="shared" si="23"/>
        <v>5.6395137527952034E-2</v>
      </c>
      <c r="AD20" s="14">
        <f t="shared" si="24"/>
        <v>0.31582679530894409</v>
      </c>
      <c r="AE20" s="6">
        <f t="shared" si="25"/>
        <v>5.724233699536789E-2</v>
      </c>
      <c r="AF20" s="14">
        <f t="shared" si="26"/>
        <v>0.32433686096799186</v>
      </c>
      <c r="AG20" s="6">
        <f t="shared" si="27"/>
        <v>5.7818597223922248E-2</v>
      </c>
      <c r="AH20" s="14">
        <f t="shared" si="28"/>
        <v>0.3346578473215171</v>
      </c>
      <c r="AI20" s="6">
        <f t="shared" si="29"/>
        <v>5.870241571918744E-2</v>
      </c>
      <c r="AJ20" s="14">
        <f t="shared" si="30"/>
        <v>0.34780750370069735</v>
      </c>
      <c r="AK20">
        <f t="shared" si="31"/>
        <v>5.8428098972141795E-2</v>
      </c>
      <c r="AL20" s="14">
        <f t="shared" si="32"/>
        <v>0.36557728810836299</v>
      </c>
      <c r="AM20">
        <f t="shared" si="33"/>
        <v>5.9949057773285949E-2</v>
      </c>
      <c r="AN20" s="14">
        <f t="shared" si="34"/>
        <v>0.40037267605370741</v>
      </c>
      <c r="AO20">
        <f t="shared" si="35"/>
        <v>6.2424323540604433E-2</v>
      </c>
      <c r="AP20" s="14">
        <f t="shared" si="36"/>
        <v>0.5358252914697923</v>
      </c>
      <c r="AQ20">
        <f t="shared" si="37"/>
        <v>7.5016731258702077E-2</v>
      </c>
    </row>
    <row r="21" spans="1:43" s="29" customFormat="1" x14ac:dyDescent="0.25">
      <c r="A21" s="276">
        <v>0.15</v>
      </c>
      <c r="B21" s="129">
        <f>'Sub C_D_0'!AY13</f>
        <v>5.254491824567617E-2</v>
      </c>
      <c r="C21" s="129">
        <f>'C_L vs. α'!Y319</f>
        <v>0.10827596603248536</v>
      </c>
      <c r="D21" s="247">
        <f>'C_L vs. α'!AA319</f>
        <v>0.38583313397868807</v>
      </c>
      <c r="E21" s="143">
        <v>0</v>
      </c>
      <c r="F21" s="83">
        <f t="shared" si="0"/>
        <v>0.4886349121518293</v>
      </c>
      <c r="G21" s="21">
        <f t="shared" si="1"/>
        <v>7.8265608950961837E-2</v>
      </c>
      <c r="H21" s="83">
        <f t="shared" si="2"/>
        <v>0.49073986681223492</v>
      </c>
      <c r="I21" s="21">
        <f t="shared" si="3"/>
        <v>7.4200996305561776E-2</v>
      </c>
      <c r="J21" s="83">
        <f t="shared" si="4"/>
        <v>0.49410910001117342</v>
      </c>
      <c r="K21" s="21">
        <f t="shared" si="5"/>
        <v>7.2289673955861597E-2</v>
      </c>
      <c r="L21" s="83">
        <f t="shared" si="6"/>
        <v>0.49885489981862841</v>
      </c>
      <c r="M21" s="21">
        <f t="shared" si="7"/>
        <v>7.1239761001848645E-2</v>
      </c>
      <c r="N21" s="83">
        <f t="shared" si="8"/>
        <v>0.50509937002423888</v>
      </c>
      <c r="O21" s="21">
        <f t="shared" si="9"/>
        <v>7.0697297948754012E-2</v>
      </c>
      <c r="P21" s="83">
        <f t="shared" si="10"/>
        <v>0.51288979003741697</v>
      </c>
      <c r="Q21" s="21">
        <f t="shared" si="11"/>
        <v>7.1007950879686782E-2</v>
      </c>
      <c r="R21" s="83">
        <f t="shared" si="12"/>
        <v>0.52265877701806973</v>
      </c>
      <c r="S21" s="21">
        <f t="shared" si="13"/>
        <v>7.1145437792768842E-2</v>
      </c>
      <c r="T21" s="83">
        <f t="shared" si="14"/>
        <v>0.53456382774591882</v>
      </c>
      <c r="U21" s="21">
        <f t="shared" si="15"/>
        <v>7.1591419986452826E-2</v>
      </c>
      <c r="V21" s="83">
        <f t="shared" si="16"/>
        <v>0.54896709197210813</v>
      </c>
      <c r="W21" s="21">
        <f t="shared" si="17"/>
        <v>7.2362241352638329E-2</v>
      </c>
      <c r="X21" s="83">
        <f t="shared" si="18"/>
        <v>0.56635328650027938</v>
      </c>
      <c r="Y21" s="21">
        <f t="shared" si="19"/>
        <v>7.3501083627066366E-2</v>
      </c>
      <c r="Z21" s="83">
        <f t="shared" si="20"/>
        <v>0.58737983457742915</v>
      </c>
      <c r="AA21" s="21">
        <f t="shared" si="21"/>
        <v>7.5082562124266589E-2</v>
      </c>
      <c r="AB21" s="83">
        <f t="shared" si="22"/>
        <v>0.61295438917720446</v>
      </c>
      <c r="AC21" s="21">
        <f t="shared" si="23"/>
        <v>7.722437578446413E-2</v>
      </c>
      <c r="AD21" s="83">
        <f t="shared" si="24"/>
        <v>0.64439982601768842</v>
      </c>
      <c r="AE21" s="21">
        <f t="shared" si="25"/>
        <v>8.0599080707417697E-2</v>
      </c>
      <c r="AF21" s="83">
        <f t="shared" si="26"/>
        <v>0.68357035932403065</v>
      </c>
      <c r="AG21" s="21">
        <f t="shared" si="27"/>
        <v>8.4519805669152501E-2</v>
      </c>
      <c r="AH21" s="83">
        <f t="shared" si="28"/>
        <v>0.73323250485268776</v>
      </c>
      <c r="AI21" s="21">
        <f t="shared" si="29"/>
        <v>8.9947680251239531E-2</v>
      </c>
      <c r="AJ21" s="83">
        <f t="shared" si="30"/>
        <v>0.79758786836742335</v>
      </c>
      <c r="AK21" s="99">
        <f t="shared" si="31"/>
        <v>0.11039572319455027</v>
      </c>
      <c r="AL21" s="83">
        <f t="shared" si="32"/>
        <v>0.88378740653980015</v>
      </c>
      <c r="AM21" s="99">
        <f t="shared" si="33"/>
        <v>0.1252579119796807</v>
      </c>
      <c r="AN21" s="83">
        <f t="shared" si="34"/>
        <v>0.99600020359824848</v>
      </c>
      <c r="AO21" s="99">
        <f t="shared" si="35"/>
        <v>0.14632261424986459</v>
      </c>
      <c r="AP21" s="83">
        <f t="shared" si="36"/>
        <v>1.0819526771107537</v>
      </c>
      <c r="AQ21" s="99">
        <f t="shared" si="37"/>
        <v>0.16413973560848938</v>
      </c>
    </row>
    <row r="22" spans="1:43" x14ac:dyDescent="0.25">
      <c r="A22" s="129">
        <v>0.2</v>
      </c>
      <c r="B22" s="129">
        <f>'Sub C_D_0'!AY14</f>
        <v>5.111389649092854E-2</v>
      </c>
      <c r="C22" s="129">
        <f>'C_L vs. α'!Y320</f>
        <v>0.10999475471990849</v>
      </c>
      <c r="D22" s="247">
        <f>'C_L vs. α'!AA320</f>
        <v>0.38886014509871991</v>
      </c>
      <c r="E22" s="144">
        <v>2</v>
      </c>
      <c r="F22" s="14">
        <f t="shared" si="0"/>
        <v>0.70098750981136471</v>
      </c>
      <c r="G22" s="6">
        <f t="shared" si="1"/>
        <v>9.9597689044192791E-2</v>
      </c>
      <c r="H22" s="14">
        <f t="shared" si="2"/>
        <v>0.70479224952718178</v>
      </c>
      <c r="I22" s="6">
        <f t="shared" si="3"/>
        <v>9.5813410422017506E-2</v>
      </c>
      <c r="J22" s="14">
        <f t="shared" si="4"/>
        <v>0.71066103207614417</v>
      </c>
      <c r="K22" s="6">
        <f t="shared" si="5"/>
        <v>9.4327076094034359E-2</v>
      </c>
      <c r="L22" s="14">
        <f t="shared" si="6"/>
        <v>0.71884440925844539</v>
      </c>
      <c r="M22" s="6">
        <f t="shared" si="7"/>
        <v>9.3872139788941641E-2</v>
      </c>
      <c r="N22" s="14">
        <f t="shared" si="8"/>
        <v>0.72958098820253126</v>
      </c>
      <c r="O22" s="6">
        <f t="shared" si="9"/>
        <v>9.412027416956309E-2</v>
      </c>
      <c r="P22" s="14">
        <f t="shared" si="10"/>
        <v>0.74283570532412324</v>
      </c>
      <c r="Q22" s="6">
        <f t="shared" si="11"/>
        <v>9.5417581833755621E-2</v>
      </c>
      <c r="R22" s="14">
        <f t="shared" si="12"/>
        <v>0.75966873167674986</v>
      </c>
      <c r="S22" s="6">
        <f t="shared" si="13"/>
        <v>9.6848330783915262E-2</v>
      </c>
      <c r="T22" s="14">
        <f t="shared" si="14"/>
        <v>0.7802371608607459</v>
      </c>
      <c r="U22" s="6">
        <f t="shared" si="15"/>
        <v>9.8921590858898595E-2</v>
      </c>
      <c r="V22" s="14">
        <f t="shared" si="16"/>
        <v>0.80520947069858839</v>
      </c>
      <c r="W22" s="6">
        <f t="shared" si="17"/>
        <v>0.10173832908722392</v>
      </c>
      <c r="X22" s="14">
        <f t="shared" si="18"/>
        <v>0.83548224940360116</v>
      </c>
      <c r="Y22" s="6">
        <f t="shared" si="19"/>
        <v>0.10546119188413888</v>
      </c>
      <c r="Z22" s="14">
        <f t="shared" si="20"/>
        <v>0.87227423143700811</v>
      </c>
      <c r="AA22" s="6">
        <f t="shared" si="21"/>
        <v>0.11033686840983571</v>
      </c>
      <c r="AB22" s="14">
        <f t="shared" si="22"/>
        <v>0.91727039151869161</v>
      </c>
      <c r="AC22" s="6">
        <f t="shared" si="23"/>
        <v>0.116737040314688</v>
      </c>
      <c r="AD22" s="14">
        <f t="shared" si="24"/>
        <v>0.97297285672643263</v>
      </c>
      <c r="AE22" s="6">
        <f t="shared" si="25"/>
        <v>0.12573647107440114</v>
      </c>
      <c r="AF22" s="14">
        <f t="shared" si="26"/>
        <v>1.0428038576800696</v>
      </c>
      <c r="AG22" s="6">
        <f t="shared" si="27"/>
        <v>0.13725619488998717</v>
      </c>
      <c r="AH22" s="14">
        <f t="shared" si="28"/>
        <v>1.1318071623838586</v>
      </c>
      <c r="AI22" s="6">
        <f t="shared" si="29"/>
        <v>0.15324281723371905</v>
      </c>
      <c r="AJ22" s="14">
        <f t="shared" si="30"/>
        <v>1.2473682330341496</v>
      </c>
      <c r="AK22">
        <f t="shared" si="31"/>
        <v>0.20317723150209221</v>
      </c>
      <c r="AL22" s="14">
        <f t="shared" si="32"/>
        <v>1.4019975249712373</v>
      </c>
      <c r="AM22">
        <f t="shared" si="33"/>
        <v>0.24474423609200724</v>
      </c>
      <c r="AN22" s="14">
        <f t="shared" si="34"/>
        <v>1.5916277311427895</v>
      </c>
      <c r="AO22">
        <f t="shared" si="35"/>
        <v>0.30179509862697268</v>
      </c>
      <c r="AP22" s="14">
        <f t="shared" si="36"/>
        <v>1.6280800627517151</v>
      </c>
      <c r="AQ22">
        <f t="shared" si="37"/>
        <v>0.31343479608872721</v>
      </c>
    </row>
    <row r="23" spans="1:43" x14ac:dyDescent="0.25">
      <c r="A23" s="139">
        <v>0.25</v>
      </c>
      <c r="B23" s="129">
        <f>'Sub C_D_0'!AY15</f>
        <v>5.0064424530771756E-2</v>
      </c>
      <c r="C23" s="129">
        <f>'C_L vs. α'!Y321</f>
        <v>0.11224080908914616</v>
      </c>
      <c r="D23" s="247">
        <f>'C_L vs. α'!AA321</f>
        <v>0.39285856093509275</v>
      </c>
      <c r="E23" s="144">
        <v>4</v>
      </c>
      <c r="F23" s="14">
        <f t="shared" si="0"/>
        <v>0.9133401074709</v>
      </c>
      <c r="G23" s="6">
        <f t="shared" si="1"/>
        <v>0.13002726984910334</v>
      </c>
      <c r="H23" s="14">
        <f t="shared" si="2"/>
        <v>0.91884463224212864</v>
      </c>
      <c r="I23" s="6">
        <f t="shared" si="3"/>
        <v>0.12666955078462042</v>
      </c>
      <c r="J23" s="14">
        <f t="shared" si="4"/>
        <v>0.92721296414111487</v>
      </c>
      <c r="K23" s="6">
        <f t="shared" si="5"/>
        <v>0.12582534807913343</v>
      </c>
      <c r="L23" s="14">
        <f t="shared" si="6"/>
        <v>0.93883391869826238</v>
      </c>
      <c r="M23" s="6">
        <f t="shared" si="7"/>
        <v>0.12626813894644245</v>
      </c>
      <c r="N23" s="14">
        <f t="shared" si="8"/>
        <v>0.95406260638082352</v>
      </c>
      <c r="O23" s="6">
        <f t="shared" si="9"/>
        <v>0.12770968123754237</v>
      </c>
      <c r="P23" s="14">
        <f t="shared" si="10"/>
        <v>0.9727816206108294</v>
      </c>
      <c r="Q23" s="6">
        <f t="shared" si="11"/>
        <v>0.13049460690423823</v>
      </c>
      <c r="R23" s="14">
        <f t="shared" si="12"/>
        <v>0.99667868633542989</v>
      </c>
      <c r="S23" s="6">
        <f t="shared" si="13"/>
        <v>0.1338840992470047</v>
      </c>
      <c r="T23" s="14">
        <f t="shared" si="14"/>
        <v>1.0259104939755728</v>
      </c>
      <c r="U23" s="6">
        <f t="shared" si="15"/>
        <v>0.13842827589845627</v>
      </c>
      <c r="V23" s="14">
        <f t="shared" si="16"/>
        <v>1.0614518494250686</v>
      </c>
      <c r="W23" s="6">
        <f t="shared" si="17"/>
        <v>0.14436115207973044</v>
      </c>
      <c r="X23" s="14">
        <f t="shared" si="18"/>
        <v>1.1046112123069229</v>
      </c>
      <c r="Y23" s="6">
        <f t="shared" si="19"/>
        <v>0.15203391096527419</v>
      </c>
      <c r="Z23" s="14">
        <f t="shared" si="20"/>
        <v>1.1571686282965872</v>
      </c>
      <c r="AA23" s="6">
        <f t="shared" si="21"/>
        <v>0.16196592770573276</v>
      </c>
      <c r="AB23" s="14">
        <f t="shared" si="22"/>
        <v>1.2215863938601785</v>
      </c>
      <c r="AC23" s="6">
        <f t="shared" si="23"/>
        <v>0.17493313111862357</v>
      </c>
      <c r="AD23" s="14">
        <f t="shared" si="24"/>
        <v>1.3015458874351769</v>
      </c>
      <c r="AE23" s="6">
        <f t="shared" si="25"/>
        <v>0.19265450809631818</v>
      </c>
      <c r="AF23" s="14">
        <f t="shared" si="26"/>
        <v>1.4020373560361084</v>
      </c>
      <c r="AG23" s="6">
        <f t="shared" si="27"/>
        <v>0.21602776488642614</v>
      </c>
      <c r="AH23" s="14">
        <f t="shared" si="28"/>
        <v>1.5303818199150294</v>
      </c>
      <c r="AI23" s="6">
        <f t="shared" si="29"/>
        <v>0.24858782666662602</v>
      </c>
      <c r="AJ23" s="14">
        <f t="shared" si="30"/>
        <v>1.6971485977008753</v>
      </c>
      <c r="AK23">
        <f t="shared" si="31"/>
        <v>0.33677262389476742</v>
      </c>
      <c r="AL23" s="14">
        <f t="shared" si="32"/>
        <v>1.9202076434026742</v>
      </c>
      <c r="AM23">
        <f t="shared" si="33"/>
        <v>0.41840803011026562</v>
      </c>
      <c r="AN23" s="14">
        <f t="shared" si="34"/>
        <v>2.1872552586873306</v>
      </c>
      <c r="AO23">
        <f t="shared" si="35"/>
        <v>0.52884177667192867</v>
      </c>
      <c r="AP23" s="14">
        <f t="shared" si="36"/>
        <v>2.1742074483926763</v>
      </c>
      <c r="AQ23">
        <f t="shared" si="37"/>
        <v>0.52290191269941533</v>
      </c>
    </row>
    <row r="24" spans="1:43" x14ac:dyDescent="0.25">
      <c r="A24" s="129">
        <v>0.3</v>
      </c>
      <c r="B24" s="129">
        <f>'Sub C_D_0'!AY16</f>
        <v>4.9733705328472377E-2</v>
      </c>
      <c r="C24" s="129">
        <f>'C_L vs. α'!Y322</f>
        <v>0.11497295764335308</v>
      </c>
      <c r="D24" s="247">
        <f>'C_L vs. α'!AA322</f>
        <v>0.39791683239406395</v>
      </c>
      <c r="E24" s="144">
        <v>6</v>
      </c>
      <c r="F24" s="14">
        <f t="shared" si="0"/>
        <v>1.1256927051304355</v>
      </c>
      <c r="G24" s="6">
        <f t="shared" si="1"/>
        <v>0.16955435136569355</v>
      </c>
      <c r="H24" s="14">
        <f t="shared" si="2"/>
        <v>1.1328970149570754</v>
      </c>
      <c r="I24" s="6">
        <f t="shared" si="3"/>
        <v>0.16676941739337048</v>
      </c>
      <c r="J24" s="14">
        <f t="shared" si="4"/>
        <v>1.1437648962060856</v>
      </c>
      <c r="K24" s="6">
        <f t="shared" si="5"/>
        <v>0.16678448991115885</v>
      </c>
      <c r="L24" s="14">
        <f t="shared" si="6"/>
        <v>1.1588234281380794</v>
      </c>
      <c r="M24" s="6">
        <f t="shared" si="7"/>
        <v>0.16842775847435112</v>
      </c>
      <c r="N24" s="14">
        <f t="shared" si="8"/>
        <v>1.1785442245591158</v>
      </c>
      <c r="O24" s="6">
        <f t="shared" si="9"/>
        <v>0.17146551915269184</v>
      </c>
      <c r="P24" s="14">
        <f t="shared" si="10"/>
        <v>1.2027275358975356</v>
      </c>
      <c r="Q24" s="6">
        <f t="shared" si="11"/>
        <v>0.17623902609113457</v>
      </c>
      <c r="R24" s="14">
        <f t="shared" si="12"/>
        <v>1.2336886409941097</v>
      </c>
      <c r="S24" s="6">
        <f t="shared" si="13"/>
        <v>0.1822527431820371</v>
      </c>
      <c r="T24" s="14">
        <f t="shared" si="14"/>
        <v>1.2715838270903999</v>
      </c>
      <c r="U24" s="6">
        <f t="shared" si="15"/>
        <v>0.1901114751051258</v>
      </c>
      <c r="V24" s="14">
        <f t="shared" si="16"/>
        <v>1.3176942281515489</v>
      </c>
      <c r="W24" s="6">
        <f t="shared" si="17"/>
        <v>0.20023071033015782</v>
      </c>
      <c r="X24" s="14">
        <f t="shared" si="18"/>
        <v>1.3737401752102449</v>
      </c>
      <c r="Y24" s="6">
        <f t="shared" si="19"/>
        <v>0.21321924087047228</v>
      </c>
      <c r="Z24" s="14">
        <f t="shared" si="20"/>
        <v>1.4420630251561661</v>
      </c>
      <c r="AA24" s="6">
        <f t="shared" si="21"/>
        <v>0.22996974001195775</v>
      </c>
      <c r="AB24" s="14">
        <f t="shared" si="22"/>
        <v>1.5259023962016658</v>
      </c>
      <c r="AC24" s="6">
        <f t="shared" si="23"/>
        <v>0.25181264819627097</v>
      </c>
      <c r="AD24" s="14">
        <f t="shared" si="24"/>
        <v>1.6301189181439211</v>
      </c>
      <c r="AE24" s="6">
        <f t="shared" si="25"/>
        <v>0.28135319177316886</v>
      </c>
      <c r="AF24" s="14">
        <f t="shared" si="26"/>
        <v>1.7612708543921474</v>
      </c>
      <c r="AG24" s="6">
        <f t="shared" si="27"/>
        <v>0.3208345156584696</v>
      </c>
      <c r="AH24" s="14">
        <f t="shared" si="28"/>
        <v>1.9289564774461998</v>
      </c>
      <c r="AI24" s="6">
        <f t="shared" si="29"/>
        <v>0.37598270854996024</v>
      </c>
      <c r="AJ24" s="14">
        <f t="shared" si="30"/>
        <v>2.1469289623676016</v>
      </c>
      <c r="AK24">
        <f t="shared" si="31"/>
        <v>0.51118190037257616</v>
      </c>
      <c r="AL24" s="14">
        <f t="shared" si="32"/>
        <v>2.4384177618341116</v>
      </c>
      <c r="AM24">
        <f t="shared" si="33"/>
        <v>0.64624929403445586</v>
      </c>
      <c r="AN24" s="14">
        <f t="shared" si="34"/>
        <v>2.7828827862318719</v>
      </c>
      <c r="AO24">
        <f t="shared" si="35"/>
        <v>0.8274626483847326</v>
      </c>
      <c r="AP24" s="14">
        <f t="shared" si="36"/>
        <v>2.720334834033638</v>
      </c>
      <c r="AQ24">
        <f t="shared" si="37"/>
        <v>0.79254108544055413</v>
      </c>
    </row>
    <row r="25" spans="1:43" x14ac:dyDescent="0.25">
      <c r="A25" s="139">
        <v>0.35</v>
      </c>
      <c r="B25" s="129">
        <f>'Sub C_D_0'!AY17</f>
        <v>4.9053055186881814E-2</v>
      </c>
      <c r="C25" s="129">
        <f>'C_L vs. α'!Y323</f>
        <v>0.11850497732934001</v>
      </c>
      <c r="D25" s="247">
        <f>'C_L vs. α'!AA323</f>
        <v>0.40415379968872978</v>
      </c>
      <c r="E25" s="144">
        <v>8</v>
      </c>
      <c r="F25" s="14">
        <f t="shared" si="0"/>
        <v>1.3380453027899708</v>
      </c>
      <c r="G25" s="6">
        <f t="shared" si="1"/>
        <v>0.21817893359396337</v>
      </c>
      <c r="H25" s="14">
        <f t="shared" si="2"/>
        <v>1.3469493976720224</v>
      </c>
      <c r="I25" s="6">
        <f t="shared" si="3"/>
        <v>0.21611301024826773</v>
      </c>
      <c r="J25" s="14">
        <f t="shared" si="4"/>
        <v>1.3603168282710563</v>
      </c>
      <c r="K25" s="6">
        <f t="shared" si="5"/>
        <v>0.21720450159011065</v>
      </c>
      <c r="L25" s="14">
        <f t="shared" si="6"/>
        <v>1.3788129375778964</v>
      </c>
      <c r="M25" s="6">
        <f t="shared" si="7"/>
        <v>0.22035099837266761</v>
      </c>
      <c r="N25" s="14">
        <f t="shared" si="8"/>
        <v>1.4030258427374083</v>
      </c>
      <c r="O25" s="6">
        <f t="shared" si="9"/>
        <v>0.22538778791501157</v>
      </c>
      <c r="P25" s="14">
        <f t="shared" si="10"/>
        <v>1.4326734511842418</v>
      </c>
      <c r="Q25" s="6">
        <f t="shared" si="11"/>
        <v>0.23265083939444478</v>
      </c>
      <c r="R25" s="14">
        <f t="shared" si="12"/>
        <v>1.4706985956527898</v>
      </c>
      <c r="S25" s="6">
        <f t="shared" si="13"/>
        <v>0.24195426258901265</v>
      </c>
      <c r="T25" s="14">
        <f t="shared" si="14"/>
        <v>1.5172571602052269</v>
      </c>
      <c r="U25" s="6">
        <f t="shared" si="15"/>
        <v>0.25397118847890732</v>
      </c>
      <c r="V25" s="14">
        <f t="shared" si="16"/>
        <v>1.5739366068780292</v>
      </c>
      <c r="W25" s="6">
        <f t="shared" si="17"/>
        <v>0.26934700383850613</v>
      </c>
      <c r="X25" s="14">
        <f t="shared" si="18"/>
        <v>1.6428691381135667</v>
      </c>
      <c r="Y25" s="6">
        <f t="shared" si="19"/>
        <v>0.28901718159973316</v>
      </c>
      <c r="Z25" s="14">
        <f t="shared" si="20"/>
        <v>1.7269574220157451</v>
      </c>
      <c r="AA25" s="6">
        <f t="shared" si="21"/>
        <v>0.31434830532851055</v>
      </c>
      <c r="AB25" s="14">
        <f t="shared" si="22"/>
        <v>1.8302183985431528</v>
      </c>
      <c r="AC25" s="6">
        <f t="shared" si="23"/>
        <v>0.34737559154763009</v>
      </c>
      <c r="AD25" s="14">
        <f t="shared" si="24"/>
        <v>1.9586919488526655</v>
      </c>
      <c r="AE25" s="6">
        <f t="shared" si="25"/>
        <v>0.39183252210495323</v>
      </c>
      <c r="AF25" s="14">
        <f t="shared" si="26"/>
        <v>2.1205043527481862</v>
      </c>
      <c r="AG25" s="6">
        <f t="shared" si="27"/>
        <v>0.45167644720611738</v>
      </c>
      <c r="AH25" s="14">
        <f t="shared" si="28"/>
        <v>2.3275311349773706</v>
      </c>
      <c r="AI25" s="6">
        <f t="shared" si="29"/>
        <v>0.53542746288372201</v>
      </c>
      <c r="AJ25" s="14">
        <f t="shared" si="30"/>
        <v>2.5967093270343278</v>
      </c>
      <c r="AK25">
        <f t="shared" si="31"/>
        <v>0.72640506093551849</v>
      </c>
      <c r="AL25" s="14">
        <f t="shared" si="32"/>
        <v>2.9566278802655486</v>
      </c>
      <c r="AM25">
        <f t="shared" si="33"/>
        <v>0.92826802786457785</v>
      </c>
      <c r="AN25" s="14">
        <f t="shared" si="34"/>
        <v>3.3785103137764128</v>
      </c>
      <c r="AO25">
        <f t="shared" si="35"/>
        <v>1.1976577137653845</v>
      </c>
      <c r="AP25" s="14">
        <f t="shared" si="36"/>
        <v>3.2664622196745992</v>
      </c>
      <c r="AQ25">
        <f t="shared" si="37"/>
        <v>1.1223523143121434</v>
      </c>
    </row>
    <row r="26" spans="1:43" x14ac:dyDescent="0.25">
      <c r="A26" s="129">
        <v>0.4</v>
      </c>
      <c r="B26" s="129">
        <f>'Sub C_D_0'!AY18</f>
        <v>4.8481140576659545E-2</v>
      </c>
      <c r="C26" s="129">
        <f>'C_L vs. α'!Y324</f>
        <v>0.1228366665574135</v>
      </c>
      <c r="D26" s="247">
        <f>'C_L vs. α'!AA324</f>
        <v>0.41172716118850533</v>
      </c>
      <c r="E26" s="144">
        <v>10</v>
      </c>
      <c r="F26" s="14">
        <f t="shared" si="0"/>
        <v>1.5503979004495061</v>
      </c>
      <c r="G26" s="6">
        <f t="shared" si="1"/>
        <v>0.2759010165339128</v>
      </c>
      <c r="H26" s="14">
        <f t="shared" si="2"/>
        <v>1.5610017803869691</v>
      </c>
      <c r="I26" s="6">
        <f t="shared" si="3"/>
        <v>0.27470032934931216</v>
      </c>
      <c r="J26" s="14">
        <f t="shared" si="4"/>
        <v>1.576868760336027</v>
      </c>
      <c r="K26" s="6">
        <f t="shared" si="5"/>
        <v>0.27708538311598874</v>
      </c>
      <c r="L26" s="14">
        <f t="shared" si="6"/>
        <v>1.5988024470177133</v>
      </c>
      <c r="M26" s="6">
        <f t="shared" si="7"/>
        <v>0.28203785864139191</v>
      </c>
      <c r="N26" s="14">
        <f t="shared" si="8"/>
        <v>1.6275074609157005</v>
      </c>
      <c r="O26" s="6">
        <f t="shared" si="9"/>
        <v>0.2894764875245015</v>
      </c>
      <c r="P26" s="14">
        <f t="shared" si="10"/>
        <v>1.6626193664709477</v>
      </c>
      <c r="Q26" s="6">
        <f t="shared" si="11"/>
        <v>0.29973004681416865</v>
      </c>
      <c r="R26" s="14">
        <f t="shared" si="12"/>
        <v>1.70770855031147</v>
      </c>
      <c r="S26" s="6">
        <f t="shared" si="13"/>
        <v>0.31298865746793114</v>
      </c>
      <c r="T26" s="14">
        <f t="shared" si="14"/>
        <v>1.7629304933200538</v>
      </c>
      <c r="U26" s="6">
        <f t="shared" si="15"/>
        <v>0.33000741601980066</v>
      </c>
      <c r="V26" s="14">
        <f t="shared" si="16"/>
        <v>1.8301789856045094</v>
      </c>
      <c r="W26" s="6">
        <f t="shared" si="17"/>
        <v>0.35171003260477535</v>
      </c>
      <c r="X26" s="14">
        <f t="shared" si="18"/>
        <v>1.9119981010168885</v>
      </c>
      <c r="Y26" s="6">
        <f t="shared" si="19"/>
        <v>0.37942773315305678</v>
      </c>
      <c r="Z26" s="14">
        <f t="shared" si="20"/>
        <v>2.011851818875324</v>
      </c>
      <c r="AA26" s="6">
        <f t="shared" si="21"/>
        <v>0.41510162365539138</v>
      </c>
      <c r="AB26" s="14">
        <f t="shared" si="22"/>
        <v>2.1345344008846396</v>
      </c>
      <c r="AC26" s="6">
        <f t="shared" si="23"/>
        <v>0.46162196117270082</v>
      </c>
      <c r="AD26" s="14">
        <f t="shared" si="24"/>
        <v>2.2872649795614097</v>
      </c>
      <c r="AE26" s="6">
        <f t="shared" si="25"/>
        <v>0.5240924990916711</v>
      </c>
      <c r="AF26" s="14">
        <f t="shared" si="26"/>
        <v>2.479737851104225</v>
      </c>
      <c r="AG26" s="6">
        <f t="shared" si="27"/>
        <v>0.6085535595293694</v>
      </c>
      <c r="AH26" s="14">
        <f t="shared" si="28"/>
        <v>2.7261057925085415</v>
      </c>
      <c r="AI26" s="6">
        <f t="shared" si="29"/>
        <v>0.72692208966791128</v>
      </c>
      <c r="AJ26" s="14">
        <f t="shared" si="30"/>
        <v>3.0464896917010535</v>
      </c>
      <c r="AK26">
        <f t="shared" si="31"/>
        <v>0.98244210558359379</v>
      </c>
      <c r="AL26" s="14">
        <f t="shared" si="32"/>
        <v>3.474837998696986</v>
      </c>
      <c r="AM26">
        <f t="shared" si="33"/>
        <v>1.2644642316006318</v>
      </c>
      <c r="AN26" s="14">
        <f t="shared" si="34"/>
        <v>3.974137841320954</v>
      </c>
      <c r="AO26">
        <f t="shared" si="35"/>
        <v>1.6394269728138844</v>
      </c>
      <c r="AP26" s="14">
        <f t="shared" si="36"/>
        <v>3.8125896053155608</v>
      </c>
      <c r="AQ26">
        <f t="shared" si="37"/>
        <v>1.5123355993141832</v>
      </c>
    </row>
    <row r="27" spans="1:43" x14ac:dyDescent="0.25">
      <c r="A27" s="139">
        <v>0.45</v>
      </c>
      <c r="B27" s="129">
        <f>'Sub C_D_0'!AY19</f>
        <v>4.7989819716299571E-2</v>
      </c>
      <c r="C27" s="129">
        <f>'C_L vs. α'!Y325</f>
        <v>0.12812118936324013</v>
      </c>
      <c r="D27" s="247">
        <f>'C_L vs. α'!AA325</f>
        <v>0.42084590260886801</v>
      </c>
      <c r="E27" s="144">
        <v>12</v>
      </c>
      <c r="F27" s="14">
        <f t="shared" si="0"/>
        <v>1.7627504981090414</v>
      </c>
      <c r="G27" s="6">
        <f t="shared" si="1"/>
        <v>0.34272060018554173</v>
      </c>
      <c r="H27" s="14">
        <f t="shared" si="2"/>
        <v>1.7750541631019161</v>
      </c>
      <c r="I27" s="6">
        <f t="shared" si="3"/>
        <v>0.3425313746965038</v>
      </c>
      <c r="J27" s="14">
        <f t="shared" si="4"/>
        <v>1.7934206924009977</v>
      </c>
      <c r="K27" s="6">
        <f t="shared" si="5"/>
        <v>0.34642713448879325</v>
      </c>
      <c r="L27" s="14">
        <f t="shared" si="6"/>
        <v>1.8187919564575303</v>
      </c>
      <c r="M27" s="6">
        <f t="shared" si="7"/>
        <v>0.35348833928052409</v>
      </c>
      <c r="N27" s="14">
        <f t="shared" si="8"/>
        <v>1.8519890790939928</v>
      </c>
      <c r="O27" s="6">
        <f t="shared" si="9"/>
        <v>0.36373161798116155</v>
      </c>
      <c r="P27" s="14">
        <f t="shared" si="10"/>
        <v>1.8925652817576539</v>
      </c>
      <c r="Q27" s="6">
        <f t="shared" si="11"/>
        <v>0.37747664835030637</v>
      </c>
      <c r="R27" s="14">
        <f t="shared" si="12"/>
        <v>1.9447185049701501</v>
      </c>
      <c r="S27" s="6">
        <f t="shared" si="13"/>
        <v>0.39535592781879264</v>
      </c>
      <c r="T27" s="14">
        <f t="shared" si="14"/>
        <v>2.0086038264348809</v>
      </c>
      <c r="U27" s="6">
        <f t="shared" si="15"/>
        <v>0.41822015772780596</v>
      </c>
      <c r="V27" s="14">
        <f t="shared" si="16"/>
        <v>2.0864213643309899</v>
      </c>
      <c r="W27" s="6">
        <f t="shared" si="17"/>
        <v>0.44731979662896554</v>
      </c>
      <c r="X27" s="14">
        <f t="shared" si="18"/>
        <v>2.1811270639202105</v>
      </c>
      <c r="Y27" s="6">
        <f t="shared" si="19"/>
        <v>0.48445089553044324</v>
      </c>
      <c r="Z27" s="14">
        <f t="shared" si="20"/>
        <v>2.296746215734903</v>
      </c>
      <c r="AA27" s="6">
        <f t="shared" si="21"/>
        <v>0.53222969499260009</v>
      </c>
      <c r="AB27" s="14">
        <f t="shared" si="22"/>
        <v>2.4388504032261271</v>
      </c>
      <c r="AC27" s="6">
        <f t="shared" si="23"/>
        <v>0.59455175707148378</v>
      </c>
      <c r="AD27" s="14">
        <f t="shared" si="24"/>
        <v>2.6158380102701542</v>
      </c>
      <c r="AE27" s="6">
        <f t="shared" si="25"/>
        <v>0.67813312273332282</v>
      </c>
      <c r="AF27" s="14">
        <f t="shared" si="26"/>
        <v>2.8389713494602637</v>
      </c>
      <c r="AG27" s="6">
        <f t="shared" si="27"/>
        <v>0.79146585262822589</v>
      </c>
      <c r="AH27" s="14">
        <f t="shared" si="28"/>
        <v>3.1246804500397118</v>
      </c>
      <c r="AI27" s="6">
        <f t="shared" si="29"/>
        <v>0.95046658890252766</v>
      </c>
      <c r="AJ27" s="14">
        <f t="shared" si="30"/>
        <v>3.4962700563677798</v>
      </c>
      <c r="AK27">
        <f t="shared" si="31"/>
        <v>1.279293034316803</v>
      </c>
      <c r="AL27" s="14">
        <f t="shared" si="32"/>
        <v>3.9930481171284229</v>
      </c>
      <c r="AM27">
        <f t="shared" si="33"/>
        <v>1.6548379052426172</v>
      </c>
      <c r="AN27" s="14">
        <f t="shared" si="34"/>
        <v>4.5697653688654949</v>
      </c>
      <c r="AO27">
        <f t="shared" si="35"/>
        <v>2.1527704255302318</v>
      </c>
      <c r="AP27" s="14">
        <f t="shared" si="36"/>
        <v>4.3587169909565224</v>
      </c>
      <c r="AQ27">
        <f t="shared" si="37"/>
        <v>1.9624909404466733</v>
      </c>
    </row>
    <row r="28" spans="1:43" x14ac:dyDescent="0.25">
      <c r="A28" s="129">
        <v>0.5</v>
      </c>
      <c r="B28" s="129">
        <f>'Sub C_D_0'!AY20</f>
        <v>4.7560430277477264E-2</v>
      </c>
      <c r="C28" s="129">
        <f>'C_L vs. α'!Y326</f>
        <v>0.13456448145166092</v>
      </c>
      <c r="D28" s="247">
        <f>'C_L vs. α'!AA326</f>
        <v>0.43178880504861844</v>
      </c>
      <c r="E28" s="144">
        <v>14</v>
      </c>
      <c r="F28" s="14">
        <f t="shared" si="0"/>
        <v>1.9751030957685769</v>
      </c>
      <c r="G28" s="6">
        <f t="shared" si="1"/>
        <v>0.41863768454885047</v>
      </c>
      <c r="H28" s="14">
        <f t="shared" si="2"/>
        <v>1.9891065458168629</v>
      </c>
      <c r="I28" s="6">
        <f t="shared" si="3"/>
        <v>0.41960614628984255</v>
      </c>
      <c r="J28" s="14">
        <f t="shared" si="4"/>
        <v>2.0099726244659686</v>
      </c>
      <c r="K28" s="6">
        <f t="shared" si="5"/>
        <v>0.42522975570852412</v>
      </c>
      <c r="L28" s="14">
        <f t="shared" si="6"/>
        <v>2.0387814658973475</v>
      </c>
      <c r="M28" s="6">
        <f t="shared" si="7"/>
        <v>0.43470244029006411</v>
      </c>
      <c r="N28" s="14">
        <f t="shared" si="8"/>
        <v>2.0764706972722848</v>
      </c>
      <c r="O28" s="6">
        <f t="shared" si="9"/>
        <v>0.44815317928499182</v>
      </c>
      <c r="P28" s="14">
        <f t="shared" si="10"/>
        <v>2.1225111970443602</v>
      </c>
      <c r="Q28" s="6">
        <f t="shared" si="11"/>
        <v>0.46589064400285785</v>
      </c>
      <c r="R28" s="14">
        <f t="shared" si="12"/>
        <v>2.1817284596288298</v>
      </c>
      <c r="S28" s="6">
        <f t="shared" si="13"/>
        <v>0.48905607364159709</v>
      </c>
      <c r="T28" s="14">
        <f t="shared" si="14"/>
        <v>2.2542771595497078</v>
      </c>
      <c r="U28" s="6">
        <f t="shared" si="15"/>
        <v>0.51860941360292312</v>
      </c>
      <c r="V28" s="14">
        <f t="shared" si="16"/>
        <v>2.3426637430574697</v>
      </c>
      <c r="W28" s="6">
        <f t="shared" si="17"/>
        <v>0.55617629591107631</v>
      </c>
      <c r="X28" s="14">
        <f t="shared" si="18"/>
        <v>2.4502560268235323</v>
      </c>
      <c r="Y28" s="6">
        <f t="shared" si="19"/>
        <v>0.60408666873189243</v>
      </c>
      <c r="Z28" s="14">
        <f t="shared" si="20"/>
        <v>2.5816406125944815</v>
      </c>
      <c r="AA28" s="6">
        <f t="shared" si="21"/>
        <v>0.66573251934013644</v>
      </c>
      <c r="AB28" s="14">
        <f t="shared" si="22"/>
        <v>2.7431664055676142</v>
      </c>
      <c r="AC28" s="6">
        <f t="shared" si="23"/>
        <v>0.74616497924397807</v>
      </c>
      <c r="AD28" s="14">
        <f t="shared" si="24"/>
        <v>2.9444110409788982</v>
      </c>
      <c r="AE28" s="6">
        <f t="shared" si="25"/>
        <v>0.85395439302990783</v>
      </c>
      <c r="AF28" s="14">
        <f t="shared" si="26"/>
        <v>3.1982048478163025</v>
      </c>
      <c r="AG28" s="6">
        <f t="shared" si="27"/>
        <v>1.0004133265026869</v>
      </c>
      <c r="AH28" s="14">
        <f t="shared" si="28"/>
        <v>3.5232551075708827</v>
      </c>
      <c r="AI28" s="6">
        <f t="shared" si="29"/>
        <v>1.2060609605875714</v>
      </c>
      <c r="AJ28" s="14">
        <f t="shared" si="30"/>
        <v>3.946050421034506</v>
      </c>
      <c r="AK28">
        <f t="shared" si="31"/>
        <v>1.6169578471351453</v>
      </c>
      <c r="AL28" s="14">
        <f t="shared" si="32"/>
        <v>4.5112582355598603</v>
      </c>
      <c r="AM28">
        <f t="shared" si="33"/>
        <v>2.0993890487905351</v>
      </c>
      <c r="AN28" s="14">
        <f t="shared" si="34"/>
        <v>5.1653928964100357</v>
      </c>
      <c r="AO28">
        <f t="shared" si="35"/>
        <v>2.7376880719144272</v>
      </c>
      <c r="AP28" s="14">
        <f t="shared" si="36"/>
        <v>4.9048443765974836</v>
      </c>
      <c r="AQ28">
        <f t="shared" si="37"/>
        <v>2.4728183377096138</v>
      </c>
    </row>
    <row r="29" spans="1:43" x14ac:dyDescent="0.25">
      <c r="A29" s="139">
        <v>0.55000000000000004</v>
      </c>
      <c r="B29" s="129">
        <f>'Sub C_D_0'!AY21</f>
        <v>4.7179997328003681E-2</v>
      </c>
      <c r="C29" s="129">
        <f>'C_L vs. α'!Y327</f>
        <v>0.14244719842978948</v>
      </c>
      <c r="D29" s="247">
        <f>'C_L vs. α'!AA327</f>
        <v>0.44493263614763967</v>
      </c>
      <c r="E29" s="144">
        <v>16</v>
      </c>
      <c r="F29" s="14">
        <f t="shared" si="0"/>
        <v>2.1874556934281122</v>
      </c>
      <c r="G29" s="6">
        <f t="shared" si="1"/>
        <v>0.5036522696238388</v>
      </c>
      <c r="H29" s="14">
        <f t="shared" si="2"/>
        <v>2.2031589285318098</v>
      </c>
      <c r="I29" s="6">
        <f t="shared" si="3"/>
        <v>0.50592464412932847</v>
      </c>
      <c r="J29" s="14">
        <f t="shared" si="4"/>
        <v>2.2265245565309395</v>
      </c>
      <c r="K29" s="6">
        <f t="shared" si="5"/>
        <v>0.51349324677518138</v>
      </c>
      <c r="L29" s="14">
        <f t="shared" si="6"/>
        <v>2.2587709753371641</v>
      </c>
      <c r="M29" s="6">
        <f t="shared" si="7"/>
        <v>0.52568016167001175</v>
      </c>
      <c r="N29" s="14">
        <f t="shared" si="8"/>
        <v>2.3009523154505773</v>
      </c>
      <c r="O29" s="6">
        <f t="shared" si="9"/>
        <v>0.54274117143599243</v>
      </c>
      <c r="P29" s="14">
        <f>$D$24+(E29-$B$12)*$C$24</f>
        <v>2.3524571123310665</v>
      </c>
      <c r="Q29" s="6">
        <f t="shared" si="11"/>
        <v>0.56497203377182326</v>
      </c>
      <c r="R29" s="14">
        <f t="shared" si="12"/>
        <v>2.4187384142875099</v>
      </c>
      <c r="S29" s="6">
        <f t="shared" si="13"/>
        <v>0.59408909493634465</v>
      </c>
      <c r="T29" s="14">
        <f t="shared" si="14"/>
        <v>2.4999504926645346</v>
      </c>
      <c r="U29" s="6">
        <f t="shared" si="15"/>
        <v>0.63117518364515202</v>
      </c>
      <c r="V29" s="14">
        <f t="shared" si="16"/>
        <v>2.59890612178395</v>
      </c>
      <c r="W29" s="6">
        <f t="shared" si="17"/>
        <v>0.67827953045110823</v>
      </c>
      <c r="X29" s="14">
        <f t="shared" si="18"/>
        <v>2.7193849897268541</v>
      </c>
      <c r="Y29" s="6">
        <f t="shared" si="19"/>
        <v>0.73833505275740441</v>
      </c>
      <c r="Z29" s="14">
        <f t="shared" si="20"/>
        <v>2.8665350094540609</v>
      </c>
      <c r="AA29" s="6">
        <f t="shared" si="21"/>
        <v>0.81561009669800111</v>
      </c>
      <c r="AB29" s="14">
        <f t="shared" si="22"/>
        <v>3.0474824079091012</v>
      </c>
      <c r="AC29" s="6">
        <f t="shared" si="23"/>
        <v>0.91646162769018436</v>
      </c>
      <c r="AD29" s="14">
        <f t="shared" si="24"/>
        <v>3.2729840716876426</v>
      </c>
      <c r="AE29" s="6">
        <f t="shared" si="25"/>
        <v>1.0515563099814269</v>
      </c>
      <c r="AF29" s="14">
        <f t="shared" si="26"/>
        <v>3.5574383461723413</v>
      </c>
      <c r="AG29" s="6">
        <f t="shared" si="27"/>
        <v>1.2353959811527522</v>
      </c>
      <c r="AH29" s="14">
        <f t="shared" si="28"/>
        <v>3.9218297651020535</v>
      </c>
      <c r="AI29" s="6">
        <f t="shared" si="29"/>
        <v>1.4937052047230432</v>
      </c>
      <c r="AJ29" s="14">
        <f t="shared" si="30"/>
        <v>4.3958307857012313</v>
      </c>
      <c r="AK29">
        <f t="shared" si="31"/>
        <v>1.9954365440386204</v>
      </c>
      <c r="AL29" s="14">
        <f t="shared" si="32"/>
        <v>5.0294683539912972</v>
      </c>
      <c r="AM29">
        <f t="shared" si="33"/>
        <v>2.598117662244384</v>
      </c>
      <c r="AN29" s="14">
        <f t="shared" si="34"/>
        <v>5.7610204239545775</v>
      </c>
      <c r="AO29">
        <f t="shared" si="35"/>
        <v>3.3941799119664711</v>
      </c>
      <c r="AP29" s="14">
        <f t="shared" si="36"/>
        <v>5.4509717622384448</v>
      </c>
      <c r="AQ29">
        <f t="shared" si="37"/>
        <v>3.0433177911030049</v>
      </c>
    </row>
    <row r="30" spans="1:43" x14ac:dyDescent="0.25">
      <c r="A30" s="129">
        <v>0.6</v>
      </c>
      <c r="B30" s="129">
        <f>'Sub C_D_0'!AY22</f>
        <v>4.6839156243060134E-2</v>
      </c>
      <c r="C30" s="129">
        <f>'C_L vs. α'!Y328</f>
        <v>0.15215800117074355</v>
      </c>
      <c r="D30" s="247">
        <f>'C_L vs. α'!AA328</f>
        <v>0.46079638800646094</v>
      </c>
      <c r="K30" s="6"/>
      <c r="T30" s="14"/>
    </row>
    <row r="31" spans="1:43" x14ac:dyDescent="0.25">
      <c r="A31" s="139">
        <v>0.65</v>
      </c>
      <c r="B31" s="129">
        <f>'Sub C_D_0'!AY23</f>
        <v>4.7016281787072067E-2</v>
      </c>
      <c r="C31" s="129">
        <f>'C_L vs. α'!Y329</f>
        <v>0.16428651535437214</v>
      </c>
      <c r="D31" s="247">
        <f>'C_L vs. α'!AA329</f>
        <v>0.48011331066331625</v>
      </c>
    </row>
    <row r="32" spans="1:43" x14ac:dyDescent="0.25">
      <c r="A32" s="129">
        <v>0.7</v>
      </c>
      <c r="B32" s="129">
        <f>'Sub C_D_0'!AY24</f>
        <v>4.6730187336697135E-2</v>
      </c>
      <c r="C32" s="129">
        <f>'C_L vs. α'!Y330</f>
        <v>0.17961674917801942</v>
      </c>
      <c r="D32" s="247">
        <f>'C_L vs. α'!AA330</f>
        <v>0.50395361014601125</v>
      </c>
    </row>
    <row r="33" spans="1:43" x14ac:dyDescent="0.25">
      <c r="A33" s="139">
        <v>0.75</v>
      </c>
      <c r="B33" s="129">
        <f>'Sub C_D_0'!AY25</f>
        <v>4.6467685912376155E-2</v>
      </c>
      <c r="C33" s="129">
        <f>'C_L vs. α'!Y331</f>
        <v>0.19928732876558536</v>
      </c>
      <c r="D33" s="247">
        <f>'C_L vs. α'!AA331</f>
        <v>0.53394517608710246</v>
      </c>
    </row>
    <row r="34" spans="1:43" x14ac:dyDescent="0.25">
      <c r="A34" s="129">
        <v>0.8</v>
      </c>
      <c r="B34" s="129">
        <f>'Sub C_D_0'!AY26</f>
        <v>4.6225429684660216E-2</v>
      </c>
      <c r="C34" s="129">
        <f>'C_L vs. α'!Y332</f>
        <v>0.22489018233336303</v>
      </c>
      <c r="D34" s="247">
        <f>'C_L vs. α'!AA332</f>
        <v>0.57269768603406035</v>
      </c>
    </row>
    <row r="35" spans="1:43" x14ac:dyDescent="0.25">
      <c r="A35" s="139">
        <v>0.85</v>
      </c>
      <c r="B35" s="129">
        <f>'Sub C_D_0'!AY27</f>
        <v>4.6467646420165695E-2</v>
      </c>
      <c r="C35" s="129">
        <f>'C_L vs. α'!Y333</f>
        <v>0.25910505921571858</v>
      </c>
      <c r="D35" s="247">
        <f>'C_L vs. α'!AA333</f>
        <v>0.62468234732408157</v>
      </c>
    </row>
    <row r="36" spans="1:43" x14ac:dyDescent="0.25">
      <c r="A36" s="129">
        <v>0.9</v>
      </c>
      <c r="B36" s="129">
        <f>'Sub C_D_0'!AY28</f>
        <v>4.6254480350670049E-2</v>
      </c>
      <c r="C36" s="129">
        <f>'C_L vs. α'!Y334</f>
        <v>0.29781376377227053</v>
      </c>
      <c r="D36" s="247">
        <f>'C_L vs. α'!AA334</f>
        <v>0.69818643982597794</v>
      </c>
    </row>
    <row r="37" spans="1:43" x14ac:dyDescent="0.25">
      <c r="A37" s="139">
        <v>0.95</v>
      </c>
      <c r="B37" s="129">
        <f>'Sub C_D_0'!AY29</f>
        <v>4.6055077021161794E-2</v>
      </c>
      <c r="C37" s="129">
        <f>'C_L vs. α'!Y335</f>
        <v>0.27306369282048071</v>
      </c>
      <c r="D37" s="247">
        <f>'C_L vs. α'!AA335</f>
        <v>0.80888898429027301</v>
      </c>
    </row>
    <row r="38" spans="1:43" x14ac:dyDescent="0.25">
      <c r="A38" s="11"/>
      <c r="B38" s="11"/>
      <c r="C38" s="5"/>
    </row>
    <row r="39" spans="1:43" x14ac:dyDescent="0.25">
      <c r="A39" s="122" t="s">
        <v>537</v>
      </c>
      <c r="B39" s="122" t="s">
        <v>290</v>
      </c>
      <c r="C39" t="s">
        <v>1090</v>
      </c>
    </row>
    <row r="40" spans="1:43" x14ac:dyDescent="0.25">
      <c r="A40" s="122" t="s">
        <v>202</v>
      </c>
      <c r="B40" s="143" t="s">
        <v>533</v>
      </c>
      <c r="C40" s="122" t="s">
        <v>538</v>
      </c>
      <c r="D40" s="122" t="s">
        <v>540</v>
      </c>
      <c r="F40" s="1" t="s">
        <v>536</v>
      </c>
      <c r="G40" s="140">
        <v>0.05</v>
      </c>
      <c r="H40" s="1" t="s">
        <v>536</v>
      </c>
      <c r="I40" s="140">
        <v>0.1</v>
      </c>
      <c r="J40" s="1" t="s">
        <v>536</v>
      </c>
      <c r="K40" s="140">
        <v>0.15</v>
      </c>
      <c r="L40" s="1" t="s">
        <v>536</v>
      </c>
      <c r="M40" s="140">
        <v>0.2</v>
      </c>
      <c r="N40" t="s">
        <v>536</v>
      </c>
      <c r="O40" s="141">
        <v>0.25</v>
      </c>
      <c r="P40" t="s">
        <v>536</v>
      </c>
      <c r="Q40" s="141">
        <v>0.3</v>
      </c>
      <c r="R40" t="s">
        <v>536</v>
      </c>
      <c r="S40" s="141">
        <v>0.35</v>
      </c>
      <c r="T40" t="s">
        <v>536</v>
      </c>
      <c r="U40" s="141">
        <v>0.4</v>
      </c>
      <c r="V40" t="s">
        <v>536</v>
      </c>
      <c r="W40" s="141">
        <v>0.45</v>
      </c>
      <c r="X40" t="s">
        <v>536</v>
      </c>
      <c r="Y40" s="141">
        <v>0.5</v>
      </c>
      <c r="Z40" t="s">
        <v>536</v>
      </c>
      <c r="AA40" s="141">
        <v>0.55000000000000004</v>
      </c>
      <c r="AB40" t="s">
        <v>536</v>
      </c>
      <c r="AC40" s="141">
        <v>0.6</v>
      </c>
      <c r="AD40" t="s">
        <v>536</v>
      </c>
      <c r="AE40" s="141">
        <v>0.65</v>
      </c>
      <c r="AF40" t="s">
        <v>536</v>
      </c>
      <c r="AG40" s="141">
        <v>0.7</v>
      </c>
      <c r="AH40" t="s">
        <v>536</v>
      </c>
      <c r="AI40" s="141">
        <v>0.75</v>
      </c>
      <c r="AJ40" t="s">
        <v>536</v>
      </c>
      <c r="AK40" s="141">
        <v>0.8</v>
      </c>
      <c r="AL40" t="s">
        <v>536</v>
      </c>
      <c r="AM40" s="141">
        <v>0.85</v>
      </c>
      <c r="AN40" t="s">
        <v>536</v>
      </c>
      <c r="AO40" s="141">
        <v>0.9</v>
      </c>
      <c r="AP40" t="s">
        <v>536</v>
      </c>
      <c r="AQ40" s="141">
        <v>0.95</v>
      </c>
    </row>
    <row r="41" spans="1:43" x14ac:dyDescent="0.25">
      <c r="A41" s="121" t="s">
        <v>182</v>
      </c>
      <c r="B41" s="121" t="s">
        <v>534</v>
      </c>
      <c r="C41" s="121" t="s">
        <v>535</v>
      </c>
      <c r="D41" s="248" t="s">
        <v>1126</v>
      </c>
      <c r="E41" s="121" t="s">
        <v>421</v>
      </c>
      <c r="F41" s="14" t="s">
        <v>244</v>
      </c>
      <c r="G41" s="6" t="s">
        <v>245</v>
      </c>
      <c r="H41" s="14" t="s">
        <v>244</v>
      </c>
      <c r="I41" s="6" t="s">
        <v>245</v>
      </c>
      <c r="J41" s="14" t="s">
        <v>244</v>
      </c>
      <c r="K41" s="6" t="s">
        <v>245</v>
      </c>
      <c r="L41" s="14" t="s">
        <v>244</v>
      </c>
      <c r="M41" s="6" t="s">
        <v>245</v>
      </c>
      <c r="N41" t="s">
        <v>244</v>
      </c>
      <c r="O41" t="s">
        <v>245</v>
      </c>
      <c r="P41" t="s">
        <v>244</v>
      </c>
      <c r="Q41" t="s">
        <v>245</v>
      </c>
      <c r="R41" t="s">
        <v>244</v>
      </c>
      <c r="S41" t="s">
        <v>245</v>
      </c>
      <c r="T41" t="s">
        <v>244</v>
      </c>
      <c r="U41" t="s">
        <v>245</v>
      </c>
      <c r="V41" t="s">
        <v>244</v>
      </c>
      <c r="W41" t="s">
        <v>245</v>
      </c>
      <c r="X41" t="s">
        <v>244</v>
      </c>
      <c r="Y41" t="s">
        <v>245</v>
      </c>
      <c r="Z41" t="s">
        <v>244</v>
      </c>
      <c r="AA41" t="s">
        <v>245</v>
      </c>
      <c r="AB41" t="s">
        <v>244</v>
      </c>
      <c r="AC41" t="s">
        <v>245</v>
      </c>
      <c r="AD41" t="s">
        <v>244</v>
      </c>
      <c r="AE41" t="s">
        <v>245</v>
      </c>
      <c r="AF41" t="s">
        <v>244</v>
      </c>
      <c r="AG41" t="s">
        <v>245</v>
      </c>
      <c r="AH41" t="s">
        <v>244</v>
      </c>
      <c r="AI41" t="s">
        <v>245</v>
      </c>
      <c r="AJ41" t="s">
        <v>244</v>
      </c>
      <c r="AK41" t="s">
        <v>245</v>
      </c>
      <c r="AL41" t="s">
        <v>244</v>
      </c>
      <c r="AM41" t="s">
        <v>245</v>
      </c>
      <c r="AN41" t="s">
        <v>244</v>
      </c>
      <c r="AO41" t="s">
        <v>245</v>
      </c>
      <c r="AP41" t="s">
        <v>244</v>
      </c>
      <c r="AQ41" t="s">
        <v>245</v>
      </c>
    </row>
    <row r="42" spans="1:43" x14ac:dyDescent="0.25">
      <c r="A42" s="129">
        <v>0</v>
      </c>
      <c r="B42" s="129" t="e">
        <f>B18-'Sub C_D_0'!U10</f>
        <v>#DIV/0!</v>
      </c>
      <c r="C42" s="129" t="e">
        <f>'C_L vs. α'!Y316</f>
        <v>#NUM!</v>
      </c>
      <c r="D42" s="247">
        <f>'C_L vs. α'!AA316</f>
        <v>0.38204298311929219</v>
      </c>
      <c r="E42" s="144">
        <v>-6</v>
      </c>
      <c r="F42" s="14">
        <f>$D$19+(E42-$B$12)*$C$43</f>
        <v>-0.14842288082677685</v>
      </c>
      <c r="G42" s="6">
        <f>$B$43+$B$7*F42^2+$B$8*(F42-F$45)^2</f>
        <v>5.3854372941346706E-2</v>
      </c>
      <c r="H42" s="14">
        <f>$D$20+(E42-$B$12)*$C$44</f>
        <v>-0.15141728133260574</v>
      </c>
      <c r="I42" s="6">
        <f>$B$44+$B$7*H42^2+$B$8*(H42-H$45)^2</f>
        <v>4.9826111433077656E-2</v>
      </c>
      <c r="J42" s="14">
        <f>$D$21+(E42-$B$12)*$C$45</f>
        <v>-0.15554669618373879</v>
      </c>
      <c r="K42" s="6">
        <f>$B$45+$B$7*J42^2+$B$8*(J42-J$45)^2</f>
        <v>4.7942686622901395E-2</v>
      </c>
      <c r="L42" s="14">
        <f>$D$22+(E42-$B$12)*$C$46</f>
        <v>-0.16111362850082256</v>
      </c>
      <c r="M42" s="6">
        <f>$B$46+$B$7*L42^2+$B$8*(L42-L$45)^2</f>
        <v>4.6924346863016594E-2</v>
      </c>
      <c r="N42" s="14">
        <f>$D$23+(E42-$B$12)*$C$47</f>
        <v>-0.16834548451063802</v>
      </c>
      <c r="O42" s="6">
        <f>$B$47+$B$7*N42^2+$B$8*(N42-N$45)^2</f>
        <v>4.6426954369348045E-2</v>
      </c>
      <c r="P42" s="14">
        <f>$D$24+(E42-$B$12)*$C$48</f>
        <v>-0.17694795582270151</v>
      </c>
      <c r="Q42" s="6">
        <f>$B$48+$B$7*P42^2+$B$8*(P42-P$45)^2</f>
        <v>4.6783422715963016E-2</v>
      </c>
      <c r="R42" s="14">
        <f>$D$25+(E42-$B$12)*$C$49</f>
        <v>-0.18837108695797034</v>
      </c>
      <c r="S42" s="6">
        <f>$B$49+$B$7*R42^2+$B$8*(R42-R$45)^2</f>
        <v>4.7034011650987723E-2</v>
      </c>
      <c r="T42" s="14">
        <f>$D$26+(E42-$B$12)*$C$50</f>
        <v>-0.20245617159856216</v>
      </c>
      <c r="U42" s="6">
        <f>$B$50+$B$7*T42^2+$B$8*(T42-T$45)^2</f>
        <v>4.7659992371786995E-2</v>
      </c>
      <c r="V42" s="14">
        <f>$D$27+(E42-$B$12)*$C$51</f>
        <v>-0.21976004420733264</v>
      </c>
      <c r="W42" s="6">
        <f>$B$51+$B$7*V42^2+$B$8*(V42-V$45)^2</f>
        <v>4.8714389696406929E-2</v>
      </c>
      <c r="X42" s="14">
        <f>$D$28+(E42-$B$12)*$C$52</f>
        <v>-0.24103360220968612</v>
      </c>
      <c r="Y42" s="6">
        <f>$B$52+$B$7*X42^2+$B$8*(X42-X$45)^2</f>
        <v>5.0296423800225427E-2</v>
      </c>
      <c r="Z42" s="14">
        <f>$D$29+(E42-$B$12)*$C$53</f>
        <v>-0.26730335600130772</v>
      </c>
      <c r="AA42" s="6">
        <f>$B$53+$B$7*Z42^2+$B$8*(Z42-Z$45)^2</f>
        <v>5.2568161329526658E-2</v>
      </c>
      <c r="AB42" s="14">
        <f>$D$30+(E42-$B$12)*$C$54</f>
        <v>-0.29999361784725675</v>
      </c>
      <c r="AC42" s="6">
        <f>$B$54+$B$7*AB42^2+$B$8*(AB42-AB$45)^2</f>
        <v>5.5786939836063115E-2</v>
      </c>
      <c r="AD42" s="14">
        <f>$D$31+(E42-$B$12)*$C$55</f>
        <v>-0.34131926610854441</v>
      </c>
      <c r="AE42" s="6">
        <f>$B$55+$B$7*AD42^2+$B$8*(AD42-AD$45)^2</f>
        <v>6.087078953606917E-2</v>
      </c>
      <c r="AF42" s="14">
        <f>$D$32+(E42-$B$12)*$C$56</f>
        <v>-0.39413013574408584</v>
      </c>
      <c r="AG42" s="6">
        <f>$B$56+$B$7*AF42^2+$B$8*(AF42-AF$45)^2</f>
        <v>6.7521722660274841E-2</v>
      </c>
      <c r="AH42" s="14">
        <f>$D$33+(E42-$B$12)*$C$57</f>
        <v>-0.46249146774082439</v>
      </c>
      <c r="AI42" s="6">
        <f>$B$57+$B$7*AH42^2+$B$8*(AH42-AH$45)^2</f>
        <v>7.7361504006365503E-2</v>
      </c>
      <c r="AJ42" s="14">
        <f>$D$34+(E42-$B$12)*$C$58</f>
        <v>-0.55175322563275475</v>
      </c>
      <c r="AK42">
        <f>$B$34+$B$9*AJ42^2</f>
        <v>7.6934502782725095E-2</v>
      </c>
      <c r="AL42" s="14">
        <f>$D$35+(E42-$B$12)*$C$59</f>
        <v>-0.67084294875451123</v>
      </c>
      <c r="AM42">
        <f>$B$35+$B$9*AL42^2</f>
        <v>9.1863759078291946E-2</v>
      </c>
      <c r="AN42" s="14">
        <f>$D$36+(E42-$B$12)*$C$60</f>
        <v>-0.79088237903537462</v>
      </c>
      <c r="AO42">
        <f>$B$36+$B$9*AN42^2</f>
        <v>0.10935032312562776</v>
      </c>
      <c r="AP42" s="14">
        <f>$D$37+(E42-$B$12)*$C$61</f>
        <v>-0.55642947981213042</v>
      </c>
      <c r="AQ42">
        <f>$B$37+$B$9*AP42^2</f>
        <v>7.7286890950478859E-2</v>
      </c>
    </row>
    <row r="43" spans="1:43" x14ac:dyDescent="0.25">
      <c r="A43" s="139">
        <v>0.05</v>
      </c>
      <c r="B43" s="129">
        <f>B19-'Sub C_D_0'!U11</f>
        <v>4.3955930279185401E-2</v>
      </c>
      <c r="C43" s="129">
        <f>'C_L vs. α'!Y317</f>
        <v>0.10617629882976769</v>
      </c>
      <c r="D43" s="247">
        <f>'C_L vs. α'!AA317</f>
        <v>0.3824586133220616</v>
      </c>
      <c r="E43" s="144">
        <v>-4</v>
      </c>
      <c r="F43" s="14">
        <f t="shared" ref="F43:F53" si="38">$D$19+(E43-$B$12)*$C$43</f>
        <v>6.3929716832758554E-2</v>
      </c>
      <c r="G43" s="6">
        <f t="shared" ref="G43:G53" si="39">$B$43+$B$7*F43^2+$B$8*(F43-F$21)^2</f>
        <v>4.7893950899538795E-2</v>
      </c>
      <c r="H43" s="14">
        <f t="shared" ref="H43:H53" si="40">$D$20+(E43-$B$12)*$C$44</f>
        <v>6.2635101382341185E-2</v>
      </c>
      <c r="I43" s="6">
        <f t="shared" ref="I43:I53" si="41">$B$44+$B$7*H43^2+$B$8*(H43-H$45)^2</f>
        <v>4.3707346811091848E-2</v>
      </c>
      <c r="J43" s="14">
        <f t="shared" ref="J43:J53" si="42">$D$21+(E43-$B$12)*$C$45</f>
        <v>6.1005235881231967E-2</v>
      </c>
      <c r="K43" s="6">
        <f t="shared" ref="K43:K53" si="43">$B$45+$B$7*J43^2+$B$8*(J43-J$45)^2</f>
        <v>4.1597479220295122E-2</v>
      </c>
      <c r="L43" s="14">
        <f t="shared" ref="L43:L53" si="44">$D$22+(E43-$B$12)*$C$46</f>
        <v>5.8875880938994429E-2</v>
      </c>
      <c r="M43" s="6">
        <f t="shared" ref="M43:M53" si="45">$B$46+$B$7*L43^2+$B$8*(L43-L$45)^2</f>
        <v>4.0265864538886115E-2</v>
      </c>
      <c r="N43" s="14">
        <f t="shared" ref="N43:N53" si="46">$D$23+(E43-$B$12)*$C$47</f>
        <v>5.6136133667654242E-2</v>
      </c>
      <c r="O43" s="6">
        <f t="shared" ref="O43:O53" si="47">$B$47+$B$7*N43^2+$B$8*(N43-N$45)^2</f>
        <v>3.935063804864649E-2</v>
      </c>
      <c r="P43" s="14">
        <f t="shared" ref="P43:P53" si="48">$D$24+(E43-$B$12)*$C$48</f>
        <v>5.2997959464004707E-2</v>
      </c>
      <c r="Q43" s="6">
        <f t="shared" ref="Q43:Q53" si="49">$B$48+$B$7*P43^2+$B$8*(P43-P$45)^2</f>
        <v>3.9190871320790494E-2</v>
      </c>
      <c r="R43" s="14">
        <f t="shared" ref="R43:R53" si="50">$D$25+(E43-$B$12)*$C$49</f>
        <v>4.8638867700709743E-2</v>
      </c>
      <c r="S43" s="6">
        <f t="shared" ref="S43:S53" si="51">$B$49+$B$7*R43^2+$B$8*(R43-R$45)^2</f>
        <v>3.873827822630508E-2</v>
      </c>
      <c r="T43" s="14">
        <f t="shared" ref="T43:T53" si="52">$D$26+(E43-$B$12)*$C$50</f>
        <v>4.3217161516264813E-2</v>
      </c>
      <c r="U43" s="6">
        <f t="shared" ref="U43:U53" si="53">$B$50+$B$7*T43^2+$B$8*(T43-T$45)^2</f>
        <v>3.8460620742897036E-2</v>
      </c>
      <c r="V43" s="14">
        <f t="shared" ref="V43:V53" si="54">$D$27+(E43-$B$12)*$C$51</f>
        <v>3.6482334519147619E-2</v>
      </c>
      <c r="W43" s="6">
        <f t="shared" ref="W43:W53" si="55">$B$51+$B$7*V43^2+$B$8*(V43-V$45)^2</f>
        <v>3.8350271657229824E-2</v>
      </c>
      <c r="X43" s="14">
        <f t="shared" ref="X43:X53" si="56">$D$28+(E43-$B$12)*$C$52</f>
        <v>2.8095360693635663E-2</v>
      </c>
      <c r="Y43" s="6">
        <f t="shared" ref="Y43:Y53" si="57">$B$52+$B$7*X43^2+$B$8*(X43-X$45)^2</f>
        <v>3.8418699585109628E-2</v>
      </c>
      <c r="Z43" s="14">
        <f t="shared" ref="Z43:Z53" si="58">$D$29+(E43-$B$12)*$C$53</f>
        <v>1.7591040858271234E-2</v>
      </c>
      <c r="AA43" s="6">
        <f t="shared" ref="AA43:AA53" si="59">$B$53+$B$7*Z43^2+$B$8*(Z43-Z$45)^2</f>
        <v>3.8698208584112055E-2</v>
      </c>
      <c r="AB43" s="14">
        <f t="shared" ref="AB43:AB53" si="60">$D$30+(E43-$B$12)*$C$54</f>
        <v>4.3223844942302803E-3</v>
      </c>
      <c r="AC43" s="6">
        <f t="shared" ref="AC43:AC53" si="61">$B$54+$B$7*AB43^2+$B$8*(AB43-AB$45)^2</f>
        <v>3.9249325545151703E-2</v>
      </c>
      <c r="AD43" s="14">
        <f t="shared" ref="AD43:AD53" si="62">$D$31+(E43-$B$12)*$C$55</f>
        <v>-1.2746235399800188E-2</v>
      </c>
      <c r="AE43" s="6">
        <f t="shared" ref="AE43:AE53" si="63">$B$55+$B$7*AD43^2+$B$8*(AD43-AD$45)^2</f>
        <v>4.0666239938251726E-2</v>
      </c>
      <c r="AF43" s="14">
        <f t="shared" ref="AF43:AF53" si="64">$D$32+(E43-$B$12)*$C$56</f>
        <v>-3.4896637388047047E-2</v>
      </c>
      <c r="AG43" s="6">
        <f t="shared" ref="AG43:AG53" si="65">$B$56+$B$7*AF43^2+$B$8*(AF43-AF$45)^2</f>
        <v>4.2152569554296353E-2</v>
      </c>
      <c r="AH43" s="14">
        <f t="shared" ref="AH43:AH53" si="66">$D$33+(E43-$B$12)*$C$57</f>
        <v>-6.3916810209653563E-2</v>
      </c>
      <c r="AI43" s="6">
        <f t="shared" ref="AI43:AI53" si="67">$B$57+$B$7*AH43^2+$B$8*(AH43-AH$45)^2</f>
        <v>4.4507023637562759E-2</v>
      </c>
      <c r="AJ43" s="14">
        <f t="shared" ref="AJ43:AJ53" si="68">$D$34+(E43-$B$12)*$C$58</f>
        <v>-0.10197286096602876</v>
      </c>
      <c r="AK43">
        <f t="shared" ref="AK43:AK53" si="69">$B$34+$B$9*AJ43^2</f>
        <v>4.7274358834866741E-2</v>
      </c>
      <c r="AL43" s="14">
        <f t="shared" ref="AL43:AL53" si="70">$D$35+(E43-$B$12)*$C$59</f>
        <v>-0.15263283032307418</v>
      </c>
      <c r="AM43">
        <f t="shared" ref="AM43:AM53" si="71">$B$35+$B$9*AL43^2</f>
        <v>4.8817673472823037E-2</v>
      </c>
      <c r="AN43" s="14">
        <f t="shared" ref="AN43:AN52" si="72">$D$36+(E43-$B$12)*$C$60</f>
        <v>-0.19525485149083366</v>
      </c>
      <c r="AO43">
        <f t="shared" ref="AO43:AO53" si="73">$B$36+$B$9*AN43^2</f>
        <v>5.0100226499192158E-2</v>
      </c>
      <c r="AP43" s="14">
        <f t="shared" ref="AP43:AP53" si="74">$D$37+(E43-$B$12)*$C$61</f>
        <v>-1.0302094171169118E-2</v>
      </c>
      <c r="AQ43">
        <f t="shared" ref="AQ43:AQ53" si="75">$B$37+$B$9*AP43^2</f>
        <v>4.6065783039365232E-2</v>
      </c>
    </row>
    <row r="44" spans="1:43" x14ac:dyDescent="0.25">
      <c r="A44" s="129">
        <v>0.1</v>
      </c>
      <c r="B44" s="129">
        <f>B20-'Sub C_D_0'!U12</f>
        <v>3.972459378715941E-2</v>
      </c>
      <c r="C44" s="129">
        <f>'C_L vs. α'!Y318</f>
        <v>0.10702619135747343</v>
      </c>
      <c r="D44" s="247">
        <f>'C_L vs. α'!AA318</f>
        <v>0.38371367545476148</v>
      </c>
      <c r="E44" s="144">
        <v>-2</v>
      </c>
      <c r="F44" s="14">
        <f t="shared" si="38"/>
        <v>0.2762823144922939</v>
      </c>
      <c r="G44" s="6">
        <f t="shared" si="39"/>
        <v>5.1031029569410503E-2</v>
      </c>
      <c r="H44" s="14">
        <f t="shared" si="40"/>
        <v>0.27668748409728805</v>
      </c>
      <c r="I44" s="6">
        <f t="shared" si="41"/>
        <v>4.6832308435253225E-2</v>
      </c>
      <c r="J44" s="14">
        <f t="shared" si="42"/>
        <v>0.27755716794620272</v>
      </c>
      <c r="K44" s="6">
        <f t="shared" si="43"/>
        <v>4.4713141664615187E-2</v>
      </c>
      <c r="L44" s="14">
        <f t="shared" si="44"/>
        <v>0.27886539037881142</v>
      </c>
      <c r="M44" s="6">
        <f t="shared" si="45"/>
        <v>4.3371002585163465E-2</v>
      </c>
      <c r="N44" s="14">
        <f t="shared" si="46"/>
        <v>0.28061775184594662</v>
      </c>
      <c r="O44" s="6">
        <f t="shared" si="47"/>
        <v>4.2440752575115148E-2</v>
      </c>
      <c r="P44" s="14">
        <f t="shared" si="48"/>
        <v>0.28294387475071087</v>
      </c>
      <c r="Q44" s="6">
        <f t="shared" si="49"/>
        <v>4.2265714042031756E-2</v>
      </c>
      <c r="R44" s="14">
        <f t="shared" si="50"/>
        <v>0.28564882235938976</v>
      </c>
      <c r="S44" s="6">
        <f t="shared" si="51"/>
        <v>4.1775420273565449E-2</v>
      </c>
      <c r="T44" s="14">
        <f t="shared" si="52"/>
        <v>0.28889049463109184</v>
      </c>
      <c r="U44" s="6">
        <f t="shared" si="53"/>
        <v>4.1437763281118985E-2</v>
      </c>
      <c r="V44" s="14">
        <f t="shared" si="54"/>
        <v>0.29272471324562788</v>
      </c>
      <c r="W44" s="6">
        <f t="shared" si="55"/>
        <v>4.1232888875973629E-2</v>
      </c>
      <c r="X44" s="14">
        <f t="shared" si="56"/>
        <v>0.2972243235969575</v>
      </c>
      <c r="Y44" s="6">
        <f t="shared" si="57"/>
        <v>4.1153586194056603E-2</v>
      </c>
      <c r="Z44" s="14">
        <f t="shared" si="58"/>
        <v>0.30248543771785019</v>
      </c>
      <c r="AA44" s="6">
        <f t="shared" si="59"/>
        <v>4.1203008849025363E-2</v>
      </c>
      <c r="AB44" s="14">
        <f t="shared" si="60"/>
        <v>0.30863838683571743</v>
      </c>
      <c r="AC44" s="6">
        <f t="shared" si="61"/>
        <v>4.1395137527952035E-2</v>
      </c>
      <c r="AD44" s="14">
        <f t="shared" si="62"/>
        <v>0.31582679530894409</v>
      </c>
      <c r="AE44" s="6">
        <f t="shared" si="63"/>
        <v>4.2242336995367891E-2</v>
      </c>
      <c r="AF44" s="14">
        <f t="shared" si="64"/>
        <v>0.32433686096799186</v>
      </c>
      <c r="AG44" s="6">
        <f t="shared" si="65"/>
        <v>4.2818597223922249E-2</v>
      </c>
      <c r="AH44" s="14">
        <f t="shared" si="66"/>
        <v>0.3346578473215171</v>
      </c>
      <c r="AI44" s="6">
        <f t="shared" si="67"/>
        <v>4.370241571918744E-2</v>
      </c>
      <c r="AJ44" s="14">
        <f t="shared" si="68"/>
        <v>0.34780750370069735</v>
      </c>
      <c r="AK44">
        <f t="shared" si="69"/>
        <v>5.8428098972141795E-2</v>
      </c>
      <c r="AL44" s="14">
        <f t="shared" si="70"/>
        <v>0.36557728810836299</v>
      </c>
      <c r="AM44">
        <f t="shared" si="71"/>
        <v>5.9949057773285949E-2</v>
      </c>
      <c r="AN44" s="14">
        <f t="shared" si="72"/>
        <v>0.40037267605370741</v>
      </c>
      <c r="AO44">
        <f t="shared" si="73"/>
        <v>6.2424323540604433E-2</v>
      </c>
      <c r="AP44" s="14">
        <f t="shared" si="74"/>
        <v>0.5358252914697923</v>
      </c>
      <c r="AQ44">
        <f t="shared" si="75"/>
        <v>7.5016731258702077E-2</v>
      </c>
    </row>
    <row r="45" spans="1:43" x14ac:dyDescent="0.25">
      <c r="A45" s="139">
        <v>0.15</v>
      </c>
      <c r="B45" s="129">
        <f>B21-'Sub C_D_0'!U13</f>
        <v>3.754491824567617E-2</v>
      </c>
      <c r="C45" s="129">
        <f>'C_L vs. α'!Y319</f>
        <v>0.10827596603248536</v>
      </c>
      <c r="D45" s="247">
        <f>'C_L vs. α'!AA319</f>
        <v>0.38583313397868807</v>
      </c>
      <c r="E45" s="143">
        <v>0</v>
      </c>
      <c r="F45" s="83">
        <f t="shared" si="38"/>
        <v>0.4886349121518293</v>
      </c>
      <c r="G45" s="21">
        <f t="shared" si="39"/>
        <v>6.3265608950961838E-2</v>
      </c>
      <c r="H45" s="83">
        <f t="shared" si="40"/>
        <v>0.49073986681223492</v>
      </c>
      <c r="I45" s="21">
        <f t="shared" si="41"/>
        <v>5.9200996305561776E-2</v>
      </c>
      <c r="J45" s="83">
        <f t="shared" si="42"/>
        <v>0.49410910001117342</v>
      </c>
      <c r="K45" s="21">
        <f t="shared" si="43"/>
        <v>5.7289673955861597E-2</v>
      </c>
      <c r="L45" s="83">
        <f t="shared" si="44"/>
        <v>0.49885489981862841</v>
      </c>
      <c r="M45" s="21">
        <f t="shared" si="45"/>
        <v>5.6239761001848645E-2</v>
      </c>
      <c r="N45" s="83">
        <f t="shared" si="46"/>
        <v>0.50509937002423888</v>
      </c>
      <c r="O45" s="21">
        <f t="shared" si="47"/>
        <v>5.5697297948754013E-2</v>
      </c>
      <c r="P45" s="83">
        <f t="shared" si="48"/>
        <v>0.51288979003741697</v>
      </c>
      <c r="Q45" s="21">
        <f t="shared" si="49"/>
        <v>5.6007950879686789E-2</v>
      </c>
      <c r="R45" s="83">
        <f t="shared" si="50"/>
        <v>0.52265877701806973</v>
      </c>
      <c r="S45" s="21">
        <f t="shared" si="51"/>
        <v>5.6145437792768843E-2</v>
      </c>
      <c r="T45" s="83">
        <f t="shared" si="52"/>
        <v>0.53456382774591882</v>
      </c>
      <c r="U45" s="21">
        <f t="shared" si="53"/>
        <v>5.6591419986452833E-2</v>
      </c>
      <c r="V45" s="83">
        <f t="shared" si="54"/>
        <v>0.54896709197210813</v>
      </c>
      <c r="W45" s="21">
        <f t="shared" si="55"/>
        <v>5.736224135263833E-2</v>
      </c>
      <c r="X45" s="83">
        <f t="shared" si="56"/>
        <v>0.56635328650027938</v>
      </c>
      <c r="Y45" s="21">
        <f t="shared" si="57"/>
        <v>5.8501083627066366E-2</v>
      </c>
      <c r="Z45" s="83">
        <f t="shared" si="58"/>
        <v>0.58737983457742915</v>
      </c>
      <c r="AA45" s="21">
        <f t="shared" si="59"/>
        <v>6.0082562124266589E-2</v>
      </c>
      <c r="AB45" s="83">
        <f t="shared" si="60"/>
        <v>0.61295438917720446</v>
      </c>
      <c r="AC45" s="21">
        <f t="shared" si="61"/>
        <v>6.2224375784464131E-2</v>
      </c>
      <c r="AD45" s="83">
        <f t="shared" si="62"/>
        <v>0.64439982601768842</v>
      </c>
      <c r="AE45" s="21">
        <f t="shared" si="63"/>
        <v>6.5599080707417712E-2</v>
      </c>
      <c r="AF45" s="83">
        <f t="shared" si="64"/>
        <v>0.68357035932403065</v>
      </c>
      <c r="AG45" s="21">
        <f t="shared" si="65"/>
        <v>6.9519805669152501E-2</v>
      </c>
      <c r="AH45" s="83">
        <f t="shared" si="66"/>
        <v>0.73323250485268776</v>
      </c>
      <c r="AI45" s="21">
        <f t="shared" si="67"/>
        <v>7.4947680251239518E-2</v>
      </c>
      <c r="AJ45" s="83">
        <f t="shared" si="68"/>
        <v>0.79758786836742335</v>
      </c>
      <c r="AK45" s="99">
        <f t="shared" si="69"/>
        <v>0.11039572319455027</v>
      </c>
      <c r="AL45" s="83">
        <f t="shared" si="70"/>
        <v>0.88378740653980015</v>
      </c>
      <c r="AM45" s="99">
        <f t="shared" si="71"/>
        <v>0.1252579119796807</v>
      </c>
      <c r="AN45" s="83">
        <f t="shared" si="72"/>
        <v>0.99600020359824848</v>
      </c>
      <c r="AO45" s="99">
        <f t="shared" si="73"/>
        <v>0.14632261424986459</v>
      </c>
      <c r="AP45" s="83">
        <f t="shared" si="74"/>
        <v>1.0819526771107537</v>
      </c>
      <c r="AQ45" s="99">
        <f t="shared" si="75"/>
        <v>0.16413973560848938</v>
      </c>
    </row>
    <row r="46" spans="1:43" x14ac:dyDescent="0.25">
      <c r="A46" s="129">
        <v>0.2</v>
      </c>
      <c r="B46" s="129">
        <f>B22-'Sub C_D_0'!U14</f>
        <v>3.611389649092854E-2</v>
      </c>
      <c r="C46" s="129">
        <f>'C_L vs. α'!Y320</f>
        <v>0.10999475471990849</v>
      </c>
      <c r="D46" s="247">
        <f>'C_L vs. α'!AA320</f>
        <v>0.38886014509871991</v>
      </c>
      <c r="E46" s="144">
        <v>2</v>
      </c>
      <c r="F46" s="14">
        <f t="shared" si="38"/>
        <v>0.70098750981136471</v>
      </c>
      <c r="G46" s="6">
        <f t="shared" si="39"/>
        <v>8.4597689044192792E-2</v>
      </c>
      <c r="H46" s="14">
        <f t="shared" si="40"/>
        <v>0.70479224952718178</v>
      </c>
      <c r="I46" s="6">
        <f t="shared" si="41"/>
        <v>8.081341042201752E-2</v>
      </c>
      <c r="J46" s="14">
        <f t="shared" si="42"/>
        <v>0.71066103207614417</v>
      </c>
      <c r="K46" s="6">
        <f t="shared" si="43"/>
        <v>7.932707609403436E-2</v>
      </c>
      <c r="L46" s="14">
        <f t="shared" si="44"/>
        <v>0.71884440925844539</v>
      </c>
      <c r="M46" s="6">
        <f t="shared" si="45"/>
        <v>7.8872139788941656E-2</v>
      </c>
      <c r="N46" s="14">
        <f t="shared" si="46"/>
        <v>0.72958098820253126</v>
      </c>
      <c r="O46" s="6">
        <f t="shared" si="47"/>
        <v>7.912027416956309E-2</v>
      </c>
      <c r="P46" s="14">
        <f t="shared" si="48"/>
        <v>0.74283570532412324</v>
      </c>
      <c r="Q46" s="6">
        <f t="shared" si="49"/>
        <v>8.0417581833755622E-2</v>
      </c>
      <c r="R46" s="14">
        <f t="shared" si="50"/>
        <v>0.75966873167674986</v>
      </c>
      <c r="S46" s="6">
        <f t="shared" si="51"/>
        <v>8.1848330783915263E-2</v>
      </c>
      <c r="T46" s="14">
        <f t="shared" si="52"/>
        <v>0.7802371608607459</v>
      </c>
      <c r="U46" s="6">
        <f t="shared" si="53"/>
        <v>8.3921590858898609E-2</v>
      </c>
      <c r="V46" s="14">
        <f t="shared" si="54"/>
        <v>0.80520947069858839</v>
      </c>
      <c r="W46" s="6">
        <f t="shared" si="55"/>
        <v>8.6738329087223925E-2</v>
      </c>
      <c r="X46" s="14">
        <f t="shared" si="56"/>
        <v>0.83548224940360116</v>
      </c>
      <c r="Y46" s="6">
        <f t="shared" si="57"/>
        <v>9.0461191884138897E-2</v>
      </c>
      <c r="Z46" s="14">
        <f t="shared" si="58"/>
        <v>0.87227423143700811</v>
      </c>
      <c r="AA46" s="6">
        <f t="shared" si="59"/>
        <v>9.5336868409835726E-2</v>
      </c>
      <c r="AB46" s="14">
        <f t="shared" si="60"/>
        <v>0.91727039151869161</v>
      </c>
      <c r="AC46" s="6">
        <f t="shared" si="61"/>
        <v>0.101737040314688</v>
      </c>
      <c r="AD46" s="14">
        <f t="shared" si="62"/>
        <v>0.97297285672643263</v>
      </c>
      <c r="AE46" s="6">
        <f t="shared" si="63"/>
        <v>0.11073647107440114</v>
      </c>
      <c r="AF46" s="14">
        <f t="shared" si="64"/>
        <v>1.0428038576800696</v>
      </c>
      <c r="AG46" s="6">
        <f t="shared" si="65"/>
        <v>0.12225619488998714</v>
      </c>
      <c r="AH46" s="14">
        <f t="shared" si="66"/>
        <v>1.1318071623838586</v>
      </c>
      <c r="AI46" s="6">
        <f t="shared" si="67"/>
        <v>0.13824281723371903</v>
      </c>
      <c r="AJ46" s="14">
        <f t="shared" si="68"/>
        <v>1.2473682330341496</v>
      </c>
      <c r="AK46">
        <f t="shared" si="69"/>
        <v>0.20317723150209221</v>
      </c>
      <c r="AL46" s="14">
        <f t="shared" si="70"/>
        <v>1.4019975249712373</v>
      </c>
      <c r="AM46">
        <f t="shared" si="71"/>
        <v>0.24474423609200724</v>
      </c>
      <c r="AN46" s="14">
        <f t="shared" si="72"/>
        <v>1.5916277311427895</v>
      </c>
      <c r="AO46">
        <f t="shared" si="73"/>
        <v>0.30179509862697268</v>
      </c>
      <c r="AP46" s="14">
        <f t="shared" si="74"/>
        <v>1.6280800627517151</v>
      </c>
      <c r="AQ46">
        <f t="shared" si="75"/>
        <v>0.31343479608872721</v>
      </c>
    </row>
    <row r="47" spans="1:43" x14ac:dyDescent="0.25">
      <c r="A47" s="139">
        <v>0.25</v>
      </c>
      <c r="B47" s="129">
        <f>B23-'Sub C_D_0'!U15</f>
        <v>3.5064424530771757E-2</v>
      </c>
      <c r="C47" s="129">
        <f>'C_L vs. α'!Y321</f>
        <v>0.11224080908914616</v>
      </c>
      <c r="D47" s="247">
        <f>'C_L vs. α'!AA321</f>
        <v>0.39285856093509275</v>
      </c>
      <c r="E47" s="144">
        <v>4</v>
      </c>
      <c r="F47" s="14">
        <f t="shared" si="38"/>
        <v>0.9133401074709</v>
      </c>
      <c r="G47" s="6">
        <f t="shared" si="39"/>
        <v>0.11502726984910334</v>
      </c>
      <c r="H47" s="14">
        <f t="shared" si="40"/>
        <v>0.91884463224212864</v>
      </c>
      <c r="I47" s="6">
        <f t="shared" si="41"/>
        <v>0.11166955078462042</v>
      </c>
      <c r="J47" s="14">
        <f t="shared" si="42"/>
        <v>0.92721296414111487</v>
      </c>
      <c r="K47" s="6">
        <f t="shared" si="43"/>
        <v>0.11082534807913344</v>
      </c>
      <c r="L47" s="14">
        <f t="shared" si="44"/>
        <v>0.93883391869826238</v>
      </c>
      <c r="M47" s="6">
        <f t="shared" si="45"/>
        <v>0.11126813894644247</v>
      </c>
      <c r="N47" s="14">
        <f t="shared" si="46"/>
        <v>0.95406260638082352</v>
      </c>
      <c r="O47" s="6">
        <f t="shared" si="47"/>
        <v>0.11270968123754237</v>
      </c>
      <c r="P47" s="14">
        <f t="shared" si="48"/>
        <v>0.9727816206108294</v>
      </c>
      <c r="Q47" s="6">
        <f t="shared" si="49"/>
        <v>0.11549460690423823</v>
      </c>
      <c r="R47" s="14">
        <f t="shared" si="50"/>
        <v>0.99667868633542989</v>
      </c>
      <c r="S47" s="6">
        <f t="shared" si="51"/>
        <v>0.1188840992470047</v>
      </c>
      <c r="T47" s="14">
        <f t="shared" si="52"/>
        <v>1.0259104939755728</v>
      </c>
      <c r="U47" s="6">
        <f t="shared" si="53"/>
        <v>0.12342827589845626</v>
      </c>
      <c r="V47" s="14">
        <f t="shared" si="54"/>
        <v>1.0614518494250686</v>
      </c>
      <c r="W47" s="6">
        <f t="shared" si="55"/>
        <v>0.12936115207973045</v>
      </c>
      <c r="X47" s="14">
        <f t="shared" si="56"/>
        <v>1.1046112123069229</v>
      </c>
      <c r="Y47" s="6">
        <f t="shared" si="57"/>
        <v>0.1370339109652742</v>
      </c>
      <c r="Z47" s="14">
        <f t="shared" si="58"/>
        <v>1.1571686282965872</v>
      </c>
      <c r="AA47" s="6">
        <f t="shared" si="59"/>
        <v>0.14696592770573277</v>
      </c>
      <c r="AB47" s="14">
        <f t="shared" si="60"/>
        <v>1.2215863938601785</v>
      </c>
      <c r="AC47" s="6">
        <f t="shared" si="61"/>
        <v>0.15993313111862356</v>
      </c>
      <c r="AD47" s="14">
        <f t="shared" si="62"/>
        <v>1.3015458874351769</v>
      </c>
      <c r="AE47" s="6">
        <f t="shared" si="63"/>
        <v>0.17765450809631819</v>
      </c>
      <c r="AF47" s="14">
        <f t="shared" si="64"/>
        <v>1.4020373560361084</v>
      </c>
      <c r="AG47" s="6">
        <f t="shared" si="65"/>
        <v>0.20102776488642615</v>
      </c>
      <c r="AH47" s="14">
        <f t="shared" si="66"/>
        <v>1.5303818199150294</v>
      </c>
      <c r="AI47" s="6">
        <f t="shared" si="67"/>
        <v>0.23358782666662603</v>
      </c>
      <c r="AJ47" s="14">
        <f t="shared" si="68"/>
        <v>1.6971485977008753</v>
      </c>
      <c r="AK47">
        <f t="shared" si="69"/>
        <v>0.33677262389476742</v>
      </c>
      <c r="AL47" s="14">
        <f t="shared" si="70"/>
        <v>1.9202076434026742</v>
      </c>
      <c r="AM47">
        <f t="shared" si="71"/>
        <v>0.41840803011026562</v>
      </c>
      <c r="AN47" s="14">
        <f t="shared" si="72"/>
        <v>2.1872552586873306</v>
      </c>
      <c r="AO47">
        <f t="shared" si="73"/>
        <v>0.52884177667192867</v>
      </c>
      <c r="AP47" s="14">
        <f t="shared" si="74"/>
        <v>2.1742074483926763</v>
      </c>
      <c r="AQ47">
        <f t="shared" si="75"/>
        <v>0.52290191269941533</v>
      </c>
    </row>
    <row r="48" spans="1:43" x14ac:dyDescent="0.25">
      <c r="A48" s="129">
        <v>0.3</v>
      </c>
      <c r="B48" s="129">
        <f>B24-'Sub C_D_0'!U16</f>
        <v>3.4733705328472378E-2</v>
      </c>
      <c r="C48" s="129">
        <f>'C_L vs. α'!Y322</f>
        <v>0.11497295764335308</v>
      </c>
      <c r="D48" s="247">
        <f>'C_L vs. α'!AA322</f>
        <v>0.39791683239406395</v>
      </c>
      <c r="E48" s="144">
        <v>6</v>
      </c>
      <c r="F48" s="14">
        <f t="shared" si="38"/>
        <v>1.1256927051304355</v>
      </c>
      <c r="G48" s="6">
        <f t="shared" si="39"/>
        <v>0.15455435136569357</v>
      </c>
      <c r="H48" s="14">
        <f t="shared" si="40"/>
        <v>1.1328970149570754</v>
      </c>
      <c r="I48" s="6">
        <f t="shared" si="41"/>
        <v>0.15176941739337046</v>
      </c>
      <c r="J48" s="14">
        <f t="shared" si="42"/>
        <v>1.1437648962060856</v>
      </c>
      <c r="K48" s="6">
        <f t="shared" si="43"/>
        <v>0.15178448991115887</v>
      </c>
      <c r="L48" s="14">
        <f t="shared" si="44"/>
        <v>1.1588234281380794</v>
      </c>
      <c r="M48" s="6">
        <f t="shared" si="45"/>
        <v>0.15342775847435111</v>
      </c>
      <c r="N48" s="14">
        <f t="shared" si="46"/>
        <v>1.1785442245591158</v>
      </c>
      <c r="O48" s="6">
        <f t="shared" si="47"/>
        <v>0.15646551915269186</v>
      </c>
      <c r="P48" s="14">
        <f t="shared" si="48"/>
        <v>1.2027275358975356</v>
      </c>
      <c r="Q48" s="6">
        <f t="shared" si="49"/>
        <v>0.16123902609113458</v>
      </c>
      <c r="R48" s="14">
        <f t="shared" si="50"/>
        <v>1.2336886409941097</v>
      </c>
      <c r="S48" s="6">
        <f t="shared" si="51"/>
        <v>0.16725274318203709</v>
      </c>
      <c r="T48" s="14">
        <f t="shared" si="52"/>
        <v>1.2715838270903999</v>
      </c>
      <c r="U48" s="6">
        <f t="shared" si="53"/>
        <v>0.17511147510512581</v>
      </c>
      <c r="V48" s="14">
        <f t="shared" si="54"/>
        <v>1.3176942281515489</v>
      </c>
      <c r="W48" s="6">
        <f t="shared" si="55"/>
        <v>0.18523071033015784</v>
      </c>
      <c r="X48" s="14">
        <f t="shared" si="56"/>
        <v>1.3737401752102449</v>
      </c>
      <c r="Y48" s="6">
        <f t="shared" si="57"/>
        <v>0.1982192408704723</v>
      </c>
      <c r="Z48" s="14">
        <f t="shared" si="58"/>
        <v>1.4420630251561661</v>
      </c>
      <c r="AA48" s="6">
        <f t="shared" si="59"/>
        <v>0.21496974001195773</v>
      </c>
      <c r="AB48" s="14">
        <f t="shared" si="60"/>
        <v>1.5259023962016658</v>
      </c>
      <c r="AC48" s="6">
        <f t="shared" si="61"/>
        <v>0.23681264819627099</v>
      </c>
      <c r="AD48" s="14">
        <f t="shared" si="62"/>
        <v>1.6301189181439211</v>
      </c>
      <c r="AE48" s="6">
        <f t="shared" si="63"/>
        <v>0.26635319177316885</v>
      </c>
      <c r="AF48" s="14">
        <f t="shared" si="64"/>
        <v>1.7612708543921474</v>
      </c>
      <c r="AG48" s="6">
        <f t="shared" si="65"/>
        <v>0.30583451565846959</v>
      </c>
      <c r="AH48" s="14">
        <f t="shared" si="66"/>
        <v>1.9289564774461998</v>
      </c>
      <c r="AI48" s="6">
        <f t="shared" si="67"/>
        <v>0.36098270854996023</v>
      </c>
      <c r="AJ48" s="14">
        <f t="shared" si="68"/>
        <v>2.1469289623676016</v>
      </c>
      <c r="AK48">
        <f t="shared" si="69"/>
        <v>0.51118190037257616</v>
      </c>
      <c r="AL48" s="14">
        <f t="shared" si="70"/>
        <v>2.4384177618341116</v>
      </c>
      <c r="AM48">
        <f t="shared" si="71"/>
        <v>0.64624929403445586</v>
      </c>
      <c r="AN48" s="14">
        <f t="shared" si="72"/>
        <v>2.7828827862318719</v>
      </c>
      <c r="AO48">
        <f t="shared" si="73"/>
        <v>0.8274626483847326</v>
      </c>
      <c r="AP48" s="14">
        <f t="shared" si="74"/>
        <v>2.720334834033638</v>
      </c>
      <c r="AQ48">
        <f t="shared" si="75"/>
        <v>0.79254108544055413</v>
      </c>
    </row>
    <row r="49" spans="1:43" x14ac:dyDescent="0.25">
      <c r="A49" s="139">
        <v>0.35</v>
      </c>
      <c r="B49" s="129">
        <f>B25-'Sub C_D_0'!U17</f>
        <v>3.4053055186881814E-2</v>
      </c>
      <c r="C49" s="129">
        <f>'C_L vs. α'!Y323</f>
        <v>0.11850497732934001</v>
      </c>
      <c r="D49" s="247">
        <f>'C_L vs. α'!AA323</f>
        <v>0.40415379968872978</v>
      </c>
      <c r="E49" s="144">
        <v>8</v>
      </c>
      <c r="F49" s="14">
        <f t="shared" si="38"/>
        <v>1.3380453027899708</v>
      </c>
      <c r="G49" s="6">
        <f t="shared" si="39"/>
        <v>0.20317893359396336</v>
      </c>
      <c r="H49" s="14">
        <f t="shared" si="40"/>
        <v>1.3469493976720224</v>
      </c>
      <c r="I49" s="6">
        <f t="shared" si="41"/>
        <v>0.20111301024826772</v>
      </c>
      <c r="J49" s="14">
        <f t="shared" si="42"/>
        <v>1.3603168282710563</v>
      </c>
      <c r="K49" s="6">
        <f t="shared" si="43"/>
        <v>0.20220450159011066</v>
      </c>
      <c r="L49" s="14">
        <f t="shared" si="44"/>
        <v>1.3788129375778964</v>
      </c>
      <c r="M49" s="6">
        <f t="shared" si="45"/>
        <v>0.20535099837266763</v>
      </c>
      <c r="N49" s="14">
        <f t="shared" si="46"/>
        <v>1.4030258427374083</v>
      </c>
      <c r="O49" s="6">
        <f t="shared" si="47"/>
        <v>0.21038778791501159</v>
      </c>
      <c r="P49" s="14">
        <f t="shared" si="48"/>
        <v>1.4326734511842418</v>
      </c>
      <c r="Q49" s="6">
        <f t="shared" si="49"/>
        <v>0.21765083939444477</v>
      </c>
      <c r="R49" s="14">
        <f t="shared" si="50"/>
        <v>1.4706985956527898</v>
      </c>
      <c r="S49" s="6">
        <f t="shared" si="51"/>
        <v>0.22695426258901263</v>
      </c>
      <c r="T49" s="14">
        <f t="shared" si="52"/>
        <v>1.5172571602052269</v>
      </c>
      <c r="U49" s="6">
        <f t="shared" si="53"/>
        <v>0.23897118847890733</v>
      </c>
      <c r="V49" s="14">
        <f t="shared" si="54"/>
        <v>1.5739366068780292</v>
      </c>
      <c r="W49" s="6">
        <f t="shared" si="55"/>
        <v>0.25434700383850617</v>
      </c>
      <c r="X49" s="14">
        <f t="shared" si="56"/>
        <v>1.6428691381135667</v>
      </c>
      <c r="Y49" s="6">
        <f t="shared" si="57"/>
        <v>0.27401718159973321</v>
      </c>
      <c r="Z49" s="14">
        <f t="shared" si="58"/>
        <v>1.7269574220157451</v>
      </c>
      <c r="AA49" s="6">
        <f t="shared" si="59"/>
        <v>0.29934830532851064</v>
      </c>
      <c r="AB49" s="14">
        <f t="shared" si="60"/>
        <v>1.8302183985431528</v>
      </c>
      <c r="AC49" s="6">
        <f t="shared" si="61"/>
        <v>0.33237559154763013</v>
      </c>
      <c r="AD49" s="14">
        <f t="shared" si="62"/>
        <v>1.9586919488526655</v>
      </c>
      <c r="AE49" s="6">
        <f t="shared" si="63"/>
        <v>0.37683252210495322</v>
      </c>
      <c r="AF49" s="14">
        <f t="shared" si="64"/>
        <v>2.1205043527481862</v>
      </c>
      <c r="AG49" s="6">
        <f t="shared" si="65"/>
        <v>0.43667644720611737</v>
      </c>
      <c r="AH49" s="14">
        <f t="shared" si="66"/>
        <v>2.3275311349773706</v>
      </c>
      <c r="AI49" s="6">
        <f t="shared" si="67"/>
        <v>0.52042746288372199</v>
      </c>
      <c r="AJ49" s="14">
        <f t="shared" si="68"/>
        <v>2.5967093270343278</v>
      </c>
      <c r="AK49">
        <f t="shared" si="69"/>
        <v>0.72640506093551849</v>
      </c>
      <c r="AL49" s="14">
        <f t="shared" si="70"/>
        <v>2.9566278802655486</v>
      </c>
      <c r="AM49">
        <f t="shared" si="71"/>
        <v>0.92826802786457785</v>
      </c>
      <c r="AN49" s="14">
        <f t="shared" si="72"/>
        <v>3.3785103137764128</v>
      </c>
      <c r="AO49">
        <f t="shared" si="73"/>
        <v>1.1976577137653845</v>
      </c>
      <c r="AP49" s="14">
        <f t="shared" si="74"/>
        <v>3.2664622196745992</v>
      </c>
      <c r="AQ49">
        <f t="shared" si="75"/>
        <v>1.1223523143121434</v>
      </c>
    </row>
    <row r="50" spans="1:43" x14ac:dyDescent="0.25">
      <c r="A50" s="129">
        <v>0.4</v>
      </c>
      <c r="B50" s="129">
        <f>B26-'Sub C_D_0'!U18</f>
        <v>3.3481140576659546E-2</v>
      </c>
      <c r="C50" s="129">
        <f>'C_L vs. α'!Y324</f>
        <v>0.1228366665574135</v>
      </c>
      <c r="D50" s="247">
        <f>'C_L vs. α'!AA324</f>
        <v>0.41172716118850533</v>
      </c>
      <c r="E50" s="144">
        <v>10</v>
      </c>
      <c r="F50" s="14">
        <f t="shared" si="38"/>
        <v>1.5503979004495061</v>
      </c>
      <c r="G50" s="6">
        <f t="shared" si="39"/>
        <v>0.26090101653391279</v>
      </c>
      <c r="H50" s="14">
        <f t="shared" si="40"/>
        <v>1.5610017803869691</v>
      </c>
      <c r="I50" s="6">
        <f t="shared" si="41"/>
        <v>0.25970032934931214</v>
      </c>
      <c r="J50" s="14">
        <f t="shared" si="42"/>
        <v>1.576868760336027</v>
      </c>
      <c r="K50" s="6">
        <f t="shared" si="43"/>
        <v>0.26208538311598878</v>
      </c>
      <c r="L50" s="14">
        <f t="shared" si="44"/>
        <v>1.5988024470177133</v>
      </c>
      <c r="M50" s="6">
        <f t="shared" si="45"/>
        <v>0.2670378586413919</v>
      </c>
      <c r="N50" s="14">
        <f t="shared" si="46"/>
        <v>1.6275074609157005</v>
      </c>
      <c r="O50" s="6">
        <f t="shared" si="47"/>
        <v>0.27447648752450149</v>
      </c>
      <c r="P50" s="14">
        <f t="shared" si="48"/>
        <v>1.6626193664709477</v>
      </c>
      <c r="Q50" s="6">
        <f t="shared" si="49"/>
        <v>0.28473004681416864</v>
      </c>
      <c r="R50" s="14">
        <f t="shared" si="50"/>
        <v>1.70770855031147</v>
      </c>
      <c r="S50" s="6">
        <f t="shared" si="51"/>
        <v>0.29798865746793113</v>
      </c>
      <c r="T50" s="14">
        <f t="shared" si="52"/>
        <v>1.7629304933200538</v>
      </c>
      <c r="U50" s="6">
        <f t="shared" si="53"/>
        <v>0.31500741601980065</v>
      </c>
      <c r="V50" s="14">
        <f t="shared" si="54"/>
        <v>1.8301789856045094</v>
      </c>
      <c r="W50" s="6">
        <f t="shared" si="55"/>
        <v>0.33671003260477533</v>
      </c>
      <c r="X50" s="14">
        <f t="shared" si="56"/>
        <v>1.9119981010168885</v>
      </c>
      <c r="Y50" s="6">
        <f t="shared" si="57"/>
        <v>0.36442773315305677</v>
      </c>
      <c r="Z50" s="14">
        <f t="shared" si="58"/>
        <v>2.011851818875324</v>
      </c>
      <c r="AA50" s="6">
        <f t="shared" si="59"/>
        <v>0.40010162365539137</v>
      </c>
      <c r="AB50" s="14">
        <f t="shared" si="60"/>
        <v>2.1345344008846396</v>
      </c>
      <c r="AC50" s="6">
        <f t="shared" si="61"/>
        <v>0.44662196117270081</v>
      </c>
      <c r="AD50" s="14">
        <f t="shared" si="62"/>
        <v>2.2872649795614097</v>
      </c>
      <c r="AE50" s="6">
        <f t="shared" si="63"/>
        <v>0.50909249909167109</v>
      </c>
      <c r="AF50" s="14">
        <f t="shared" si="64"/>
        <v>2.479737851104225</v>
      </c>
      <c r="AG50" s="6">
        <f t="shared" si="65"/>
        <v>0.5935535595293695</v>
      </c>
      <c r="AH50" s="14">
        <f t="shared" si="66"/>
        <v>2.7261057925085415</v>
      </c>
      <c r="AI50" s="6">
        <f t="shared" si="67"/>
        <v>0.71192208966791126</v>
      </c>
      <c r="AJ50" s="14">
        <f t="shared" si="68"/>
        <v>3.0464896917010535</v>
      </c>
      <c r="AK50">
        <f t="shared" si="69"/>
        <v>0.98244210558359379</v>
      </c>
      <c r="AL50" s="14">
        <f t="shared" si="70"/>
        <v>3.474837998696986</v>
      </c>
      <c r="AM50">
        <f t="shared" si="71"/>
        <v>1.2644642316006318</v>
      </c>
      <c r="AN50" s="14">
        <f t="shared" si="72"/>
        <v>3.974137841320954</v>
      </c>
      <c r="AO50">
        <f t="shared" si="73"/>
        <v>1.6394269728138844</v>
      </c>
      <c r="AP50" s="14">
        <f t="shared" si="74"/>
        <v>3.8125896053155608</v>
      </c>
      <c r="AQ50">
        <f t="shared" si="75"/>
        <v>1.5123355993141832</v>
      </c>
    </row>
    <row r="51" spans="1:43" x14ac:dyDescent="0.25">
      <c r="A51" s="139">
        <v>0.45</v>
      </c>
      <c r="B51" s="129">
        <f>B27-'Sub C_D_0'!U19</f>
        <v>3.2989819716299572E-2</v>
      </c>
      <c r="C51" s="129">
        <f>'C_L vs. α'!Y325</f>
        <v>0.12812118936324013</v>
      </c>
      <c r="D51" s="247">
        <f>'C_L vs. α'!AA325</f>
        <v>0.42084590260886801</v>
      </c>
      <c r="E51" s="144">
        <v>12</v>
      </c>
      <c r="F51" s="14">
        <f t="shared" si="38"/>
        <v>1.7627504981090414</v>
      </c>
      <c r="G51" s="6">
        <f t="shared" si="39"/>
        <v>0.32772060018554178</v>
      </c>
      <c r="H51" s="14">
        <f t="shared" si="40"/>
        <v>1.7750541631019161</v>
      </c>
      <c r="I51" s="6">
        <f t="shared" si="41"/>
        <v>0.32753137469650384</v>
      </c>
      <c r="J51" s="14">
        <f t="shared" si="42"/>
        <v>1.7934206924009977</v>
      </c>
      <c r="K51" s="6">
        <f t="shared" si="43"/>
        <v>0.33142713448879324</v>
      </c>
      <c r="L51" s="14">
        <f t="shared" si="44"/>
        <v>1.8187919564575303</v>
      </c>
      <c r="M51" s="6">
        <f t="shared" si="45"/>
        <v>0.33848833928052408</v>
      </c>
      <c r="N51" s="14">
        <f t="shared" si="46"/>
        <v>1.8519890790939928</v>
      </c>
      <c r="O51" s="6">
        <f t="shared" si="47"/>
        <v>0.34873161798116153</v>
      </c>
      <c r="P51" s="14">
        <f t="shared" si="48"/>
        <v>1.8925652817576539</v>
      </c>
      <c r="Q51" s="6">
        <f t="shared" si="49"/>
        <v>0.36247664835030635</v>
      </c>
      <c r="R51" s="14">
        <f t="shared" si="50"/>
        <v>1.9447185049701501</v>
      </c>
      <c r="S51" s="6">
        <f t="shared" si="51"/>
        <v>0.38035592781879268</v>
      </c>
      <c r="T51" s="14">
        <f t="shared" si="52"/>
        <v>2.0086038264348809</v>
      </c>
      <c r="U51" s="6">
        <f t="shared" si="53"/>
        <v>0.40322015772780595</v>
      </c>
      <c r="V51" s="14">
        <f t="shared" si="54"/>
        <v>2.0864213643309899</v>
      </c>
      <c r="W51" s="6">
        <f t="shared" si="55"/>
        <v>0.43231979662896552</v>
      </c>
      <c r="X51" s="14">
        <f t="shared" si="56"/>
        <v>2.1811270639202105</v>
      </c>
      <c r="Y51" s="6">
        <f t="shared" si="57"/>
        <v>0.46945089553044328</v>
      </c>
      <c r="Z51" s="14">
        <f t="shared" si="58"/>
        <v>2.296746215734903</v>
      </c>
      <c r="AA51" s="6">
        <f t="shared" si="59"/>
        <v>0.51722969499260008</v>
      </c>
      <c r="AB51" s="14">
        <f t="shared" si="60"/>
        <v>2.4388504032261271</v>
      </c>
      <c r="AC51" s="6">
        <f t="shared" si="61"/>
        <v>0.57955175707148376</v>
      </c>
      <c r="AD51" s="14">
        <f t="shared" si="62"/>
        <v>2.6158380102701542</v>
      </c>
      <c r="AE51" s="6">
        <f t="shared" si="63"/>
        <v>0.66313312273332281</v>
      </c>
      <c r="AF51" s="14">
        <f t="shared" si="64"/>
        <v>2.8389713494602637</v>
      </c>
      <c r="AG51" s="6">
        <f t="shared" si="65"/>
        <v>0.77646585262822598</v>
      </c>
      <c r="AH51" s="14">
        <f t="shared" si="66"/>
        <v>3.1246804500397118</v>
      </c>
      <c r="AI51" s="6">
        <f t="shared" si="67"/>
        <v>0.93546658890252754</v>
      </c>
      <c r="AJ51" s="14">
        <f t="shared" si="68"/>
        <v>3.4962700563677798</v>
      </c>
      <c r="AK51">
        <f t="shared" si="69"/>
        <v>1.279293034316803</v>
      </c>
      <c r="AL51" s="14">
        <f t="shared" si="70"/>
        <v>3.9930481171284229</v>
      </c>
      <c r="AM51">
        <f t="shared" si="71"/>
        <v>1.6548379052426172</v>
      </c>
      <c r="AN51" s="14">
        <f t="shared" si="72"/>
        <v>4.5697653688654949</v>
      </c>
      <c r="AO51">
        <f t="shared" si="73"/>
        <v>2.1527704255302318</v>
      </c>
      <c r="AP51" s="14">
        <f t="shared" si="74"/>
        <v>4.3587169909565224</v>
      </c>
      <c r="AQ51">
        <f t="shared" si="75"/>
        <v>1.9624909404466733</v>
      </c>
    </row>
    <row r="52" spans="1:43" x14ac:dyDescent="0.25">
      <c r="A52" s="129">
        <v>0.5</v>
      </c>
      <c r="B52" s="129">
        <f>B28-'Sub C_D_0'!U20</f>
        <v>3.2560430277477265E-2</v>
      </c>
      <c r="C52" s="129">
        <f>'C_L vs. α'!Y326</f>
        <v>0.13456448145166092</v>
      </c>
      <c r="D52" s="247">
        <f>'C_L vs. α'!AA326</f>
        <v>0.43178880504861844</v>
      </c>
      <c r="E52" s="144">
        <v>14</v>
      </c>
      <c r="F52" s="14">
        <f t="shared" si="38"/>
        <v>1.9751030957685769</v>
      </c>
      <c r="G52" s="6">
        <f t="shared" si="39"/>
        <v>0.40363768454885052</v>
      </c>
      <c r="H52" s="14">
        <f t="shared" si="40"/>
        <v>1.9891065458168629</v>
      </c>
      <c r="I52" s="6">
        <f t="shared" si="41"/>
        <v>0.40460614628984259</v>
      </c>
      <c r="J52" s="14">
        <f t="shared" si="42"/>
        <v>2.0099726244659686</v>
      </c>
      <c r="K52" s="6">
        <f t="shared" si="43"/>
        <v>0.41022975570852416</v>
      </c>
      <c r="L52" s="14">
        <f t="shared" si="44"/>
        <v>2.0387814658973475</v>
      </c>
      <c r="M52" s="6">
        <f t="shared" si="45"/>
        <v>0.41970244029006409</v>
      </c>
      <c r="N52" s="14">
        <f t="shared" si="46"/>
        <v>2.0764706972722848</v>
      </c>
      <c r="O52" s="6">
        <f t="shared" si="47"/>
        <v>0.43315317928499181</v>
      </c>
      <c r="P52" s="14">
        <f t="shared" si="48"/>
        <v>2.1225111970443602</v>
      </c>
      <c r="Q52" s="6">
        <f t="shared" si="49"/>
        <v>0.45089064400285783</v>
      </c>
      <c r="R52" s="14">
        <f t="shared" si="50"/>
        <v>2.1817284596288298</v>
      </c>
      <c r="S52" s="6">
        <f t="shared" si="51"/>
        <v>0.47405607364159708</v>
      </c>
      <c r="T52" s="14">
        <f t="shared" si="52"/>
        <v>2.2542771595497078</v>
      </c>
      <c r="U52" s="6">
        <f t="shared" si="53"/>
        <v>0.50360941360292311</v>
      </c>
      <c r="V52" s="14">
        <f t="shared" si="54"/>
        <v>2.3426637430574697</v>
      </c>
      <c r="W52" s="6">
        <f t="shared" si="55"/>
        <v>0.5411762959110763</v>
      </c>
      <c r="X52" s="14">
        <f t="shared" si="56"/>
        <v>2.4502560268235323</v>
      </c>
      <c r="Y52" s="6">
        <f t="shared" si="57"/>
        <v>0.58908666873189242</v>
      </c>
      <c r="Z52" s="14">
        <f t="shared" si="58"/>
        <v>2.5816406125944815</v>
      </c>
      <c r="AA52" s="6">
        <f t="shared" si="59"/>
        <v>0.65073251934013643</v>
      </c>
      <c r="AB52" s="14">
        <f t="shared" si="60"/>
        <v>2.7431664055676142</v>
      </c>
      <c r="AC52" s="6">
        <f t="shared" si="61"/>
        <v>0.73116497924397805</v>
      </c>
      <c r="AD52" s="14">
        <f t="shared" si="62"/>
        <v>2.9444110409788982</v>
      </c>
      <c r="AE52" s="6">
        <f t="shared" si="63"/>
        <v>0.83895439302990782</v>
      </c>
      <c r="AF52" s="14">
        <f t="shared" si="64"/>
        <v>3.1982048478163025</v>
      </c>
      <c r="AG52" s="6">
        <f t="shared" si="65"/>
        <v>0.98541332650268676</v>
      </c>
      <c r="AH52" s="14">
        <f t="shared" si="66"/>
        <v>3.5232551075708827</v>
      </c>
      <c r="AI52" s="6">
        <f t="shared" si="67"/>
        <v>1.1910609605875715</v>
      </c>
      <c r="AJ52" s="14">
        <f t="shared" si="68"/>
        <v>3.946050421034506</v>
      </c>
      <c r="AK52">
        <f t="shared" si="69"/>
        <v>1.6169578471351453</v>
      </c>
      <c r="AL52" s="14">
        <f t="shared" si="70"/>
        <v>4.5112582355598603</v>
      </c>
      <c r="AM52">
        <f t="shared" si="71"/>
        <v>2.0993890487905351</v>
      </c>
      <c r="AN52" s="14">
        <f t="shared" si="72"/>
        <v>5.1653928964100357</v>
      </c>
      <c r="AO52">
        <f t="shared" si="73"/>
        <v>2.7376880719144272</v>
      </c>
      <c r="AP52" s="14">
        <f t="shared" si="74"/>
        <v>4.9048443765974836</v>
      </c>
      <c r="AQ52">
        <f t="shared" si="75"/>
        <v>2.4728183377096138</v>
      </c>
    </row>
    <row r="53" spans="1:43" x14ac:dyDescent="0.25">
      <c r="A53" s="139">
        <v>0.55000000000000004</v>
      </c>
      <c r="B53" s="129">
        <f>B29-'Sub C_D_0'!U21</f>
        <v>3.2179997328003682E-2</v>
      </c>
      <c r="C53" s="129">
        <f>'C_L vs. α'!Y327</f>
        <v>0.14244719842978948</v>
      </c>
      <c r="D53" s="247">
        <f>'C_L vs. α'!AA327</f>
        <v>0.44493263614763967</v>
      </c>
      <c r="E53" s="144">
        <v>16</v>
      </c>
      <c r="F53" s="14">
        <f t="shared" si="38"/>
        <v>2.1874556934281122</v>
      </c>
      <c r="G53" s="6">
        <f t="shared" si="39"/>
        <v>0.48865226962383884</v>
      </c>
      <c r="H53" s="14">
        <f t="shared" si="40"/>
        <v>2.2031589285318098</v>
      </c>
      <c r="I53" s="6">
        <f t="shared" si="41"/>
        <v>0.49092464412932851</v>
      </c>
      <c r="J53" s="14">
        <f t="shared" si="42"/>
        <v>2.2265245565309395</v>
      </c>
      <c r="K53" s="6">
        <f t="shared" si="43"/>
        <v>0.49849324677518136</v>
      </c>
      <c r="L53" s="14">
        <f t="shared" si="44"/>
        <v>2.2587709753371641</v>
      </c>
      <c r="M53" s="6">
        <f t="shared" si="45"/>
        <v>0.51068016167001173</v>
      </c>
      <c r="N53" s="14">
        <f t="shared" si="46"/>
        <v>2.3009523154505773</v>
      </c>
      <c r="O53" s="6">
        <f t="shared" si="47"/>
        <v>0.52774117143599242</v>
      </c>
      <c r="P53" s="14">
        <f t="shared" si="48"/>
        <v>2.3524571123310665</v>
      </c>
      <c r="Q53" s="6">
        <f t="shared" si="49"/>
        <v>0.54997203377182324</v>
      </c>
      <c r="R53" s="14">
        <f t="shared" si="50"/>
        <v>2.4187384142875099</v>
      </c>
      <c r="S53" s="6">
        <f t="shared" si="51"/>
        <v>0.57908909493634464</v>
      </c>
      <c r="T53" s="14">
        <f t="shared" si="52"/>
        <v>2.4999504926645346</v>
      </c>
      <c r="U53" s="6">
        <f t="shared" si="53"/>
        <v>0.616175183645152</v>
      </c>
      <c r="V53" s="14">
        <f t="shared" si="54"/>
        <v>2.59890612178395</v>
      </c>
      <c r="W53" s="6">
        <f t="shared" si="55"/>
        <v>0.66327953045110821</v>
      </c>
      <c r="X53" s="14">
        <f t="shared" si="56"/>
        <v>2.7193849897268541</v>
      </c>
      <c r="Y53" s="6">
        <f t="shared" si="57"/>
        <v>0.7233350527574044</v>
      </c>
      <c r="Z53" s="14">
        <f t="shared" si="58"/>
        <v>2.8665350094540609</v>
      </c>
      <c r="AA53" s="6">
        <f t="shared" si="59"/>
        <v>0.80061009669800109</v>
      </c>
      <c r="AB53" s="14">
        <f t="shared" si="60"/>
        <v>3.0474824079091012</v>
      </c>
      <c r="AC53" s="6">
        <f t="shared" si="61"/>
        <v>0.90146162769018434</v>
      </c>
      <c r="AD53" s="14">
        <f t="shared" si="62"/>
        <v>3.2729840716876426</v>
      </c>
      <c r="AE53" s="6">
        <f t="shared" si="63"/>
        <v>1.0365563099814268</v>
      </c>
      <c r="AF53" s="14">
        <f t="shared" si="64"/>
        <v>3.5574383461723413</v>
      </c>
      <c r="AG53" s="6">
        <f t="shared" si="65"/>
        <v>1.2203959811527521</v>
      </c>
      <c r="AH53" s="14">
        <f t="shared" si="66"/>
        <v>3.9218297651020535</v>
      </c>
      <c r="AI53" s="6">
        <f t="shared" si="67"/>
        <v>1.4787052047230431</v>
      </c>
      <c r="AJ53" s="14">
        <f t="shared" si="68"/>
        <v>4.3958307857012313</v>
      </c>
      <c r="AK53">
        <f t="shared" si="69"/>
        <v>1.9954365440386204</v>
      </c>
      <c r="AL53" s="14">
        <f t="shared" si="70"/>
        <v>5.0294683539912972</v>
      </c>
      <c r="AM53">
        <f t="shared" si="71"/>
        <v>2.598117662244384</v>
      </c>
      <c r="AN53" s="14">
        <f>$D$36+(E53-$B$12)*$C$60</f>
        <v>5.7610204239545775</v>
      </c>
      <c r="AO53">
        <f t="shared" si="73"/>
        <v>3.3941799119664711</v>
      </c>
      <c r="AP53" s="14">
        <f t="shared" si="74"/>
        <v>5.4509717622384448</v>
      </c>
      <c r="AQ53">
        <f t="shared" si="75"/>
        <v>3.0433177911030049</v>
      </c>
    </row>
    <row r="54" spans="1:43" x14ac:dyDescent="0.25">
      <c r="A54" s="129">
        <v>0.6</v>
      </c>
      <c r="B54" s="129">
        <f>B30-'Sub C_D_0'!U22</f>
        <v>3.1839156243060135E-2</v>
      </c>
      <c r="C54" s="129">
        <f>'C_L vs. α'!Y328</f>
        <v>0.15215800117074355</v>
      </c>
      <c r="D54" s="247">
        <f>'C_L vs. α'!AA328</f>
        <v>0.46079638800646094</v>
      </c>
      <c r="H54" s="14"/>
      <c r="K54" s="6"/>
      <c r="Z54" s="14"/>
    </row>
    <row r="55" spans="1:43" x14ac:dyDescent="0.25">
      <c r="A55" s="139">
        <v>0.65</v>
      </c>
      <c r="B55" s="129">
        <f>B31-'Sub C_D_0'!U23</f>
        <v>3.2016281787072068E-2</v>
      </c>
      <c r="C55" s="129">
        <f>'C_L vs. α'!Y329</f>
        <v>0.16428651535437214</v>
      </c>
      <c r="D55" s="247">
        <f>'C_L vs. α'!AA329</f>
        <v>0.48011331066331625</v>
      </c>
    </row>
    <row r="56" spans="1:43" x14ac:dyDescent="0.25">
      <c r="A56" s="129">
        <v>0.7</v>
      </c>
      <c r="B56" s="129">
        <f>B32-'Sub C_D_0'!U24</f>
        <v>3.1730187336697135E-2</v>
      </c>
      <c r="C56" s="129">
        <f>'C_L vs. α'!Y330</f>
        <v>0.17961674917801942</v>
      </c>
      <c r="D56" s="247">
        <f>'C_L vs. α'!AA330</f>
        <v>0.50395361014601125</v>
      </c>
    </row>
    <row r="57" spans="1:43" x14ac:dyDescent="0.25">
      <c r="A57" s="139">
        <v>0.75</v>
      </c>
      <c r="B57" s="129">
        <f>B33-'Sub C_D_0'!U25</f>
        <v>3.1467685912376156E-2</v>
      </c>
      <c r="C57" s="129">
        <f>'C_L vs. α'!Y331</f>
        <v>0.19928732876558536</v>
      </c>
      <c r="D57" s="247">
        <f>'C_L vs. α'!AA331</f>
        <v>0.53394517608710246</v>
      </c>
    </row>
    <row r="58" spans="1:43" x14ac:dyDescent="0.25">
      <c r="A58" s="129">
        <v>0.8</v>
      </c>
      <c r="B58" s="129">
        <f>B34-'Sub C_D_0'!U26</f>
        <v>3.1225429684660216E-2</v>
      </c>
      <c r="C58" s="129">
        <f>'C_L vs. α'!Y332</f>
        <v>0.22489018233336303</v>
      </c>
      <c r="D58" s="247">
        <f>'C_L vs. α'!AA332</f>
        <v>0.57269768603406035</v>
      </c>
    </row>
    <row r="59" spans="1:43" x14ac:dyDescent="0.25">
      <c r="A59" s="139">
        <v>0.85</v>
      </c>
      <c r="B59" s="129">
        <f>B35-'Sub C_D_0'!U27</f>
        <v>3.1467646420165696E-2</v>
      </c>
      <c r="C59" s="129">
        <f>'C_L vs. α'!Y333</f>
        <v>0.25910505921571858</v>
      </c>
      <c r="D59" s="247">
        <f>'C_L vs. α'!AA333</f>
        <v>0.62468234732408157</v>
      </c>
    </row>
    <row r="60" spans="1:43" x14ac:dyDescent="0.25">
      <c r="A60" s="129">
        <v>0.9</v>
      </c>
      <c r="B60" s="129">
        <f>B36-'Sub C_D_0'!U28</f>
        <v>3.125448035067005E-2</v>
      </c>
      <c r="C60" s="129">
        <f>'C_L vs. α'!Y334</f>
        <v>0.29781376377227053</v>
      </c>
      <c r="D60" s="247">
        <f>'C_L vs. α'!AA334</f>
        <v>0.69818643982597794</v>
      </c>
    </row>
    <row r="61" spans="1:43" x14ac:dyDescent="0.25">
      <c r="A61" s="139">
        <v>0.95</v>
      </c>
      <c r="B61" s="129">
        <f>B37-'Sub C_D_0'!U29</f>
        <v>3.1055077021161795E-2</v>
      </c>
      <c r="C61" s="129">
        <f>'C_L vs. α'!Y335</f>
        <v>0.27306369282048071</v>
      </c>
      <c r="D61" s="247">
        <f>'C_L vs. α'!AA335</f>
        <v>0.80888898429027301</v>
      </c>
    </row>
    <row r="62" spans="1:43" x14ac:dyDescent="0.25">
      <c r="B62" s="11"/>
    </row>
    <row r="63" spans="1:43" x14ac:dyDescent="0.25">
      <c r="A63" s="122" t="s">
        <v>537</v>
      </c>
      <c r="B63" s="122" t="s">
        <v>290</v>
      </c>
      <c r="C63" t="s">
        <v>1089</v>
      </c>
    </row>
    <row r="64" spans="1:43" x14ac:dyDescent="0.25">
      <c r="A64" s="122" t="s">
        <v>202</v>
      </c>
      <c r="B64" s="143" t="s">
        <v>533</v>
      </c>
      <c r="C64" s="122" t="s">
        <v>538</v>
      </c>
      <c r="D64" s="122" t="s">
        <v>539</v>
      </c>
      <c r="F64" s="1" t="s">
        <v>536</v>
      </c>
      <c r="G64" s="140">
        <v>0.05</v>
      </c>
      <c r="H64" s="1" t="s">
        <v>536</v>
      </c>
      <c r="I64" s="140">
        <v>0.1</v>
      </c>
      <c r="J64" s="1" t="s">
        <v>536</v>
      </c>
      <c r="K64" s="140">
        <v>0.15</v>
      </c>
      <c r="L64" s="1" t="s">
        <v>536</v>
      </c>
      <c r="M64" s="140">
        <v>0.2</v>
      </c>
      <c r="N64" t="s">
        <v>536</v>
      </c>
      <c r="O64" s="141">
        <v>0.25</v>
      </c>
      <c r="P64" t="s">
        <v>536</v>
      </c>
      <c r="Q64" s="141">
        <v>0.3</v>
      </c>
      <c r="R64" t="s">
        <v>536</v>
      </c>
      <c r="S64" s="141">
        <v>0.35</v>
      </c>
      <c r="T64" t="s">
        <v>536</v>
      </c>
      <c r="U64" s="141">
        <v>0.4</v>
      </c>
      <c r="V64" t="s">
        <v>536</v>
      </c>
      <c r="W64" s="141">
        <v>0.45</v>
      </c>
      <c r="X64" t="s">
        <v>536</v>
      </c>
      <c r="Y64" s="141">
        <v>0.5</v>
      </c>
      <c r="Z64" t="s">
        <v>536</v>
      </c>
      <c r="AA64" s="141">
        <v>0.55000000000000004</v>
      </c>
      <c r="AB64" t="s">
        <v>536</v>
      </c>
      <c r="AC64" s="141">
        <v>0.6</v>
      </c>
      <c r="AD64" t="s">
        <v>536</v>
      </c>
      <c r="AE64" s="141">
        <v>0.65</v>
      </c>
      <c r="AF64" t="s">
        <v>536</v>
      </c>
      <c r="AG64" s="141">
        <v>0.7</v>
      </c>
      <c r="AH64" t="s">
        <v>536</v>
      </c>
      <c r="AI64" s="141">
        <v>0.75</v>
      </c>
      <c r="AJ64" t="s">
        <v>536</v>
      </c>
      <c r="AK64" s="141">
        <v>0.8</v>
      </c>
      <c r="AL64" t="s">
        <v>536</v>
      </c>
      <c r="AM64" s="141">
        <v>0.85</v>
      </c>
      <c r="AN64" t="s">
        <v>536</v>
      </c>
      <c r="AO64" s="141">
        <v>0.9</v>
      </c>
      <c r="AP64" t="s">
        <v>536</v>
      </c>
      <c r="AQ64" s="141">
        <v>0.95</v>
      </c>
    </row>
    <row r="65" spans="1:43" x14ac:dyDescent="0.25">
      <c r="A65" s="121" t="s">
        <v>182</v>
      </c>
      <c r="B65" s="121" t="s">
        <v>534</v>
      </c>
      <c r="C65" s="121" t="s">
        <v>535</v>
      </c>
      <c r="D65" s="248" t="s">
        <v>1126</v>
      </c>
      <c r="E65" s="121" t="s">
        <v>421</v>
      </c>
      <c r="F65" s="14" t="s">
        <v>244</v>
      </c>
      <c r="G65" s="6" t="s">
        <v>245</v>
      </c>
      <c r="H65" s="14" t="s">
        <v>244</v>
      </c>
      <c r="I65" s="6" t="s">
        <v>245</v>
      </c>
      <c r="J65" s="14" t="s">
        <v>244</v>
      </c>
      <c r="K65" s="6" t="s">
        <v>245</v>
      </c>
      <c r="L65" s="14" t="s">
        <v>244</v>
      </c>
      <c r="M65" s="6" t="s">
        <v>245</v>
      </c>
      <c r="N65" t="s">
        <v>244</v>
      </c>
      <c r="O65" t="s">
        <v>245</v>
      </c>
      <c r="P65" t="s">
        <v>244</v>
      </c>
      <c r="Q65" t="s">
        <v>245</v>
      </c>
      <c r="R65" t="s">
        <v>244</v>
      </c>
      <c r="S65" t="s">
        <v>245</v>
      </c>
      <c r="T65" t="s">
        <v>244</v>
      </c>
      <c r="U65" t="s">
        <v>245</v>
      </c>
      <c r="V65" t="s">
        <v>244</v>
      </c>
      <c r="W65" t="s">
        <v>245</v>
      </c>
      <c r="X65" t="s">
        <v>244</v>
      </c>
      <c r="Y65" t="s">
        <v>245</v>
      </c>
      <c r="Z65" t="s">
        <v>244</v>
      </c>
      <c r="AA65" t="s">
        <v>245</v>
      </c>
      <c r="AB65" t="s">
        <v>244</v>
      </c>
      <c r="AC65" t="s">
        <v>245</v>
      </c>
      <c r="AD65" t="s">
        <v>244</v>
      </c>
      <c r="AE65" t="s">
        <v>245</v>
      </c>
      <c r="AF65" t="s">
        <v>244</v>
      </c>
      <c r="AG65" t="s">
        <v>245</v>
      </c>
      <c r="AH65" t="s">
        <v>244</v>
      </c>
      <c r="AI65" t="s">
        <v>245</v>
      </c>
      <c r="AJ65" t="s">
        <v>244</v>
      </c>
      <c r="AK65" t="s">
        <v>245</v>
      </c>
      <c r="AL65" t="s">
        <v>244</v>
      </c>
      <c r="AM65" t="s">
        <v>245</v>
      </c>
      <c r="AN65" t="s">
        <v>244</v>
      </c>
      <c r="AO65" t="s">
        <v>245</v>
      </c>
      <c r="AP65" t="s">
        <v>244</v>
      </c>
      <c r="AQ65" t="s">
        <v>245</v>
      </c>
    </row>
    <row r="66" spans="1:43" x14ac:dyDescent="0.25">
      <c r="A66" s="129">
        <v>0</v>
      </c>
      <c r="B66" s="129" t="e">
        <f>'Sub C_D_0'!AY40</f>
        <v>#DIV/0!</v>
      </c>
      <c r="C66" s="129" t="e">
        <f>'C_L vs. α'!X341</f>
        <v>#NUM!</v>
      </c>
      <c r="D66" s="247">
        <f>'C_L vs. α'!Z341</f>
        <v>0.45845157974315059</v>
      </c>
      <c r="E66" s="144">
        <v>-6</v>
      </c>
      <c r="F66" s="14">
        <f>$D$19+(E66-$B$12)*$C$67</f>
        <v>-0.14854473152330544</v>
      </c>
      <c r="G66" s="6">
        <f>$B$67+$B$7*F66^2+$B$8*(F66-F$69)^2</f>
        <v>6.2340023510368409E-2</v>
      </c>
      <c r="H66" s="14">
        <f>$D$20+(E66-$B$12)*$C$68</f>
        <v>-0.15154268213034833</v>
      </c>
      <c r="I66" s="6">
        <f>$B$68+$B$7*H66^2+$B$8*(H66-H$69)^2</f>
        <v>5.9062820299266926E-2</v>
      </c>
      <c r="J66" s="14">
        <f>$D$21+(E66-$B$12)*$C$69</f>
        <v>-0.15566696806284069</v>
      </c>
      <c r="K66" s="6">
        <f>$B$69+$B$7*J66^2+$B$8*(J66-J$69)^2</f>
        <v>5.7647595575739452E-2</v>
      </c>
      <c r="L66" s="14">
        <f>$D$22+(E66-$B$12)*$C$70</f>
        <v>-0.16122745933952709</v>
      </c>
      <c r="M66" s="6">
        <f>$B$70+$B$7*L66^2+$B$8*(L66-L$69)^2</f>
        <v>5.6796485865464458E-2</v>
      </c>
      <c r="N66" s="14">
        <f>$D$23+(E66-$B$12)*$C$71</f>
        <v>-0.16845245134802234</v>
      </c>
      <c r="O66" s="6">
        <f>$B$71+$B$7*N66^2+$B$8*(N66-N$69)^2</f>
        <v>5.6482798613584177E-2</v>
      </c>
      <c r="P66" s="14">
        <f>$D$24+(E66-$B$12)*$C$72</f>
        <v>-0.17705363150374809</v>
      </c>
      <c r="Q66" s="6">
        <f>$B$72+$B$7*P66^2+$B$8*(P66-P$69)^2</f>
        <v>5.6975452784120854E-2</v>
      </c>
      <c r="R66" s="14">
        <f>$D$25+(E66-$B$12)*$C$73</f>
        <v>-0.18846917456788781</v>
      </c>
      <c r="S66" s="6">
        <f>$B$73+$B$7*R66^2+$B$8*(R66-R$69)^2</f>
        <v>5.7342959850142074E-2</v>
      </c>
      <c r="T66" s="14">
        <f>$D$26+(E66-$B$12)*$C$74</f>
        <v>-0.20254491833658333</v>
      </c>
      <c r="U66" s="6">
        <f>$B$74+$B$7*T66^2+$B$8*(T66-T$69)^2</f>
        <v>5.8066909521591339E-2</v>
      </c>
      <c r="V66" s="14">
        <f>$D$27+(E66-$B$12)*$C$75</f>
        <v>-0.21983693148492078</v>
      </c>
      <c r="W66" s="6">
        <f>$B$75+$B$7*V66^2+$B$8*(V66-V$69)^2</f>
        <v>5.9205141769199707E-2</v>
      </c>
      <c r="X66" s="14">
        <f>$D$28+(E66-$B$12)*$C$76</f>
        <v>-0.24109488820662778</v>
      </c>
      <c r="Y66" s="6">
        <f>$B$76+$B$7*X66^2+$B$8*(X66-X$69)^2</f>
        <v>6.0859975166533777E-2</v>
      </c>
      <c r="Z66" s="14">
        <f>$D$29+(E66-$B$12)*$C$77</f>
        <v>-0.2673433293009353</v>
      </c>
      <c r="AA66" s="6">
        <f>$B$77+$B$7*Z66^2+$B$8*(Z66-Z$69)^2</f>
        <v>6.3195467684958553E-2</v>
      </c>
      <c r="AB66" s="14">
        <f>$D$30+(E66-$B$12)*$C$78</f>
        <v>-0.30000328224055683</v>
      </c>
      <c r="AC66" s="6">
        <f>$B$78+$B$7*AB66^2+$B$8*(AB66-AB$69)^2</f>
        <v>6.6470091825356653E-2</v>
      </c>
      <c r="AD66" s="14">
        <f>$D$31+(E66-$B$12)*$C$79</f>
        <v>-0.34128110325230515</v>
      </c>
      <c r="AE66" s="6">
        <f>$B$79+$B$7*AD66^2+$B$8*(AD66-AD$69)^2</f>
        <v>7.1594733008989803E-2</v>
      </c>
      <c r="AF66" s="14">
        <f>$D$32+(E66-$B$12)*$C$80</f>
        <v>-0.39401531436002379</v>
      </c>
      <c r="AG66" s="6">
        <f>$B$80+$B$7*AF66^2+$B$8*(AF66-AF$69)^2</f>
        <v>7.8284420461873144E-2</v>
      </c>
      <c r="AH66" s="14">
        <f>$D$33+(E66-$B$12)*$C$81</f>
        <v>-0.46224766601750655</v>
      </c>
      <c r="AI66" s="6">
        <f>$B$81+$B$7*AH66^2+$B$8*(AH66-AH$69)^2</f>
        <v>8.8149339567064222E-2</v>
      </c>
      <c r="AJ66" s="14">
        <f>$D$34+(E66-$B$12)*$C$82</f>
        <v>-0.55127281986210741</v>
      </c>
      <c r="AK66">
        <f>$B$82+$B$9*AJ66^2</f>
        <v>7.2741787545520423E-2</v>
      </c>
      <c r="AL66" s="14">
        <f>$D$35+(E66-$B$12)*$C$83</f>
        <v>-0.66981799864492275</v>
      </c>
      <c r="AM66">
        <f>$B$83+$B$9*AL66^2</f>
        <v>8.7616863300750539E-2</v>
      </c>
      <c r="AN66" s="14">
        <f>$D$36+(E66-$B$12)*$C$84</f>
        <v>-0.78851129677785636</v>
      </c>
      <c r="AO66">
        <f>$B$84+$B$9*AN66^2</f>
        <v>0.10489947248814646</v>
      </c>
      <c r="AP66" s="14">
        <f>$D$37+(E66-$B$12)*$C$85</f>
        <v>-0.54866905009184486</v>
      </c>
      <c r="AQ66">
        <f>$B$85+$B$9*AP66^2</f>
        <v>7.2381606916895755E-2</v>
      </c>
    </row>
    <row r="67" spans="1:43" x14ac:dyDescent="0.25">
      <c r="A67" s="139">
        <v>0.05</v>
      </c>
      <c r="B67" s="129">
        <f>'Sub C_D_0'!AY41</f>
        <v>5.2434927911830229E-2</v>
      </c>
      <c r="C67" s="129">
        <f>'C_L vs. α'!X342</f>
        <v>0.10620066896907342</v>
      </c>
      <c r="D67" s="247">
        <f>'C_L vs. α'!Z342</f>
        <v>0.45895033598647389</v>
      </c>
      <c r="E67" s="144">
        <v>-4</v>
      </c>
      <c r="F67" s="14">
        <f t="shared" ref="F67:F77" si="76">$D$19+(E67-$B$12)*$C$67</f>
        <v>6.3856606414841366E-2</v>
      </c>
      <c r="G67" s="6">
        <f t="shared" ref="G67:G77" si="77">$B$67+$B$7*F67^2+$B$8*(F67-F$69)^2</f>
        <v>5.6373849180903747E-2</v>
      </c>
      <c r="H67" s="14">
        <f t="shared" ref="H67:H77" si="78">$D$20+(E67-$B$12)*$C$68</f>
        <v>6.2559860903695585E-2</v>
      </c>
      <c r="I67" s="6">
        <f t="shared" ref="I67:I77" si="79">$B$68+$B$7*H67^2+$B$8*(H67-H$69)^2</f>
        <v>5.2938073734449233E-2</v>
      </c>
      <c r="J67" s="14">
        <f t="shared" ref="J67:J77" si="80">$D$21+(E67-$B$12)*$C$69</f>
        <v>6.0933072753770801E-2</v>
      </c>
      <c r="K67" s="6">
        <f t="shared" ref="K67:K77" si="81">$B$69+$B$7*J67^2+$B$8*(J67-J$69)^2</f>
        <v>5.1296565576804481E-2</v>
      </c>
      <c r="L67" s="14">
        <f t="shared" ref="L67:L77" si="82">$D$22+(E67-$B$12)*$C$70</f>
        <v>5.8807582435771666E-2</v>
      </c>
      <c r="M67" s="6">
        <f t="shared" ref="M67:M77" si="83">$B$70+$B$7*L67^2+$B$8*(L67-L$69)^2</f>
        <v>5.0132382539789619E-2</v>
      </c>
      <c r="N67" s="14">
        <f t="shared" ref="N67:N77" si="84">$D$23+(E67-$B$12)*$C$71</f>
        <v>5.6071953565223709E-2</v>
      </c>
      <c r="O67" s="6">
        <f t="shared" ref="O67:O77" si="85">$B$71+$B$7*N67^2+$B$8*(N67-N$69)^2</f>
        <v>4.9401065165796454E-2</v>
      </c>
      <c r="P67" s="14">
        <f t="shared" ref="P67:P77" si="86">$D$24+(E67-$B$12)*$C$72</f>
        <v>5.2934554055376726E-2</v>
      </c>
      <c r="Q67" s="6">
        <f t="shared" ref="Q67:Q77" si="87">$B$72+$B$7*P67^2+$B$8*(P67-P$69)^2</f>
        <v>4.9377388608083397E-2</v>
      </c>
      <c r="R67" s="14">
        <f t="shared" ref="R67:R77" si="88">$D$25+(E67-$B$12)*$C$73</f>
        <v>4.858001513475918E-2</v>
      </c>
      <c r="S67" s="6">
        <f t="shared" ref="S67:S77" si="89">$B$73+$B$7*R67^2+$B$8*(R67-R$69)^2</f>
        <v>4.904191437314244E-2</v>
      </c>
      <c r="T67" s="14">
        <f t="shared" ref="T67:T77" si="90">$D$26+(E67-$B$12)*$C$74</f>
        <v>4.3163913473452165E-2</v>
      </c>
      <c r="U67" s="6">
        <f t="shared" ref="U67:U77" si="91">$B$74+$B$7*T67^2+$B$8*(T67-T$69)^2</f>
        <v>4.8862514766007725E-2</v>
      </c>
      <c r="V67" s="14">
        <f t="shared" ref="V67:V77" si="92">$D$27+(E67-$B$12)*$C$75</f>
        <v>3.6436202152594688E-2</v>
      </c>
      <c r="W67" s="6">
        <f t="shared" ref="W67:W77" si="93">$B$75+$B$7*V67^2+$B$8*(V67-V$69)^2</f>
        <v>4.8836441966651517E-2</v>
      </c>
      <c r="X67" s="14">
        <f t="shared" ref="X67:X77" si="94">$D$28+(E67-$B$12)*$C$76</f>
        <v>2.805858909547071E-2</v>
      </c>
      <c r="Y67" s="6">
        <f t="shared" ref="Y67:Y77" si="95">$B$76+$B$7*X67^2+$B$8*(X67-X$69)^2</f>
        <v>4.8978374764174229E-2</v>
      </c>
      <c r="Z67" s="14">
        <f t="shared" ref="Z67:Z77" si="96">$D$29+(E67-$B$12)*$C$77</f>
        <v>1.7567056878494691E-2</v>
      </c>
      <c r="AA67" s="6">
        <f t="shared" ref="AA67:AA77" si="97">$B$77+$B$7*Z67^2+$B$8*(Z67-Z$69)^2</f>
        <v>4.9322807270681578E-2</v>
      </c>
      <c r="AB67" s="14">
        <f t="shared" ref="AB67:AB77" si="98">$D$30+(E67-$B$12)*$C$78</f>
        <v>4.3165858582502326E-3</v>
      </c>
      <c r="AC67" s="6">
        <f t="shared" ref="AC67:AC77" si="99">$B$78+$B$7*AB67^2+$B$8*(AB67-AB$69)^2</f>
        <v>4.9931769245921659E-2</v>
      </c>
      <c r="AD67" s="14">
        <f t="shared" ref="AD67:AD77" si="100">$D$31+(E67-$B$12)*$C$79</f>
        <v>-1.2723337686056546E-2</v>
      </c>
      <c r="AE67" s="6">
        <f t="shared" ref="AE67:AE77" si="101">$B$79+$B$7*AD67^2+$B$8*(AD67-AD$69)^2</f>
        <v>5.1393246117868024E-2</v>
      </c>
      <c r="AF67" s="14">
        <f t="shared" ref="AF67:AF77" si="102">$D$32+(E67-$B$12)*$C$80</f>
        <v>-3.482774455760973E-2</v>
      </c>
      <c r="AG67" s="6">
        <f t="shared" ref="AG67:AG77" si="103">$B$80+$B$7*AF67^2+$B$8*(AF67-AF$69)^2</f>
        <v>5.29254972047601E-2</v>
      </c>
      <c r="AH67" s="14">
        <f t="shared" ref="AH67:AH77" si="104">$D$33+(E67-$B$12)*$C$81</f>
        <v>-6.3770529175662949E-2</v>
      </c>
      <c r="AI67" s="6">
        <f t="shared" ref="AI67:AI77" si="105">$B$81+$B$7*AH67^2+$B$8*(AH67-AH$69)^2</f>
        <v>5.5319354693850409E-2</v>
      </c>
      <c r="AJ67" s="14">
        <f t="shared" ref="AJ67:AJ77" si="106">$D$34+(E67-$B$12)*$C$82</f>
        <v>-0.10168461750364022</v>
      </c>
      <c r="AK67">
        <f t="shared" ref="AK67:AK77" si="107">$B$82+$B$9*AJ67^2</f>
        <v>4.3129174886765063E-2</v>
      </c>
      <c r="AL67" s="14">
        <f t="shared" ref="AL67:AL77" si="108">$D$35+(E67-$B$12)*$C$83</f>
        <v>-0.15201786025732111</v>
      </c>
      <c r="AM67">
        <f t="shared" ref="AM67:AM77" si="109">$B$83+$B$9*AL67^2</f>
        <v>4.4690490243241177E-2</v>
      </c>
      <c r="AN67" s="14">
        <f t="shared" ref="AN67:AN77" si="110">$D$36+(E67-$B$12)*$C$84</f>
        <v>-0.19383220213632257</v>
      </c>
      <c r="AO67">
        <f t="shared" ref="AO67:AO77" si="111">$B$84+$B$9*AN67^2</f>
        <v>4.5971297176890115E-2</v>
      </c>
      <c r="AP67" s="14">
        <f t="shared" ref="AP67:AP77" si="112">$D$37+(E67-$B$12)*$C$85</f>
        <v>-5.6458363389976229E-3</v>
      </c>
      <c r="AQ67">
        <f t="shared" ref="AQ67:AQ77" si="113">$B$85+$B$9*AP67^2</f>
        <v>4.2018103209367594E-2</v>
      </c>
    </row>
    <row r="68" spans="1:43" x14ac:dyDescent="0.25">
      <c r="A68" s="129">
        <v>0.1</v>
      </c>
      <c r="B68" s="129">
        <f>'Sub C_D_0'!AY42</f>
        <v>4.8954364405631765E-2</v>
      </c>
      <c r="C68" s="129">
        <f>'C_L vs. α'!X343</f>
        <v>0.10705127151702197</v>
      </c>
      <c r="D68" s="247">
        <f>'C_L vs. α'!Z343</f>
        <v>0.46045641054571373</v>
      </c>
      <c r="E68" s="144">
        <v>-2</v>
      </c>
      <c r="F68" s="14">
        <f t="shared" si="76"/>
        <v>0.27625794435298817</v>
      </c>
      <c r="G68" s="6">
        <f t="shared" si="77"/>
        <v>5.9509352254260468E-2</v>
      </c>
      <c r="H68" s="14">
        <f t="shared" si="78"/>
        <v>0.2766624039377395</v>
      </c>
      <c r="I68" s="6">
        <f t="shared" si="79"/>
        <v>5.6061386211139402E-2</v>
      </c>
      <c r="J68" s="14">
        <f t="shared" si="80"/>
        <v>0.27753311357038229</v>
      </c>
      <c r="K68" s="6">
        <f t="shared" si="81"/>
        <v>5.4410609508233169E-2</v>
      </c>
      <c r="L68" s="14">
        <f t="shared" si="82"/>
        <v>0.27884262421107053</v>
      </c>
      <c r="M68" s="6">
        <f t="shared" si="83"/>
        <v>5.3235941654035918E-2</v>
      </c>
      <c r="N68" s="14">
        <f t="shared" si="84"/>
        <v>0.28059635847846975</v>
      </c>
      <c r="O68" s="6">
        <f t="shared" si="85"/>
        <v>5.2489638426735249E-2</v>
      </c>
      <c r="P68" s="14">
        <f t="shared" si="86"/>
        <v>0.28292273961450154</v>
      </c>
      <c r="Q68" s="6">
        <f t="shared" si="87"/>
        <v>5.2450640819484126E-2</v>
      </c>
      <c r="R68" s="14">
        <f t="shared" si="88"/>
        <v>0.28562920483740628</v>
      </c>
      <c r="S68" s="6">
        <f t="shared" si="89"/>
        <v>5.2077496806853911E-2</v>
      </c>
      <c r="T68" s="14">
        <f t="shared" si="90"/>
        <v>0.28887274528348761</v>
      </c>
      <c r="U68" s="6">
        <f t="shared" si="91"/>
        <v>5.1838153335181318E-2</v>
      </c>
      <c r="V68" s="14">
        <f t="shared" si="92"/>
        <v>0.29270933579011027</v>
      </c>
      <c r="W68" s="6">
        <f t="shared" si="93"/>
        <v>5.1717657431631939E-2</v>
      </c>
      <c r="X68" s="14">
        <f t="shared" si="94"/>
        <v>0.2972120663975692</v>
      </c>
      <c r="Y68" s="6">
        <f t="shared" si="95"/>
        <v>5.1712047371914767E-2</v>
      </c>
      <c r="Z68" s="14">
        <f t="shared" si="96"/>
        <v>0.30247744305792468</v>
      </c>
      <c r="AA68" s="6">
        <f t="shared" si="97"/>
        <v>5.1826737940864051E-2</v>
      </c>
      <c r="AB68" s="14">
        <f t="shared" si="98"/>
        <v>0.30863645395705741</v>
      </c>
      <c r="AC68" s="6">
        <f t="shared" si="99"/>
        <v>5.2077347618165196E-2</v>
      </c>
      <c r="AD68" s="14">
        <f t="shared" si="100"/>
        <v>0.315834427880192</v>
      </c>
      <c r="AE68" s="6">
        <f t="shared" si="101"/>
        <v>5.297038211880023E-2</v>
      </c>
      <c r="AF68" s="14">
        <f t="shared" si="102"/>
        <v>0.32435982524480422</v>
      </c>
      <c r="AG68" s="6">
        <f t="shared" si="103"/>
        <v>5.3595097873252222E-2</v>
      </c>
      <c r="AH68" s="14">
        <f t="shared" si="104"/>
        <v>0.33470660766618066</v>
      </c>
      <c r="AI68" s="6">
        <f t="shared" si="105"/>
        <v>5.4523560675516565E-2</v>
      </c>
      <c r="AJ68" s="14">
        <f t="shared" si="106"/>
        <v>0.34790358485482681</v>
      </c>
      <c r="AK68">
        <f t="shared" si="107"/>
        <v>5.4295579451853634E-2</v>
      </c>
      <c r="AL68" s="14">
        <f t="shared" si="108"/>
        <v>0.36578227813028069</v>
      </c>
      <c r="AM68">
        <f t="shared" si="109"/>
        <v>5.5855896386863189E-2</v>
      </c>
      <c r="AN68" s="14">
        <f t="shared" si="110"/>
        <v>0.40084689250521111</v>
      </c>
      <c r="AO68">
        <f t="shared" si="111"/>
        <v>5.8389558181871894E-2</v>
      </c>
      <c r="AP68" s="14">
        <f t="shared" si="112"/>
        <v>0.5373773774138495</v>
      </c>
      <c r="AQ68">
        <f t="shared" si="113"/>
        <v>7.1144567271685777E-2</v>
      </c>
    </row>
    <row r="69" spans="1:43" s="29" customFormat="1" x14ac:dyDescent="0.25">
      <c r="A69" s="139">
        <v>0.15</v>
      </c>
      <c r="B69" s="129">
        <f>'Sub C_D_0'!AY43</f>
        <v>4.7243049172134025E-2</v>
      </c>
      <c r="C69" s="129">
        <f>'C_L vs. α'!X344</f>
        <v>0.10830002040830576</v>
      </c>
      <c r="D69" s="247">
        <f>'C_L vs. α'!Z344</f>
        <v>0.46299976077442567</v>
      </c>
      <c r="E69" s="143">
        <v>0</v>
      </c>
      <c r="F69" s="83">
        <f t="shared" si="76"/>
        <v>0.48865928229113503</v>
      </c>
      <c r="G69" s="21">
        <f t="shared" si="77"/>
        <v>7.1746532730438586E-2</v>
      </c>
      <c r="H69" s="83">
        <f t="shared" si="78"/>
        <v>0.49076494697178347</v>
      </c>
      <c r="I69" s="21">
        <f t="shared" si="79"/>
        <v>6.8432757729337462E-2</v>
      </c>
      <c r="J69" s="83">
        <f t="shared" si="80"/>
        <v>0.49413315438699384</v>
      </c>
      <c r="K69" s="21">
        <f t="shared" si="81"/>
        <v>6.6989727370025523E-2</v>
      </c>
      <c r="L69" s="83">
        <f t="shared" si="82"/>
        <v>0.49887766598636929</v>
      </c>
      <c r="M69" s="21">
        <f t="shared" si="83"/>
        <v>6.6107163208203354E-2</v>
      </c>
      <c r="N69" s="83">
        <f t="shared" si="84"/>
        <v>0.50512076339171574</v>
      </c>
      <c r="O69" s="21">
        <f t="shared" si="85"/>
        <v>6.5748518396400557E-2</v>
      </c>
      <c r="P69" s="83">
        <f t="shared" si="86"/>
        <v>0.51291092517362635</v>
      </c>
      <c r="Q69" s="21">
        <f t="shared" si="87"/>
        <v>6.6195209418323048E-2</v>
      </c>
      <c r="R69" s="83">
        <f t="shared" si="88"/>
        <v>0.52267839454005327</v>
      </c>
      <c r="S69" s="21">
        <f t="shared" si="89"/>
        <v>6.6449707151276502E-2</v>
      </c>
      <c r="T69" s="83">
        <f t="shared" si="90"/>
        <v>0.53458157709352305</v>
      </c>
      <c r="U69" s="21">
        <f t="shared" si="91"/>
        <v>6.6993825229112125E-2</v>
      </c>
      <c r="V69" s="83">
        <f t="shared" si="92"/>
        <v>0.54898246942762574</v>
      </c>
      <c r="W69" s="21">
        <f t="shared" si="93"/>
        <v>6.7848788164140972E-2</v>
      </c>
      <c r="X69" s="83">
        <f t="shared" si="94"/>
        <v>0.56636554369966774</v>
      </c>
      <c r="Y69" s="21">
        <f t="shared" si="95"/>
        <v>6.9060992989755404E-2</v>
      </c>
      <c r="Z69" s="83">
        <f t="shared" si="96"/>
        <v>0.58738782923735466</v>
      </c>
      <c r="AA69" s="21">
        <f t="shared" si="97"/>
        <v>7.0707259695506008E-2</v>
      </c>
      <c r="AB69" s="83">
        <f t="shared" si="98"/>
        <v>0.61295632205586448</v>
      </c>
      <c r="AC69" s="21">
        <f t="shared" si="99"/>
        <v>7.2906826942087277E-2</v>
      </c>
      <c r="AD69" s="83">
        <f t="shared" si="100"/>
        <v>0.6443921934464405</v>
      </c>
      <c r="AE69" s="21">
        <f t="shared" si="101"/>
        <v>7.6326141011786433E-2</v>
      </c>
      <c r="AF69" s="83">
        <f t="shared" si="102"/>
        <v>0.68354739504721829</v>
      </c>
      <c r="AG69" s="21">
        <f t="shared" si="103"/>
        <v>8.0293222467349504E-2</v>
      </c>
      <c r="AH69" s="83">
        <f t="shared" si="104"/>
        <v>0.73318374450802426</v>
      </c>
      <c r="AI69" s="21">
        <f t="shared" si="105"/>
        <v>8.5761957512062698E-2</v>
      </c>
      <c r="AJ69" s="83">
        <f t="shared" si="106"/>
        <v>0.79749178721329383</v>
      </c>
      <c r="AK69" s="99">
        <f t="shared" si="107"/>
        <v>0.10624100124078611</v>
      </c>
      <c r="AL69" s="83">
        <f t="shared" si="108"/>
        <v>0.8835824165178825</v>
      </c>
      <c r="AM69" s="99">
        <f t="shared" si="109"/>
        <v>0.1211130817316166</v>
      </c>
      <c r="AN69" s="83">
        <f t="shared" si="110"/>
        <v>0.99552598714674478</v>
      </c>
      <c r="AO69" s="99">
        <f t="shared" si="111"/>
        <v>0.14215425550309177</v>
      </c>
      <c r="AP69" s="83">
        <f t="shared" si="112"/>
        <v>1.0804005911666965</v>
      </c>
      <c r="AQ69" s="99">
        <f t="shared" si="113"/>
        <v>0.15976099910385028</v>
      </c>
    </row>
    <row r="70" spans="1:43" x14ac:dyDescent="0.25">
      <c r="A70" s="129">
        <v>0.2</v>
      </c>
      <c r="B70" s="129">
        <f>'Sub C_D_0'!AY44</f>
        <v>4.5979461693125522E-2</v>
      </c>
      <c r="C70" s="129">
        <f>'C_L vs. α'!X345</f>
        <v>0.11001752088764941</v>
      </c>
      <c r="D70" s="247">
        <f>'C_L vs. α'!Z345</f>
        <v>0.46663217411846386</v>
      </c>
      <c r="E70" s="144">
        <v>2</v>
      </c>
      <c r="F70" s="14">
        <f t="shared" si="76"/>
        <v>0.70106062022928184</v>
      </c>
      <c r="G70" s="6">
        <f t="shared" si="77"/>
        <v>9.3085390609438073E-2</v>
      </c>
      <c r="H70" s="14">
        <f t="shared" si="78"/>
        <v>0.70486749000582738</v>
      </c>
      <c r="I70" s="6">
        <f t="shared" si="79"/>
        <v>9.0052188289043378E-2</v>
      </c>
      <c r="J70" s="14">
        <f t="shared" si="80"/>
        <v>0.71073319520360534</v>
      </c>
      <c r="K70" s="6">
        <f t="shared" si="81"/>
        <v>8.9033919162181535E-2</v>
      </c>
      <c r="L70" s="14">
        <f t="shared" si="82"/>
        <v>0.71891270776166816</v>
      </c>
      <c r="M70" s="6">
        <f t="shared" si="83"/>
        <v>8.8746047202291928E-2</v>
      </c>
      <c r="N70" s="14">
        <f t="shared" si="84"/>
        <v>0.72964516830496184</v>
      </c>
      <c r="O70" s="6">
        <f t="shared" si="85"/>
        <v>8.9177705074792404E-2</v>
      </c>
      <c r="P70" s="14">
        <f t="shared" si="86"/>
        <v>0.74289911073275117</v>
      </c>
      <c r="Q70" s="6">
        <f t="shared" si="87"/>
        <v>9.0611094404600148E-2</v>
      </c>
      <c r="R70" s="14">
        <f t="shared" si="88"/>
        <v>0.75972758424270037</v>
      </c>
      <c r="S70" s="6">
        <f t="shared" si="89"/>
        <v>9.2158545406410233E-2</v>
      </c>
      <c r="T70" s="14">
        <f t="shared" si="90"/>
        <v>0.7802904089035585</v>
      </c>
      <c r="U70" s="6">
        <f t="shared" si="91"/>
        <v>9.4329530447800153E-2</v>
      </c>
      <c r="V70" s="14">
        <f t="shared" si="92"/>
        <v>0.80525560306514132</v>
      </c>
      <c r="W70" s="6">
        <f t="shared" si="93"/>
        <v>9.7229834164178616E-2</v>
      </c>
      <c r="X70" s="14">
        <f t="shared" si="94"/>
        <v>0.83551902100176623</v>
      </c>
      <c r="Y70" s="6">
        <f t="shared" si="95"/>
        <v>0.10102521161769612</v>
      </c>
      <c r="Z70" s="14">
        <f t="shared" si="96"/>
        <v>0.87229821541678465</v>
      </c>
      <c r="AA70" s="6">
        <f t="shared" si="97"/>
        <v>0.1059643725346074</v>
      </c>
      <c r="AB70" s="14">
        <f t="shared" si="98"/>
        <v>0.91727619015467166</v>
      </c>
      <c r="AC70" s="6">
        <f t="shared" si="99"/>
        <v>0.1124202072176879</v>
      </c>
      <c r="AD70" s="14">
        <f t="shared" si="100"/>
        <v>0.9729499590126891</v>
      </c>
      <c r="AE70" s="6">
        <f t="shared" si="101"/>
        <v>0.12146052279682662</v>
      </c>
      <c r="AF70" s="14">
        <f t="shared" si="102"/>
        <v>1.0427349648496322</v>
      </c>
      <c r="AG70" s="6">
        <f t="shared" si="103"/>
        <v>0.13301987098705195</v>
      </c>
      <c r="AH70" s="14">
        <f t="shared" si="104"/>
        <v>1.1316608813498679</v>
      </c>
      <c r="AI70" s="6">
        <f t="shared" si="105"/>
        <v>0.1490345452034888</v>
      </c>
      <c r="AJ70" s="14">
        <f t="shared" si="106"/>
        <v>1.2470799895717608</v>
      </c>
      <c r="AK70">
        <f t="shared" si="107"/>
        <v>0.1989654402535625</v>
      </c>
      <c r="AL70" s="14">
        <f t="shared" si="108"/>
        <v>1.4013825549054841</v>
      </c>
      <c r="AM70">
        <f t="shared" si="109"/>
        <v>0.24046204627750134</v>
      </c>
      <c r="AN70" s="14">
        <f t="shared" si="110"/>
        <v>1.5902050817882785</v>
      </c>
      <c r="AO70">
        <f t="shared" si="111"/>
        <v>0.29726538914054979</v>
      </c>
      <c r="AP70" s="14">
        <f t="shared" si="112"/>
        <v>1.6234238049195437</v>
      </c>
      <c r="AQ70">
        <f t="shared" si="113"/>
        <v>0.30786739870586116</v>
      </c>
    </row>
    <row r="71" spans="1:43" x14ac:dyDescent="0.25">
      <c r="A71" s="139">
        <v>0.25</v>
      </c>
      <c r="B71" s="129">
        <f>'Sub C_D_0'!AY45</f>
        <v>4.5113897140202031E-2</v>
      </c>
      <c r="C71" s="129">
        <f>'C_L vs. α'!X346</f>
        <v>0.11226220245662301</v>
      </c>
      <c r="D71" s="247">
        <f>'C_L vs. α'!Z346</f>
        <v>0.47143027312211128</v>
      </c>
      <c r="E71" s="144">
        <v>4</v>
      </c>
      <c r="F71" s="14">
        <f t="shared" si="76"/>
        <v>0.91346195816742859</v>
      </c>
      <c r="G71" s="6">
        <f t="shared" si="77"/>
        <v>0.12352592589125895</v>
      </c>
      <c r="H71" s="14">
        <f t="shared" si="78"/>
        <v>0.91897003303987135</v>
      </c>
      <c r="I71" s="6">
        <f t="shared" si="79"/>
        <v>0.12091967789025719</v>
      </c>
      <c r="J71" s="14">
        <f t="shared" si="80"/>
        <v>0.92733323602021689</v>
      </c>
      <c r="K71" s="6">
        <f t="shared" si="81"/>
        <v>0.12054318488470124</v>
      </c>
      <c r="L71" s="14">
        <f t="shared" si="82"/>
        <v>0.93894774953696691</v>
      </c>
      <c r="M71" s="6">
        <f t="shared" si="83"/>
        <v>0.12115259363630163</v>
      </c>
      <c r="N71" s="14">
        <f t="shared" si="84"/>
        <v>0.95416957321820783</v>
      </c>
      <c r="O71" s="6">
        <f t="shared" si="85"/>
        <v>0.12277719846191074</v>
      </c>
      <c r="P71" s="14">
        <f t="shared" si="86"/>
        <v>0.97288729629187598</v>
      </c>
      <c r="Q71" s="6">
        <f t="shared" si="87"/>
        <v>0.12569829577831543</v>
      </c>
      <c r="R71" s="14">
        <f t="shared" si="88"/>
        <v>0.99677677394534736</v>
      </c>
      <c r="S71" s="6">
        <f t="shared" si="89"/>
        <v>0.12920401157225506</v>
      </c>
      <c r="T71" s="14">
        <f t="shared" si="90"/>
        <v>1.0259992407135941</v>
      </c>
      <c r="U71" s="6">
        <f t="shared" si="91"/>
        <v>0.13384526899124541</v>
      </c>
      <c r="V71" s="14">
        <f t="shared" si="92"/>
        <v>1.0615287367026567</v>
      </c>
      <c r="W71" s="6">
        <f t="shared" si="93"/>
        <v>0.13986079543174482</v>
      </c>
      <c r="X71" s="14">
        <f t="shared" si="94"/>
        <v>1.1046724983038647</v>
      </c>
      <c r="Y71" s="6">
        <f t="shared" si="95"/>
        <v>0.14760470325573691</v>
      </c>
      <c r="Z71" s="14">
        <f t="shared" si="96"/>
        <v>1.1572086015962146</v>
      </c>
      <c r="AA71" s="6">
        <f t="shared" si="97"/>
        <v>0.15759807645816828</v>
      </c>
      <c r="AB71" s="14">
        <f t="shared" si="98"/>
        <v>1.2215960582534788</v>
      </c>
      <c r="AC71" s="6">
        <f t="shared" si="99"/>
        <v>0.17061748844496707</v>
      </c>
      <c r="AD71" s="14">
        <f t="shared" si="100"/>
        <v>1.3015077245789377</v>
      </c>
      <c r="AE71" s="6">
        <f t="shared" si="101"/>
        <v>0.1883735274739208</v>
      </c>
      <c r="AF71" s="14">
        <f t="shared" si="102"/>
        <v>1.4019225346520463</v>
      </c>
      <c r="AG71" s="6">
        <f t="shared" si="103"/>
        <v>0.21177504343235953</v>
      </c>
      <c r="AH71" s="14">
        <f t="shared" si="104"/>
        <v>1.5301380181917115</v>
      </c>
      <c r="AI71" s="6">
        <f t="shared" si="105"/>
        <v>0.24434132374979489</v>
      </c>
      <c r="AJ71" s="14">
        <f t="shared" si="106"/>
        <v>1.696668191930228</v>
      </c>
      <c r="AK71">
        <f t="shared" si="107"/>
        <v>0.33246889649018291</v>
      </c>
      <c r="AL71" s="14">
        <f t="shared" si="108"/>
        <v>1.9191826932930858</v>
      </c>
      <c r="AM71">
        <f t="shared" si="109"/>
        <v>0.41390279002451746</v>
      </c>
      <c r="AN71" s="14">
        <f t="shared" si="110"/>
        <v>2.1848841764298124</v>
      </c>
      <c r="AO71">
        <f t="shared" si="111"/>
        <v>0.52372295909424593</v>
      </c>
      <c r="AP71" s="14">
        <f t="shared" si="112"/>
        <v>2.166447018672391</v>
      </c>
      <c r="AQ71">
        <f t="shared" si="113"/>
        <v>0.51546376607771838</v>
      </c>
    </row>
    <row r="72" spans="1:43" x14ac:dyDescent="0.25">
      <c r="A72" s="129">
        <v>0.3</v>
      </c>
      <c r="B72" s="129">
        <f>'Sub C_D_0'!AY46</f>
        <v>4.4919210494939951E-2</v>
      </c>
      <c r="C72" s="129">
        <f>'C_L vs. α'!X347</f>
        <v>0.11499409277956241</v>
      </c>
      <c r="D72" s="247">
        <f>'C_L vs. α'!Z347</f>
        <v>0.4775001988728767</v>
      </c>
      <c r="E72" s="144">
        <v>6</v>
      </c>
      <c r="F72" s="14">
        <f t="shared" si="76"/>
        <v>1.1258632961055755</v>
      </c>
      <c r="G72" s="6">
        <f t="shared" si="77"/>
        <v>0.16306813857590122</v>
      </c>
      <c r="H72" s="14">
        <f t="shared" si="78"/>
        <v>1.1330725760739153</v>
      </c>
      <c r="I72" s="6">
        <f t="shared" si="79"/>
        <v>0.16103522653297889</v>
      </c>
      <c r="J72" s="14">
        <f t="shared" si="80"/>
        <v>1.1439332768368284</v>
      </c>
      <c r="K72" s="6">
        <f t="shared" si="81"/>
        <v>0.16151752453758461</v>
      </c>
      <c r="L72" s="14">
        <f t="shared" si="82"/>
        <v>1.1589827913122659</v>
      </c>
      <c r="M72" s="6">
        <f t="shared" si="83"/>
        <v>0.16332680251023252</v>
      </c>
      <c r="N72" s="14">
        <f t="shared" si="84"/>
        <v>1.1786939781314538</v>
      </c>
      <c r="O72" s="6">
        <f t="shared" si="85"/>
        <v>0.16654699855775559</v>
      </c>
      <c r="P72" s="14">
        <f t="shared" si="86"/>
        <v>1.2028754818510008</v>
      </c>
      <c r="Q72" s="6">
        <f t="shared" si="87"/>
        <v>0.1714568135394689</v>
      </c>
      <c r="R72" s="14">
        <f t="shared" si="88"/>
        <v>1.2338259636479945</v>
      </c>
      <c r="S72" s="6">
        <f t="shared" si="89"/>
        <v>0.177586105648811</v>
      </c>
      <c r="T72" s="14">
        <f t="shared" si="90"/>
        <v>1.2717080725236294</v>
      </c>
      <c r="U72" s="6">
        <f t="shared" si="91"/>
        <v>0.18554104085944784</v>
      </c>
      <c r="V72" s="14">
        <f t="shared" si="92"/>
        <v>1.3178018703401724</v>
      </c>
      <c r="W72" s="6">
        <f t="shared" si="93"/>
        <v>0.1957416719668397</v>
      </c>
      <c r="X72" s="14">
        <f t="shared" si="94"/>
        <v>1.3738259756059632</v>
      </c>
      <c r="Y72" s="6">
        <f t="shared" si="95"/>
        <v>0.20879946790387782</v>
      </c>
      <c r="Z72" s="14">
        <f t="shared" si="96"/>
        <v>1.4421189877756446</v>
      </c>
      <c r="AA72" s="6">
        <f t="shared" si="97"/>
        <v>0.22560837146618865</v>
      </c>
      <c r="AB72" s="14">
        <f t="shared" si="98"/>
        <v>1.5259159263522859</v>
      </c>
      <c r="AC72" s="6">
        <f t="shared" si="99"/>
        <v>0.24749867062392478</v>
      </c>
      <c r="AD72" s="14">
        <f t="shared" si="100"/>
        <v>1.6300654901451861</v>
      </c>
      <c r="AE72" s="6">
        <f t="shared" si="101"/>
        <v>0.27706515504306889</v>
      </c>
      <c r="AF72" s="14">
        <f t="shared" si="102"/>
        <v>1.7611101044544601</v>
      </c>
      <c r="AG72" s="6">
        <f t="shared" si="103"/>
        <v>0.31655873980327226</v>
      </c>
      <c r="AH72" s="14">
        <f t="shared" si="104"/>
        <v>1.9286151550335551</v>
      </c>
      <c r="AI72" s="6">
        <f t="shared" si="105"/>
        <v>0.37168229315098089</v>
      </c>
      <c r="AJ72" s="14">
        <f t="shared" si="106"/>
        <v>2.1462563942886952</v>
      </c>
      <c r="AK72">
        <f t="shared" si="107"/>
        <v>0.50675136995064729</v>
      </c>
      <c r="AL72" s="14">
        <f t="shared" si="108"/>
        <v>2.4369828316806879</v>
      </c>
      <c r="AM72">
        <f t="shared" si="109"/>
        <v>0.64143531297266521</v>
      </c>
      <c r="AN72" s="14">
        <f t="shared" si="110"/>
        <v>2.7795632710713458</v>
      </c>
      <c r="AO72">
        <f t="shared" si="111"/>
        <v>0.82152696536417991</v>
      </c>
      <c r="AP72" s="14">
        <f t="shared" si="112"/>
        <v>2.7094702324252378</v>
      </c>
      <c r="AQ72">
        <f t="shared" si="113"/>
        <v>0.78255010121942181</v>
      </c>
    </row>
    <row r="73" spans="1:43" x14ac:dyDescent="0.25">
      <c r="A73" s="139">
        <v>0.35</v>
      </c>
      <c r="B73" s="129">
        <f>'Sub C_D_0'!AY47</f>
        <v>4.4355666079277004E-2</v>
      </c>
      <c r="C73" s="129">
        <f>'C_L vs. α'!X348</f>
        <v>0.11852459485132352</v>
      </c>
      <c r="D73" s="247">
        <f>'C_L vs. α'!Z348</f>
        <v>0.48498455962647569</v>
      </c>
      <c r="E73" s="144">
        <v>8</v>
      </c>
      <c r="F73" s="14">
        <f t="shared" si="76"/>
        <v>1.3382646340437223</v>
      </c>
      <c r="G73" s="6">
        <f t="shared" si="77"/>
        <v>0.21171202866336483</v>
      </c>
      <c r="H73" s="14">
        <f t="shared" si="78"/>
        <v>1.3471751191079593</v>
      </c>
      <c r="I73" s="6">
        <f t="shared" si="79"/>
        <v>0.21039883421720845</v>
      </c>
      <c r="J73" s="14">
        <f t="shared" si="80"/>
        <v>1.36053331765344</v>
      </c>
      <c r="K73" s="6">
        <f t="shared" si="81"/>
        <v>0.21195693812083161</v>
      </c>
      <c r="L73" s="14">
        <f t="shared" si="82"/>
        <v>1.3790178330875644</v>
      </c>
      <c r="M73" s="6">
        <f t="shared" si="83"/>
        <v>0.21526867382408446</v>
      </c>
      <c r="N73" s="14">
        <f t="shared" si="84"/>
        <v>1.4032183830446998</v>
      </c>
      <c r="O73" s="6">
        <f t="shared" si="85"/>
        <v>0.22048710536232699</v>
      </c>
      <c r="P73" s="14">
        <f t="shared" si="86"/>
        <v>1.4328636674101256</v>
      </c>
      <c r="Q73" s="6">
        <f t="shared" si="87"/>
        <v>0.2278866476880605</v>
      </c>
      <c r="R73" s="14">
        <f t="shared" si="88"/>
        <v>1.4708751533506415</v>
      </c>
      <c r="S73" s="6">
        <f t="shared" si="89"/>
        <v>0.23730482763607802</v>
      </c>
      <c r="T73" s="14">
        <f t="shared" si="90"/>
        <v>1.5174169043336649</v>
      </c>
      <c r="U73" s="6">
        <f t="shared" si="91"/>
        <v>0.24941684605240755</v>
      </c>
      <c r="V73" s="14">
        <f t="shared" si="92"/>
        <v>1.5740750039776878</v>
      </c>
      <c r="W73" s="6">
        <f t="shared" si="93"/>
        <v>0.26487246376946316</v>
      </c>
      <c r="X73" s="14">
        <f t="shared" si="94"/>
        <v>1.6429794529080617</v>
      </c>
      <c r="Y73" s="6">
        <f t="shared" si="95"/>
        <v>0.28460950556211884</v>
      </c>
      <c r="Z73" s="14">
        <f t="shared" si="96"/>
        <v>1.7270293739550744</v>
      </c>
      <c r="AA73" s="6">
        <f t="shared" si="97"/>
        <v>0.30999525755866836</v>
      </c>
      <c r="AB73" s="14">
        <f t="shared" si="98"/>
        <v>1.830235794451093</v>
      </c>
      <c r="AC73" s="6">
        <f t="shared" si="99"/>
        <v>0.343063753754561</v>
      </c>
      <c r="AD73" s="14">
        <f t="shared" si="100"/>
        <v>1.9586232557114347</v>
      </c>
      <c r="AE73" s="6">
        <f t="shared" si="101"/>
        <v>0.38753540550427107</v>
      </c>
      <c r="AF73" s="14">
        <f t="shared" si="102"/>
        <v>2.1202976742568742</v>
      </c>
      <c r="AG73" s="6">
        <f t="shared" si="103"/>
        <v>0.44737096009979016</v>
      </c>
      <c r="AH73" s="14">
        <f t="shared" si="104"/>
        <v>2.3270922918753985</v>
      </c>
      <c r="AI73" s="6">
        <f t="shared" si="105"/>
        <v>0.53105745340704691</v>
      </c>
      <c r="AJ73" s="14">
        <f t="shared" si="106"/>
        <v>2.5958445966471624</v>
      </c>
      <c r="AK73">
        <f t="shared" si="107"/>
        <v>0.72181286063495542</v>
      </c>
      <c r="AL73" s="14">
        <f t="shared" si="108"/>
        <v>2.9547829700682895</v>
      </c>
      <c r="AM73">
        <f t="shared" si="109"/>
        <v>0.92305961512194401</v>
      </c>
      <c r="AN73" s="14">
        <f t="shared" si="110"/>
        <v>3.3742423657128797</v>
      </c>
      <c r="AO73">
        <f t="shared" si="111"/>
        <v>1.1906774079503526</v>
      </c>
      <c r="AP73" s="14">
        <f t="shared" si="112"/>
        <v>3.252493446178085</v>
      </c>
      <c r="AQ73">
        <f t="shared" si="113"/>
        <v>1.1091264041309716</v>
      </c>
    </row>
    <row r="74" spans="1:43" x14ac:dyDescent="0.25">
      <c r="A74" s="129">
        <v>0.4</v>
      </c>
      <c r="B74" s="129">
        <f>'Sub C_D_0'!AY48</f>
        <v>4.3882011113186181E-2</v>
      </c>
      <c r="C74" s="129">
        <f>'C_L vs. α'!X349</f>
        <v>0.12285441590501772</v>
      </c>
      <c r="D74" s="247">
        <f>'C_L vs. α'!Z349</f>
        <v>0.49407259342620635</v>
      </c>
      <c r="E74" s="144">
        <v>10</v>
      </c>
      <c r="F74" s="14">
        <f t="shared" si="76"/>
        <v>1.5506659719818692</v>
      </c>
      <c r="G74" s="6">
        <f t="shared" si="77"/>
        <v>0.26945759615364995</v>
      </c>
      <c r="H74" s="14">
        <f t="shared" si="78"/>
        <v>1.561277662142003</v>
      </c>
      <c r="I74" s="6">
        <f t="shared" si="79"/>
        <v>0.26901050094294576</v>
      </c>
      <c r="J74" s="14">
        <f t="shared" si="80"/>
        <v>1.5771333584700513</v>
      </c>
      <c r="K74" s="6">
        <f t="shared" si="81"/>
        <v>0.27186142563444227</v>
      </c>
      <c r="L74" s="14">
        <f t="shared" si="82"/>
        <v>1.5990528748628634</v>
      </c>
      <c r="M74" s="6">
        <f t="shared" si="83"/>
        <v>0.27697820757785763</v>
      </c>
      <c r="N74" s="14">
        <f t="shared" si="84"/>
        <v>1.6277427879579458</v>
      </c>
      <c r="O74" s="6">
        <f t="shared" si="85"/>
        <v>0.28459751887562484</v>
      </c>
      <c r="P74" s="14">
        <f t="shared" si="86"/>
        <v>1.6628518529692502</v>
      </c>
      <c r="Q74" s="6">
        <f t="shared" si="87"/>
        <v>0.29498779822409033</v>
      </c>
      <c r="R74" s="14">
        <f t="shared" si="88"/>
        <v>1.7079243430532887</v>
      </c>
      <c r="S74" s="6">
        <f t="shared" si="89"/>
        <v>0.30836017753405631</v>
      </c>
      <c r="T74" s="14">
        <f t="shared" si="90"/>
        <v>1.7631257361437003</v>
      </c>
      <c r="U74" s="6">
        <f t="shared" si="91"/>
        <v>0.32547268457012435</v>
      </c>
      <c r="V74" s="14">
        <f t="shared" si="92"/>
        <v>1.8303481376152033</v>
      </c>
      <c r="W74" s="6">
        <f t="shared" si="93"/>
        <v>0.34725317083961521</v>
      </c>
      <c r="X74" s="14">
        <f t="shared" si="94"/>
        <v>1.9121329302101602</v>
      </c>
      <c r="Y74" s="6">
        <f t="shared" si="95"/>
        <v>0.37503481623045987</v>
      </c>
      <c r="Z74" s="14">
        <f t="shared" si="96"/>
        <v>2.0119397601345046</v>
      </c>
      <c r="AA74" s="6">
        <f t="shared" si="97"/>
        <v>0.41075873473560776</v>
      </c>
      <c r="AB74" s="14">
        <f t="shared" si="98"/>
        <v>2.1345556625499</v>
      </c>
      <c r="AC74" s="6">
        <f t="shared" si="99"/>
        <v>0.4573127378368757</v>
      </c>
      <c r="AD74" s="14">
        <f t="shared" si="100"/>
        <v>2.2871810212776835</v>
      </c>
      <c r="AE74" s="6">
        <f t="shared" si="101"/>
        <v>0.51978427885752732</v>
      </c>
      <c r="AF74" s="14">
        <f t="shared" si="102"/>
        <v>2.4794852440592883</v>
      </c>
      <c r="AG74" s="6">
        <f t="shared" si="103"/>
        <v>0.60421170432191318</v>
      </c>
      <c r="AH74" s="14">
        <f t="shared" si="104"/>
        <v>2.7255694287172423</v>
      </c>
      <c r="AI74" s="6">
        <f t="shared" si="105"/>
        <v>0.72246680451799294</v>
      </c>
      <c r="AJ74" s="14">
        <f t="shared" si="106"/>
        <v>3.0454327990056296</v>
      </c>
      <c r="AK74">
        <f t="shared" si="107"/>
        <v>0.97765336854310758</v>
      </c>
      <c r="AL74" s="14">
        <f t="shared" si="108"/>
        <v>3.4725831084558911</v>
      </c>
      <c r="AM74">
        <f t="shared" si="109"/>
        <v>1.2587756964723544</v>
      </c>
      <c r="AN74" s="14">
        <f t="shared" si="110"/>
        <v>3.9689214603544132</v>
      </c>
      <c r="AO74">
        <f t="shared" si="111"/>
        <v>1.6311742868527628</v>
      </c>
      <c r="AP74" s="14">
        <f t="shared" si="112"/>
        <v>3.7955166599309322</v>
      </c>
      <c r="AQ74">
        <f t="shared" si="113"/>
        <v>1.4951926748123678</v>
      </c>
    </row>
    <row r="75" spans="1:43" x14ac:dyDescent="0.25">
      <c r="A75" s="139">
        <v>0.45</v>
      </c>
      <c r="B75" s="129">
        <f>'Sub C_D_0'!AY49</f>
        <v>4.347500108683415E-2</v>
      </c>
      <c r="C75" s="129">
        <f>'C_L vs. α'!X350</f>
        <v>0.12813656681875776</v>
      </c>
      <c r="D75" s="247">
        <f>'C_L vs. α'!Z350</f>
        <v>0.50501508313064158</v>
      </c>
      <c r="E75" s="144">
        <v>12</v>
      </c>
      <c r="F75" s="14">
        <f t="shared" si="76"/>
        <v>1.763067309920016</v>
      </c>
      <c r="G75" s="6">
        <f t="shared" si="77"/>
        <v>0.3363048410467564</v>
      </c>
      <c r="H75" s="14">
        <f t="shared" si="78"/>
        <v>1.775380205176047</v>
      </c>
      <c r="I75" s="6">
        <f t="shared" si="79"/>
        <v>0.33687022671019112</v>
      </c>
      <c r="J75" s="14">
        <f t="shared" si="80"/>
        <v>1.7937333992866629</v>
      </c>
      <c r="K75" s="6">
        <f t="shared" si="81"/>
        <v>0.34123098707841654</v>
      </c>
      <c r="L75" s="14">
        <f t="shared" si="82"/>
        <v>1.8190879166381622</v>
      </c>
      <c r="M75" s="6">
        <f t="shared" si="83"/>
        <v>0.34845540377155182</v>
      </c>
      <c r="N75" s="14">
        <f t="shared" si="84"/>
        <v>1.8522671928711918</v>
      </c>
      <c r="O75" s="6">
        <f t="shared" si="85"/>
        <v>0.35887823909764927</v>
      </c>
      <c r="P75" s="14">
        <f t="shared" si="86"/>
        <v>1.8928400385283752</v>
      </c>
      <c r="Q75" s="6">
        <f t="shared" si="87"/>
        <v>0.37276026514755844</v>
      </c>
      <c r="R75" s="14">
        <f t="shared" si="88"/>
        <v>1.9449735327559354</v>
      </c>
      <c r="S75" s="6">
        <f t="shared" si="89"/>
        <v>0.39075215534274549</v>
      </c>
      <c r="T75" s="14">
        <f t="shared" si="90"/>
        <v>2.0088345679537358</v>
      </c>
      <c r="U75" s="6">
        <f t="shared" si="91"/>
        <v>0.41370855641259852</v>
      </c>
      <c r="V75" s="14">
        <f t="shared" si="92"/>
        <v>2.086621271252719</v>
      </c>
      <c r="W75" s="6">
        <f t="shared" si="93"/>
        <v>0.44288379317729593</v>
      </c>
      <c r="X75" s="14">
        <f t="shared" si="94"/>
        <v>2.1812864075122587</v>
      </c>
      <c r="Y75" s="6">
        <f t="shared" si="95"/>
        <v>0.48007539990890102</v>
      </c>
      <c r="Z75" s="14">
        <f t="shared" si="96"/>
        <v>2.2968501463139344</v>
      </c>
      <c r="AA75" s="6">
        <f t="shared" si="97"/>
        <v>0.52789880299700642</v>
      </c>
      <c r="AB75" s="14">
        <f t="shared" si="98"/>
        <v>2.4388755306487075</v>
      </c>
      <c r="AC75" s="6">
        <f t="shared" si="99"/>
        <v>0.59024562287086924</v>
      </c>
      <c r="AD75" s="14">
        <f t="shared" si="100"/>
        <v>2.6157387868439317</v>
      </c>
      <c r="AE75" s="6">
        <f t="shared" si="101"/>
        <v>0.6738117751028373</v>
      </c>
      <c r="AF75" s="14">
        <f t="shared" si="102"/>
        <v>2.8386728138617023</v>
      </c>
      <c r="AG75" s="6">
        <f t="shared" si="103"/>
        <v>0.78708097246964148</v>
      </c>
      <c r="AH75" s="14">
        <f t="shared" si="104"/>
        <v>3.1240465655590857</v>
      </c>
      <c r="AI75" s="6">
        <f t="shared" si="105"/>
        <v>0.94591034648381866</v>
      </c>
      <c r="AJ75" s="14">
        <f t="shared" si="106"/>
        <v>3.4950210013640963</v>
      </c>
      <c r="AK75">
        <f t="shared" si="107"/>
        <v>1.2742728936751035</v>
      </c>
      <c r="AL75" s="14">
        <f t="shared" si="108"/>
        <v>3.9903832468434928</v>
      </c>
      <c r="AM75">
        <f t="shared" si="109"/>
        <v>1.648583557023896</v>
      </c>
      <c r="AN75" s="14">
        <f t="shared" si="110"/>
        <v>4.5636005549959471</v>
      </c>
      <c r="AO75">
        <f t="shared" si="111"/>
        <v>2.1430176020714118</v>
      </c>
      <c r="AP75" s="14">
        <f t="shared" si="112"/>
        <v>4.3385398736837795</v>
      </c>
      <c r="AQ75">
        <f t="shared" si="113"/>
        <v>1.9407489132636107</v>
      </c>
    </row>
    <row r="76" spans="1:43" x14ac:dyDescent="0.25">
      <c r="A76" s="129">
        <v>0.5</v>
      </c>
      <c r="B76" s="129">
        <f>'Sub C_D_0'!AY50</f>
        <v>4.3119216796144236E-2</v>
      </c>
      <c r="C76" s="129">
        <f>'C_L vs. α'!X351</f>
        <v>0.13457673865104924</v>
      </c>
      <c r="D76" s="247">
        <f>'C_L vs. α'!Z351</f>
        <v>0.51814656605834208</v>
      </c>
      <c r="E76" s="144">
        <v>14</v>
      </c>
      <c r="F76" s="14">
        <f t="shared" si="76"/>
        <v>1.9754686478581629</v>
      </c>
      <c r="G76" s="6">
        <f t="shared" si="77"/>
        <v>0.41225376334268421</v>
      </c>
      <c r="H76" s="14">
        <f t="shared" si="78"/>
        <v>1.989482748210091</v>
      </c>
      <c r="I76" s="6">
        <f t="shared" si="79"/>
        <v>0.41397801151894431</v>
      </c>
      <c r="J76" s="14">
        <f t="shared" si="80"/>
        <v>2.0103334401032744</v>
      </c>
      <c r="K76" s="6">
        <f t="shared" si="81"/>
        <v>0.42006562245275464</v>
      </c>
      <c r="L76" s="14">
        <f t="shared" si="82"/>
        <v>2.0391229584134609</v>
      </c>
      <c r="M76" s="6">
        <f t="shared" si="83"/>
        <v>0.42970026240516723</v>
      </c>
      <c r="N76" s="14">
        <f t="shared" si="84"/>
        <v>2.076791597784438</v>
      </c>
      <c r="O76" s="6">
        <f t="shared" si="85"/>
        <v>0.44332926602840028</v>
      </c>
      <c r="P76" s="14">
        <f t="shared" si="86"/>
        <v>2.1228282240874998</v>
      </c>
      <c r="Q76" s="6">
        <f t="shared" si="87"/>
        <v>0.46120404845846452</v>
      </c>
      <c r="R76" s="14">
        <f t="shared" si="88"/>
        <v>2.1820227224585826</v>
      </c>
      <c r="S76" s="6">
        <f t="shared" si="89"/>
        <v>0.48448076106214599</v>
      </c>
      <c r="T76" s="14">
        <f t="shared" si="90"/>
        <v>2.2545433997637709</v>
      </c>
      <c r="U76" s="6">
        <f t="shared" si="91"/>
        <v>0.51412446157982972</v>
      </c>
      <c r="V76" s="14">
        <f t="shared" si="92"/>
        <v>2.3428944048902345</v>
      </c>
      <c r="W76" s="6">
        <f t="shared" si="93"/>
        <v>0.5517643307825052</v>
      </c>
      <c r="X76" s="14">
        <f t="shared" si="94"/>
        <v>2.4504398848143571</v>
      </c>
      <c r="Y76" s="6">
        <f t="shared" si="95"/>
        <v>0.59973125659744231</v>
      </c>
      <c r="Z76" s="14">
        <f t="shared" si="96"/>
        <v>2.5817605324933646</v>
      </c>
      <c r="AA76" s="6">
        <f t="shared" si="97"/>
        <v>0.66141546234286464</v>
      </c>
      <c r="AB76" s="14">
        <f t="shared" si="98"/>
        <v>2.7431953987475142</v>
      </c>
      <c r="AC76" s="6">
        <f t="shared" si="99"/>
        <v>0.74186240885654087</v>
      </c>
      <c r="AD76" s="14">
        <f t="shared" si="100"/>
        <v>2.9442965524101803</v>
      </c>
      <c r="AE76" s="6">
        <f t="shared" si="101"/>
        <v>0.8496178942402014</v>
      </c>
      <c r="AF76" s="14">
        <f t="shared" si="102"/>
        <v>3.1978603836641164</v>
      </c>
      <c r="AG76" s="6">
        <f t="shared" si="103"/>
        <v>0.99597876454297474</v>
      </c>
      <c r="AH76" s="14">
        <f t="shared" si="104"/>
        <v>3.5225237024009295</v>
      </c>
      <c r="AI76" s="6">
        <f t="shared" si="105"/>
        <v>1.2013880793045248</v>
      </c>
      <c r="AJ76" s="14">
        <f t="shared" si="106"/>
        <v>3.9446092037225635</v>
      </c>
      <c r="AK76">
        <f t="shared" si="107"/>
        <v>1.6116714360309434</v>
      </c>
      <c r="AL76" s="14">
        <f t="shared" si="108"/>
        <v>4.5081833852310949</v>
      </c>
      <c r="AM76">
        <f t="shared" si="109"/>
        <v>2.0924831967765694</v>
      </c>
      <c r="AN76" s="14">
        <f t="shared" si="110"/>
        <v>5.158279649637481</v>
      </c>
      <c r="AO76">
        <f t="shared" si="111"/>
        <v>2.7262073536062981</v>
      </c>
      <c r="AP76" s="14">
        <f t="shared" si="112"/>
        <v>4.8815630874366267</v>
      </c>
      <c r="AQ76">
        <f t="shared" si="113"/>
        <v>2.4457951194846999</v>
      </c>
    </row>
    <row r="77" spans="1:43" x14ac:dyDescent="0.25">
      <c r="A77" s="139">
        <v>0.55000000000000004</v>
      </c>
      <c r="B77" s="129">
        <f>'Sub C_D_0'!AY51</f>
        <v>4.2803935346321646E-2</v>
      </c>
      <c r="C77" s="129">
        <f>'C_L vs. α'!X352</f>
        <v>0.14245519308971499</v>
      </c>
      <c r="D77" s="247">
        <f>'C_L vs. α'!Z352</f>
        <v>0.5339191633771676</v>
      </c>
      <c r="E77" s="144">
        <v>16</v>
      </c>
      <c r="F77" s="14">
        <f t="shared" si="76"/>
        <v>2.1878699857963095</v>
      </c>
      <c r="G77" s="6">
        <f t="shared" si="77"/>
        <v>0.49730436304143333</v>
      </c>
      <c r="H77" s="14">
        <f t="shared" si="78"/>
        <v>2.2035852912441349</v>
      </c>
      <c r="I77" s="6">
        <f t="shared" si="79"/>
        <v>0.50033385536920538</v>
      </c>
      <c r="J77" s="14">
        <f t="shared" si="80"/>
        <v>2.226933480919886</v>
      </c>
      <c r="K77" s="6">
        <f t="shared" si="81"/>
        <v>0.50836533175745624</v>
      </c>
      <c r="L77" s="14">
        <f t="shared" si="82"/>
        <v>2.2591580001887599</v>
      </c>
      <c r="M77" s="6">
        <f t="shared" si="83"/>
        <v>0.52071278347870387</v>
      </c>
      <c r="N77" s="14">
        <f t="shared" si="84"/>
        <v>2.3013160026976838</v>
      </c>
      <c r="O77" s="6">
        <f t="shared" si="85"/>
        <v>0.53795059966787762</v>
      </c>
      <c r="P77" s="14">
        <f t="shared" si="86"/>
        <v>2.3528164096466249</v>
      </c>
      <c r="Q77" s="6">
        <f t="shared" si="87"/>
        <v>0.56031914815680905</v>
      </c>
      <c r="R77" s="14">
        <f t="shared" si="88"/>
        <v>2.4190719121612299</v>
      </c>
      <c r="S77" s="6">
        <f t="shared" si="89"/>
        <v>0.58954599469225766</v>
      </c>
      <c r="T77" s="14">
        <f t="shared" si="90"/>
        <v>2.5002522315738065</v>
      </c>
      <c r="U77" s="6">
        <f t="shared" si="91"/>
        <v>0.62672040007181828</v>
      </c>
      <c r="V77" s="14">
        <f t="shared" si="92"/>
        <v>2.59916753852775</v>
      </c>
      <c r="W77" s="6">
        <f t="shared" si="93"/>
        <v>0.67389478365524313</v>
      </c>
      <c r="X77" s="14">
        <f t="shared" si="94"/>
        <v>2.7195933621164556</v>
      </c>
      <c r="Y77" s="6">
        <f t="shared" si="95"/>
        <v>0.73400238629608361</v>
      </c>
      <c r="Z77" s="14">
        <f t="shared" si="96"/>
        <v>2.8666709186727943</v>
      </c>
      <c r="AA77" s="6">
        <f t="shared" si="97"/>
        <v>0.81130871277318228</v>
      </c>
      <c r="AB77" s="14">
        <f t="shared" si="98"/>
        <v>3.0475152668463217</v>
      </c>
      <c r="AC77" s="6">
        <f t="shared" si="99"/>
        <v>0.91216309579389154</v>
      </c>
      <c r="AD77" s="14">
        <f t="shared" si="100"/>
        <v>3.2728543179764289</v>
      </c>
      <c r="AE77" s="6">
        <f t="shared" si="101"/>
        <v>1.0472026362696196</v>
      </c>
      <c r="AF77" s="14">
        <f t="shared" si="102"/>
        <v>3.55704795346653</v>
      </c>
      <c r="AG77" s="6">
        <f t="shared" si="103"/>
        <v>1.2309050805419133</v>
      </c>
      <c r="AH77" s="14">
        <f t="shared" si="104"/>
        <v>3.9210008392427729</v>
      </c>
      <c r="AI77" s="6">
        <f t="shared" si="105"/>
        <v>1.4889000029801107</v>
      </c>
      <c r="AJ77" s="14">
        <f t="shared" si="106"/>
        <v>4.3941974060810303</v>
      </c>
      <c r="AK77">
        <f t="shared" si="107"/>
        <v>1.9898489956106273</v>
      </c>
      <c r="AL77" s="14">
        <f t="shared" si="108"/>
        <v>5.025983523618696</v>
      </c>
      <c r="AM77">
        <f t="shared" si="109"/>
        <v>2.5904746157303733</v>
      </c>
      <c r="AN77" s="14">
        <f t="shared" si="110"/>
        <v>5.752958744279014</v>
      </c>
      <c r="AO77">
        <f t="shared" si="111"/>
        <v>3.3807435414574218</v>
      </c>
      <c r="AP77" s="14">
        <f t="shared" si="112"/>
        <v>5.424586301189473</v>
      </c>
      <c r="AQ77">
        <f t="shared" si="113"/>
        <v>3.0103312934756339</v>
      </c>
    </row>
    <row r="78" spans="1:43" x14ac:dyDescent="0.25">
      <c r="A78" s="129">
        <v>0.6</v>
      </c>
      <c r="B78" s="129">
        <f>'Sub C_D_0'!AY52</f>
        <v>4.2521415768039583E-2</v>
      </c>
      <c r="C78" s="129">
        <f>'C_L vs. α'!X353</f>
        <v>0.15215993404940356</v>
      </c>
      <c r="D78" s="247">
        <f>'C_L vs. α'!Z353</f>
        <v>0.55295566560775311</v>
      </c>
      <c r="J78" s="14"/>
    </row>
    <row r="79" spans="1:43" x14ac:dyDescent="0.25">
      <c r="A79" s="139">
        <v>0.65</v>
      </c>
      <c r="B79" s="129">
        <f>'Sub C_D_0'!AY53</f>
        <v>4.2744137627308776E-2</v>
      </c>
      <c r="C79" s="129">
        <f>'C_L vs. α'!X354</f>
        <v>0.16427888278312427</v>
      </c>
      <c r="D79" s="247">
        <f>'C_L vs. α'!Z354</f>
        <v>0.5761359727959795</v>
      </c>
    </row>
    <row r="80" spans="1:43" x14ac:dyDescent="0.25">
      <c r="A80" s="129">
        <v>0.7</v>
      </c>
      <c r="B80" s="129">
        <f>'Sub C_D_0'!AY54</f>
        <v>4.2506143146913297E-2</v>
      </c>
      <c r="C80" s="129">
        <f>'C_L vs. α'!X355</f>
        <v>0.179593784901207</v>
      </c>
      <c r="D80" s="247">
        <f>'C_L vs. α'!Z355</f>
        <v>0.60474433217521351</v>
      </c>
    </row>
    <row r="81" spans="1:43" x14ac:dyDescent="0.25">
      <c r="A81" s="139">
        <v>0.75</v>
      </c>
      <c r="B81" s="129">
        <f>'Sub C_D_0'!AY55</f>
        <v>4.2287745865597817E-2</v>
      </c>
      <c r="C81" s="129">
        <f>'C_L vs. α'!X356</f>
        <v>0.1992385684209218</v>
      </c>
      <c r="D81" s="247">
        <f>'C_L vs. α'!Z356</f>
        <v>0.6407342113045229</v>
      </c>
    </row>
    <row r="82" spans="1:43" x14ac:dyDescent="0.25">
      <c r="A82" s="129">
        <v>0.8</v>
      </c>
      <c r="B82" s="129">
        <f>'Sub C_D_0'!AY56</f>
        <v>4.2086167305295255E-2</v>
      </c>
      <c r="C82" s="129">
        <f>'C_L vs. α'!X357</f>
        <v>0.22479410117923354</v>
      </c>
      <c r="D82" s="247">
        <f>'C_L vs. α'!Z357</f>
        <v>0.68723722324087244</v>
      </c>
    </row>
    <row r="83" spans="1:43" x14ac:dyDescent="0.25">
      <c r="A83" s="139">
        <v>0.85</v>
      </c>
      <c r="B83" s="129">
        <f>'Sub C_D_0'!AY57</f>
        <v>4.2359361941022314E-2</v>
      </c>
      <c r="C83" s="129">
        <f>'C_L vs. α'!X358</f>
        <v>0.25890006919380087</v>
      </c>
      <c r="D83" s="247">
        <f>'C_L vs. α'!Z358</f>
        <v>0.74961881678889786</v>
      </c>
    </row>
    <row r="84" spans="1:43" x14ac:dyDescent="0.25">
      <c r="A84" s="129">
        <v>0.9</v>
      </c>
      <c r="B84" s="129">
        <f>'Sub C_D_0'!AY58</f>
        <v>4.2181387966868586E-2</v>
      </c>
      <c r="C84" s="129">
        <f>'C_L vs. α'!X359</f>
        <v>0.29733954732076684</v>
      </c>
      <c r="D84" s="247">
        <f>'C_L vs. α'!Z359</f>
        <v>0.83782372779117353</v>
      </c>
    </row>
    <row r="85" spans="1:43" x14ac:dyDescent="0.25">
      <c r="A85" s="139">
        <v>0.95</v>
      </c>
      <c r="B85" s="129">
        <f>'Sub C_D_0'!AY59</f>
        <v>4.2014887820409616E-2</v>
      </c>
      <c r="C85" s="129">
        <f>'C_L vs. α'!X360</f>
        <v>0.27151160687642356</v>
      </c>
      <c r="D85" s="247">
        <f>'C_L vs. α'!Z360</f>
        <v>0.97066678114832761</v>
      </c>
    </row>
    <row r="86" spans="1:43" s="29" customFormat="1" x14ac:dyDescent="0.25">
      <c r="A86" s="11"/>
      <c r="B86" s="11"/>
      <c r="C86" s="11"/>
      <c r="D86" s="11"/>
    </row>
    <row r="87" spans="1:43" s="29" customFormat="1" x14ac:dyDescent="0.25">
      <c r="A87" s="122" t="s">
        <v>537</v>
      </c>
      <c r="B87" s="122" t="s">
        <v>290</v>
      </c>
      <c r="C87" t="s">
        <v>1090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</row>
    <row r="88" spans="1:43" s="29" customFormat="1" x14ac:dyDescent="0.25">
      <c r="A88" s="122" t="s">
        <v>202</v>
      </c>
      <c r="B88" s="143" t="s">
        <v>533</v>
      </c>
      <c r="C88" s="122" t="s">
        <v>538</v>
      </c>
      <c r="D88" s="122" t="s">
        <v>539</v>
      </c>
      <c r="F88" s="1" t="s">
        <v>536</v>
      </c>
      <c r="G88" s="140">
        <v>0.05</v>
      </c>
      <c r="H88" s="1" t="s">
        <v>536</v>
      </c>
      <c r="I88" s="140">
        <v>0.1</v>
      </c>
      <c r="J88" s="1" t="s">
        <v>536</v>
      </c>
      <c r="K88" s="140">
        <v>0.15</v>
      </c>
      <c r="L88" s="1" t="s">
        <v>536</v>
      </c>
      <c r="M88" s="140">
        <v>0.2</v>
      </c>
      <c r="N88" t="s">
        <v>536</v>
      </c>
      <c r="O88" s="141">
        <v>0.25</v>
      </c>
      <c r="P88" t="s">
        <v>536</v>
      </c>
      <c r="Q88" s="141">
        <v>0.3</v>
      </c>
      <c r="R88" t="s">
        <v>536</v>
      </c>
      <c r="S88" s="141">
        <v>0.35</v>
      </c>
      <c r="T88" t="s">
        <v>536</v>
      </c>
      <c r="U88" s="141">
        <v>0.4</v>
      </c>
      <c r="V88" t="s">
        <v>536</v>
      </c>
      <c r="W88" s="141">
        <v>0.45</v>
      </c>
      <c r="X88" t="s">
        <v>536</v>
      </c>
      <c r="Y88" s="141">
        <v>0.5</v>
      </c>
      <c r="Z88" t="s">
        <v>536</v>
      </c>
      <c r="AA88" s="141">
        <v>0.55000000000000004</v>
      </c>
      <c r="AB88" t="s">
        <v>536</v>
      </c>
      <c r="AC88" s="141">
        <v>0.6</v>
      </c>
      <c r="AD88" t="s">
        <v>536</v>
      </c>
      <c r="AE88" s="141">
        <v>0.65</v>
      </c>
      <c r="AF88" t="s">
        <v>536</v>
      </c>
      <c r="AG88" s="141">
        <v>0.7</v>
      </c>
      <c r="AH88" t="s">
        <v>536</v>
      </c>
      <c r="AI88" s="141">
        <v>0.75</v>
      </c>
      <c r="AJ88" t="s">
        <v>536</v>
      </c>
      <c r="AK88" s="141">
        <v>0.8</v>
      </c>
      <c r="AL88" t="s">
        <v>536</v>
      </c>
      <c r="AM88" s="141">
        <v>0.85</v>
      </c>
      <c r="AN88" t="s">
        <v>536</v>
      </c>
      <c r="AO88" s="141">
        <v>0.9</v>
      </c>
      <c r="AP88" t="s">
        <v>536</v>
      </c>
      <c r="AQ88" s="141">
        <v>0.95</v>
      </c>
    </row>
    <row r="89" spans="1:43" s="29" customFormat="1" x14ac:dyDescent="0.25">
      <c r="A89" s="121" t="s">
        <v>182</v>
      </c>
      <c r="B89" s="121" t="s">
        <v>534</v>
      </c>
      <c r="C89" s="121" t="s">
        <v>535</v>
      </c>
      <c r="D89" s="248" t="s">
        <v>1126</v>
      </c>
      <c r="E89" s="121" t="s">
        <v>421</v>
      </c>
      <c r="F89" s="14" t="s">
        <v>244</v>
      </c>
      <c r="G89" s="6" t="s">
        <v>245</v>
      </c>
      <c r="H89" s="14" t="s">
        <v>244</v>
      </c>
      <c r="I89" s="6" t="s">
        <v>245</v>
      </c>
      <c r="J89" s="14" t="s">
        <v>244</v>
      </c>
      <c r="K89" s="6" t="s">
        <v>245</v>
      </c>
      <c r="L89" s="14" t="s">
        <v>244</v>
      </c>
      <c r="M89" s="6" t="s">
        <v>245</v>
      </c>
      <c r="N89" t="s">
        <v>244</v>
      </c>
      <c r="O89" t="s">
        <v>245</v>
      </c>
      <c r="P89" t="s">
        <v>244</v>
      </c>
      <c r="Q89" t="s">
        <v>245</v>
      </c>
      <c r="R89" t="s">
        <v>244</v>
      </c>
      <c r="S89" t="s">
        <v>245</v>
      </c>
      <c r="T89" t="s">
        <v>244</v>
      </c>
      <c r="U89" t="s">
        <v>245</v>
      </c>
      <c r="V89" t="s">
        <v>244</v>
      </c>
      <c r="W89" t="s">
        <v>245</v>
      </c>
      <c r="X89" t="s">
        <v>244</v>
      </c>
      <c r="Y89" t="s">
        <v>245</v>
      </c>
      <c r="Z89" t="s">
        <v>244</v>
      </c>
      <c r="AA89" t="s">
        <v>245</v>
      </c>
      <c r="AB89" t="s">
        <v>244</v>
      </c>
      <c r="AC89" t="s">
        <v>245</v>
      </c>
      <c r="AD89" t="s">
        <v>244</v>
      </c>
      <c r="AE89" t="s">
        <v>245</v>
      </c>
      <c r="AF89" t="s">
        <v>244</v>
      </c>
      <c r="AG89" t="s">
        <v>245</v>
      </c>
      <c r="AH89" t="s">
        <v>244</v>
      </c>
      <c r="AI89" t="s">
        <v>245</v>
      </c>
      <c r="AJ89" t="s">
        <v>244</v>
      </c>
      <c r="AK89" t="s">
        <v>245</v>
      </c>
      <c r="AL89" t="s">
        <v>244</v>
      </c>
      <c r="AM89" t="s">
        <v>245</v>
      </c>
      <c r="AN89" t="s">
        <v>244</v>
      </c>
      <c r="AO89" t="s">
        <v>245</v>
      </c>
      <c r="AP89" t="s">
        <v>244</v>
      </c>
      <c r="AQ89" t="s">
        <v>245</v>
      </c>
    </row>
    <row r="90" spans="1:43" s="29" customFormat="1" x14ac:dyDescent="0.25">
      <c r="A90" s="129">
        <v>0</v>
      </c>
      <c r="B90" s="129" t="e">
        <f>B66-'Sub C_D_0'!U40</f>
        <v>#DIV/0!</v>
      </c>
      <c r="C90" s="129" t="e">
        <f>'C_L vs. α'!X341</f>
        <v>#NUM!</v>
      </c>
      <c r="D90" s="247">
        <f>'C_L vs. α'!Z341</f>
        <v>0.45845157974315059</v>
      </c>
      <c r="E90" s="144">
        <v>-6</v>
      </c>
      <c r="F90" s="14">
        <f>$D$19+(E90-$B$12)*$C$91</f>
        <v>-0.14854473152330544</v>
      </c>
      <c r="G90" s="6">
        <f>$B$91+$B$7*F90^2+$B$8*(F90-F$93)^2</f>
        <v>4.7340023510368409E-2</v>
      </c>
      <c r="H90" s="14">
        <f>$D$20+(E90-$B$12)*$C$92</f>
        <v>-0.15154268213034833</v>
      </c>
      <c r="I90" s="6">
        <f>$B$92+$B$7*H90^2+$B$8*(H90-H$93)^2</f>
        <v>4.4062820299266926E-2</v>
      </c>
      <c r="J90" s="14">
        <f>$D$21+(E90-$B$12)*$C$93</f>
        <v>-0.15566696806284069</v>
      </c>
      <c r="K90" s="6">
        <f>$B$93+$B$7*J90^2+$B$8*(J90-J$93)^2</f>
        <v>4.2647595575739453E-2</v>
      </c>
      <c r="L90" s="14">
        <f>$D$22+(E90-$B$12)*$C$94</f>
        <v>-0.16122745933952709</v>
      </c>
      <c r="M90" s="6">
        <f>$B$94+$B$7*L90^2+$B$8*(L90-L$93)^2</f>
        <v>4.1796485865464458E-2</v>
      </c>
      <c r="N90" s="14">
        <f>$D$23+(E90-$B$12)*$C$95</f>
        <v>-0.16845245134802234</v>
      </c>
      <c r="O90" s="6">
        <f>$B$95+$B$7*N90^2+$B$8*(N90-N$69)^2</f>
        <v>4.1482798613584178E-2</v>
      </c>
      <c r="P90" s="14">
        <f>$D$24+(E90-$B$12)*$C$96</f>
        <v>-0.17705363150374809</v>
      </c>
      <c r="Q90" s="6">
        <f>$B$96+$B$7*P90^2+$B$8*(P90-P$93)^2</f>
        <v>4.1975452784120855E-2</v>
      </c>
      <c r="R90" s="14">
        <f>$D$25+(E90-$B$12)*$C$97</f>
        <v>-0.18846917456788781</v>
      </c>
      <c r="S90" s="6">
        <f>$B$97+$B$7*R90^2+$B$8*(R90-R$93)^2</f>
        <v>4.2342959850142074E-2</v>
      </c>
      <c r="T90" s="14">
        <f>$D$26+(E90-$B$12)*$C$98</f>
        <v>-0.20254491833658333</v>
      </c>
      <c r="U90" s="6">
        <f>$B$98+$B$7*T90^2+$B$8*(T90-T$93)^2</f>
        <v>4.306690952159134E-2</v>
      </c>
      <c r="V90" s="14">
        <f>$D$27+(E90-$B$12)*$C$99</f>
        <v>-0.21983693148492078</v>
      </c>
      <c r="W90" s="6">
        <f>$B$99+$B$7*V90^2+$B$8*(V90-V$93)^2</f>
        <v>4.4205141769199707E-2</v>
      </c>
      <c r="X90" s="14">
        <f>$D$28+(E90-$B$12)*$C$100</f>
        <v>-0.24109488820662778</v>
      </c>
      <c r="Y90" s="6">
        <f>$B$100+$B$7*X90^2+$B$8*(X90-X$93)^2</f>
        <v>4.5859975166533777E-2</v>
      </c>
      <c r="Z90" s="14">
        <f>$D$29+(E90-$B$12)*$C$101</f>
        <v>-0.2673433293009353</v>
      </c>
      <c r="AA90" s="6">
        <f>$B$101+$B$7*Z90^2+$B$8*(Z90-Z$93)^2</f>
        <v>4.8195467684958554E-2</v>
      </c>
      <c r="AB90" s="14">
        <f>$D$30+(E90-$B$12)*$C$102</f>
        <v>-0.30000328224055683</v>
      </c>
      <c r="AC90" s="6">
        <f>$B$102+$B$7*AB90^2+$B$8*(AB90-AB$93)^2</f>
        <v>5.1470091825356654E-2</v>
      </c>
      <c r="AD90" s="14">
        <f>$D$31+(E90-$B$12)*$C$103</f>
        <v>-0.34128110325230515</v>
      </c>
      <c r="AE90" s="6">
        <f>$B$103+$B$7*AD90^2+$B$8*(AD90-AD$93)^2</f>
        <v>5.6594733008989796E-2</v>
      </c>
      <c r="AF90" s="14">
        <f>$D$32+(E90-$B$12)*$C$104</f>
        <v>-0.39401531436002379</v>
      </c>
      <c r="AG90" s="6">
        <f>$B$104+$B$7*AF90^2+$B$8*(AF90-AF$93)^2</f>
        <v>6.3284420461873131E-2</v>
      </c>
      <c r="AH90" s="14">
        <f>$D$33+(E90-$B$12)*$C$105</f>
        <v>-0.46224766601750655</v>
      </c>
      <c r="AI90" s="6">
        <f>$B$105+$B$7*AH90^2+$B$8*(AH90-AH$93)^2</f>
        <v>7.3149339567064209E-2</v>
      </c>
      <c r="AJ90" s="14">
        <f>$D$34+(E90-$B$12)*$C$106</f>
        <v>-0.55127281986210741</v>
      </c>
      <c r="AK90">
        <f>$B$82+$B$9*AJ90^2</f>
        <v>7.2741787545520423E-2</v>
      </c>
      <c r="AL90" s="14">
        <f>$D$35+(E90-$B$12)*$C$107</f>
        <v>-0.66981799864492275</v>
      </c>
      <c r="AM90">
        <f>$B$83+$B$9*AL90^2</f>
        <v>8.7616863300750539E-2</v>
      </c>
      <c r="AN90" s="14">
        <f>$D$36+(E90-$B$12)*$C$108</f>
        <v>-0.78851129677785636</v>
      </c>
      <c r="AO90">
        <f>$B$84+$B$9*AN90^2</f>
        <v>0.10489947248814646</v>
      </c>
      <c r="AP90" s="14">
        <f>$D$37+(E90-$B$12)*$C$109</f>
        <v>-0.54866905009184486</v>
      </c>
      <c r="AQ90">
        <f>$B$85+$B$9*AP90^2</f>
        <v>7.2381606916895755E-2</v>
      </c>
    </row>
    <row r="91" spans="1:43" s="29" customFormat="1" x14ac:dyDescent="0.25">
      <c r="A91" s="139">
        <v>0.05</v>
      </c>
      <c r="B91" s="129">
        <f>B67-'Sub C_D_0'!U41</f>
        <v>3.7434927911830229E-2</v>
      </c>
      <c r="C91" s="129">
        <f>'C_L vs. α'!X342</f>
        <v>0.10620066896907342</v>
      </c>
      <c r="D91" s="247">
        <f>'C_L vs. α'!Z342</f>
        <v>0.45895033598647389</v>
      </c>
      <c r="E91" s="144">
        <v>-4</v>
      </c>
      <c r="F91" s="14">
        <f t="shared" ref="F91:F101" si="114">$D$19+(E91-$B$12)*$C$91</f>
        <v>6.3856606414841366E-2</v>
      </c>
      <c r="G91" s="6">
        <f t="shared" ref="G91:G101" si="115">$B$91+$B$7*F91^2+$B$8*(F91-F$93)^2</f>
        <v>4.1373849180903748E-2</v>
      </c>
      <c r="H91" s="14">
        <f t="shared" ref="H91:H101" si="116">$D$20+(E91-$B$12)*$C$92</f>
        <v>6.2559860903695585E-2</v>
      </c>
      <c r="I91" s="6">
        <f t="shared" ref="I91:I101" si="117">$B$92+$B$7*H91^2+$B$8*(H91-H$93)^2</f>
        <v>3.7938073734449233E-2</v>
      </c>
      <c r="J91" s="14">
        <f t="shared" ref="J91:J101" si="118">$D$21+(E91-$B$12)*$C$93</f>
        <v>6.0933072753770801E-2</v>
      </c>
      <c r="K91" s="6">
        <f t="shared" ref="K91:K101" si="119">$B$93+$B$7*J91^2+$B$8*(J91-J$93)^2</f>
        <v>3.6296565576804482E-2</v>
      </c>
      <c r="L91" s="14">
        <f t="shared" ref="L91:L101" si="120">$D$22+(E91-$B$12)*$C$94</f>
        <v>5.8807582435771666E-2</v>
      </c>
      <c r="M91" s="6">
        <f t="shared" ref="M91:M101" si="121">$B$94+$B$7*L91^2+$B$8*(L91-L$93)^2</f>
        <v>3.5132382539789619E-2</v>
      </c>
      <c r="N91" s="14">
        <f t="shared" ref="N91:N101" si="122">$D$23+(E91-$B$12)*$C$95</f>
        <v>5.6071953565223709E-2</v>
      </c>
      <c r="O91" s="6">
        <f t="shared" ref="O91:O101" si="123">$B$95+$B$7*N91^2+$B$8*(N91-N$69)^2</f>
        <v>3.4401065165796454E-2</v>
      </c>
      <c r="P91" s="14">
        <f t="shared" ref="P91:P101" si="124">$D$24+(E91-$B$12)*$C$96</f>
        <v>5.2934554055376726E-2</v>
      </c>
      <c r="Q91" s="6">
        <f t="shared" ref="Q91:Q101" si="125">$B$96+$B$7*P91^2+$B$8*(P91-P$93)^2</f>
        <v>3.4377388608083398E-2</v>
      </c>
      <c r="R91" s="14">
        <f t="shared" ref="R91:R101" si="126">$D$25+(E91-$B$12)*$C$97</f>
        <v>4.858001513475918E-2</v>
      </c>
      <c r="S91" s="6">
        <f t="shared" ref="S91:S101" si="127">$B$97+$B$7*R91^2+$B$8*(R91-R$93)^2</f>
        <v>3.404191437314244E-2</v>
      </c>
      <c r="T91" s="14">
        <f t="shared" ref="T91:T101" si="128">$D$26+(E91-$B$12)*$C$98</f>
        <v>4.3163913473452165E-2</v>
      </c>
      <c r="U91" s="6">
        <f t="shared" ref="U91:U101" si="129">$B$98+$B$7*T91^2+$B$8*(T91-T$93)^2</f>
        <v>3.3862514766007719E-2</v>
      </c>
      <c r="V91" s="14">
        <f t="shared" ref="V91:V101" si="130">$D$27+(E91-$B$12)*$C$99</f>
        <v>3.6436202152594688E-2</v>
      </c>
      <c r="W91" s="6">
        <f t="shared" ref="W91:W101" si="131">$B$99+$B$7*V91^2+$B$8*(V91-V$93)^2</f>
        <v>3.3836441966651525E-2</v>
      </c>
      <c r="X91" s="14">
        <f t="shared" ref="X91:X101" si="132">$D$28+(E91-$B$12)*$C$100</f>
        <v>2.805858909547071E-2</v>
      </c>
      <c r="Y91" s="6">
        <f t="shared" ref="Y91:Y101" si="133">$B$100+$B$7*X91^2+$B$8*(X91-X$93)^2</f>
        <v>3.397837476417423E-2</v>
      </c>
      <c r="Z91" s="14">
        <f t="shared" ref="Z91:Z101" si="134">$D$29+(E91-$B$12)*$C$101</f>
        <v>1.7567056878494691E-2</v>
      </c>
      <c r="AA91" s="6">
        <f t="shared" ref="AA91:AA101" si="135">$B$101+$B$7*Z91^2+$B$8*(Z91-Z$93)^2</f>
        <v>3.4322807270681578E-2</v>
      </c>
      <c r="AB91" s="14">
        <f t="shared" ref="AB91:AB101" si="136">$D$30+(E91-$B$12)*$C$102</f>
        <v>4.3165858582502326E-3</v>
      </c>
      <c r="AC91" s="6">
        <f t="shared" ref="AC91:AC101" si="137">$B$102+$B$7*AB91^2+$B$8*(AB91-AB$93)^2</f>
        <v>3.4931769245921653E-2</v>
      </c>
      <c r="AD91" s="14">
        <f t="shared" ref="AD91:AD101" si="138">$D$31+(E91-$B$12)*$C$103</f>
        <v>-1.2723337686056546E-2</v>
      </c>
      <c r="AE91" s="6">
        <f t="shared" ref="AE91:AE101" si="139">$B$103+$B$7*AD91^2+$B$8*(AD91-AD$93)^2</f>
        <v>3.6393246117868025E-2</v>
      </c>
      <c r="AF91" s="14">
        <f t="shared" ref="AF91:AF101" si="140">$D$32+(E91-$B$12)*$C$104</f>
        <v>-3.482774455760973E-2</v>
      </c>
      <c r="AG91" s="6">
        <f t="shared" ref="AG91:AG101" si="141">$B$104+$B$7*AF91^2+$B$8*(AF91-AF$93)^2</f>
        <v>3.79254972047601E-2</v>
      </c>
      <c r="AH91" s="14">
        <f t="shared" ref="AH91:AH101" si="142">$D$33+(E91-$B$12)*$C$105</f>
        <v>-6.3770529175662949E-2</v>
      </c>
      <c r="AI91" s="6">
        <f t="shared" ref="AI91:AI101" si="143">$B$105+$B$7*AH91^2+$B$8*(AH91-AH$93)^2</f>
        <v>4.0319354693850409E-2</v>
      </c>
      <c r="AJ91" s="14">
        <f t="shared" ref="AJ91:AJ101" si="144">$D$34+(E91-$B$12)*$C$106</f>
        <v>-0.10168461750364022</v>
      </c>
      <c r="AK91">
        <f t="shared" ref="AK91:AK101" si="145">$B$82+$B$9*AJ91^2</f>
        <v>4.3129174886765063E-2</v>
      </c>
      <c r="AL91" s="14">
        <f t="shared" ref="AL91:AL101" si="146">$D$35+(E91-$B$12)*$C$107</f>
        <v>-0.15201786025732111</v>
      </c>
      <c r="AM91">
        <f t="shared" ref="AM91:AM101" si="147">$B$83+$B$9*AL91^2</f>
        <v>4.4690490243241177E-2</v>
      </c>
      <c r="AN91" s="14">
        <f t="shared" ref="AN91:AN101" si="148">$D$36+(E91-$B$12)*$C$108</f>
        <v>-0.19383220213632257</v>
      </c>
      <c r="AO91">
        <f t="shared" ref="AO91:AO101" si="149">$B$84+$B$9*AN91^2</f>
        <v>4.5971297176890115E-2</v>
      </c>
      <c r="AP91" s="14">
        <f t="shared" ref="AP91:AP101" si="150">$D$37+(E91-$B$12)*$C$109</f>
        <v>-5.6458363389976229E-3</v>
      </c>
      <c r="AQ91">
        <f t="shared" ref="AQ91:AQ101" si="151">$B$85+$B$9*AP91^2</f>
        <v>4.2018103209367594E-2</v>
      </c>
    </row>
    <row r="92" spans="1:43" s="29" customFormat="1" x14ac:dyDescent="0.25">
      <c r="A92" s="129">
        <v>0.1</v>
      </c>
      <c r="B92" s="129">
        <f>B68-'Sub C_D_0'!U42</f>
        <v>3.3954364405631765E-2</v>
      </c>
      <c r="C92" s="129">
        <f>'C_L vs. α'!X343</f>
        <v>0.10705127151702197</v>
      </c>
      <c r="D92" s="247">
        <f>'C_L vs. α'!Z343</f>
        <v>0.46045641054571373</v>
      </c>
      <c r="E92" s="144">
        <v>-2</v>
      </c>
      <c r="F92" s="14">
        <f t="shared" si="114"/>
        <v>0.27625794435298817</v>
      </c>
      <c r="G92" s="6">
        <f t="shared" si="115"/>
        <v>4.4509352254260469E-2</v>
      </c>
      <c r="H92" s="14">
        <f t="shared" si="116"/>
        <v>0.2766624039377395</v>
      </c>
      <c r="I92" s="6">
        <f t="shared" si="117"/>
        <v>4.1061386211139403E-2</v>
      </c>
      <c r="J92" s="14">
        <f t="shared" si="118"/>
        <v>0.27753311357038229</v>
      </c>
      <c r="K92" s="6">
        <f t="shared" si="119"/>
        <v>3.941060950823317E-2</v>
      </c>
      <c r="L92" s="14">
        <f t="shared" si="120"/>
        <v>0.27884262421107053</v>
      </c>
      <c r="M92" s="6">
        <f t="shared" si="121"/>
        <v>3.8235941654035918E-2</v>
      </c>
      <c r="N92" s="14">
        <f t="shared" si="122"/>
        <v>0.28059635847846975</v>
      </c>
      <c r="O92" s="6">
        <f t="shared" si="123"/>
        <v>3.748963842673525E-2</v>
      </c>
      <c r="P92" s="14">
        <f t="shared" si="124"/>
        <v>0.28292273961450154</v>
      </c>
      <c r="Q92" s="6">
        <f t="shared" si="125"/>
        <v>3.7450640819484127E-2</v>
      </c>
      <c r="R92" s="14">
        <f t="shared" si="126"/>
        <v>0.28562920483740628</v>
      </c>
      <c r="S92" s="6">
        <f t="shared" si="127"/>
        <v>3.7077496806853912E-2</v>
      </c>
      <c r="T92" s="14">
        <f t="shared" si="128"/>
        <v>0.28887274528348761</v>
      </c>
      <c r="U92" s="6">
        <f t="shared" si="129"/>
        <v>3.6838153335181319E-2</v>
      </c>
      <c r="V92" s="14">
        <f t="shared" si="130"/>
        <v>0.29270933579011027</v>
      </c>
      <c r="W92" s="6">
        <f t="shared" si="131"/>
        <v>3.6717657431631939E-2</v>
      </c>
      <c r="X92" s="14">
        <f t="shared" si="132"/>
        <v>0.2972120663975692</v>
      </c>
      <c r="Y92" s="6">
        <f t="shared" si="133"/>
        <v>3.6712047371914767E-2</v>
      </c>
      <c r="Z92" s="14">
        <f t="shared" si="134"/>
        <v>0.30247744305792468</v>
      </c>
      <c r="AA92" s="6">
        <f t="shared" si="135"/>
        <v>3.6826737940864052E-2</v>
      </c>
      <c r="AB92" s="14">
        <f t="shared" si="136"/>
        <v>0.30863645395705741</v>
      </c>
      <c r="AC92" s="6">
        <f t="shared" si="137"/>
        <v>3.7077347618165196E-2</v>
      </c>
      <c r="AD92" s="14">
        <f t="shared" si="138"/>
        <v>0.315834427880192</v>
      </c>
      <c r="AE92" s="6">
        <f t="shared" si="139"/>
        <v>3.7970382118800231E-2</v>
      </c>
      <c r="AF92" s="14">
        <f t="shared" si="140"/>
        <v>0.32435982524480422</v>
      </c>
      <c r="AG92" s="6">
        <f t="shared" si="141"/>
        <v>3.8595097873252222E-2</v>
      </c>
      <c r="AH92" s="14">
        <f t="shared" si="142"/>
        <v>0.33470660766618066</v>
      </c>
      <c r="AI92" s="6">
        <f t="shared" si="143"/>
        <v>3.9523560675516566E-2</v>
      </c>
      <c r="AJ92" s="14">
        <f t="shared" si="144"/>
        <v>0.34790358485482681</v>
      </c>
      <c r="AK92">
        <f t="shared" si="145"/>
        <v>5.4295579451853634E-2</v>
      </c>
      <c r="AL92" s="14">
        <f t="shared" si="146"/>
        <v>0.36578227813028069</v>
      </c>
      <c r="AM92">
        <f t="shared" si="147"/>
        <v>5.5855896386863189E-2</v>
      </c>
      <c r="AN92" s="14">
        <f t="shared" si="148"/>
        <v>0.40084689250521111</v>
      </c>
      <c r="AO92">
        <f t="shared" si="149"/>
        <v>5.8389558181871894E-2</v>
      </c>
      <c r="AP92" s="14">
        <f t="shared" si="150"/>
        <v>0.5373773774138495</v>
      </c>
      <c r="AQ92">
        <f t="shared" si="151"/>
        <v>7.1144567271685777E-2</v>
      </c>
    </row>
    <row r="93" spans="1:43" s="29" customFormat="1" x14ac:dyDescent="0.25">
      <c r="A93" s="139">
        <v>0.15</v>
      </c>
      <c r="B93" s="129">
        <f>B69-'Sub C_D_0'!U43</f>
        <v>3.2243049172134025E-2</v>
      </c>
      <c r="C93" s="129">
        <f>'C_L vs. α'!X344</f>
        <v>0.10830002040830576</v>
      </c>
      <c r="D93" s="247">
        <f>'C_L vs. α'!Z344</f>
        <v>0.46299976077442567</v>
      </c>
      <c r="E93" s="143">
        <v>0</v>
      </c>
      <c r="F93" s="83">
        <f t="shared" si="114"/>
        <v>0.48865928229113503</v>
      </c>
      <c r="G93" s="21">
        <f t="shared" si="115"/>
        <v>5.6746532730438587E-2</v>
      </c>
      <c r="H93" s="83">
        <f t="shared" si="116"/>
        <v>0.49076494697178347</v>
      </c>
      <c r="I93" s="21">
        <f t="shared" si="117"/>
        <v>5.3432757729337463E-2</v>
      </c>
      <c r="J93" s="83">
        <f t="shared" si="118"/>
        <v>0.49413315438699384</v>
      </c>
      <c r="K93" s="21">
        <f t="shared" si="119"/>
        <v>5.1989727370025524E-2</v>
      </c>
      <c r="L93" s="83">
        <f t="shared" si="120"/>
        <v>0.49887766598636929</v>
      </c>
      <c r="M93" s="21">
        <f t="shared" si="121"/>
        <v>5.1107163208203354E-2</v>
      </c>
      <c r="N93" s="83">
        <f t="shared" si="122"/>
        <v>0.50512076339171574</v>
      </c>
      <c r="O93" s="21">
        <f t="shared" si="123"/>
        <v>5.0748518396400558E-2</v>
      </c>
      <c r="P93" s="83">
        <f t="shared" si="124"/>
        <v>0.51291092517362635</v>
      </c>
      <c r="Q93" s="21">
        <f t="shared" si="125"/>
        <v>5.1195209418323041E-2</v>
      </c>
      <c r="R93" s="83">
        <f t="shared" si="126"/>
        <v>0.52267839454005327</v>
      </c>
      <c r="S93" s="21">
        <f t="shared" si="127"/>
        <v>5.1449707151276503E-2</v>
      </c>
      <c r="T93" s="83">
        <f t="shared" si="128"/>
        <v>0.53458157709352305</v>
      </c>
      <c r="U93" s="21">
        <f t="shared" si="129"/>
        <v>5.1993825229112126E-2</v>
      </c>
      <c r="V93" s="83">
        <f t="shared" si="130"/>
        <v>0.54898246942762574</v>
      </c>
      <c r="W93" s="21">
        <f t="shared" si="131"/>
        <v>5.2848788164140972E-2</v>
      </c>
      <c r="X93" s="83">
        <f t="shared" si="132"/>
        <v>0.56636554369966774</v>
      </c>
      <c r="Y93" s="21">
        <f t="shared" si="133"/>
        <v>5.4060992989755405E-2</v>
      </c>
      <c r="Z93" s="83">
        <f t="shared" si="134"/>
        <v>0.58738782923735466</v>
      </c>
      <c r="AA93" s="21">
        <f t="shared" si="135"/>
        <v>5.5707259695506002E-2</v>
      </c>
      <c r="AB93" s="83">
        <f t="shared" si="136"/>
        <v>0.61295632205586448</v>
      </c>
      <c r="AC93" s="21">
        <f t="shared" si="137"/>
        <v>5.7906826942087271E-2</v>
      </c>
      <c r="AD93" s="83">
        <f t="shared" si="138"/>
        <v>0.6443921934464405</v>
      </c>
      <c r="AE93" s="21">
        <f t="shared" si="139"/>
        <v>6.1326141011786434E-2</v>
      </c>
      <c r="AF93" s="83">
        <f t="shared" si="140"/>
        <v>0.68354739504721829</v>
      </c>
      <c r="AG93" s="21">
        <f t="shared" si="141"/>
        <v>6.5293222467349504E-2</v>
      </c>
      <c r="AH93" s="83">
        <f t="shared" si="142"/>
        <v>0.73318374450802426</v>
      </c>
      <c r="AI93" s="21">
        <f t="shared" si="143"/>
        <v>7.0761957512062712E-2</v>
      </c>
      <c r="AJ93" s="83">
        <f t="shared" si="144"/>
        <v>0.79749178721329383</v>
      </c>
      <c r="AK93" s="99">
        <f t="shared" si="145"/>
        <v>0.10624100124078611</v>
      </c>
      <c r="AL93" s="83">
        <f t="shared" si="146"/>
        <v>0.8835824165178825</v>
      </c>
      <c r="AM93" s="99">
        <f t="shared" si="147"/>
        <v>0.1211130817316166</v>
      </c>
      <c r="AN93" s="83">
        <f t="shared" si="148"/>
        <v>0.99552598714674478</v>
      </c>
      <c r="AO93" s="99">
        <f t="shared" si="149"/>
        <v>0.14215425550309177</v>
      </c>
      <c r="AP93" s="83">
        <f t="shared" si="150"/>
        <v>1.0804005911666965</v>
      </c>
      <c r="AQ93" s="99">
        <f t="shared" si="151"/>
        <v>0.15976099910385028</v>
      </c>
    </row>
    <row r="94" spans="1:43" s="29" customFormat="1" x14ac:dyDescent="0.25">
      <c r="A94" s="129">
        <v>0.2</v>
      </c>
      <c r="B94" s="129">
        <f>B70-'Sub C_D_0'!U44</f>
        <v>3.0979461693125522E-2</v>
      </c>
      <c r="C94" s="129">
        <f>'C_L vs. α'!X345</f>
        <v>0.11001752088764941</v>
      </c>
      <c r="D94" s="247">
        <f>'C_L vs. α'!Z345</f>
        <v>0.46663217411846386</v>
      </c>
      <c r="E94" s="144">
        <v>2</v>
      </c>
      <c r="F94" s="14">
        <f t="shared" si="114"/>
        <v>0.70106062022928184</v>
      </c>
      <c r="G94" s="6">
        <f t="shared" si="115"/>
        <v>7.8085390609438074E-2</v>
      </c>
      <c r="H94" s="14">
        <f t="shared" si="116"/>
        <v>0.70486749000582738</v>
      </c>
      <c r="I94" s="6">
        <f t="shared" si="117"/>
        <v>7.5052188289043392E-2</v>
      </c>
      <c r="J94" s="14">
        <f t="shared" si="118"/>
        <v>0.71073319520360534</v>
      </c>
      <c r="K94" s="6">
        <f t="shared" si="119"/>
        <v>7.4033919162181536E-2</v>
      </c>
      <c r="L94" s="14">
        <f t="shared" si="120"/>
        <v>0.71891270776166816</v>
      </c>
      <c r="M94" s="6">
        <f t="shared" si="121"/>
        <v>7.3746047202291942E-2</v>
      </c>
      <c r="N94" s="14">
        <f t="shared" si="122"/>
        <v>0.72964516830496184</v>
      </c>
      <c r="O94" s="6">
        <f t="shared" si="123"/>
        <v>7.4177705074792405E-2</v>
      </c>
      <c r="P94" s="14">
        <f t="shared" si="124"/>
        <v>0.74289911073275117</v>
      </c>
      <c r="Q94" s="6">
        <f t="shared" si="125"/>
        <v>7.5611094404600135E-2</v>
      </c>
      <c r="R94" s="14">
        <f t="shared" si="126"/>
        <v>0.75972758424270037</v>
      </c>
      <c r="S94" s="6">
        <f t="shared" si="127"/>
        <v>7.715854540641022E-2</v>
      </c>
      <c r="T94" s="14">
        <f t="shared" si="128"/>
        <v>0.7802904089035585</v>
      </c>
      <c r="U94" s="6">
        <f t="shared" si="129"/>
        <v>7.9329530447800153E-2</v>
      </c>
      <c r="V94" s="14">
        <f t="shared" si="130"/>
        <v>0.80525560306514132</v>
      </c>
      <c r="W94" s="6">
        <f t="shared" si="131"/>
        <v>8.2229834164178603E-2</v>
      </c>
      <c r="X94" s="14">
        <f t="shared" si="132"/>
        <v>0.83551902100176623</v>
      </c>
      <c r="Y94" s="6">
        <f t="shared" si="133"/>
        <v>8.6025211617696135E-2</v>
      </c>
      <c r="Z94" s="14">
        <f t="shared" si="134"/>
        <v>0.87229821541678465</v>
      </c>
      <c r="AA94" s="6">
        <f t="shared" si="135"/>
        <v>9.0964372534607416E-2</v>
      </c>
      <c r="AB94" s="14">
        <f t="shared" si="136"/>
        <v>0.91727619015467166</v>
      </c>
      <c r="AC94" s="6">
        <f t="shared" si="137"/>
        <v>9.7420207217687904E-2</v>
      </c>
      <c r="AD94" s="14">
        <f t="shared" si="138"/>
        <v>0.9729499590126891</v>
      </c>
      <c r="AE94" s="6">
        <f t="shared" si="139"/>
        <v>0.10646052279682662</v>
      </c>
      <c r="AF94" s="14">
        <f t="shared" si="140"/>
        <v>1.0427349648496322</v>
      </c>
      <c r="AG94" s="6">
        <f t="shared" si="141"/>
        <v>0.11801987098705194</v>
      </c>
      <c r="AH94" s="14">
        <f t="shared" si="142"/>
        <v>1.1316608813498679</v>
      </c>
      <c r="AI94" s="6">
        <f t="shared" si="143"/>
        <v>0.13403454520348879</v>
      </c>
      <c r="AJ94" s="14">
        <f t="shared" si="144"/>
        <v>1.2470799895717608</v>
      </c>
      <c r="AK94">
        <f t="shared" si="145"/>
        <v>0.1989654402535625</v>
      </c>
      <c r="AL94" s="14">
        <f t="shared" si="146"/>
        <v>1.4013825549054841</v>
      </c>
      <c r="AM94">
        <f t="shared" si="147"/>
        <v>0.24046204627750134</v>
      </c>
      <c r="AN94" s="14">
        <f t="shared" si="148"/>
        <v>1.5902050817882785</v>
      </c>
      <c r="AO94">
        <f t="shared" si="149"/>
        <v>0.29726538914054979</v>
      </c>
      <c r="AP94" s="14">
        <f t="shared" si="150"/>
        <v>1.6234238049195437</v>
      </c>
      <c r="AQ94">
        <f t="shared" si="151"/>
        <v>0.30786739870586116</v>
      </c>
    </row>
    <row r="95" spans="1:43" s="29" customFormat="1" x14ac:dyDescent="0.25">
      <c r="A95" s="139">
        <v>0.25</v>
      </c>
      <c r="B95" s="129">
        <f>B71-'Sub C_D_0'!U45</f>
        <v>3.0113897140202031E-2</v>
      </c>
      <c r="C95" s="129">
        <f>'C_L vs. α'!X346</f>
        <v>0.11226220245662301</v>
      </c>
      <c r="D95" s="247">
        <f>'C_L vs. α'!Z346</f>
        <v>0.47143027312211128</v>
      </c>
      <c r="E95" s="144">
        <v>4</v>
      </c>
      <c r="F95" s="14">
        <f t="shared" si="114"/>
        <v>0.91346195816742859</v>
      </c>
      <c r="G95" s="6">
        <f t="shared" si="115"/>
        <v>0.10852592589125895</v>
      </c>
      <c r="H95" s="14">
        <f t="shared" si="116"/>
        <v>0.91897003303987135</v>
      </c>
      <c r="I95" s="6">
        <f t="shared" si="117"/>
        <v>0.10591967789025719</v>
      </c>
      <c r="J95" s="14">
        <f t="shared" si="118"/>
        <v>0.92733323602021689</v>
      </c>
      <c r="K95" s="6">
        <f t="shared" si="119"/>
        <v>0.10554318488470124</v>
      </c>
      <c r="L95" s="14">
        <f t="shared" si="120"/>
        <v>0.93894774953696691</v>
      </c>
      <c r="M95" s="6">
        <f t="shared" si="121"/>
        <v>0.10615259363630164</v>
      </c>
      <c r="N95" s="14">
        <f t="shared" si="122"/>
        <v>0.95416957321820783</v>
      </c>
      <c r="O95" s="6">
        <f t="shared" si="123"/>
        <v>0.10777719846191074</v>
      </c>
      <c r="P95" s="14">
        <f t="shared" si="124"/>
        <v>0.97288729629187598</v>
      </c>
      <c r="Q95" s="6">
        <f t="shared" si="125"/>
        <v>0.11069829577831543</v>
      </c>
      <c r="R95" s="14">
        <f t="shared" si="126"/>
        <v>0.99677677394534736</v>
      </c>
      <c r="S95" s="6">
        <f t="shared" si="127"/>
        <v>0.11420401157225504</v>
      </c>
      <c r="T95" s="14">
        <f t="shared" si="128"/>
        <v>1.0259992407135941</v>
      </c>
      <c r="U95" s="6">
        <f t="shared" si="129"/>
        <v>0.11884526899124541</v>
      </c>
      <c r="V95" s="14">
        <f t="shared" si="130"/>
        <v>1.0615287367026567</v>
      </c>
      <c r="W95" s="6">
        <f t="shared" si="131"/>
        <v>0.12486079543174483</v>
      </c>
      <c r="X95" s="14">
        <f t="shared" si="132"/>
        <v>1.1046724983038647</v>
      </c>
      <c r="Y95" s="6">
        <f t="shared" si="133"/>
        <v>0.13260470325573692</v>
      </c>
      <c r="Z95" s="14">
        <f t="shared" si="134"/>
        <v>1.1572086015962146</v>
      </c>
      <c r="AA95" s="6">
        <f t="shared" si="135"/>
        <v>0.1425980764581683</v>
      </c>
      <c r="AB95" s="14">
        <f t="shared" si="136"/>
        <v>1.2215960582534788</v>
      </c>
      <c r="AC95" s="6">
        <f t="shared" si="137"/>
        <v>0.15561748844496709</v>
      </c>
      <c r="AD95" s="14">
        <f t="shared" si="138"/>
        <v>1.3015077245789377</v>
      </c>
      <c r="AE95" s="6">
        <f t="shared" si="139"/>
        <v>0.17337352747392079</v>
      </c>
      <c r="AF95" s="14">
        <f t="shared" si="140"/>
        <v>1.4019225346520463</v>
      </c>
      <c r="AG95" s="6">
        <f t="shared" si="141"/>
        <v>0.19677504343235955</v>
      </c>
      <c r="AH95" s="14">
        <f t="shared" si="142"/>
        <v>1.5301380181917115</v>
      </c>
      <c r="AI95" s="6">
        <f t="shared" si="143"/>
        <v>0.22934132374979491</v>
      </c>
      <c r="AJ95" s="14">
        <f t="shared" si="144"/>
        <v>1.696668191930228</v>
      </c>
      <c r="AK95">
        <f t="shared" si="145"/>
        <v>0.33246889649018291</v>
      </c>
      <c r="AL95" s="14">
        <f t="shared" si="146"/>
        <v>1.9191826932930858</v>
      </c>
      <c r="AM95">
        <f t="shared" si="147"/>
        <v>0.41390279002451746</v>
      </c>
      <c r="AN95" s="14">
        <f t="shared" si="148"/>
        <v>2.1848841764298124</v>
      </c>
      <c r="AO95">
        <f t="shared" si="149"/>
        <v>0.52372295909424593</v>
      </c>
      <c r="AP95" s="14">
        <f t="shared" si="150"/>
        <v>2.166447018672391</v>
      </c>
      <c r="AQ95">
        <f t="shared" si="151"/>
        <v>0.51546376607771838</v>
      </c>
    </row>
    <row r="96" spans="1:43" s="29" customFormat="1" x14ac:dyDescent="0.25">
      <c r="A96" s="129">
        <v>0.3</v>
      </c>
      <c r="B96" s="129">
        <f>B72-'Sub C_D_0'!U46</f>
        <v>2.9919210494939952E-2</v>
      </c>
      <c r="C96" s="129">
        <f>'C_L vs. α'!X347</f>
        <v>0.11499409277956241</v>
      </c>
      <c r="D96" s="247">
        <f>'C_L vs. α'!Z347</f>
        <v>0.4775001988728767</v>
      </c>
      <c r="E96" s="144">
        <v>6</v>
      </c>
      <c r="F96" s="14">
        <f t="shared" si="114"/>
        <v>1.1258632961055755</v>
      </c>
      <c r="G96" s="6">
        <f>$B$91+$B$7*F96^2+$B$8*(F96-F$93)^2</f>
        <v>0.1480681385759012</v>
      </c>
      <c r="H96" s="14">
        <f t="shared" si="116"/>
        <v>1.1330725760739153</v>
      </c>
      <c r="I96" s="6">
        <f t="shared" si="117"/>
        <v>0.14603522653297887</v>
      </c>
      <c r="J96" s="14">
        <f t="shared" si="118"/>
        <v>1.1439332768368284</v>
      </c>
      <c r="K96" s="6">
        <f t="shared" si="119"/>
        <v>0.1465175245375846</v>
      </c>
      <c r="L96" s="14">
        <f t="shared" si="120"/>
        <v>1.1589827913122659</v>
      </c>
      <c r="M96" s="6">
        <f t="shared" si="121"/>
        <v>0.14832680251023253</v>
      </c>
      <c r="N96" s="14">
        <f t="shared" si="122"/>
        <v>1.1786939781314538</v>
      </c>
      <c r="O96" s="6">
        <f t="shared" si="123"/>
        <v>0.15154699855775561</v>
      </c>
      <c r="P96" s="14">
        <f t="shared" si="124"/>
        <v>1.2028754818510008</v>
      </c>
      <c r="Q96" s="6">
        <f t="shared" si="125"/>
        <v>0.15645681353946889</v>
      </c>
      <c r="R96" s="14">
        <f t="shared" si="126"/>
        <v>1.2338259636479945</v>
      </c>
      <c r="S96" s="6">
        <f t="shared" si="127"/>
        <v>0.16258610564881101</v>
      </c>
      <c r="T96" s="14">
        <f t="shared" si="128"/>
        <v>1.2717080725236294</v>
      </c>
      <c r="U96" s="6">
        <f t="shared" si="129"/>
        <v>0.17054104085944785</v>
      </c>
      <c r="V96" s="14">
        <f t="shared" si="130"/>
        <v>1.3178018703401724</v>
      </c>
      <c r="W96" s="6">
        <f t="shared" si="131"/>
        <v>0.18074167196683971</v>
      </c>
      <c r="X96" s="14">
        <f t="shared" si="132"/>
        <v>1.3738259756059632</v>
      </c>
      <c r="Y96" s="6">
        <f t="shared" si="133"/>
        <v>0.19379946790387781</v>
      </c>
      <c r="Z96" s="14">
        <f t="shared" si="134"/>
        <v>1.4421189877756446</v>
      </c>
      <c r="AA96" s="6">
        <f t="shared" si="135"/>
        <v>0.21060837146618863</v>
      </c>
      <c r="AB96" s="14">
        <f t="shared" si="136"/>
        <v>1.5259159263522859</v>
      </c>
      <c r="AC96" s="6">
        <f t="shared" si="137"/>
        <v>0.23249867062392476</v>
      </c>
      <c r="AD96" s="14">
        <f t="shared" si="138"/>
        <v>1.6300654901451861</v>
      </c>
      <c r="AE96" s="6">
        <f t="shared" si="139"/>
        <v>0.26206515504306893</v>
      </c>
      <c r="AF96" s="14">
        <f t="shared" si="140"/>
        <v>1.7611101044544601</v>
      </c>
      <c r="AG96" s="6">
        <f t="shared" si="141"/>
        <v>0.30155873980327225</v>
      </c>
      <c r="AH96" s="14">
        <f t="shared" si="142"/>
        <v>1.9286151550335551</v>
      </c>
      <c r="AI96" s="6">
        <f t="shared" si="143"/>
        <v>0.35668229315098088</v>
      </c>
      <c r="AJ96" s="14">
        <f t="shared" si="144"/>
        <v>2.1462563942886952</v>
      </c>
      <c r="AK96">
        <f t="shared" si="145"/>
        <v>0.50675136995064729</v>
      </c>
      <c r="AL96" s="14">
        <f t="shared" si="146"/>
        <v>2.4369828316806879</v>
      </c>
      <c r="AM96">
        <f t="shared" si="147"/>
        <v>0.64143531297266521</v>
      </c>
      <c r="AN96" s="14">
        <f t="shared" si="148"/>
        <v>2.7795632710713458</v>
      </c>
      <c r="AO96">
        <f t="shared" si="149"/>
        <v>0.82152696536417991</v>
      </c>
      <c r="AP96" s="14">
        <f t="shared" si="150"/>
        <v>2.7094702324252378</v>
      </c>
      <c r="AQ96">
        <f t="shared" si="151"/>
        <v>0.78255010121942181</v>
      </c>
    </row>
    <row r="97" spans="1:43" s="29" customFormat="1" x14ac:dyDescent="0.25">
      <c r="A97" s="139">
        <v>0.35</v>
      </c>
      <c r="B97" s="129">
        <f>B73-'Sub C_D_0'!U47</f>
        <v>2.9355666079277004E-2</v>
      </c>
      <c r="C97" s="129">
        <f>'C_L vs. α'!X348</f>
        <v>0.11852459485132352</v>
      </c>
      <c r="D97" s="247">
        <f>'C_L vs. α'!Z348</f>
        <v>0.48498455962647569</v>
      </c>
      <c r="E97" s="144">
        <v>8</v>
      </c>
      <c r="F97" s="14">
        <f t="shared" si="114"/>
        <v>1.3382646340437223</v>
      </c>
      <c r="G97" s="6">
        <f t="shared" si="115"/>
        <v>0.19671202866336485</v>
      </c>
      <c r="H97" s="14">
        <f t="shared" si="116"/>
        <v>1.3471751191079593</v>
      </c>
      <c r="I97" s="6">
        <f t="shared" si="117"/>
        <v>0.19539883421720844</v>
      </c>
      <c r="J97" s="14">
        <f t="shared" si="118"/>
        <v>1.36053331765344</v>
      </c>
      <c r="K97" s="6">
        <f t="shared" si="119"/>
        <v>0.19695693812083162</v>
      </c>
      <c r="L97" s="14">
        <f t="shared" si="120"/>
        <v>1.3790178330875644</v>
      </c>
      <c r="M97" s="6">
        <f t="shared" si="121"/>
        <v>0.20026867382408445</v>
      </c>
      <c r="N97" s="14">
        <f t="shared" si="122"/>
        <v>1.4032183830446998</v>
      </c>
      <c r="O97" s="6">
        <f t="shared" si="123"/>
        <v>0.20548710536232698</v>
      </c>
      <c r="P97" s="14">
        <f t="shared" si="124"/>
        <v>1.4328636674101256</v>
      </c>
      <c r="Q97" s="6">
        <f t="shared" si="125"/>
        <v>0.21288664768806051</v>
      </c>
      <c r="R97" s="14">
        <f t="shared" si="126"/>
        <v>1.4708751533506415</v>
      </c>
      <c r="S97" s="6">
        <f t="shared" si="127"/>
        <v>0.22230482763607806</v>
      </c>
      <c r="T97" s="14">
        <f t="shared" si="128"/>
        <v>1.5174169043336649</v>
      </c>
      <c r="U97" s="6">
        <f t="shared" si="129"/>
        <v>0.23441684605240753</v>
      </c>
      <c r="V97" s="14">
        <f t="shared" si="130"/>
        <v>1.5740750039776878</v>
      </c>
      <c r="W97" s="6">
        <f t="shared" si="131"/>
        <v>0.24987246376946315</v>
      </c>
      <c r="X97" s="14">
        <f t="shared" si="132"/>
        <v>1.6429794529080617</v>
      </c>
      <c r="Y97" s="6">
        <f t="shared" si="133"/>
        <v>0.26960950556211882</v>
      </c>
      <c r="Z97" s="14">
        <f t="shared" si="134"/>
        <v>1.7270293739550744</v>
      </c>
      <c r="AA97" s="6">
        <f t="shared" si="135"/>
        <v>0.29499525755866834</v>
      </c>
      <c r="AB97" s="14">
        <f t="shared" si="136"/>
        <v>1.830235794451093</v>
      </c>
      <c r="AC97" s="6">
        <f t="shared" si="137"/>
        <v>0.32806375375456098</v>
      </c>
      <c r="AD97" s="14">
        <f t="shared" si="138"/>
        <v>1.9586232557114347</v>
      </c>
      <c r="AE97" s="6">
        <f t="shared" si="139"/>
        <v>0.37253540550427106</v>
      </c>
      <c r="AF97" s="14">
        <f t="shared" si="140"/>
        <v>2.1202976742568742</v>
      </c>
      <c r="AG97" s="6">
        <f t="shared" si="141"/>
        <v>0.43237096009979015</v>
      </c>
      <c r="AH97" s="14">
        <f t="shared" si="142"/>
        <v>2.3270922918753985</v>
      </c>
      <c r="AI97" s="6">
        <f t="shared" si="143"/>
        <v>0.5160574534070469</v>
      </c>
      <c r="AJ97" s="14">
        <f t="shared" si="144"/>
        <v>2.5958445966471624</v>
      </c>
      <c r="AK97">
        <f t="shared" si="145"/>
        <v>0.72181286063495542</v>
      </c>
      <c r="AL97" s="14">
        <f t="shared" si="146"/>
        <v>2.9547829700682895</v>
      </c>
      <c r="AM97">
        <f t="shared" si="147"/>
        <v>0.92305961512194401</v>
      </c>
      <c r="AN97" s="14">
        <f t="shared" si="148"/>
        <v>3.3742423657128797</v>
      </c>
      <c r="AO97">
        <f t="shared" si="149"/>
        <v>1.1906774079503526</v>
      </c>
      <c r="AP97" s="14">
        <f t="shared" si="150"/>
        <v>3.252493446178085</v>
      </c>
      <c r="AQ97">
        <f t="shared" si="151"/>
        <v>1.1091264041309716</v>
      </c>
    </row>
    <row r="98" spans="1:43" s="29" customFormat="1" x14ac:dyDescent="0.25">
      <c r="A98" s="129">
        <v>0.4</v>
      </c>
      <c r="B98" s="129">
        <f>B74-'Sub C_D_0'!U48</f>
        <v>2.8882011113186182E-2</v>
      </c>
      <c r="C98" s="129">
        <f>'C_L vs. α'!X349</f>
        <v>0.12285441590501772</v>
      </c>
      <c r="D98" s="247">
        <f>'C_L vs. α'!Z349</f>
        <v>0.49407259342620635</v>
      </c>
      <c r="E98" s="144">
        <v>10</v>
      </c>
      <c r="F98" s="14">
        <f t="shared" si="114"/>
        <v>1.5506659719818692</v>
      </c>
      <c r="G98" s="6">
        <f t="shared" si="115"/>
        <v>0.25445759615364993</v>
      </c>
      <c r="H98" s="14">
        <f t="shared" si="116"/>
        <v>1.561277662142003</v>
      </c>
      <c r="I98" s="6">
        <f t="shared" si="117"/>
        <v>0.2540105009429458</v>
      </c>
      <c r="J98" s="14">
        <f t="shared" si="118"/>
        <v>1.5771333584700513</v>
      </c>
      <c r="K98" s="6">
        <f t="shared" si="119"/>
        <v>0.25686142563444225</v>
      </c>
      <c r="L98" s="14">
        <f t="shared" si="120"/>
        <v>1.5990528748628634</v>
      </c>
      <c r="M98" s="6">
        <f t="shared" si="121"/>
        <v>0.26197820757785761</v>
      </c>
      <c r="N98" s="14">
        <f t="shared" si="122"/>
        <v>1.6277427879579458</v>
      </c>
      <c r="O98" s="6">
        <f t="shared" si="123"/>
        <v>0.26959751887562483</v>
      </c>
      <c r="P98" s="14">
        <f t="shared" si="124"/>
        <v>1.6628518529692502</v>
      </c>
      <c r="Q98" s="6">
        <f t="shared" si="125"/>
        <v>0.27998779822409031</v>
      </c>
      <c r="R98" s="14">
        <f t="shared" si="126"/>
        <v>1.7079243430532887</v>
      </c>
      <c r="S98" s="6">
        <f t="shared" si="127"/>
        <v>0.2933601775340563</v>
      </c>
      <c r="T98" s="14">
        <f t="shared" si="128"/>
        <v>1.7631257361437003</v>
      </c>
      <c r="U98" s="6">
        <f t="shared" si="129"/>
        <v>0.31047268457012434</v>
      </c>
      <c r="V98" s="14">
        <f t="shared" si="130"/>
        <v>1.8303481376152033</v>
      </c>
      <c r="W98" s="6">
        <f t="shared" si="131"/>
        <v>0.3322531708396152</v>
      </c>
      <c r="X98" s="14">
        <f t="shared" si="132"/>
        <v>1.9121329302101602</v>
      </c>
      <c r="Y98" s="6">
        <f t="shared" si="133"/>
        <v>0.36003481623045991</v>
      </c>
      <c r="Z98" s="14">
        <f t="shared" si="134"/>
        <v>2.0119397601345046</v>
      </c>
      <c r="AA98" s="6">
        <f t="shared" si="135"/>
        <v>0.39575873473560774</v>
      </c>
      <c r="AB98" s="14">
        <f t="shared" si="136"/>
        <v>2.1345556625499</v>
      </c>
      <c r="AC98" s="6">
        <f t="shared" si="137"/>
        <v>0.44231273783687569</v>
      </c>
      <c r="AD98" s="14">
        <f t="shared" si="138"/>
        <v>2.2871810212776835</v>
      </c>
      <c r="AE98" s="6">
        <f t="shared" si="139"/>
        <v>0.5047842788575273</v>
      </c>
      <c r="AF98" s="14">
        <f t="shared" si="140"/>
        <v>2.4794852440592883</v>
      </c>
      <c r="AG98" s="6">
        <f t="shared" si="141"/>
        <v>0.58921170432191317</v>
      </c>
      <c r="AH98" s="14">
        <f t="shared" si="142"/>
        <v>2.7255694287172423</v>
      </c>
      <c r="AI98" s="6">
        <f t="shared" si="143"/>
        <v>0.70746680451799293</v>
      </c>
      <c r="AJ98" s="14">
        <f t="shared" si="144"/>
        <v>3.0454327990056296</v>
      </c>
      <c r="AK98">
        <f t="shared" si="145"/>
        <v>0.97765336854310758</v>
      </c>
      <c r="AL98" s="14">
        <f t="shared" si="146"/>
        <v>3.4725831084558911</v>
      </c>
      <c r="AM98">
        <f t="shared" si="147"/>
        <v>1.2587756964723544</v>
      </c>
      <c r="AN98" s="14">
        <f t="shared" si="148"/>
        <v>3.9689214603544132</v>
      </c>
      <c r="AO98">
        <f t="shared" si="149"/>
        <v>1.6311742868527628</v>
      </c>
      <c r="AP98" s="14">
        <f t="shared" si="150"/>
        <v>3.7955166599309322</v>
      </c>
      <c r="AQ98">
        <f t="shared" si="151"/>
        <v>1.4951926748123678</v>
      </c>
    </row>
    <row r="99" spans="1:43" s="29" customFormat="1" x14ac:dyDescent="0.25">
      <c r="A99" s="139">
        <v>0.45</v>
      </c>
      <c r="B99" s="129">
        <f>B75-'Sub C_D_0'!U49</f>
        <v>2.8475001086834151E-2</v>
      </c>
      <c r="C99" s="129">
        <f>'C_L vs. α'!X350</f>
        <v>0.12813656681875776</v>
      </c>
      <c r="D99" s="247">
        <f>'C_L vs. α'!Z350</f>
        <v>0.50501508313064158</v>
      </c>
      <c r="E99" s="144">
        <v>12</v>
      </c>
      <c r="F99" s="14">
        <f t="shared" si="114"/>
        <v>1.763067309920016</v>
      </c>
      <c r="G99" s="6">
        <f t="shared" si="115"/>
        <v>0.32130484104675638</v>
      </c>
      <c r="H99" s="14">
        <f t="shared" si="116"/>
        <v>1.775380205176047</v>
      </c>
      <c r="I99" s="6">
        <f t="shared" si="117"/>
        <v>0.32187022671019111</v>
      </c>
      <c r="J99" s="14">
        <f t="shared" si="118"/>
        <v>1.7937333992866629</v>
      </c>
      <c r="K99" s="6">
        <f t="shared" si="119"/>
        <v>0.32623098707841652</v>
      </c>
      <c r="L99" s="14">
        <f t="shared" si="120"/>
        <v>1.8190879166381622</v>
      </c>
      <c r="M99" s="6">
        <f t="shared" si="121"/>
        <v>0.33345540377155186</v>
      </c>
      <c r="N99" s="14">
        <f t="shared" si="122"/>
        <v>1.8522671928711918</v>
      </c>
      <c r="O99" s="6">
        <f t="shared" si="123"/>
        <v>0.34387823909764925</v>
      </c>
      <c r="P99" s="14">
        <f t="shared" si="124"/>
        <v>1.8928400385283752</v>
      </c>
      <c r="Q99" s="6">
        <f t="shared" si="125"/>
        <v>0.35776026514755843</v>
      </c>
      <c r="R99" s="14">
        <f t="shared" si="126"/>
        <v>1.9449735327559354</v>
      </c>
      <c r="S99" s="6">
        <f t="shared" si="127"/>
        <v>0.37575215534274548</v>
      </c>
      <c r="T99" s="14">
        <f t="shared" si="128"/>
        <v>2.0088345679537358</v>
      </c>
      <c r="U99" s="6">
        <f t="shared" si="129"/>
        <v>0.3987085564125985</v>
      </c>
      <c r="V99" s="14">
        <f t="shared" si="130"/>
        <v>2.086621271252719</v>
      </c>
      <c r="W99" s="6">
        <f t="shared" si="131"/>
        <v>0.42788379317729591</v>
      </c>
      <c r="X99" s="14">
        <f t="shared" si="132"/>
        <v>2.1812864075122587</v>
      </c>
      <c r="Y99" s="6">
        <f t="shared" si="133"/>
        <v>0.46507539990890107</v>
      </c>
      <c r="Z99" s="14">
        <f t="shared" si="134"/>
        <v>2.2968501463139344</v>
      </c>
      <c r="AA99" s="6">
        <f t="shared" si="135"/>
        <v>0.51289880299700641</v>
      </c>
      <c r="AB99" s="14">
        <f t="shared" si="136"/>
        <v>2.4388755306487075</v>
      </c>
      <c r="AC99" s="6">
        <f t="shared" si="137"/>
        <v>0.57524562287086922</v>
      </c>
      <c r="AD99" s="14">
        <f t="shared" si="138"/>
        <v>2.6157387868439317</v>
      </c>
      <c r="AE99" s="6">
        <f t="shared" si="139"/>
        <v>0.65881177510283728</v>
      </c>
      <c r="AF99" s="14">
        <f t="shared" si="140"/>
        <v>2.8386728138617023</v>
      </c>
      <c r="AG99" s="6">
        <f t="shared" si="141"/>
        <v>0.77208097246964158</v>
      </c>
      <c r="AH99" s="14">
        <f t="shared" si="142"/>
        <v>3.1240465655590857</v>
      </c>
      <c r="AI99" s="6">
        <f t="shared" si="143"/>
        <v>0.93091034648381865</v>
      </c>
      <c r="AJ99" s="14">
        <f t="shared" si="144"/>
        <v>3.4950210013640963</v>
      </c>
      <c r="AK99">
        <f t="shared" si="145"/>
        <v>1.2742728936751035</v>
      </c>
      <c r="AL99" s="14">
        <f t="shared" si="146"/>
        <v>3.9903832468434928</v>
      </c>
      <c r="AM99">
        <f t="shared" si="147"/>
        <v>1.648583557023896</v>
      </c>
      <c r="AN99" s="14">
        <f t="shared" si="148"/>
        <v>4.5636005549959471</v>
      </c>
      <c r="AO99">
        <f t="shared" si="149"/>
        <v>2.1430176020714118</v>
      </c>
      <c r="AP99" s="14">
        <f t="shared" si="150"/>
        <v>4.3385398736837795</v>
      </c>
      <c r="AQ99">
        <f t="shared" si="151"/>
        <v>1.9407489132636107</v>
      </c>
    </row>
    <row r="100" spans="1:43" s="29" customFormat="1" x14ac:dyDescent="0.25">
      <c r="A100" s="129">
        <v>0.5</v>
      </c>
      <c r="B100" s="129">
        <f>B76-'Sub C_D_0'!U50</f>
        <v>2.8119216796144236E-2</v>
      </c>
      <c r="C100" s="129">
        <f>'C_L vs. α'!X351</f>
        <v>0.13457673865104924</v>
      </c>
      <c r="D100" s="247">
        <f>'C_L vs. α'!Z351</f>
        <v>0.51814656605834208</v>
      </c>
      <c r="E100" s="144">
        <v>14</v>
      </c>
      <c r="F100" s="14">
        <f t="shared" si="114"/>
        <v>1.9754686478581629</v>
      </c>
      <c r="G100" s="6">
        <f t="shared" si="115"/>
        <v>0.3972537633426842</v>
      </c>
      <c r="H100" s="14">
        <f t="shared" si="116"/>
        <v>1.989482748210091</v>
      </c>
      <c r="I100" s="6">
        <f t="shared" si="117"/>
        <v>0.3989780115189443</v>
      </c>
      <c r="J100" s="14">
        <f t="shared" si="118"/>
        <v>2.0103334401032744</v>
      </c>
      <c r="K100" s="6">
        <f t="shared" si="119"/>
        <v>0.40506562245275463</v>
      </c>
      <c r="L100" s="14">
        <f t="shared" si="120"/>
        <v>2.0391229584134609</v>
      </c>
      <c r="M100" s="6">
        <f t="shared" si="121"/>
        <v>0.41470026240516727</v>
      </c>
      <c r="N100" s="14">
        <f t="shared" si="122"/>
        <v>2.076791597784438</v>
      </c>
      <c r="O100" s="6">
        <f t="shared" si="123"/>
        <v>0.42832926602840027</v>
      </c>
      <c r="P100" s="14">
        <f t="shared" si="124"/>
        <v>2.1228282240874998</v>
      </c>
      <c r="Q100" s="6">
        <f t="shared" si="125"/>
        <v>0.44620404845846451</v>
      </c>
      <c r="R100" s="14">
        <f t="shared" si="126"/>
        <v>2.1820227224585826</v>
      </c>
      <c r="S100" s="6">
        <f t="shared" si="127"/>
        <v>0.46948076106214598</v>
      </c>
      <c r="T100" s="14">
        <f t="shared" si="128"/>
        <v>2.2545433997637709</v>
      </c>
      <c r="U100" s="6">
        <f t="shared" si="129"/>
        <v>0.4991244615798297</v>
      </c>
      <c r="V100" s="14">
        <f t="shared" si="130"/>
        <v>2.3428944048902345</v>
      </c>
      <c r="W100" s="6">
        <f t="shared" si="131"/>
        <v>0.53676433078250518</v>
      </c>
      <c r="X100" s="14">
        <f t="shared" si="132"/>
        <v>2.4504398848143571</v>
      </c>
      <c r="Y100" s="6">
        <f t="shared" si="133"/>
        <v>0.58473125659744229</v>
      </c>
      <c r="Z100" s="14">
        <f t="shared" si="134"/>
        <v>2.5817605324933646</v>
      </c>
      <c r="AA100" s="6">
        <f t="shared" si="135"/>
        <v>0.64641546234286462</v>
      </c>
      <c r="AB100" s="14">
        <f t="shared" si="136"/>
        <v>2.7431953987475142</v>
      </c>
      <c r="AC100" s="6">
        <f t="shared" si="137"/>
        <v>0.72686240885654085</v>
      </c>
      <c r="AD100" s="14">
        <f t="shared" si="138"/>
        <v>2.9442965524101803</v>
      </c>
      <c r="AE100" s="6">
        <f t="shared" si="139"/>
        <v>0.83461789424020139</v>
      </c>
      <c r="AF100" s="14">
        <f t="shared" si="140"/>
        <v>3.1978603836641164</v>
      </c>
      <c r="AG100" s="6">
        <f t="shared" si="141"/>
        <v>0.98097876454297483</v>
      </c>
      <c r="AH100" s="14">
        <f t="shared" si="142"/>
        <v>3.5225237024009295</v>
      </c>
      <c r="AI100" s="6">
        <f t="shared" si="143"/>
        <v>1.1863880793045247</v>
      </c>
      <c r="AJ100" s="14">
        <f t="shared" si="144"/>
        <v>3.9446092037225635</v>
      </c>
      <c r="AK100">
        <f t="shared" si="145"/>
        <v>1.6116714360309434</v>
      </c>
      <c r="AL100" s="14">
        <f t="shared" si="146"/>
        <v>4.5081833852310949</v>
      </c>
      <c r="AM100">
        <f t="shared" si="147"/>
        <v>2.0924831967765694</v>
      </c>
      <c r="AN100" s="14">
        <f t="shared" si="148"/>
        <v>5.158279649637481</v>
      </c>
      <c r="AO100">
        <f t="shared" si="149"/>
        <v>2.7262073536062981</v>
      </c>
      <c r="AP100" s="14">
        <f t="shared" si="150"/>
        <v>4.8815630874366267</v>
      </c>
      <c r="AQ100">
        <f t="shared" si="151"/>
        <v>2.4457951194846999</v>
      </c>
    </row>
    <row r="101" spans="1:43" s="29" customFormat="1" x14ac:dyDescent="0.25">
      <c r="A101" s="139">
        <v>0.55000000000000004</v>
      </c>
      <c r="B101" s="129">
        <f>B77-'Sub C_D_0'!U51</f>
        <v>2.7803935346321647E-2</v>
      </c>
      <c r="C101" s="129">
        <f>'C_L vs. α'!X352</f>
        <v>0.14245519308971499</v>
      </c>
      <c r="D101" s="247">
        <f>'C_L vs. α'!Z352</f>
        <v>0.5339191633771676</v>
      </c>
      <c r="E101" s="144">
        <v>16</v>
      </c>
      <c r="F101" s="14">
        <f t="shared" si="114"/>
        <v>2.1878699857963095</v>
      </c>
      <c r="G101" s="6">
        <f t="shared" si="115"/>
        <v>0.48230436304143331</v>
      </c>
      <c r="H101" s="14">
        <f t="shared" si="116"/>
        <v>2.2035852912441349</v>
      </c>
      <c r="I101" s="6">
        <f t="shared" si="117"/>
        <v>0.48533385536920537</v>
      </c>
      <c r="J101" s="14">
        <f t="shared" si="118"/>
        <v>2.226933480919886</v>
      </c>
      <c r="K101" s="6">
        <f t="shared" si="119"/>
        <v>0.49336533175745634</v>
      </c>
      <c r="L101" s="14">
        <f t="shared" si="120"/>
        <v>2.2591580001887599</v>
      </c>
      <c r="M101" s="6">
        <f t="shared" si="121"/>
        <v>0.50571278347870396</v>
      </c>
      <c r="N101" s="14">
        <f t="shared" si="122"/>
        <v>2.3013160026976838</v>
      </c>
      <c r="O101" s="6">
        <f t="shared" si="123"/>
        <v>0.5229505996678776</v>
      </c>
      <c r="P101" s="14">
        <f t="shared" si="124"/>
        <v>2.3528164096466249</v>
      </c>
      <c r="Q101" s="6">
        <f t="shared" si="125"/>
        <v>0.54531914815680893</v>
      </c>
      <c r="R101" s="14">
        <f t="shared" si="126"/>
        <v>2.4190719121612299</v>
      </c>
      <c r="S101" s="6">
        <f t="shared" si="127"/>
        <v>0.57454599469225764</v>
      </c>
      <c r="T101" s="14">
        <f t="shared" si="128"/>
        <v>2.5002522315738065</v>
      </c>
      <c r="U101" s="6">
        <f t="shared" si="129"/>
        <v>0.61172040007181827</v>
      </c>
      <c r="V101" s="14">
        <f t="shared" si="130"/>
        <v>2.59916753852775</v>
      </c>
      <c r="W101" s="6">
        <f t="shared" si="131"/>
        <v>0.65889478365524323</v>
      </c>
      <c r="X101" s="14">
        <f t="shared" si="132"/>
        <v>2.7195933621164556</v>
      </c>
      <c r="Y101" s="6">
        <f t="shared" si="133"/>
        <v>0.7190023862960836</v>
      </c>
      <c r="Z101" s="14">
        <f t="shared" si="134"/>
        <v>2.8666709186727943</v>
      </c>
      <c r="AA101" s="6">
        <f t="shared" si="135"/>
        <v>0.79630871277318227</v>
      </c>
      <c r="AB101" s="14">
        <f t="shared" si="136"/>
        <v>3.0475152668463217</v>
      </c>
      <c r="AC101" s="6">
        <f t="shared" si="137"/>
        <v>0.89716309579389153</v>
      </c>
      <c r="AD101" s="14">
        <f t="shared" si="138"/>
        <v>3.2728543179764289</v>
      </c>
      <c r="AE101" s="6">
        <f t="shared" si="139"/>
        <v>1.0322026362696195</v>
      </c>
      <c r="AF101" s="14">
        <f t="shared" si="140"/>
        <v>3.55704795346653</v>
      </c>
      <c r="AG101" s="6">
        <f t="shared" si="141"/>
        <v>1.2159050805419132</v>
      </c>
      <c r="AH101" s="14">
        <f t="shared" si="142"/>
        <v>3.9210008392427729</v>
      </c>
      <c r="AI101" s="6">
        <f t="shared" si="143"/>
        <v>1.4739000029801106</v>
      </c>
      <c r="AJ101" s="14">
        <f t="shared" si="144"/>
        <v>4.3941974060810303</v>
      </c>
      <c r="AK101">
        <f t="shared" si="145"/>
        <v>1.9898489956106273</v>
      </c>
      <c r="AL101" s="14">
        <f t="shared" si="146"/>
        <v>5.025983523618696</v>
      </c>
      <c r="AM101">
        <f t="shared" si="147"/>
        <v>2.5904746157303733</v>
      </c>
      <c r="AN101" s="14">
        <f t="shared" si="148"/>
        <v>5.752958744279014</v>
      </c>
      <c r="AO101">
        <f t="shared" si="149"/>
        <v>3.3807435414574218</v>
      </c>
      <c r="AP101" s="14">
        <f t="shared" si="150"/>
        <v>5.424586301189473</v>
      </c>
      <c r="AQ101">
        <f t="shared" si="151"/>
        <v>3.0103312934756339</v>
      </c>
    </row>
    <row r="102" spans="1:43" s="29" customFormat="1" x14ac:dyDescent="0.25">
      <c r="A102" s="129">
        <v>0.6</v>
      </c>
      <c r="B102" s="129">
        <f>B78-'Sub C_D_0'!U52</f>
        <v>2.7521415768039584E-2</v>
      </c>
      <c r="C102" s="129">
        <f>'C_L vs. α'!X353</f>
        <v>0.15215993404940356</v>
      </c>
      <c r="D102" s="247">
        <f>'C_L vs. α'!Z353</f>
        <v>0.55295566560775311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</row>
    <row r="103" spans="1:43" s="29" customFormat="1" x14ac:dyDescent="0.25">
      <c r="A103" s="139">
        <v>0.65</v>
      </c>
      <c r="B103" s="129">
        <f>B79-'Sub C_D_0'!U53</f>
        <v>2.7744137627308776E-2</v>
      </c>
      <c r="C103" s="129">
        <f>'C_L vs. α'!X354</f>
        <v>0.16427888278312427</v>
      </c>
      <c r="D103" s="247">
        <f>'C_L vs. α'!Z354</f>
        <v>0.5761359727959795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</row>
    <row r="104" spans="1:43" s="29" customFormat="1" x14ac:dyDescent="0.25">
      <c r="A104" s="129">
        <v>0.7</v>
      </c>
      <c r="B104" s="129">
        <f>B80-'Sub C_D_0'!U54</f>
        <v>2.7506143146913298E-2</v>
      </c>
      <c r="C104" s="129">
        <f>'C_L vs. α'!X355</f>
        <v>0.179593784901207</v>
      </c>
      <c r="D104" s="247">
        <f>'C_L vs. α'!Z355</f>
        <v>0.60474433217521351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</row>
    <row r="105" spans="1:43" s="29" customFormat="1" x14ac:dyDescent="0.25">
      <c r="A105" s="139">
        <v>0.75</v>
      </c>
      <c r="B105" s="129">
        <f>B81-'Sub C_D_0'!U55</f>
        <v>2.7287745865597818E-2</v>
      </c>
      <c r="C105" s="129">
        <f>'C_L vs. α'!X356</f>
        <v>0.1992385684209218</v>
      </c>
      <c r="D105" s="247">
        <f>'C_L vs. α'!Z356</f>
        <v>0.6407342113045229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</row>
    <row r="106" spans="1:43" s="29" customFormat="1" x14ac:dyDescent="0.25">
      <c r="A106" s="129">
        <v>0.8</v>
      </c>
      <c r="B106" s="129">
        <f>B82-'Sub C_D_0'!U56</f>
        <v>2.7086167305295256E-2</v>
      </c>
      <c r="C106" s="129">
        <f>'C_L vs. α'!X357</f>
        <v>0.22479410117923354</v>
      </c>
      <c r="D106" s="247">
        <f>'C_L vs. α'!Z357</f>
        <v>0.68723722324087244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</row>
    <row r="107" spans="1:43" s="29" customFormat="1" x14ac:dyDescent="0.25">
      <c r="A107" s="139">
        <v>0.85</v>
      </c>
      <c r="B107" s="129">
        <f>B83-'Sub C_D_0'!U57</f>
        <v>2.7359361941022314E-2</v>
      </c>
      <c r="C107" s="129">
        <f>'C_L vs. α'!X358</f>
        <v>0.25890006919380087</v>
      </c>
      <c r="D107" s="247">
        <f>'C_L vs. α'!Z358</f>
        <v>0.74961881678889786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</row>
    <row r="108" spans="1:43" s="29" customFormat="1" x14ac:dyDescent="0.25">
      <c r="A108" s="129">
        <v>0.9</v>
      </c>
      <c r="B108" s="129">
        <f>B84-'Sub C_D_0'!U58</f>
        <v>2.7181387966868586E-2</v>
      </c>
      <c r="C108" s="129">
        <f>'C_L vs. α'!X359</f>
        <v>0.29733954732076684</v>
      </c>
      <c r="D108" s="247">
        <f>'C_L vs. α'!Z359</f>
        <v>0.83782372779117353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</row>
    <row r="109" spans="1:43" s="29" customFormat="1" x14ac:dyDescent="0.25">
      <c r="A109" s="139">
        <v>0.95</v>
      </c>
      <c r="B109" s="129">
        <f>B85-'Sub C_D_0'!U59</f>
        <v>2.7014887820409617E-2</v>
      </c>
      <c r="C109" s="129">
        <f>'C_L vs. α'!X360</f>
        <v>0.27151160687642356</v>
      </c>
      <c r="D109" s="247">
        <f>'C_L vs. α'!Z360</f>
        <v>0.97066678114832761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</row>
    <row r="110" spans="1:43" s="29" customFormat="1" x14ac:dyDescent="0.25">
      <c r="A110" s="11"/>
      <c r="B110" s="11"/>
      <c r="C110" s="11"/>
      <c r="D110" s="11"/>
    </row>
    <row r="111" spans="1:43" s="29" customFormat="1" x14ac:dyDescent="0.25">
      <c r="A111" s="122" t="s">
        <v>537</v>
      </c>
      <c r="B111" s="122" t="s">
        <v>290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</row>
    <row r="112" spans="1:43" s="29" customFormat="1" x14ac:dyDescent="0.25">
      <c r="A112" s="122" t="s">
        <v>202</v>
      </c>
      <c r="B112" s="145">
        <v>5000</v>
      </c>
      <c r="C112" s="122" t="s">
        <v>538</v>
      </c>
      <c r="D112" s="122" t="s">
        <v>539</v>
      </c>
      <c r="F112" s="1" t="s">
        <v>536</v>
      </c>
      <c r="G112" s="140">
        <v>0.05</v>
      </c>
      <c r="H112" s="1" t="s">
        <v>536</v>
      </c>
      <c r="I112" s="140">
        <v>0.1</v>
      </c>
      <c r="J112" s="1" t="s">
        <v>536</v>
      </c>
      <c r="K112" s="140">
        <v>0.15</v>
      </c>
      <c r="L112" s="1" t="s">
        <v>536</v>
      </c>
      <c r="M112" s="140">
        <v>0.2</v>
      </c>
      <c r="N112" t="s">
        <v>536</v>
      </c>
      <c r="O112" s="141">
        <v>0.25</v>
      </c>
      <c r="P112" t="s">
        <v>536</v>
      </c>
      <c r="Q112" s="141">
        <v>0.3</v>
      </c>
      <c r="R112" t="s">
        <v>536</v>
      </c>
      <c r="S112" s="141">
        <v>0.35</v>
      </c>
      <c r="T112" t="s">
        <v>536</v>
      </c>
      <c r="U112" s="141">
        <v>0.4</v>
      </c>
      <c r="V112" t="s">
        <v>536</v>
      </c>
      <c r="W112" s="141">
        <v>0.45</v>
      </c>
      <c r="X112" t="s">
        <v>536</v>
      </c>
      <c r="Y112" s="141">
        <v>0.5</v>
      </c>
      <c r="Z112" t="s">
        <v>536</v>
      </c>
      <c r="AA112" s="141">
        <v>0.55000000000000004</v>
      </c>
      <c r="AB112" t="s">
        <v>536</v>
      </c>
      <c r="AC112" s="141">
        <v>0.6</v>
      </c>
      <c r="AD112" t="s">
        <v>536</v>
      </c>
      <c r="AE112" s="141">
        <v>0.65</v>
      </c>
      <c r="AF112" t="s">
        <v>536</v>
      </c>
      <c r="AG112" s="141">
        <v>0.7</v>
      </c>
      <c r="AH112" t="s">
        <v>536</v>
      </c>
      <c r="AI112" s="141">
        <v>0.75</v>
      </c>
      <c r="AJ112" t="s">
        <v>536</v>
      </c>
      <c r="AK112" s="141">
        <v>0.8</v>
      </c>
      <c r="AL112" t="s">
        <v>536</v>
      </c>
      <c r="AM112" s="141">
        <v>0.85</v>
      </c>
      <c r="AN112" t="s">
        <v>536</v>
      </c>
      <c r="AO112" s="141">
        <v>0.9</v>
      </c>
      <c r="AP112" t="s">
        <v>536</v>
      </c>
      <c r="AQ112" s="141">
        <v>0.95</v>
      </c>
    </row>
    <row r="113" spans="1:43" s="29" customFormat="1" x14ac:dyDescent="0.25">
      <c r="A113" s="121" t="s">
        <v>182</v>
      </c>
      <c r="B113" s="121" t="s">
        <v>534</v>
      </c>
      <c r="C113" s="121" t="s">
        <v>535</v>
      </c>
      <c r="D113" s="248" t="s">
        <v>1126</v>
      </c>
      <c r="E113" s="121" t="s">
        <v>421</v>
      </c>
      <c r="F113" s="14" t="s">
        <v>244</v>
      </c>
      <c r="G113" s="6" t="s">
        <v>245</v>
      </c>
      <c r="H113" s="14" t="s">
        <v>244</v>
      </c>
      <c r="I113" s="6" t="s">
        <v>245</v>
      </c>
      <c r="J113" s="14" t="s">
        <v>244</v>
      </c>
      <c r="K113" s="6" t="s">
        <v>245</v>
      </c>
      <c r="L113" s="14" t="s">
        <v>244</v>
      </c>
      <c r="M113" s="6" t="s">
        <v>245</v>
      </c>
      <c r="N113" t="s">
        <v>244</v>
      </c>
      <c r="O113" t="s">
        <v>245</v>
      </c>
      <c r="P113" t="s">
        <v>244</v>
      </c>
      <c r="Q113" t="s">
        <v>245</v>
      </c>
      <c r="R113" t="s">
        <v>244</v>
      </c>
      <c r="S113" t="s">
        <v>245</v>
      </c>
      <c r="T113" t="s">
        <v>244</v>
      </c>
      <c r="U113" t="s">
        <v>245</v>
      </c>
      <c r="V113" t="s">
        <v>244</v>
      </c>
      <c r="W113" t="s">
        <v>245</v>
      </c>
      <c r="X113" t="s">
        <v>244</v>
      </c>
      <c r="Y113" t="s">
        <v>245</v>
      </c>
      <c r="Z113" t="s">
        <v>244</v>
      </c>
      <c r="AA113" t="s">
        <v>245</v>
      </c>
      <c r="AB113" t="s">
        <v>244</v>
      </c>
      <c r="AC113" t="s">
        <v>245</v>
      </c>
      <c r="AD113" t="s">
        <v>244</v>
      </c>
      <c r="AE113" t="s">
        <v>245</v>
      </c>
      <c r="AF113" t="s">
        <v>244</v>
      </c>
      <c r="AG113" t="s">
        <v>245</v>
      </c>
      <c r="AH113" t="s">
        <v>244</v>
      </c>
      <c r="AI113" t="s">
        <v>245</v>
      </c>
      <c r="AJ113" t="s">
        <v>244</v>
      </c>
      <c r="AK113" t="s">
        <v>245</v>
      </c>
      <c r="AL113" t="s">
        <v>244</v>
      </c>
      <c r="AM113" t="s">
        <v>245</v>
      </c>
      <c r="AN113" t="s">
        <v>244</v>
      </c>
      <c r="AO113" t="s">
        <v>245</v>
      </c>
      <c r="AP113" t="s">
        <v>244</v>
      </c>
      <c r="AQ113" t="s">
        <v>245</v>
      </c>
    </row>
    <row r="114" spans="1:43" s="29" customFormat="1" x14ac:dyDescent="0.25">
      <c r="A114" s="129">
        <v>0</v>
      </c>
      <c r="B114" s="129" t="e">
        <f>'Sub C_D_0'!AY70</f>
        <v>#DIV/0!</v>
      </c>
      <c r="C114" s="129" t="e">
        <f>'C_L vs. α'!X366</f>
        <v>#NUM!</v>
      </c>
      <c r="D114" s="247">
        <f>'C_L vs. α'!Z366</f>
        <v>0.38204298311929219</v>
      </c>
      <c r="E114" s="144">
        <v>-6</v>
      </c>
      <c r="F114" s="14">
        <f>$D$19+$C$19*(RADIANS(E114-$B$12))+$E$10*RADIANS(E114)^2</f>
        <v>0.38196596500111457</v>
      </c>
      <c r="G114" s="6">
        <f>$B$91+$B$7*F114^2+$B$8*(F114-F$93)^2</f>
        <v>4.9461874114481441E-2</v>
      </c>
      <c r="H114" s="14">
        <f>$D$20+$C$20*(RADIANS(E114-$B$12))+$E$10*RADIANS(E114)^2</f>
        <v>0.38314686001933163</v>
      </c>
      <c r="I114" s="6">
        <f>$B$92+$B$7*H114^2+$B$8*(H114-H$93)^2</f>
        <v>4.6058345008718506E-2</v>
      </c>
      <c r="J114" s="14">
        <f>$D$21+$C$21*(RADIANS(E114-$B$12))+$E$10*RADIANS(E114)^2</f>
        <v>0.38515725512832322</v>
      </c>
      <c r="K114" s="6">
        <f>$B$93+$B$7*J114^2+$B$8*(J114-J$93)^2</f>
        <v>4.4477828393869982E-2</v>
      </c>
      <c r="L114" s="14">
        <f>$D$22+$C$22*(RADIANS(E114-$B$12))+$E$10*RADIANS(E114)^2</f>
        <v>0.38803427363964721</v>
      </c>
      <c r="M114" s="6">
        <f>$B$94+$B$7*L114^2+$B$8*(L114-L$93)^2</f>
        <v>4.3402353057147847E-2</v>
      </c>
      <c r="N114" s="14">
        <f>$D$23+$C$23*(RADIANS(E114-$B$12))+$E$10*RADIANS(E114)^2</f>
        <v>0.39183668425641005</v>
      </c>
      <c r="O114" s="6">
        <f>$B$95+$B$7*N114^2+$B$8*(N114-N$69)^2</f>
        <v>4.2787550341412448E-2</v>
      </c>
      <c r="P114" s="14">
        <f>$D$24+$C$24*(RADIANS(E114-$B$12))+$E$10*RADIANS(E114)^2</f>
        <v>0.39665653077575869</v>
      </c>
      <c r="Q114" s="6">
        <f>$B$96+$B$7*P114^2+$B$8*(P114-P$93)^2</f>
        <v>4.2913852568258561E-2</v>
      </c>
      <c r="R114" s="14">
        <f>$D$25+$C$25*(RADIANS(E114-$B$12))+$E$10*RADIANS(E114)^2</f>
        <v>0.40258527120659587</v>
      </c>
      <c r="S114" s="6">
        <f>$B$97+$B$7*R114^2+$B$8*(R114-R$93)^2</f>
        <v>4.2751672328253942E-2</v>
      </c>
      <c r="T114" s="14">
        <f>$D$26+$C$26*(RADIANS(E114-$B$12))+$E$10*RADIANS(E114)^2</f>
        <v>0.40978062151035616</v>
      </c>
      <c r="U114" s="6">
        <f>$B$98+$B$7*T114^2+$B$8*(T114-T$93)^2</f>
        <v>4.2773801978613191E-2</v>
      </c>
      <c r="V114" s="14">
        <f>$D$27+$C$27*(RADIANS(E114-$B$12))+$E$10*RADIANS(E114)^2</f>
        <v>0.41843820131892678</v>
      </c>
      <c r="W114" s="6">
        <f>$B$99+$B$7*V114^2+$B$8*(V114-V$93)^2</f>
        <v>4.2976015225544249E-2</v>
      </c>
      <c r="X114" s="14">
        <f>$D$28+$C$28*(RADIANS(E114-$B$12))+$E$10*RADIANS(E114)^2</f>
        <v>0.42881882045062403</v>
      </c>
      <c r="Y114" s="6">
        <f>$B$100+$B$7*X114^2+$B$8*(X114-X$93)^2</f>
        <v>4.336906321948629E-2</v>
      </c>
      <c r="Z114" s="14">
        <f>$D$29+$C$29*(RADIANS(E114-$B$12))+$E$10*RADIANS(E114)^2</f>
        <v>0.44127475472328925</v>
      </c>
      <c r="AA114" s="6">
        <f>$B$101+$B$7*Z114^2+$B$8*(Z114-Z$93)^2</f>
        <v>4.3978873112385637E-2</v>
      </c>
      <c r="AB114" s="14">
        <f>$D$30+$C$30*(RADIANS(E114-$B$12))+$E$10*RADIANS(E114)^2</f>
        <v>0.45629107917790385</v>
      </c>
      <c r="AC114" s="6">
        <f>$B$102+$B$7*AB114^2+$B$8*(AB114-AB$93)^2</f>
        <v>4.4850276779149642E-2</v>
      </c>
      <c r="AD114" s="14">
        <f>$D$31+$C$31*(RADIANS(E114-$B$12))+$E$10*RADIANS(E114)^2</f>
        <v>0.4745495893053634</v>
      </c>
      <c r="AE114" s="6">
        <f>$B$103+$B$7*AD114^2+$B$8*(AD114-AD$93)^2</f>
        <v>4.6533555211820968E-2</v>
      </c>
      <c r="AF114" s="14">
        <f>$D$32+$C$32*(RADIANS(E114-$B$12))+$E$10*RADIANS(E114)^2</f>
        <v>0.49705207351144215</v>
      </c>
      <c r="AG114" s="6">
        <f>$B$104+$B$7*AF114^2+$B$8*(AF114-AF$93)^2</f>
        <v>4.8182413710141557E-2</v>
      </c>
      <c r="AH114" s="14">
        <f>$D$33+$C$33*(RADIANS(E114-$B$12))+$E$10*RADIANS(E114)^2</f>
        <v>0.52532705755464026</v>
      </c>
      <c r="AI114" s="6">
        <f>$B$105+$B$7*AH114^2+$B$8*(AH114-AH$93)^2</f>
        <v>5.0470364626821057E-2</v>
      </c>
      <c r="AJ114" s="14">
        <f>$D$34+$C$34*(RADIANS(E114-$B$12))+$E$10*RADIANS(E114)^2</f>
        <v>0.56184529703827968</v>
      </c>
      <c r="AK114">
        <f>$B$82+$B$9*AJ114^2</f>
        <v>7.3928908453988612E-2</v>
      </c>
      <c r="AL114" s="14">
        <f>$D$35+$C$35*(RADIANS(E114-$B$12))+$E$10*RADIANS(E114)^2</f>
        <v>0.61084414705449297</v>
      </c>
      <c r="AM114">
        <f>$B$83+$B$9*AL114^2</f>
        <v>7.9998336286897079E-2</v>
      </c>
      <c r="AN114" s="14">
        <f>$D$36+$C$36*(RADIANS(E114-$B$12))+$E$10*RADIANS(E114)^2</f>
        <v>0.68097026783792147</v>
      </c>
      <c r="AO114">
        <f>$B$84+$B$9*AN114^2</f>
        <v>8.8958482976255693E-2</v>
      </c>
      <c r="AP114" s="14">
        <f>$D$37+$C$37*(RADIANS(E114-$B$12))+$E$10*RADIANS(E114)^2</f>
        <v>0.79383266344327119</v>
      </c>
      <c r="AQ114">
        <f>$B$85+$B$9*AP114^2</f>
        <v>0.10558235037500502</v>
      </c>
    </row>
    <row r="115" spans="1:43" s="29" customFormat="1" x14ac:dyDescent="0.25">
      <c r="A115" s="139">
        <v>0.05</v>
      </c>
      <c r="B115" s="129">
        <f>'Sub C_D_0'!AY71</f>
        <v>5.203438192379771E-2</v>
      </c>
      <c r="C115" s="129">
        <f>'C_L vs. α'!X367</f>
        <v>0.10621868912756693</v>
      </c>
      <c r="D115" s="247">
        <f>'C_L vs. α'!Z367</f>
        <v>0.3824586133220616</v>
      </c>
      <c r="E115" s="144">
        <v>-4</v>
      </c>
      <c r="F115" s="14">
        <f t="shared" ref="F115:F125" si="152">$D$19+$C$19*(RADIANS(E115-$B$12))+$E$10*RADIANS(E115)^2</f>
        <v>0.38079833828884896</v>
      </c>
      <c r="G115" s="6">
        <f t="shared" ref="G115:G119" si="153">$B$91+$B$7*F115^2+$B$8*(F115-F$93)^2</f>
        <v>4.9394856651734473E-2</v>
      </c>
      <c r="H115" s="14">
        <f t="shared" ref="H115:H125" si="154">$D$20+$C$20*(RADIANS(E115-$B$12))+$E$10*RADIANS(E115)^2</f>
        <v>0.38200890015285915</v>
      </c>
      <c r="I115" s="6">
        <f t="shared" ref="I115:I125" si="155">$B$92+$B$7*H115^2+$B$8*(H115-H$93)^2</f>
        <v>4.5992851644642598E-2</v>
      </c>
      <c r="J115" s="14">
        <f t="shared" ref="J115:J125" si="156">$D$21+$C$21*(RADIANS(E115-$B$12))+$E$10*RADIANS(E115)^2</f>
        <v>0.38406292062782471</v>
      </c>
      <c r="K115" s="6">
        <f t="shared" ref="K115:K125" si="157">$B$93+$B$7*J115^2+$B$8*(J115-J$93)^2</f>
        <v>4.4414544584050149E-2</v>
      </c>
      <c r="L115" s="14">
        <f t="shared" ref="L115:L125" si="158">$D$22+$C$22*(RADIANS(E115-$B$12))+$E$10*RADIANS(E115)^2</f>
        <v>0.3869999361826319</v>
      </c>
      <c r="M115" s="6">
        <f t="shared" ref="M115:M125" si="159">$B$94+$B$7*L115^2+$B$8*(L115-L$93)^2</f>
        <v>4.3342128468113347E-2</v>
      </c>
      <c r="N115" s="14">
        <f t="shared" ref="N115:N125" si="160">$D$23+$C$23*(RADIANS(E115-$B$12))+$E$10*RADIANS(E115)^2</f>
        <v>0.39088074888723873</v>
      </c>
      <c r="O115" s="6">
        <f t="shared" ref="O115:O125" si="161">$B$95+$B$7*N115^2+$B$8*(N115-N$69)^2</f>
        <v>4.2731388574062057E-2</v>
      </c>
      <c r="P115" s="14">
        <f t="shared" ref="P115:P125" si="162">$D$24+$C$24*(RADIANS(E115-$B$12))+$E$10*RADIANS(E115)^2</f>
        <v>0.39579596538243639</v>
      </c>
      <c r="Q115" s="6">
        <f t="shared" ref="Q115:Q125" si="163">$B$96+$B$7*P115^2+$B$8*(P115-P$93)^2</f>
        <v>4.2862716917604807E-2</v>
      </c>
      <c r="R115" s="14">
        <f t="shared" ref="R115:R125" si="164">$D$25+$C$25*(RADIANS(E115-$B$12))+$E$10*RADIANS(E115)^2</f>
        <v>0.40184799655880499</v>
      </c>
      <c r="S115" s="6">
        <f t="shared" ref="S115:S125" si="165">$B$97+$B$7*R115^2+$B$8*(R115-R$93)^2</f>
        <v>4.2707259761139482E-2</v>
      </c>
      <c r="T115" s="14">
        <f t="shared" ref="T115:T125" si="166">$D$26+$C$26*(RADIANS(E115-$B$12))+$E$10*RADIANS(E115)^2</f>
        <v>0.40919455134097138</v>
      </c>
      <c r="U115" s="6">
        <f t="shared" ref="U115:U125" si="167">$B$98+$B$7*T115^2+$B$8*(T115-T$93)^2</f>
        <v>4.2737917135525903E-2</v>
      </c>
      <c r="V115" s="14">
        <f t="shared" ref="V115:V125" si="168">$D$27+$C$27*(RADIANS(E115-$B$12))+$E$10*RADIANS(E115)^2</f>
        <v>0.41803659579425889</v>
      </c>
      <c r="W115" s="6">
        <f t="shared" ref="W115:W125" si="169">$B$99+$B$7*V115^2+$B$8*(V115-V$93)^2</f>
        <v>4.2950947485057296E-2</v>
      </c>
      <c r="X115" s="14">
        <f t="shared" ref="X115:X125" si="170">$D$28+$C$28*(RADIANS(E115-$B$12))+$E$10*RADIANS(E115)^2</f>
        <v>0.42864212824917736</v>
      </c>
      <c r="Y115" s="6">
        <f t="shared" ref="Y115:Y125" si="171">$B$100+$B$7*X115^2+$B$8*(X115-X$93)^2</f>
        <v>4.3357783112176106E-2</v>
      </c>
      <c r="Z115" s="14">
        <f t="shared" ref="Z115:Z125" si="172">$D$29+$C$29*(RADIANS(E115-$B$12))+$E$10*RADIANS(E115)^2</f>
        <v>0.44137322125238498</v>
      </c>
      <c r="AA115" s="6">
        <f t="shared" ref="AA115:AA125" si="173">$B$101+$B$7*Z115^2+$B$8*(Z115-Z$93)^2</f>
        <v>4.398532663313056E-2</v>
      </c>
      <c r="AB115" s="14">
        <f t="shared" ref="AB115:AB125" si="174">$D$30+$C$30*(RADIANS(E115-$B$12))+$E$10*RADIANS(E115)^2</f>
        <v>0.45672851666868225</v>
      </c>
      <c r="AC115" s="6">
        <f t="shared" ref="AC115:AC125" si="175">$B$102+$B$7*AB115^2+$B$8*(AB115-AB$93)^2</f>
        <v>4.4879839329245816E-2</v>
      </c>
      <c r="AD115" s="14">
        <f t="shared" ref="AD115:AD125" si="176">$D$31+$C$31*(RADIANS(E115-$B$12))+$E$10*RADIANS(E115)^2</f>
        <v>0.47541039180790012</v>
      </c>
      <c r="AE115" s="6">
        <f t="shared" ref="AE115:AE125" si="177">$B$103+$B$7*AD115^2+$B$8*(AD115-AD$93)^2</f>
        <v>4.6593854486370684E-2</v>
      </c>
      <c r="AF115" s="14">
        <f t="shared" ref="AF115:AF125" si="178">$D$32+$C$32*(RADIANS(E115-$B$12))+$E$10*RADIANS(E115)^2</f>
        <v>0.49844800212462537</v>
      </c>
      <c r="AG115" s="6">
        <f t="shared" ref="AG115:AG125" si="179">$B$104+$B$7*AF115^2+$B$8*(AF115-AF$93)^2</f>
        <v>4.8284424889932731E-2</v>
      </c>
      <c r="AH115" s="14">
        <f t="shared" ref="AH115:AH125" si="180">$D$33+$C$33*(RADIANS(E115-$B$12))+$E$10*RADIANS(E115)^2</f>
        <v>0.52740961892698079</v>
      </c>
      <c r="AI115" s="6">
        <f t="shared" ref="AI115:AI125" si="181">$B$105+$B$7*AH115^2+$B$8*(AH115-AH$93)^2</f>
        <v>5.0630442473442269E-2</v>
      </c>
      <c r="AJ115" s="14">
        <f t="shared" ref="AJ115:AJ125" si="182">$D$34+$C$34*(RADIANS(E115-$B$12))+$E$10*RADIANS(E115)^2</f>
        <v>0.56482156659594751</v>
      </c>
      <c r="AK115">
        <f t="shared" ref="AK115:AK125" si="183">$B$82+$B$9*AJ115^2</f>
        <v>7.4267163847623635E-2</v>
      </c>
      <c r="AL115" s="14">
        <f t="shared" ref="AL115:AL125" si="184">$D$35+$C$35*(RADIANS(E115-$B$12))+$E$10*RADIANS(E115)^2</f>
        <v>0.61501474112168397</v>
      </c>
      <c r="AM115">
        <f t="shared" ref="AM115:AM125" si="185">$B$83+$B$9*AL115^2</f>
        <v>8.0514057918502302E-2</v>
      </c>
      <c r="AN115" s="14">
        <f t="shared" ref="AN115:AN125" si="186">$D$36+$C$36*(RADIANS(E115-$B$12))+$E$10*RADIANS(E115)^2</f>
        <v>0.68649205059249963</v>
      </c>
      <c r="AO115">
        <f t="shared" ref="AO115:AO125" si="187">$B$84+$B$9*AN115^2</f>
        <v>8.9720161359781697E-2</v>
      </c>
      <c r="AP115" s="14">
        <f t="shared" ref="AP115:AP125" si="188">$D$37+$C$37*(RADIANS(E115-$B$12))+$E$10*RADIANS(E115)^2</f>
        <v>0.79849050574142755</v>
      </c>
      <c r="AQ115">
        <f t="shared" ref="AQ115:AQ125" si="189">$B$85+$B$9*AP115^2</f>
        <v>0.10633050771559659</v>
      </c>
    </row>
    <row r="116" spans="1:43" s="29" customFormat="1" x14ac:dyDescent="0.25">
      <c r="A116" s="129">
        <v>0.1</v>
      </c>
      <c r="B116" s="129">
        <f>'Sub C_D_0'!AY72</f>
        <v>4.8613044924735005E-2</v>
      </c>
      <c r="C116" s="129">
        <f>'C_L vs. α'!X368</f>
        <v>0.10706951078708708</v>
      </c>
      <c r="D116" s="247">
        <f>'C_L vs. α'!Z368</f>
        <v>0.38371367545476148</v>
      </c>
      <c r="E116" s="144">
        <v>-2</v>
      </c>
      <c r="F116" s="14">
        <f t="shared" si="152"/>
        <v>0.38158026306321818</v>
      </c>
      <c r="G116" s="6">
        <f t="shared" si="153"/>
        <v>4.9439705824726357E-2</v>
      </c>
      <c r="H116" s="14">
        <f t="shared" si="154"/>
        <v>0.38282049177302152</v>
      </c>
      <c r="I116" s="6">
        <f t="shared" si="155"/>
        <v>4.60395347146891E-2</v>
      </c>
      <c r="J116" s="14">
        <f t="shared" si="156"/>
        <v>0.3849181376139611</v>
      </c>
      <c r="K116" s="6">
        <f t="shared" si="157"/>
        <v>4.4463979939288648E-2</v>
      </c>
      <c r="L116" s="14">
        <f t="shared" si="158"/>
        <v>0.38791515021225137</v>
      </c>
      <c r="M116" s="6">
        <f t="shared" si="159"/>
        <v>4.3395406064548142E-2</v>
      </c>
      <c r="N116" s="14">
        <f t="shared" si="160"/>
        <v>0.39187436500470224</v>
      </c>
      <c r="O116" s="6">
        <f t="shared" si="161"/>
        <v>4.2789767884345055E-2</v>
      </c>
      <c r="P116" s="14">
        <f t="shared" si="162"/>
        <v>0.39688495147574893</v>
      </c>
      <c r="Q116" s="6">
        <f t="shared" si="163"/>
        <v>4.2927450645159598E-2</v>
      </c>
      <c r="R116" s="14">
        <f t="shared" si="164"/>
        <v>0.40306027339764899</v>
      </c>
      <c r="S116" s="6">
        <f t="shared" si="165"/>
        <v>4.27803439940624E-2</v>
      </c>
      <c r="T116" s="14">
        <f t="shared" si="166"/>
        <v>0.41055803265822149</v>
      </c>
      <c r="U116" s="6">
        <f t="shared" si="167"/>
        <v>4.282150947803702E-2</v>
      </c>
      <c r="V116" s="14">
        <f t="shared" si="168"/>
        <v>0.41958454175622578</v>
      </c>
      <c r="W116" s="6">
        <f t="shared" si="169"/>
        <v>4.3047747433161539E-2</v>
      </c>
      <c r="X116" s="14">
        <f t="shared" si="170"/>
        <v>0.43041498753436558</v>
      </c>
      <c r="Y116" s="6">
        <f t="shared" si="171"/>
        <v>4.3471248672915866E-2</v>
      </c>
      <c r="Z116" s="14">
        <f t="shared" si="172"/>
        <v>0.44342123926811561</v>
      </c>
      <c r="AA116" s="6">
        <f t="shared" si="173"/>
        <v>4.411999768565799E-2</v>
      </c>
      <c r="AB116" s="14">
        <f t="shared" si="174"/>
        <v>0.45911550564609555</v>
      </c>
      <c r="AC116" s="6">
        <f t="shared" si="175"/>
        <v>4.5041834982528235E-2</v>
      </c>
      <c r="AD116" s="14">
        <f t="shared" si="176"/>
        <v>0.47822074579707169</v>
      </c>
      <c r="AE116" s="6">
        <f t="shared" si="177"/>
        <v>4.6791760713445492E-2</v>
      </c>
      <c r="AF116" s="14">
        <f t="shared" si="178"/>
        <v>0.50179348222444353</v>
      </c>
      <c r="AG116" s="6">
        <f t="shared" si="179"/>
        <v>4.8530504791002564E-2</v>
      </c>
      <c r="AH116" s="14">
        <f t="shared" si="180"/>
        <v>0.53144173178595611</v>
      </c>
      <c r="AI116" s="6">
        <f t="shared" si="181"/>
        <v>5.094286129001302E-2</v>
      </c>
      <c r="AJ116" s="14">
        <f t="shared" si="182"/>
        <v>0.56974738764025024</v>
      </c>
      <c r="AK116">
        <f t="shared" si="183"/>
        <v>7.4830913740031924E-2</v>
      </c>
      <c r="AL116" s="14">
        <f t="shared" si="184"/>
        <v>0.62113488667550987</v>
      </c>
      <c r="AM116">
        <f t="shared" si="185"/>
        <v>8.1277207622338643E-2</v>
      </c>
      <c r="AN116" s="14">
        <f t="shared" si="186"/>
        <v>0.69396338483371267</v>
      </c>
      <c r="AO116">
        <f t="shared" si="187"/>
        <v>9.0760554555830764E-2</v>
      </c>
      <c r="AP116" s="14">
        <f t="shared" si="188"/>
        <v>0.80509789952621869</v>
      </c>
      <c r="AQ116">
        <f t="shared" si="189"/>
        <v>0.10739931657373697</v>
      </c>
    </row>
    <row r="117" spans="1:43" s="29" customFormat="1" x14ac:dyDescent="0.25">
      <c r="A117" s="139">
        <v>0.15</v>
      </c>
      <c r="B117" s="129">
        <f>'Sub C_D_0'!AY73</f>
        <v>4.6847233202153976E-2</v>
      </c>
      <c r="C117" s="129">
        <f>'C_L vs. α'!X369</f>
        <v>0.10831740375517844</v>
      </c>
      <c r="D117" s="247">
        <f>'C_L vs. α'!Z369</f>
        <v>0.38583313397868807</v>
      </c>
      <c r="E117" s="143">
        <v>0</v>
      </c>
      <c r="F117" s="14">
        <f t="shared" si="152"/>
        <v>0.38431173932422247</v>
      </c>
      <c r="G117" s="6">
        <f t="shared" si="153"/>
        <v>4.9597344264110804E-2</v>
      </c>
      <c r="H117" s="14">
        <f t="shared" si="154"/>
        <v>0.38558163487981889</v>
      </c>
      <c r="I117" s="6">
        <f t="shared" si="155"/>
        <v>4.6199351854850114E-2</v>
      </c>
      <c r="J117" s="14">
        <f t="shared" si="156"/>
        <v>0.38772290608673249</v>
      </c>
      <c r="K117" s="6">
        <f t="shared" si="157"/>
        <v>4.4627143571245378E-2</v>
      </c>
      <c r="L117" s="14">
        <f t="shared" si="158"/>
        <v>0.3907799157285059</v>
      </c>
      <c r="M117" s="6">
        <f t="shared" si="159"/>
        <v>4.3563265751509754E-2</v>
      </c>
      <c r="N117" s="14">
        <f t="shared" si="160"/>
        <v>0.3948175326088007</v>
      </c>
      <c r="O117" s="6">
        <f t="shared" si="161"/>
        <v>4.2963860687713705E-2</v>
      </c>
      <c r="P117" s="14">
        <f t="shared" si="162"/>
        <v>0.39992348905569641</v>
      </c>
      <c r="Q117" s="6">
        <f t="shared" si="163"/>
        <v>4.3109338697997254E-2</v>
      </c>
      <c r="R117" s="14">
        <f t="shared" si="164"/>
        <v>0.406222101723128</v>
      </c>
      <c r="S117" s="6">
        <f t="shared" si="165"/>
        <v>4.297235545077821E-2</v>
      </c>
      <c r="T117" s="14">
        <f t="shared" si="166"/>
        <v>0.41387106546210661</v>
      </c>
      <c r="U117" s="6">
        <f t="shared" si="167"/>
        <v>4.3026187843339433E-2</v>
      </c>
      <c r="V117" s="14">
        <f t="shared" si="168"/>
        <v>0.42308203920482768</v>
      </c>
      <c r="W117" s="6">
        <f t="shared" si="169"/>
        <v>4.326824156575735E-2</v>
      </c>
      <c r="X117" s="14">
        <f t="shared" si="170"/>
        <v>0.43413739830618875</v>
      </c>
      <c r="Y117" s="6">
        <f t="shared" si="171"/>
        <v>4.3711551783654878E-2</v>
      </c>
      <c r="Z117" s="14">
        <f t="shared" si="172"/>
        <v>0.44741880877048118</v>
      </c>
      <c r="AA117" s="6">
        <f t="shared" si="173"/>
        <v>4.4385302824939188E-2</v>
      </c>
      <c r="AB117" s="14">
        <f t="shared" si="174"/>
        <v>0.46345204611014379</v>
      </c>
      <c r="AC117" s="6">
        <f t="shared" si="175"/>
        <v>4.5339080262111101E-2</v>
      </c>
      <c r="AD117" s="14">
        <f t="shared" si="176"/>
        <v>0.48298065127287826</v>
      </c>
      <c r="AE117" s="6">
        <f t="shared" si="177"/>
        <v>4.7130589964901888E-2</v>
      </c>
      <c r="AF117" s="14">
        <f t="shared" si="178"/>
        <v>0.50708851381089648</v>
      </c>
      <c r="AG117" s="6">
        <f t="shared" si="179"/>
        <v>4.8924600906246271E-2</v>
      </c>
      <c r="AH117" s="14">
        <f t="shared" si="180"/>
        <v>0.53742339613156631</v>
      </c>
      <c r="AI117" s="6">
        <f t="shared" si="181"/>
        <v>5.1412378760449719E-2</v>
      </c>
      <c r="AJ117" s="14">
        <f t="shared" si="182"/>
        <v>0.57662276017118796</v>
      </c>
      <c r="AK117" s="99">
        <f t="shared" si="183"/>
        <v>7.5625970344407184E-2</v>
      </c>
      <c r="AL117" s="14">
        <f t="shared" si="184"/>
        <v>0.62920458371597077</v>
      </c>
      <c r="AM117" s="99">
        <f t="shared" si="185"/>
        <v>8.2295006852538405E-2</v>
      </c>
      <c r="AN117" s="14">
        <f t="shared" si="186"/>
        <v>0.70338427056156072</v>
      </c>
      <c r="AO117" s="99">
        <f t="shared" si="187"/>
        <v>9.2088478351062861E-2</v>
      </c>
      <c r="AP117" s="14">
        <f t="shared" si="188"/>
        <v>0.81365484479764483</v>
      </c>
      <c r="AQ117" s="99">
        <f t="shared" si="189"/>
        <v>0.10879657333118398</v>
      </c>
    </row>
    <row r="118" spans="1:43" s="29" customFormat="1" x14ac:dyDescent="0.25">
      <c r="A118" s="129">
        <v>0.2</v>
      </c>
      <c r="B118" s="129">
        <f>'Sub C_D_0'!AY74</f>
        <v>4.5686606910811486E-2</v>
      </c>
      <c r="C118" s="129">
        <f>'C_L vs. α'!X370</f>
        <v>0.11003391405771784</v>
      </c>
      <c r="D118" s="247">
        <f>'C_L vs. α'!Z370</f>
        <v>0.38886014509871991</v>
      </c>
      <c r="E118" s="144">
        <v>2</v>
      </c>
      <c r="F118" s="14">
        <f t="shared" si="152"/>
        <v>0.38899276707186159</v>
      </c>
      <c r="G118" s="6">
        <f t="shared" si="153"/>
        <v>4.9870994970118585E-2</v>
      </c>
      <c r="H118" s="14">
        <f t="shared" si="154"/>
        <v>0.39029232947325115</v>
      </c>
      <c r="I118" s="6">
        <f t="shared" si="155"/>
        <v>4.6475561070694796E-2</v>
      </c>
      <c r="J118" s="14">
        <f t="shared" si="156"/>
        <v>0.39247722604613877</v>
      </c>
      <c r="K118" s="6">
        <f t="shared" si="157"/>
        <v>4.4907344961157308E-2</v>
      </c>
      <c r="L118" s="14">
        <f t="shared" si="158"/>
        <v>0.39559423273139527</v>
      </c>
      <c r="M118" s="6">
        <f t="shared" si="159"/>
        <v>4.3849087803632746E-2</v>
      </c>
      <c r="N118" s="14">
        <f t="shared" si="160"/>
        <v>0.39971025169953411</v>
      </c>
      <c r="O118" s="6">
        <f t="shared" si="161"/>
        <v>4.3257139769197352E-2</v>
      </c>
      <c r="P118" s="14">
        <f t="shared" si="162"/>
        <v>0.40491157812227885</v>
      </c>
      <c r="Q118" s="6">
        <f t="shared" si="163"/>
        <v>4.3411966392769126E-2</v>
      </c>
      <c r="R118" s="14">
        <f t="shared" si="164"/>
        <v>0.41133348153524191</v>
      </c>
      <c r="S118" s="6">
        <f t="shared" si="165"/>
        <v>4.3287024924619506E-2</v>
      </c>
      <c r="T118" s="14">
        <f t="shared" si="166"/>
        <v>0.41913364975262662</v>
      </c>
      <c r="U118" s="6">
        <f t="shared" si="167"/>
        <v>4.335586143820308E-2</v>
      </c>
      <c r="V118" s="14">
        <f t="shared" si="168"/>
        <v>0.42852908814006446</v>
      </c>
      <c r="W118" s="6">
        <f t="shared" si="169"/>
        <v>4.3616556748322162E-2</v>
      </c>
      <c r="X118" s="14">
        <f t="shared" si="170"/>
        <v>0.43980936056464687</v>
      </c>
      <c r="Y118" s="6">
        <f t="shared" si="171"/>
        <v>4.4083084695919511E-2</v>
      </c>
      <c r="Z118" s="14">
        <f t="shared" si="172"/>
        <v>0.4533659297594817</v>
      </c>
      <c r="AA118" s="6">
        <f t="shared" si="173"/>
        <v>4.4785958975522462E-2</v>
      </c>
      <c r="AB118" s="14">
        <f t="shared" si="174"/>
        <v>0.46973813806082698</v>
      </c>
      <c r="AC118" s="6">
        <f t="shared" si="175"/>
        <v>4.5776692060685742E-2</v>
      </c>
      <c r="AD118" s="14">
        <f t="shared" si="176"/>
        <v>0.48969010823531972</v>
      </c>
      <c r="AE118" s="6">
        <f t="shared" si="177"/>
        <v>4.7615958682173366E-2</v>
      </c>
      <c r="AF118" s="14">
        <f t="shared" si="178"/>
        <v>0.51433309688398454</v>
      </c>
      <c r="AG118" s="6">
        <f t="shared" si="179"/>
        <v>4.9472961098136183E-2</v>
      </c>
      <c r="AH118" s="14">
        <f t="shared" si="180"/>
        <v>0.54535461196381152</v>
      </c>
      <c r="AI118" s="6">
        <f t="shared" si="181"/>
        <v>5.2046052938245838E-2</v>
      </c>
      <c r="AJ118" s="14">
        <f t="shared" si="182"/>
        <v>0.58544768418876059</v>
      </c>
      <c r="AK118">
        <f t="shared" si="183"/>
        <v>7.6660446243520225E-2</v>
      </c>
      <c r="AL118" s="14">
        <f t="shared" si="184"/>
        <v>0.63922383224306656</v>
      </c>
      <c r="AM118">
        <f t="shared" si="185"/>
        <v>8.3576977432811006E-2</v>
      </c>
      <c r="AN118" s="14">
        <f t="shared" si="186"/>
        <v>0.71475470777604366</v>
      </c>
      <c r="AO118">
        <f t="shared" si="187"/>
        <v>9.3715048901714976E-2</v>
      </c>
      <c r="AP118" s="14">
        <f t="shared" si="188"/>
        <v>0.82416134155570586</v>
      </c>
      <c r="AQ118">
        <f t="shared" si="189"/>
        <v>0.11053237473927253</v>
      </c>
    </row>
    <row r="119" spans="1:43" s="29" customFormat="1" x14ac:dyDescent="0.25">
      <c r="A119" s="139">
        <v>0.25</v>
      </c>
      <c r="B119" s="129">
        <f>'Sub C_D_0'!AY75</f>
        <v>4.4834749403424287E-2</v>
      </c>
      <c r="C119" s="129">
        <f>'C_L vs. α'!X371</f>
        <v>0.11227756959867793</v>
      </c>
      <c r="D119" s="247">
        <f>'C_L vs. α'!Z371</f>
        <v>0.39285856093509275</v>
      </c>
      <c r="E119" s="144">
        <v>4</v>
      </c>
      <c r="F119" s="14">
        <f t="shared" si="152"/>
        <v>0.39562334630613571</v>
      </c>
      <c r="G119" s="6">
        <f t="shared" si="153"/>
        <v>5.0266181312557563E-2</v>
      </c>
      <c r="H119" s="14">
        <f t="shared" si="154"/>
        <v>0.39695257555331842</v>
      </c>
      <c r="I119" s="6">
        <f t="shared" si="155"/>
        <v>4.6873720737369423E-2</v>
      </c>
      <c r="J119" s="14">
        <f t="shared" si="156"/>
        <v>0.39918109749218</v>
      </c>
      <c r="K119" s="6">
        <f t="shared" si="157"/>
        <v>4.5310193959838492E-2</v>
      </c>
      <c r="L119" s="14">
        <f t="shared" si="158"/>
        <v>0.40235810122091969</v>
      </c>
      <c r="M119" s="6">
        <f t="shared" si="159"/>
        <v>4.4258552865128781E-2</v>
      </c>
      <c r="N119" s="14">
        <f t="shared" si="160"/>
        <v>0.40655252227690253</v>
      </c>
      <c r="O119" s="6">
        <f t="shared" si="161"/>
        <v>4.3675378283402441E-2</v>
      </c>
      <c r="P119" s="14">
        <f t="shared" si="162"/>
        <v>0.41184921867549629</v>
      </c>
      <c r="Q119" s="6">
        <f t="shared" si="163"/>
        <v>4.3841219415703687E-2</v>
      </c>
      <c r="R119" s="14">
        <f t="shared" si="164"/>
        <v>0.41839441283399076</v>
      </c>
      <c r="S119" s="6">
        <f t="shared" si="165"/>
        <v>4.3730383578495978E-2</v>
      </c>
      <c r="T119" s="14">
        <f t="shared" si="166"/>
        <v>0.42634578552978158</v>
      </c>
      <c r="U119" s="6">
        <f t="shared" si="167"/>
        <v>4.3816739838975022E-2</v>
      </c>
      <c r="V119" s="14">
        <f t="shared" si="168"/>
        <v>0.43592568856193631</v>
      </c>
      <c r="W119" s="6">
        <f t="shared" si="169"/>
        <v>4.4099120215910524E-2</v>
      </c>
      <c r="X119" s="14">
        <f t="shared" si="170"/>
        <v>0.44743087430973993</v>
      </c>
      <c r="Y119" s="6">
        <f t="shared" si="171"/>
        <v>4.459254003081322E-2</v>
      </c>
      <c r="Z119" s="14">
        <f t="shared" si="172"/>
        <v>0.46126260223511717</v>
      </c>
      <c r="AA119" s="6">
        <f t="shared" si="173"/>
        <v>4.5328983431533229E-2</v>
      </c>
      <c r="AB119" s="14">
        <f t="shared" si="174"/>
        <v>0.47797378149814512</v>
      </c>
      <c r="AC119" s="6">
        <f t="shared" si="175"/>
        <v>4.6362087640520536E-2</v>
      </c>
      <c r="AD119" s="14">
        <f t="shared" si="176"/>
        <v>0.49834911668439619</v>
      </c>
      <c r="AE119" s="6">
        <f t="shared" si="177"/>
        <v>4.8255783676270585E-2</v>
      </c>
      <c r="AF119" s="14">
        <f t="shared" si="178"/>
        <v>0.52352723144370739</v>
      </c>
      <c r="AG119" s="6">
        <f t="shared" si="179"/>
        <v>5.0184133598721661E-2</v>
      </c>
      <c r="AH119" s="14">
        <f t="shared" si="180"/>
        <v>0.55523537928269173</v>
      </c>
      <c r="AI119" s="6">
        <f t="shared" si="181"/>
        <v>5.2853242246471976E-2</v>
      </c>
      <c r="AJ119" s="14">
        <f t="shared" si="182"/>
        <v>0.5962221596929681</v>
      </c>
      <c r="AK119">
        <f t="shared" si="183"/>
        <v>7.7944754389718984E-2</v>
      </c>
      <c r="AL119" s="14">
        <f t="shared" si="184"/>
        <v>0.65119263225679724</v>
      </c>
      <c r="AM119">
        <f t="shared" si="185"/>
        <v>8.5134941556442967E-2</v>
      </c>
      <c r="AN119" s="14">
        <f t="shared" si="186"/>
        <v>0.7280746964771615</v>
      </c>
      <c r="AO119">
        <f t="shared" si="187"/>
        <v>9.565368273360117E-2</v>
      </c>
      <c r="AP119" s="14">
        <f t="shared" si="188"/>
        <v>0.8366173898004019</v>
      </c>
      <c r="AQ119">
        <f t="shared" si="189"/>
        <v>0.11261911791891466</v>
      </c>
    </row>
    <row r="120" spans="1:43" s="29" customFormat="1" x14ac:dyDescent="0.25">
      <c r="A120" s="129">
        <v>0.3</v>
      </c>
      <c r="B120" s="129">
        <f>'Sub C_D_0'!AY76</f>
        <v>4.4645286815681459E-2</v>
      </c>
      <c r="C120" s="129">
        <f>'C_L vs. α'!X372</f>
        <v>0.11500934029076199</v>
      </c>
      <c r="D120" s="247">
        <f>'C_L vs. α'!Z372</f>
        <v>0.39791683239406395</v>
      </c>
      <c r="E120" s="144">
        <v>6</v>
      </c>
      <c r="F120" s="14">
        <f t="shared" si="152"/>
        <v>0.40420347702704473</v>
      </c>
      <c r="G120" s="6">
        <f>$B$91+$B$7*F120^2+$B$8*(F120-F$93)^2</f>
        <v>5.07907270308127E-2</v>
      </c>
      <c r="H120" s="14">
        <f t="shared" si="154"/>
        <v>0.40556237312002053</v>
      </c>
      <c r="I120" s="6">
        <f t="shared" si="155"/>
        <v>4.7401689599597341E-2</v>
      </c>
      <c r="J120" s="14">
        <f t="shared" si="156"/>
        <v>0.40783452042485613</v>
      </c>
      <c r="K120" s="6">
        <f t="shared" si="157"/>
        <v>4.5843600787680072E-2</v>
      </c>
      <c r="L120" s="14">
        <f t="shared" si="158"/>
        <v>0.4110715211970789</v>
      </c>
      <c r="M120" s="6">
        <f t="shared" si="159"/>
        <v>4.4799641949786591E-2</v>
      </c>
      <c r="N120" s="14">
        <f t="shared" si="160"/>
        <v>0.41534434434090578</v>
      </c>
      <c r="O120" s="6">
        <f t="shared" si="161"/>
        <v>4.4226649754512466E-2</v>
      </c>
      <c r="P120" s="14">
        <f t="shared" si="162"/>
        <v>0.42073641071534856</v>
      </c>
      <c r="Q120" s="6">
        <f t="shared" si="163"/>
        <v>4.4405283822606473E-2</v>
      </c>
      <c r="R120" s="14">
        <f t="shared" si="164"/>
        <v>0.4274048956193745</v>
      </c>
      <c r="S120" s="6">
        <f t="shared" si="165"/>
        <v>4.4310762944894388E-2</v>
      </c>
      <c r="T120" s="14">
        <f t="shared" si="166"/>
        <v>0.43550747279357144</v>
      </c>
      <c r="U120" s="6">
        <f t="shared" si="167"/>
        <v>4.4417332991579364E-2</v>
      </c>
      <c r="V120" s="14">
        <f t="shared" si="168"/>
        <v>0.44527184047044294</v>
      </c>
      <c r="W120" s="6">
        <f t="shared" si="169"/>
        <v>4.4724659573154038E-2</v>
      </c>
      <c r="X120" s="14">
        <f t="shared" si="170"/>
        <v>0.45700193954146789</v>
      </c>
      <c r="Y120" s="6">
        <f t="shared" si="171"/>
        <v>4.5248910779016549E-2</v>
      </c>
      <c r="Z120" s="14">
        <f t="shared" si="172"/>
        <v>0.47110882619738753</v>
      </c>
      <c r="AA120" s="6">
        <f t="shared" si="173"/>
        <v>4.6023693856673958E-2</v>
      </c>
      <c r="AB120" s="14">
        <f t="shared" si="174"/>
        <v>0.48815897642209816</v>
      </c>
      <c r="AC120" s="6">
        <f t="shared" si="175"/>
        <v>4.7104984633460967E-2</v>
      </c>
      <c r="AD120" s="14">
        <f t="shared" si="176"/>
        <v>0.50895767662010749</v>
      </c>
      <c r="AE120" s="6">
        <f t="shared" si="177"/>
        <v>4.9060282127781213E-2</v>
      </c>
      <c r="AF120" s="14">
        <f t="shared" si="178"/>
        <v>0.53467091749006523</v>
      </c>
      <c r="AG120" s="6">
        <f t="shared" si="179"/>
        <v>5.1068967009629214E-2</v>
      </c>
      <c r="AH120" s="14">
        <f t="shared" si="180"/>
        <v>0.56706569808820673</v>
      </c>
      <c r="AI120" s="6">
        <f t="shared" si="181"/>
        <v>5.3845605477775747E-2</v>
      </c>
      <c r="AJ120" s="14">
        <f t="shared" si="182"/>
        <v>0.60894618668381051</v>
      </c>
      <c r="AK120">
        <f t="shared" si="183"/>
        <v>7.9491608104928418E-2</v>
      </c>
      <c r="AL120" s="14">
        <f t="shared" si="184"/>
        <v>0.66511098375716293</v>
      </c>
      <c r="AM120">
        <f t="shared" si="185"/>
        <v>8.6983021786297854E-2</v>
      </c>
      <c r="AN120" s="14">
        <f t="shared" si="186"/>
        <v>0.74334423666491423</v>
      </c>
      <c r="AO120">
        <f t="shared" si="187"/>
        <v>9.7920096742112675E-2</v>
      </c>
      <c r="AP120" s="14">
        <f t="shared" si="188"/>
        <v>0.85102298953173272</v>
      </c>
      <c r="AQ120">
        <f t="shared" si="189"/>
        <v>0.1150715003605994</v>
      </c>
    </row>
    <row r="121" spans="1:43" s="29" customFormat="1" x14ac:dyDescent="0.25">
      <c r="A121" s="139">
        <v>0.35</v>
      </c>
      <c r="B121" s="129">
        <f>'Sub C_D_0'!AY77</f>
        <v>4.4090471623378813E-2</v>
      </c>
      <c r="C121" s="129">
        <f>'C_L vs. α'!X373</f>
        <v>0.11853872318180796</v>
      </c>
      <c r="D121" s="247">
        <f>'C_L vs. α'!Z373</f>
        <v>0.40415379968872978</v>
      </c>
      <c r="E121" s="144">
        <v>8</v>
      </c>
      <c r="F121" s="14">
        <f t="shared" si="152"/>
        <v>0.4147331592345887</v>
      </c>
      <c r="G121" s="6">
        <f t="shared" ref="G121:G125" si="190">$B$91+$B$7*F121^2+$B$8*(F121-F$93)^2</f>
        <v>5.1454756233846016E-2</v>
      </c>
      <c r="H121" s="14">
        <f t="shared" si="154"/>
        <v>0.41612172217335763</v>
      </c>
      <c r="I121" s="6">
        <f t="shared" si="155"/>
        <v>4.8069626771678982E-2</v>
      </c>
      <c r="J121" s="14">
        <f t="shared" si="156"/>
        <v>0.41843749484416726</v>
      </c>
      <c r="K121" s="6">
        <f t="shared" si="157"/>
        <v>4.6517776034650272E-2</v>
      </c>
      <c r="L121" s="14">
        <f t="shared" si="158"/>
        <v>0.42173449265987317</v>
      </c>
      <c r="M121" s="6">
        <f t="shared" si="159"/>
        <v>4.5482636440972023E-2</v>
      </c>
      <c r="N121" s="14">
        <f t="shared" si="160"/>
        <v>0.42608571789154404</v>
      </c>
      <c r="O121" s="6">
        <f t="shared" si="161"/>
        <v>4.4921328076288056E-2</v>
      </c>
      <c r="P121" s="14">
        <f t="shared" si="162"/>
        <v>0.43157315424183584</v>
      </c>
      <c r="Q121" s="6">
        <f t="shared" si="163"/>
        <v>4.5114646038860104E-2</v>
      </c>
      <c r="R121" s="14">
        <f t="shared" si="164"/>
        <v>0.43836492989139325</v>
      </c>
      <c r="S121" s="6">
        <f t="shared" si="165"/>
        <v>4.5038794925878603E-2</v>
      </c>
      <c r="T121" s="14">
        <f t="shared" si="166"/>
        <v>0.44661871154399629</v>
      </c>
      <c r="U121" s="6">
        <f t="shared" si="167"/>
        <v>4.5168451211517371E-2</v>
      </c>
      <c r="V121" s="14">
        <f t="shared" si="168"/>
        <v>0.45656754386558457</v>
      </c>
      <c r="W121" s="6">
        <f t="shared" si="169"/>
        <v>4.55042027942614E-2</v>
      </c>
      <c r="X121" s="14">
        <f t="shared" si="170"/>
        <v>0.4685225562598308</v>
      </c>
      <c r="Y121" s="6">
        <f t="shared" si="171"/>
        <v>4.6063490300787116E-2</v>
      </c>
      <c r="Z121" s="14">
        <f t="shared" si="172"/>
        <v>0.48290460164629284</v>
      </c>
      <c r="AA121" s="6">
        <f t="shared" si="173"/>
        <v>4.6881708284224249E-2</v>
      </c>
      <c r="AB121" s="14">
        <f t="shared" si="174"/>
        <v>0.50029372283268625</v>
      </c>
      <c r="AC121" s="6">
        <f t="shared" si="175"/>
        <v>4.8017401040929608E-2</v>
      </c>
      <c r="AD121" s="14">
        <f t="shared" si="176"/>
        <v>0.5215157880424538</v>
      </c>
      <c r="AE121" s="6">
        <f t="shared" si="177"/>
        <v>5.0041971586870057E-2</v>
      </c>
      <c r="AF121" s="14">
        <f t="shared" si="178"/>
        <v>0.54776415502305809</v>
      </c>
      <c r="AG121" s="6">
        <f t="shared" si="179"/>
        <v>5.2140610302062386E-2</v>
      </c>
      <c r="AH121" s="14">
        <f t="shared" si="180"/>
        <v>0.58084556838035672</v>
      </c>
      <c r="AI121" s="6">
        <f t="shared" si="181"/>
        <v>5.5037101794381926E-2</v>
      </c>
      <c r="AJ121" s="14">
        <f t="shared" si="182"/>
        <v>0.62361976516128792</v>
      </c>
      <c r="AK121">
        <f t="shared" si="183"/>
        <v>8.1316021080650586E-2</v>
      </c>
      <c r="AL121" s="14">
        <f t="shared" si="184"/>
        <v>0.68097888674416351</v>
      </c>
      <c r="AM121">
        <f t="shared" si="185"/>
        <v>8.9137641054816349E-2</v>
      </c>
      <c r="AN121" s="14">
        <f t="shared" si="186"/>
        <v>0.76056332833930196</v>
      </c>
      <c r="AO121">
        <f t="shared" si="187"/>
        <v>0.10053230819221776</v>
      </c>
      <c r="AP121" s="14">
        <f t="shared" si="188"/>
        <v>0.86737814074969855</v>
      </c>
      <c r="AQ121">
        <f t="shared" si="189"/>
        <v>0.11790651992439295</v>
      </c>
    </row>
    <row r="122" spans="1:43" s="29" customFormat="1" x14ac:dyDescent="0.25">
      <c r="A122" s="129">
        <v>0.4</v>
      </c>
      <c r="B122" s="129">
        <f>'Sub C_D_0'!AY78</f>
        <v>4.3624092443171086E-2</v>
      </c>
      <c r="C122" s="129">
        <f>'C_L vs. α'!X374</f>
        <v>0.12286718110409348</v>
      </c>
      <c r="D122" s="247">
        <f>'C_L vs. α'!Z374</f>
        <v>0.41172716118850533</v>
      </c>
      <c r="E122" s="144">
        <v>10</v>
      </c>
      <c r="F122" s="14">
        <f t="shared" si="152"/>
        <v>0.42721239292876767</v>
      </c>
      <c r="G122" s="6">
        <f t="shared" si="190"/>
        <v>5.227069340019664E-2</v>
      </c>
      <c r="H122" s="14">
        <f t="shared" si="154"/>
        <v>0.42863062271332963</v>
      </c>
      <c r="I122" s="6">
        <f t="shared" si="155"/>
        <v>4.8889991737491846E-2</v>
      </c>
      <c r="J122" s="14">
        <f t="shared" si="156"/>
        <v>0.43099002075011328</v>
      </c>
      <c r="K122" s="6">
        <f t="shared" si="157"/>
        <v>4.7345230660294405E-2</v>
      </c>
      <c r="L122" s="14">
        <f t="shared" si="158"/>
        <v>0.43434701560930233</v>
      </c>
      <c r="M122" s="6">
        <f t="shared" si="159"/>
        <v>4.6320118091627997E-2</v>
      </c>
      <c r="N122" s="14">
        <f t="shared" si="160"/>
        <v>0.43877664292881724</v>
      </c>
      <c r="O122" s="6">
        <f t="shared" si="161"/>
        <v>4.5772087512066878E-2</v>
      </c>
      <c r="P122" s="14">
        <f t="shared" si="162"/>
        <v>0.44435944925495807</v>
      </c>
      <c r="Q122" s="6">
        <f t="shared" si="163"/>
        <v>4.5982092859424298E-2</v>
      </c>
      <c r="R122" s="14">
        <f t="shared" si="164"/>
        <v>0.45127451565004684</v>
      </c>
      <c r="S122" s="6">
        <f t="shared" si="165"/>
        <v>4.592741179308954E-2</v>
      </c>
      <c r="T122" s="14">
        <f t="shared" si="166"/>
        <v>0.45967950178105599</v>
      </c>
      <c r="U122" s="6">
        <f t="shared" si="167"/>
        <v>4.6083205183867292E-2</v>
      </c>
      <c r="V122" s="14">
        <f t="shared" si="168"/>
        <v>0.46981279874736115</v>
      </c>
      <c r="W122" s="6">
        <f t="shared" si="169"/>
        <v>4.6451078223018395E-2</v>
      </c>
      <c r="X122" s="14">
        <f t="shared" si="170"/>
        <v>0.48199272446482866</v>
      </c>
      <c r="Y122" s="6">
        <f t="shared" si="171"/>
        <v>4.7049872325959641E-2</v>
      </c>
      <c r="Z122" s="14">
        <f t="shared" si="172"/>
        <v>0.4966499285818331</v>
      </c>
      <c r="AA122" s="6">
        <f t="shared" si="173"/>
        <v>4.7916945117040741E-2</v>
      </c>
      <c r="AB122" s="14">
        <f t="shared" si="174"/>
        <v>0.51437802072990912</v>
      </c>
      <c r="AC122" s="6">
        <f t="shared" si="175"/>
        <v>4.9113655233926086E-2</v>
      </c>
      <c r="AD122" s="14">
        <f t="shared" si="176"/>
        <v>0.536023450951435</v>
      </c>
      <c r="AE122" s="6">
        <f t="shared" si="177"/>
        <v>5.1215669973278984E-2</v>
      </c>
      <c r="AF122" s="14">
        <f t="shared" si="178"/>
        <v>0.56280694404268572</v>
      </c>
      <c r="AG122" s="6">
        <f t="shared" si="179"/>
        <v>5.3414512816801811E-2</v>
      </c>
      <c r="AH122" s="14">
        <f t="shared" si="180"/>
        <v>0.59657499015914173</v>
      </c>
      <c r="AI122" s="6">
        <f t="shared" si="181"/>
        <v>5.6443990728092336E-2</v>
      </c>
      <c r="AJ122" s="14">
        <f t="shared" si="182"/>
        <v>0.64024289512540022</v>
      </c>
      <c r="AK122">
        <f t="shared" si="183"/>
        <v>8.3435307377964674E-2</v>
      </c>
      <c r="AL122" s="14">
        <f t="shared" si="184"/>
        <v>0.69879634121779899</v>
      </c>
      <c r="AM122">
        <f t="shared" si="185"/>
        <v>9.1617522664016182E-2</v>
      </c>
      <c r="AN122" s="14">
        <f t="shared" si="186"/>
        <v>0.77973197150032458</v>
      </c>
      <c r="AO122">
        <f t="shared" si="187"/>
        <v>0.10351063471846172</v>
      </c>
      <c r="AP122" s="14">
        <f t="shared" si="188"/>
        <v>0.88568284345429937</v>
      </c>
      <c r="AQ122">
        <f t="shared" si="189"/>
        <v>0.12114347483993858</v>
      </c>
    </row>
    <row r="123" spans="1:43" s="29" customFormat="1" x14ac:dyDescent="0.25">
      <c r="A123" s="139">
        <v>0.45</v>
      </c>
      <c r="B123" s="129">
        <f>'Sub C_D_0'!AY79</f>
        <v>4.3223289366256912E-2</v>
      </c>
      <c r="C123" s="129">
        <f>'C_L vs. α'!X375</f>
        <v>0.12814761345673484</v>
      </c>
      <c r="D123" s="247">
        <f>'C_L vs. α'!Z375</f>
        <v>0.42084590260886801</v>
      </c>
      <c r="E123" s="144">
        <v>12</v>
      </c>
      <c r="F123" s="14">
        <f t="shared" si="152"/>
        <v>0.44164117810958148</v>
      </c>
      <c r="G123" s="6">
        <f t="shared" si="190"/>
        <v>5.3253263377980774E-2</v>
      </c>
      <c r="H123" s="14">
        <f t="shared" si="154"/>
        <v>0.44308907473993669</v>
      </c>
      <c r="I123" s="6">
        <f t="shared" si="155"/>
        <v>4.9877544350490556E-2</v>
      </c>
      <c r="J123" s="14">
        <f t="shared" si="156"/>
        <v>0.44549209814269425</v>
      </c>
      <c r="K123" s="6">
        <f t="shared" si="157"/>
        <v>4.8340775993734868E-2</v>
      </c>
      <c r="L123" s="14">
        <f t="shared" si="158"/>
        <v>0.44890909004536644</v>
      </c>
      <c r="M123" s="6">
        <f t="shared" si="159"/>
        <v>4.7326969024274503E-2</v>
      </c>
      <c r="N123" s="14">
        <f t="shared" si="160"/>
        <v>0.45341711945272534</v>
      </c>
      <c r="O123" s="6">
        <f t="shared" si="161"/>
        <v>4.679390269476371E-2</v>
      </c>
      <c r="P123" s="14">
        <f t="shared" si="162"/>
        <v>0.45909529575471519</v>
      </c>
      <c r="Q123" s="6">
        <f t="shared" si="163"/>
        <v>4.7022711448835845E-2</v>
      </c>
      <c r="R123" s="14">
        <f t="shared" si="164"/>
        <v>0.46613365289533548</v>
      </c>
      <c r="S123" s="6">
        <f t="shared" si="165"/>
        <v>4.6991846187745247E-2</v>
      </c>
      <c r="T123" s="14">
        <f t="shared" si="166"/>
        <v>0.47468984350475074</v>
      </c>
      <c r="U123" s="6">
        <f t="shared" si="167"/>
        <v>4.7177005963284543E-2</v>
      </c>
      <c r="V123" s="14">
        <f t="shared" si="168"/>
        <v>0.48500760511577268</v>
      </c>
      <c r="W123" s="6">
        <f t="shared" si="169"/>
        <v>4.7580914572787895E-2</v>
      </c>
      <c r="X123" s="14">
        <f t="shared" si="170"/>
        <v>0.49741244415646146</v>
      </c>
      <c r="Y123" s="6">
        <f t="shared" si="171"/>
        <v>4.8223950953945924E-2</v>
      </c>
      <c r="Z123" s="14">
        <f t="shared" si="172"/>
        <v>0.51234480700400831</v>
      </c>
      <c r="AA123" s="6">
        <f t="shared" si="173"/>
        <v>4.9145623127557186E-2</v>
      </c>
      <c r="AB123" s="14">
        <f t="shared" si="174"/>
        <v>0.530411870113767</v>
      </c>
      <c r="AC123" s="6">
        <f t="shared" si="175"/>
        <v>5.0410365953027149E-2</v>
      </c>
      <c r="AD123" s="14">
        <f t="shared" si="176"/>
        <v>0.55248066534705131</v>
      </c>
      <c r="AE123" s="6">
        <f t="shared" si="177"/>
        <v>5.259849557632696E-2</v>
      </c>
      <c r="AF123" s="14">
        <f t="shared" si="178"/>
        <v>0.57979928454894847</v>
      </c>
      <c r="AG123" s="6">
        <f t="shared" si="179"/>
        <v>5.4908424264205252E-2</v>
      </c>
      <c r="AH123" s="14">
        <f t="shared" si="180"/>
        <v>0.61425396342456162</v>
      </c>
      <c r="AI123" s="6">
        <f t="shared" si="181"/>
        <v>5.8084832180285859E-2</v>
      </c>
      <c r="AJ123" s="14">
        <f t="shared" si="182"/>
        <v>0.65881557657614764</v>
      </c>
      <c r="AK123">
        <f t="shared" si="183"/>
        <v>8.5869081427526917E-2</v>
      </c>
      <c r="AL123" s="14">
        <f t="shared" si="184"/>
        <v>0.71856334717806958</v>
      </c>
      <c r="AM123">
        <f t="shared" si="185"/>
        <v>9.4443690285492238E-2</v>
      </c>
      <c r="AN123" s="14">
        <f t="shared" si="186"/>
        <v>0.80085016614798221</v>
      </c>
      <c r="AO123">
        <f t="shared" si="187"/>
        <v>0.10687769432496706</v>
      </c>
      <c r="AP123" s="14">
        <f t="shared" si="188"/>
        <v>0.90593709764553509</v>
      </c>
      <c r="AQ123">
        <f t="shared" si="189"/>
        <v>0.12480396370645661</v>
      </c>
    </row>
    <row r="124" spans="1:43" s="29" customFormat="1" x14ac:dyDescent="0.25">
      <c r="A124" s="129">
        <v>0.5</v>
      </c>
      <c r="B124" s="129">
        <f>'Sub C_D_0'!AY80</f>
        <v>4.287289630248832E-2</v>
      </c>
      <c r="C124" s="129">
        <f>'C_L vs. α'!X376</f>
        <v>0.13458553519455874</v>
      </c>
      <c r="D124" s="247">
        <f>'C_L vs. α'!Z376</f>
        <v>0.43178880504861844</v>
      </c>
      <c r="E124" s="144">
        <v>14</v>
      </c>
      <c r="F124" s="14">
        <f t="shared" si="152"/>
        <v>0.45801951477703023</v>
      </c>
      <c r="G124" s="6">
        <f t="shared" si="190"/>
        <v>5.4419491384891695E-2</v>
      </c>
      <c r="H124" s="14">
        <f t="shared" si="154"/>
        <v>0.45949707825317859</v>
      </c>
      <c r="I124" s="6">
        <f t="shared" si="155"/>
        <v>5.1049344833706788E-2</v>
      </c>
      <c r="J124" s="14">
        <f t="shared" si="156"/>
        <v>0.46194372702191017</v>
      </c>
      <c r="K124" s="6">
        <f t="shared" si="157"/>
        <v>4.9521523733671143E-2</v>
      </c>
      <c r="L124" s="14">
        <f t="shared" si="158"/>
        <v>0.4654207159680655</v>
      </c>
      <c r="M124" s="6">
        <f t="shared" si="159"/>
        <v>4.8520371731008614E-2</v>
      </c>
      <c r="N124" s="14">
        <f t="shared" si="160"/>
        <v>0.47000714746326833</v>
      </c>
      <c r="O124" s="6">
        <f t="shared" si="161"/>
        <v>4.800404862687041E-2</v>
      </c>
      <c r="P124" s="14">
        <f t="shared" si="162"/>
        <v>0.47578069374110726</v>
      </c>
      <c r="Q124" s="6">
        <f t="shared" si="163"/>
        <v>4.8253889341208625E-2</v>
      </c>
      <c r="R124" s="14">
        <f t="shared" si="164"/>
        <v>0.48294234162725902</v>
      </c>
      <c r="S124" s="6">
        <f t="shared" si="165"/>
        <v>4.8249631120640804E-2</v>
      </c>
      <c r="T124" s="14">
        <f t="shared" si="166"/>
        <v>0.49164973671508039</v>
      </c>
      <c r="U124" s="6">
        <f t="shared" si="167"/>
        <v>4.8467564974001578E-2</v>
      </c>
      <c r="V124" s="14">
        <f t="shared" si="168"/>
        <v>0.5021519629708191</v>
      </c>
      <c r="W124" s="6">
        <f t="shared" si="169"/>
        <v>4.8911640926509854E-2</v>
      </c>
      <c r="X124" s="14">
        <f t="shared" si="170"/>
        <v>0.51478171533472916</v>
      </c>
      <c r="Y124" s="6">
        <f t="shared" si="171"/>
        <v>4.9603920653734819E-2</v>
      </c>
      <c r="Z124" s="14">
        <f t="shared" si="172"/>
        <v>0.52998923691281841</v>
      </c>
      <c r="AA124" s="6">
        <f t="shared" si="173"/>
        <v>5.0586261457784422E-2</v>
      </c>
      <c r="AB124" s="14">
        <f t="shared" si="174"/>
        <v>0.54839527098425978</v>
      </c>
      <c r="AC124" s="6">
        <f t="shared" si="175"/>
        <v>5.1926452308386606E-2</v>
      </c>
      <c r="AD124" s="14">
        <f t="shared" si="176"/>
        <v>0.57088743122930241</v>
      </c>
      <c r="AE124" s="6">
        <f t="shared" si="177"/>
        <v>5.4209867054910009E-2</v>
      </c>
      <c r="AF124" s="14">
        <f t="shared" si="178"/>
        <v>0.598741176541846</v>
      </c>
      <c r="AG124" s="6">
        <f t="shared" si="179"/>
        <v>5.6642394724207505E-2</v>
      </c>
      <c r="AH124" s="14">
        <f t="shared" si="180"/>
        <v>0.63388248817661641</v>
      </c>
      <c r="AI124" s="6">
        <f t="shared" si="181"/>
        <v>5.9980486421918507E-2</v>
      </c>
      <c r="AJ124" s="14">
        <f t="shared" si="182"/>
        <v>0.67933780951352984</v>
      </c>
      <c r="AK124">
        <f t="shared" si="183"/>
        <v>8.8639258029570622E-2</v>
      </c>
      <c r="AL124" s="14">
        <f t="shared" si="184"/>
        <v>0.74027990462497495</v>
      </c>
      <c r="AM124">
        <f t="shared" si="185"/>
        <v>9.7639467960416393E-2</v>
      </c>
      <c r="AN124" s="14">
        <f t="shared" si="186"/>
        <v>0.82391791228227484</v>
      </c>
      <c r="AO124">
        <f t="shared" si="187"/>
        <v>0.11065840538543328</v>
      </c>
      <c r="AP124" s="14">
        <f t="shared" si="188"/>
        <v>0.92814090332340582</v>
      </c>
      <c r="AQ124">
        <f t="shared" si="189"/>
        <v>0.12891188549274446</v>
      </c>
    </row>
    <row r="125" spans="1:43" s="29" customFormat="1" x14ac:dyDescent="0.25">
      <c r="A125" s="139">
        <v>0.55000000000000004</v>
      </c>
      <c r="B125" s="129">
        <f>'Sub C_D_0'!AY81</f>
        <v>4.2562365162670451E-2</v>
      </c>
      <c r="C125" s="129">
        <f>'C_L vs. α'!X377</f>
        <v>0.14246092570405852</v>
      </c>
      <c r="D125" s="247">
        <f>'C_L vs. α'!Z377</f>
        <v>0.44493263614763967</v>
      </c>
      <c r="E125" s="144">
        <v>16</v>
      </c>
      <c r="F125" s="14">
        <f t="shared" si="152"/>
        <v>0.47634740293111394</v>
      </c>
      <c r="G125" s="6">
        <f t="shared" si="190"/>
        <v>5.578870300819979E-2</v>
      </c>
      <c r="H125" s="14">
        <f t="shared" si="154"/>
        <v>0.47785463325305538</v>
      </c>
      <c r="I125" s="6">
        <f t="shared" si="155"/>
        <v>5.2424753779749284E-2</v>
      </c>
      <c r="J125" s="14">
        <f t="shared" si="156"/>
        <v>0.48034490738776098</v>
      </c>
      <c r="K125" s="6">
        <f t="shared" si="157"/>
        <v>5.0906885948379783E-2</v>
      </c>
      <c r="L125" s="14">
        <f t="shared" si="158"/>
        <v>0.4838818933773994</v>
      </c>
      <c r="M125" s="6">
        <f t="shared" si="159"/>
        <v>4.9919809073504511E-2</v>
      </c>
      <c r="N125" s="14">
        <f t="shared" si="160"/>
        <v>0.48854672696044626</v>
      </c>
      <c r="O125" s="6">
        <f t="shared" si="161"/>
        <v>4.942210068045591E-2</v>
      </c>
      <c r="P125" s="14">
        <f t="shared" si="162"/>
        <v>0.49441564321413423</v>
      </c>
      <c r="Q125" s="6">
        <f t="shared" si="163"/>
        <v>4.9695314440233597E-2</v>
      </c>
      <c r="R125" s="14">
        <f t="shared" si="164"/>
        <v>0.50170058184581745</v>
      </c>
      <c r="S125" s="6">
        <f t="shared" si="165"/>
        <v>4.9720599972148408E-2</v>
      </c>
      <c r="T125" s="14">
        <f t="shared" si="166"/>
        <v>0.51055918141204493</v>
      </c>
      <c r="U125" s="6">
        <f t="shared" si="167"/>
        <v>4.9974894009827943E-2</v>
      </c>
      <c r="V125" s="14">
        <f t="shared" si="168"/>
        <v>0.52124587231250041</v>
      </c>
      <c r="W125" s="6">
        <f t="shared" si="169"/>
        <v>5.0463486736701292E-2</v>
      </c>
      <c r="X125" s="14">
        <f t="shared" si="170"/>
        <v>0.53410053799963186</v>
      </c>
      <c r="Y125" s="6">
        <f t="shared" si="171"/>
        <v>5.1210276263892331E-2</v>
      </c>
      <c r="Z125" s="14">
        <f t="shared" si="172"/>
        <v>0.54958321830826351</v>
      </c>
      <c r="AA125" s="6">
        <f t="shared" si="173"/>
        <v>5.2259679619310336E-2</v>
      </c>
      <c r="AB125" s="14">
        <f t="shared" si="174"/>
        <v>0.56832822334138755</v>
      </c>
      <c r="AC125" s="6">
        <f t="shared" si="175"/>
        <v>5.3683133779735361E-2</v>
      </c>
      <c r="AD125" s="14">
        <f t="shared" si="176"/>
        <v>0.5912437485981884</v>
      </c>
      <c r="AE125" s="6">
        <f t="shared" si="177"/>
        <v>5.6071503437501266E-2</v>
      </c>
      <c r="AF125" s="14">
        <f t="shared" si="178"/>
        <v>0.61963262002137853</v>
      </c>
      <c r="AG125" s="6">
        <f t="shared" si="179"/>
        <v>5.8638774646320474E-2</v>
      </c>
      <c r="AH125" s="14">
        <f t="shared" si="180"/>
        <v>0.6554605644153062</v>
      </c>
      <c r="AI125" s="6">
        <f t="shared" si="181"/>
        <v>6.2154114093523352E-2</v>
      </c>
      <c r="AJ125" s="14">
        <f t="shared" si="182"/>
        <v>0.70180959393754694</v>
      </c>
      <c r="AK125">
        <f t="shared" si="183"/>
        <v>9.1770052353906173E-2</v>
      </c>
      <c r="AL125" s="14">
        <f t="shared" si="184"/>
        <v>0.76394601355851532</v>
      </c>
      <c r="AM125">
        <f t="shared" si="185"/>
        <v>0.10123048009953767</v>
      </c>
      <c r="AN125" s="14">
        <f t="shared" si="186"/>
        <v>0.84893520990320226</v>
      </c>
      <c r="AO125">
        <f t="shared" si="187"/>
        <v>0.11487998664313694</v>
      </c>
      <c r="AP125" s="14">
        <f t="shared" si="188"/>
        <v>0.95229426048791133</v>
      </c>
      <c r="AQ125">
        <f t="shared" si="189"/>
        <v>0.1334934395371766</v>
      </c>
    </row>
    <row r="126" spans="1:43" s="29" customFormat="1" x14ac:dyDescent="0.25">
      <c r="A126" s="129">
        <v>0.6</v>
      </c>
      <c r="B126" s="129">
        <f>'Sub C_D_0'!AY82</f>
        <v>4.2284080395436255E-2</v>
      </c>
      <c r="C126" s="129">
        <f>'C_L vs. α'!X378</f>
        <v>0.15216131899790822</v>
      </c>
      <c r="D126" s="247">
        <f>'C_L vs. α'!Z378</f>
        <v>0.46079638800646094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</row>
    <row r="127" spans="1:43" s="29" customFormat="1" x14ac:dyDescent="0.25">
      <c r="A127" s="139">
        <v>0.65</v>
      </c>
      <c r="B127" s="129">
        <f>'Sub C_D_0'!AY83</f>
        <v>4.2505519171913933E-2</v>
      </c>
      <c r="C127" s="129">
        <f>'C_L vs. α'!X379</f>
        <v>0.1642733863625756</v>
      </c>
      <c r="D127" s="247">
        <f>'C_L vs. α'!Z379</f>
        <v>0.48011331066331625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</row>
    <row r="128" spans="1:43" s="29" customFormat="1" x14ac:dyDescent="0.25">
      <c r="A128" s="129">
        <v>0.7</v>
      </c>
      <c r="B128" s="129">
        <f>'Sub C_D_0'!AY84</f>
        <v>4.2271059419765618E-2</v>
      </c>
      <c r="C128" s="129">
        <f>'C_L vs. α'!X380</f>
        <v>0.17957725949504674</v>
      </c>
      <c r="D128" s="247">
        <f>'C_L vs. α'!Z380</f>
        <v>0.50395361014601125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</row>
    <row r="129" spans="1:43" s="29" customFormat="1" x14ac:dyDescent="0.25">
      <c r="A129" s="139">
        <v>0.75</v>
      </c>
      <c r="B129" s="129">
        <f>'Sub C_D_0'!AY85</f>
        <v>4.2055892899016879E-2</v>
      </c>
      <c r="C129" s="129">
        <f>'C_L vs. α'!X381</f>
        <v>0.19920350233985573</v>
      </c>
      <c r="D129" s="247">
        <f>'C_L vs. α'!Z381</f>
        <v>0.53394517608710246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</row>
    <row r="130" spans="1:43" s="29" customFormat="1" x14ac:dyDescent="0.25">
      <c r="A130" s="129">
        <v>0.8</v>
      </c>
      <c r="B130" s="129">
        <f>'Sub C_D_0'!AY86</f>
        <v>4.185728526945056E-2</v>
      </c>
      <c r="C130" s="129">
        <f>'C_L vs. α'!X382</f>
        <v>0.2247250445277123</v>
      </c>
      <c r="D130" s="247">
        <f>'C_L vs. α'!Z382</f>
        <v>0.57269768603406035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</row>
    <row r="131" spans="1:43" s="29" customFormat="1" x14ac:dyDescent="0.25">
      <c r="A131" s="139">
        <v>0.85</v>
      </c>
      <c r="B131" s="129">
        <f>'Sub C_D_0'!AY87</f>
        <v>4.2128395522956483E-2</v>
      </c>
      <c r="C131" s="129">
        <f>'C_L vs. α'!X383</f>
        <v>0.25875199294965567</v>
      </c>
      <c r="D131" s="247">
        <f>'C_L vs. α'!Z383</f>
        <v>0.62468234732408157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</row>
    <row r="132" spans="1:43" s="29" customFormat="1" x14ac:dyDescent="0.25">
      <c r="A132" s="129">
        <v>0.9</v>
      </c>
      <c r="B132" s="129">
        <f>'Sub C_D_0'!AY88</f>
        <v>4.1953026588811712E-2</v>
      </c>
      <c r="C132" s="129">
        <f>'C_L vs. α'!X384</f>
        <v>0.29699719667082802</v>
      </c>
      <c r="D132" s="247">
        <f>'C_L vs. α'!Z384</f>
        <v>0.69818643982597794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</row>
    <row r="133" spans="1:43" s="29" customFormat="1" x14ac:dyDescent="0.25">
      <c r="A133" s="139">
        <v>0.95</v>
      </c>
      <c r="B133" s="129">
        <f>'Sub C_D_0'!AY89</f>
        <v>4.1788956106087058E-2</v>
      </c>
      <c r="C133" s="263">
        <f>'C_L vs. α'!X385</f>
        <v>0.27039172305730702</v>
      </c>
      <c r="D133" s="247">
        <f>'C_L vs. α'!Z385</f>
        <v>0.80888898429027301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</row>
    <row r="134" spans="1:43" s="29" customFormat="1" x14ac:dyDescent="0.25">
      <c r="A134" s="11"/>
      <c r="B134" s="11"/>
      <c r="C134" s="11"/>
      <c r="D134" s="11"/>
    </row>
    <row r="136" spans="1:43" x14ac:dyDescent="0.25">
      <c r="A136" s="122" t="s">
        <v>537</v>
      </c>
      <c r="B136" s="122" t="s">
        <v>290</v>
      </c>
    </row>
    <row r="137" spans="1:43" x14ac:dyDescent="0.25">
      <c r="A137" s="122" t="s">
        <v>202</v>
      </c>
      <c r="B137" s="145">
        <v>15000</v>
      </c>
      <c r="C137" s="122" t="s">
        <v>538</v>
      </c>
      <c r="D137" s="122" t="s">
        <v>539</v>
      </c>
      <c r="F137" s="1" t="s">
        <v>536</v>
      </c>
      <c r="G137" s="140">
        <v>0.05</v>
      </c>
      <c r="H137" s="1" t="s">
        <v>536</v>
      </c>
      <c r="I137" s="140">
        <v>0.1</v>
      </c>
      <c r="J137" s="1" t="s">
        <v>536</v>
      </c>
      <c r="K137" s="140">
        <v>0.15</v>
      </c>
      <c r="L137" s="1" t="s">
        <v>536</v>
      </c>
      <c r="M137" s="140">
        <v>0.2</v>
      </c>
      <c r="N137" t="s">
        <v>536</v>
      </c>
      <c r="O137" s="141">
        <v>0.25</v>
      </c>
      <c r="P137" t="s">
        <v>536</v>
      </c>
      <c r="Q137" s="141">
        <v>0.3</v>
      </c>
      <c r="R137" t="s">
        <v>536</v>
      </c>
      <c r="S137" s="141">
        <v>0.35</v>
      </c>
      <c r="T137" t="s">
        <v>536</v>
      </c>
      <c r="U137" s="141">
        <v>0.4</v>
      </c>
      <c r="V137" t="s">
        <v>536</v>
      </c>
      <c r="W137" s="141">
        <v>0.45</v>
      </c>
      <c r="X137" t="s">
        <v>536</v>
      </c>
      <c r="Y137" s="141">
        <v>0.5</v>
      </c>
      <c r="Z137" t="s">
        <v>536</v>
      </c>
      <c r="AA137" s="141">
        <v>0.55000000000000004</v>
      </c>
      <c r="AB137" t="s">
        <v>536</v>
      </c>
      <c r="AC137" s="141">
        <v>0.6</v>
      </c>
      <c r="AD137" t="s">
        <v>536</v>
      </c>
      <c r="AE137" s="141">
        <v>0.65</v>
      </c>
      <c r="AF137" t="s">
        <v>536</v>
      </c>
      <c r="AG137" s="141">
        <v>0.7</v>
      </c>
      <c r="AH137" t="s">
        <v>536</v>
      </c>
      <c r="AI137" s="141">
        <v>0.75</v>
      </c>
      <c r="AJ137" t="s">
        <v>536</v>
      </c>
      <c r="AK137" s="141">
        <v>0.8</v>
      </c>
      <c r="AL137" t="s">
        <v>536</v>
      </c>
      <c r="AM137" s="141">
        <v>0.85</v>
      </c>
      <c r="AN137" t="s">
        <v>536</v>
      </c>
      <c r="AO137" s="141">
        <v>0.9</v>
      </c>
      <c r="AP137" t="s">
        <v>536</v>
      </c>
      <c r="AQ137" s="141">
        <v>0.95</v>
      </c>
    </row>
    <row r="138" spans="1:43" x14ac:dyDescent="0.25">
      <c r="A138" s="121" t="s">
        <v>182</v>
      </c>
      <c r="B138" s="121" t="s">
        <v>534</v>
      </c>
      <c r="C138" s="121" t="s">
        <v>535</v>
      </c>
      <c r="D138" s="248" t="s">
        <v>1126</v>
      </c>
      <c r="E138" s="121" t="s">
        <v>421</v>
      </c>
      <c r="F138" s="14" t="s">
        <v>244</v>
      </c>
      <c r="G138" s="6" t="s">
        <v>245</v>
      </c>
      <c r="H138" s="14" t="s">
        <v>244</v>
      </c>
      <c r="I138" s="6" t="s">
        <v>245</v>
      </c>
      <c r="J138" s="14" t="s">
        <v>244</v>
      </c>
      <c r="K138" s="6" t="s">
        <v>245</v>
      </c>
      <c r="L138" s="14" t="s">
        <v>244</v>
      </c>
      <c r="M138" s="6" t="s">
        <v>245</v>
      </c>
      <c r="N138" t="s">
        <v>244</v>
      </c>
      <c r="O138" t="s">
        <v>245</v>
      </c>
      <c r="P138" t="s">
        <v>244</v>
      </c>
      <c r="Q138" t="s">
        <v>245</v>
      </c>
      <c r="R138" t="s">
        <v>244</v>
      </c>
      <c r="S138" t="s">
        <v>245</v>
      </c>
      <c r="T138" t="s">
        <v>244</v>
      </c>
      <c r="U138" t="s">
        <v>245</v>
      </c>
      <c r="V138" t="s">
        <v>244</v>
      </c>
      <c r="W138" t="s">
        <v>245</v>
      </c>
      <c r="X138" t="s">
        <v>244</v>
      </c>
      <c r="Y138" t="s">
        <v>245</v>
      </c>
      <c r="Z138" t="s">
        <v>244</v>
      </c>
      <c r="AA138" t="s">
        <v>245</v>
      </c>
      <c r="AB138" t="s">
        <v>244</v>
      </c>
      <c r="AC138" t="s">
        <v>245</v>
      </c>
      <c r="AD138" t="s">
        <v>244</v>
      </c>
      <c r="AE138" t="s">
        <v>245</v>
      </c>
      <c r="AF138" t="s">
        <v>244</v>
      </c>
      <c r="AG138" t="s">
        <v>245</v>
      </c>
      <c r="AH138" t="s">
        <v>244</v>
      </c>
      <c r="AI138" t="s">
        <v>245</v>
      </c>
      <c r="AJ138" t="s">
        <v>244</v>
      </c>
      <c r="AK138" t="s">
        <v>245</v>
      </c>
      <c r="AL138" t="s">
        <v>244</v>
      </c>
      <c r="AM138" t="s">
        <v>245</v>
      </c>
      <c r="AN138" t="s">
        <v>244</v>
      </c>
      <c r="AO138" t="s">
        <v>245</v>
      </c>
      <c r="AP138" t="s">
        <v>244</v>
      </c>
      <c r="AQ138" t="s">
        <v>245</v>
      </c>
    </row>
    <row r="139" spans="1:43" x14ac:dyDescent="0.25">
      <c r="A139" s="129">
        <v>0</v>
      </c>
      <c r="B139" s="129" t="e">
        <f>'Sub C_D_0'!AY100</f>
        <v>#DIV/0!</v>
      </c>
      <c r="C139" s="129" t="e">
        <f>'C_L vs. α'!X391</f>
        <v>#NUM!</v>
      </c>
      <c r="D139" s="247">
        <f>'C_L vs. α'!Z391</f>
        <v>0.38204298311929219</v>
      </c>
      <c r="E139" s="144">
        <v>-6</v>
      </c>
      <c r="F139" s="14">
        <f>$D$19+$C$19*(RADIANS(E139-$B$12))+$E$10*RADIANS(E139)^2</f>
        <v>0.38196596500111457</v>
      </c>
      <c r="G139" s="6">
        <f>$B$140+$B$7*F139^2+$B$8*(F139-F$142)^2</f>
        <v>6.3730086725712468E-2</v>
      </c>
      <c r="H139" s="14">
        <f>$D$20+$C$20*(RADIANS(E139-$B$12))+$E$10*RADIANS(E139)^2</f>
        <v>0.38314686001933163</v>
      </c>
      <c r="I139" s="6">
        <f>$B$141+$B$7*H139^2+$B$8*(H139-H$142)^2</f>
        <v>6.0397116876810833E-2</v>
      </c>
      <c r="J139" s="14">
        <f>$D$21+$C$21*(RADIANS(E139-$B$12))+$E$10*RADIANS(E139)^2</f>
        <v>0.38515725512832322</v>
      </c>
      <c r="K139" s="6">
        <f>$B$142+$B$7*J139^2+$B$8*(J139-J$142)^2</f>
        <v>5.8763852107327104E-2</v>
      </c>
      <c r="L139" s="14">
        <f>$D$22+$C$22*(RADIANS(E139-$B$12))+$E$10*RADIANS(E139)^2</f>
        <v>0.38803427363964721</v>
      </c>
      <c r="M139" s="6">
        <f>$B$143+$B$7*L139^2+$B$8*(L139-L$142)^2</f>
        <v>5.7788047324178145E-2</v>
      </c>
      <c r="N139" s="14">
        <f>$D$23+$C$23*(RADIANS(E139-$B$12))+$E$10*RADIANS(E139)^2</f>
        <v>0.39183668425641005</v>
      </c>
      <c r="O139" s="6">
        <f>$B$144+$B$7*N139^2+$B$8*(N139-N$142)^2</f>
        <v>5.7179579722821471E-2</v>
      </c>
      <c r="P139" s="14">
        <f>$D$24+$C$24*(RADIANS(E139-$B$12))+$E$10*RADIANS(E139)^2</f>
        <v>0.39665653077575869</v>
      </c>
      <c r="Q139" s="6">
        <f>$B$145+$B$7*P139^2+$B$8*(P139-P$142)^2</f>
        <v>5.7298851650367758E-2</v>
      </c>
      <c r="R139" s="14">
        <f>$D$25+$C$25*(RADIANS(E139-$B$12))+$E$10*RADIANS(E139)^2</f>
        <v>0.40258527120659587</v>
      </c>
      <c r="S139" s="6">
        <f>$B$146+$B$7*R139^2+$B$8*(R139-R$142)^2</f>
        <v>5.7129562326772132E-2</v>
      </c>
      <c r="T139" s="14">
        <f>$D$26+$C$26*(RADIANS(E139-$B$12))+$E$10*RADIANS(E139)^2</f>
        <v>0.40978062151035616</v>
      </c>
      <c r="U139" s="6">
        <f>$B$147+$B$7*T139^2+$B$8*(T139-T$142)^2</f>
        <v>5.7137860119057124E-2</v>
      </c>
      <c r="V139" s="14">
        <f>$D$27+$C$27*(RADIANS(E139-$B$12))+$E$10*RADIANS(E139)^2</f>
        <v>0.41843820131892678</v>
      </c>
      <c r="W139" s="6">
        <f>$B$148+$B$7*V139^2+$B$8*(V139-V$142)^2</f>
        <v>5.7318650966133367E-2</v>
      </c>
      <c r="X139" s="14">
        <f>$D$28+$C$28*(RADIANS(E139-$B$12))+$E$10*RADIANS(E139)^2</f>
        <v>0.42881882045062403</v>
      </c>
      <c r="Y139" s="6">
        <f>$B$149+$B$7*X139^2+$B$8*(X139-X$142)^2</f>
        <v>5.7681072497200774E-2</v>
      </c>
      <c r="Z139" s="14">
        <f>$D$29+$C$29*(RADIANS(E139-$B$12))+$E$10*RADIANS(E139)^2</f>
        <v>0.44127475472328925</v>
      </c>
      <c r="AA139" s="6">
        <f>$B$150+$B$7*Z139^2+$B$8*(Z139-Z$142)^2</f>
        <v>5.8248451519247173E-2</v>
      </c>
      <c r="AB139" s="14">
        <f>$D$30+$C$30*(RADIANS(E139-$B$12))+$E$10*RADIANS(E139)^2</f>
        <v>0.45629107917790385</v>
      </c>
      <c r="AC139" s="6">
        <f>$B$151+$B$7*AB139^2+$B$8*(AB139-AB$142)^2</f>
        <v>5.9061556198881836E-2</v>
      </c>
      <c r="AD139" s="14">
        <f>$D$31+$C$31*(RADIANS(E139-$B$12))+$E$10*RADIANS(E139)^2</f>
        <v>0.4745495893053634</v>
      </c>
      <c r="AE139" s="6">
        <f>$B$152+$B$7*AD139^2+$B$8*(AD139-AD$142)^2</f>
        <v>6.0657561965821234E-2</v>
      </c>
      <c r="AF139" s="14">
        <f>$D$32+$C$32*(RADIANS(E139-$B$12))+$E$10*RADIANS(E139)^2</f>
        <v>0.49705207351144215</v>
      </c>
      <c r="AG139" s="6">
        <f>$B$153+$B$7*AF139^2+$B$8*(AF139-AF$142)^2</f>
        <v>6.2192782289477444E-2</v>
      </c>
      <c r="AH139" s="14">
        <f>$D$33+$C$33*(RADIANS(E139-$B$12))+$E$10*RADIANS(E139)^2</f>
        <v>0.52532705755464026</v>
      </c>
      <c r="AI139" s="6">
        <f>$B$154+$B$7*AH139^2+$B$8*(AH139-AH$142)^2</f>
        <v>6.4317233328729476E-2</v>
      </c>
      <c r="AJ139" s="14">
        <f>$D$34+$C$34*(RADIANS(E139-$B$12))+$E$10*RADIANS(E139)^2</f>
        <v>0.56184529703827968</v>
      </c>
      <c r="AK139">
        <f>$B$155+$B$9*AJ139^2</f>
        <v>7.3640678030356871E-2</v>
      </c>
      <c r="AL139" s="14">
        <f>$D$35+$C$35*(RADIANS(E139-$B$12))+$E$10*RADIANS(E139)^2</f>
        <v>0.61084414705449297</v>
      </c>
      <c r="AM139">
        <f>$B$156+$B$9*AL139^2</f>
        <v>7.9707479022450858E-2</v>
      </c>
      <c r="AN139" s="14">
        <f>$D$36+$C$36*(RADIANS(E139-$B$12))+$E$10*RADIANS(E139)^2</f>
        <v>0.68097026783792147</v>
      </c>
      <c r="AO139">
        <f>$B$157+$B$9*AN139^2</f>
        <v>8.8670904508988346E-2</v>
      </c>
      <c r="AP139" s="14">
        <f>$D$37+$C$37*(RADIANS(E139-$B$12))+$E$10*RADIANS(E139)^2</f>
        <v>0.79383266344327119</v>
      </c>
      <c r="AQ139">
        <f>$B$158+$B$9*AP139^2</f>
        <v>0.10529782999315529</v>
      </c>
    </row>
    <row r="140" spans="1:43" x14ac:dyDescent="0.25">
      <c r="A140" s="139">
        <v>0.05</v>
      </c>
      <c r="B140" s="129">
        <f>'Sub C_D_0'!AY101</f>
        <v>5.193069974900473E-2</v>
      </c>
      <c r="C140" s="129">
        <f>'C_L vs. α'!X392</f>
        <v>0.10622343199359674</v>
      </c>
      <c r="D140" s="247">
        <f>'C_L vs. α'!Z392</f>
        <v>0.3824586133220616</v>
      </c>
      <c r="E140" s="144">
        <v>-4</v>
      </c>
      <c r="F140" s="14">
        <f t="shared" ref="F140:F150" si="191">$D$19+$C$19*(RADIANS(E140-$B$12))+$E$10*RADIANS(E140)^2</f>
        <v>0.38079833828884896</v>
      </c>
      <c r="G140" s="6">
        <f t="shared" ref="G140:G150" si="192">$B$140+$B$7*F140^2+$B$8*(F140-F$142)^2</f>
        <v>6.3658195703824402E-2</v>
      </c>
      <c r="H140" s="14">
        <f t="shared" ref="H140:H150" si="193">$D$20+$C$20*(RADIANS(E140-$B$12))+$E$10*RADIANS(E140)^2</f>
        <v>0.38200890015285915</v>
      </c>
      <c r="I140" s="6">
        <f t="shared" ref="I140:I150" si="194">$B$141+$B$7*H140^2+$B$8*(H140-H$142)^2</f>
        <v>6.0326835737223597E-2</v>
      </c>
      <c r="J140" s="14">
        <f t="shared" ref="J140:J150" si="195">$D$21+$C$21*(RADIANS(E140-$B$12))+$E$10*RADIANS(E140)^2</f>
        <v>0.38406292062782471</v>
      </c>
      <c r="K140" s="6">
        <f t="shared" ref="K140:K150" si="196">$B$142+$B$7*J140^2+$B$8*(J140-J$142)^2</f>
        <v>5.8695910361270406E-2</v>
      </c>
      <c r="L140" s="14">
        <f t="shared" ref="L140:L150" si="197">$D$22+$C$22*(RADIANS(E140-$B$12))+$E$10*RADIANS(E140)^2</f>
        <v>0.3869999361826319</v>
      </c>
      <c r="M140" s="6">
        <f t="shared" ref="M140:M150" si="198">$B$143+$B$7*L140^2+$B$8*(L140-L$142)^2</f>
        <v>5.7723350353059207E-2</v>
      </c>
      <c r="N140" s="14">
        <f t="shared" ref="N140:N150" si="199">$D$23+$C$23*(RADIANS(E140-$B$12))+$E$10*RADIANS(E140)^2</f>
        <v>0.39088074888723873</v>
      </c>
      <c r="O140" s="6">
        <f t="shared" ref="O140:O150" si="200">$B$144+$B$7*N140^2+$B$8*(N140-N$142)^2</f>
        <v>5.7119200245085509E-2</v>
      </c>
      <c r="P140" s="14">
        <f t="shared" ref="P140:P150" si="201">$D$24+$C$24*(RADIANS(E140-$B$12))+$E$10*RADIANS(E140)^2</f>
        <v>0.39579596538243639</v>
      </c>
      <c r="Q140" s="6">
        <f t="shared" ref="Q140:Q150" si="202">$B$145+$B$7*P140^2+$B$8*(P140-P$142)^2</f>
        <v>5.7243826676617864E-2</v>
      </c>
      <c r="R140" s="14">
        <f t="shared" ref="R140:R150" si="203">$D$25+$C$25*(RADIANS(E140-$B$12))+$E$10*RADIANS(E140)^2</f>
        <v>0.40184799655880499</v>
      </c>
      <c r="S140" s="6">
        <f t="shared" ref="S140:S150" si="204">$B$146+$B$7*R140^2+$B$8*(R140-R$142)^2</f>
        <v>5.7081715348766889E-2</v>
      </c>
      <c r="T140" s="14">
        <f t="shared" ref="T140:T150" si="205">$D$26+$C$26*(RADIANS(E140-$B$12))+$E$10*RADIANS(E140)^2</f>
        <v>0.40919455134097138</v>
      </c>
      <c r="U140" s="6">
        <f t="shared" ref="U140:U150" si="206">$B$147+$B$7*T140^2+$B$8*(T140-T$142)^2</f>
        <v>5.7099145482769904E-2</v>
      </c>
      <c r="V140" s="14">
        <f t="shared" ref="V140:V150" si="207">$D$27+$C$27*(RADIANS(E140-$B$12))+$E$10*RADIANS(E140)^2</f>
        <v>0.41803659579425889</v>
      </c>
      <c r="W140" s="6">
        <f t="shared" ref="W140:W150" si="208">$B$148+$B$7*V140^2+$B$8*(V140-V$142)^2</f>
        <v>5.7291560733312992E-2</v>
      </c>
      <c r="X140" s="14">
        <f t="shared" ref="X140:X150" si="209">$D$28+$C$28*(RADIANS(E140-$B$12))+$E$10*RADIANS(E140)^2</f>
        <v>0.42864212824917736</v>
      </c>
      <c r="Y140" s="6">
        <f t="shared" ref="Y140:Y150" si="210">$B$149+$B$7*X140^2+$B$8*(X140-X$142)^2</f>
        <v>5.7668857842606482E-2</v>
      </c>
      <c r="Z140" s="14">
        <f t="shared" ref="Z140:Z150" si="211">$D$29+$C$29*(RADIANS(E140-$B$12))+$E$10*RADIANS(E140)^2</f>
        <v>0.44137322125238498</v>
      </c>
      <c r="AA140" s="6">
        <f t="shared" ref="AA140:AA150" si="212">$B$150+$B$7*Z140^2+$B$8*(Z140-Z$142)^2</f>
        <v>5.8255456330537136E-2</v>
      </c>
      <c r="AB140" s="14">
        <f t="shared" ref="AB140:AB150" si="213">$D$30+$C$30*(RADIANS(E140-$B$12))+$E$10*RADIANS(E140)^2</f>
        <v>0.45672851666868225</v>
      </c>
      <c r="AC140" s="6">
        <f t="shared" ref="AC140:AC150" si="214">$B$151+$B$7*AB140^2+$B$8*(AB140-AB$142)^2</f>
        <v>5.9093734699991227E-2</v>
      </c>
      <c r="AD140" s="14">
        <f t="shared" ref="AD140:AD150" si="215">$D$31+$C$31*(RADIANS(E140-$B$12))+$E$10*RADIANS(E140)^2</f>
        <v>0.47541039180790012</v>
      </c>
      <c r="AE140" s="6">
        <f t="shared" ref="AE140:AE150" si="216">$B$152+$B$7*AD140^2+$B$8*(AD140-AD$142)^2</f>
        <v>6.072341897874859E-2</v>
      </c>
      <c r="AF140" s="14">
        <f t="shared" ref="AF140:AF150" si="217">$D$32+$C$32*(RADIANS(E140-$B$12))+$E$10*RADIANS(E140)^2</f>
        <v>0.49844800212462537</v>
      </c>
      <c r="AG140" s="6">
        <f t="shared" ref="AG140:AG150" si="218">$B$153+$B$7*AF140^2+$B$8*(AF140-AF$142)^2</f>
        <v>6.2304646429323346E-2</v>
      </c>
      <c r="AH140" s="14">
        <f t="shared" ref="AH140:AH150" si="219">$D$33+$C$33*(RADIANS(E140-$B$12))+$E$10*RADIANS(E140)^2</f>
        <v>0.52740961892698079</v>
      </c>
      <c r="AI140" s="6">
        <f t="shared" ref="AI140:AI150" si="220">$B$154+$B$7*AH140^2+$B$8*(AH140-AH$142)^2</f>
        <v>6.449361849294126E-2</v>
      </c>
      <c r="AJ140" s="14">
        <f t="shared" ref="AJ140:AJ150" si="221">$D$34+$C$34*(RADIANS(E140-$B$12))+$E$10*RADIANS(E140)^2</f>
        <v>0.56482156659594751</v>
      </c>
      <c r="AK140">
        <f t="shared" ref="AK140:AK150" si="222">$B$155+$B$9*AJ140^2</f>
        <v>7.3978933423991894E-2</v>
      </c>
      <c r="AL140" s="14">
        <f t="shared" ref="AL140:AL150" si="223">$D$35+$C$35*(RADIANS(E140-$B$12))+$E$10*RADIANS(E140)^2</f>
        <v>0.61501474112168397</v>
      </c>
      <c r="AM140">
        <f t="shared" ref="AM140:AM150" si="224">$B$156+$B$9*AL140^2</f>
        <v>8.0223200654056082E-2</v>
      </c>
      <c r="AN140" s="14">
        <f t="shared" ref="AN140:AN150" si="225">$D$36+$C$36*(RADIANS(E140-$B$12))+$E$10*RADIANS(E140)^2</f>
        <v>0.68649205059249963</v>
      </c>
      <c r="AO140">
        <f t="shared" ref="AO140:AO150" si="226">$B$157+$B$9*AN140^2</f>
        <v>8.9432582892514337E-2</v>
      </c>
      <c r="AP140" s="14">
        <f t="shared" ref="AP140:AP150" si="227">$D$37+$C$37*(RADIANS(E140-$B$12))+$E$10*RADIANS(E140)^2</f>
        <v>0.79849050574142755</v>
      </c>
      <c r="AQ140">
        <f t="shared" ref="AQ140:AQ150" si="228">$B$158+$B$9*AP140^2</f>
        <v>0.10604598733374686</v>
      </c>
    </row>
    <row r="141" spans="1:43" x14ac:dyDescent="0.25">
      <c r="A141" s="129">
        <v>0.1</v>
      </c>
      <c r="B141" s="129">
        <f>'Sub C_D_0'!AY102</f>
        <v>4.8524650763937777E-2</v>
      </c>
      <c r="C141" s="129">
        <f>'C_L vs. α'!X393</f>
        <v>0.10707427134016538</v>
      </c>
      <c r="D141" s="247">
        <f>'C_L vs. α'!Z393</f>
        <v>0.38371367545476148</v>
      </c>
      <c r="E141" s="144">
        <v>-2</v>
      </c>
      <c r="F141" s="14">
        <f t="shared" si="191"/>
        <v>0.38158026306321818</v>
      </c>
      <c r="G141" s="6">
        <f t="shared" si="192"/>
        <v>6.3706308553975896E-2</v>
      </c>
      <c r="H141" s="14">
        <f t="shared" si="193"/>
        <v>0.38282049177302152</v>
      </c>
      <c r="I141" s="6">
        <f t="shared" si="194"/>
        <v>6.0376933443057085E-2</v>
      </c>
      <c r="J141" s="14">
        <f t="shared" si="195"/>
        <v>0.3849181376139611</v>
      </c>
      <c r="K141" s="6">
        <f t="shared" si="196"/>
        <v>5.8748985870582721E-2</v>
      </c>
      <c r="L141" s="14">
        <f t="shared" si="197"/>
        <v>0.38791515021225137</v>
      </c>
      <c r="M141" s="6">
        <f t="shared" si="198"/>
        <v>5.7780585252598264E-2</v>
      </c>
      <c r="N141" s="14">
        <f t="shared" si="199"/>
        <v>0.39187436500470224</v>
      </c>
      <c r="O141" s="6">
        <f t="shared" si="200"/>
        <v>5.718196351808507E-2</v>
      </c>
      <c r="P141" s="14">
        <f t="shared" si="201"/>
        <v>0.39688495147574893</v>
      </c>
      <c r="Q141" s="6">
        <f t="shared" si="202"/>
        <v>5.7313482074038719E-2</v>
      </c>
      <c r="R141" s="14">
        <f t="shared" si="203"/>
        <v>0.40306027339764899</v>
      </c>
      <c r="S141" s="6">
        <f t="shared" si="204"/>
        <v>5.7160446672350589E-2</v>
      </c>
      <c r="T141" s="14">
        <f t="shared" si="205"/>
        <v>0.41055803265822149</v>
      </c>
      <c r="U141" s="6">
        <f t="shared" si="206"/>
        <v>5.7189321286377222E-2</v>
      </c>
      <c r="V141" s="14">
        <f t="shared" si="207"/>
        <v>0.41958454175622578</v>
      </c>
      <c r="W141" s="6">
        <f t="shared" si="208"/>
        <v>5.7396156163920166E-2</v>
      </c>
      <c r="X141" s="14">
        <f t="shared" si="209"/>
        <v>0.43041498753436558</v>
      </c>
      <c r="Y141" s="6">
        <f t="shared" si="210"/>
        <v>5.7791700279159204E-2</v>
      </c>
      <c r="Z141" s="14">
        <f t="shared" si="211"/>
        <v>0.44342123926811561</v>
      </c>
      <c r="AA141" s="6">
        <f t="shared" si="212"/>
        <v>5.8401593746086986E-2</v>
      </c>
      <c r="AB141" s="14">
        <f t="shared" si="213"/>
        <v>0.45911550564609555</v>
      </c>
      <c r="AC141" s="6">
        <f t="shared" si="214"/>
        <v>5.9270004955623984E-2</v>
      </c>
      <c r="AD141" s="14">
        <f t="shared" si="215"/>
        <v>0.47822074579707169</v>
      </c>
      <c r="AE141" s="6">
        <f t="shared" si="216"/>
        <v>6.0939470148681237E-2</v>
      </c>
      <c r="AF141" s="14">
        <f t="shared" si="217"/>
        <v>0.50179348222444353</v>
      </c>
      <c r="AG141" s="6">
        <f t="shared" si="218"/>
        <v>6.2574339917417662E-2</v>
      </c>
      <c r="AH141" s="14">
        <f t="shared" si="219"/>
        <v>0.53144173178595611</v>
      </c>
      <c r="AI141" s="6">
        <f t="shared" si="220"/>
        <v>6.4837610422230657E-2</v>
      </c>
      <c r="AJ141" s="14">
        <f t="shared" si="221"/>
        <v>0.56974738764025024</v>
      </c>
      <c r="AK141">
        <f t="shared" si="222"/>
        <v>7.4542683316400182E-2</v>
      </c>
      <c r="AL141" s="14">
        <f t="shared" si="223"/>
        <v>0.62113488667550987</v>
      </c>
      <c r="AM141">
        <f t="shared" si="224"/>
        <v>8.0986350357892423E-2</v>
      </c>
      <c r="AN141" s="14">
        <f t="shared" si="225"/>
        <v>0.69396338483371267</v>
      </c>
      <c r="AO141">
        <f t="shared" si="226"/>
        <v>9.0472976088563403E-2</v>
      </c>
      <c r="AP141" s="14">
        <f t="shared" si="227"/>
        <v>0.80509789952621869</v>
      </c>
      <c r="AQ141">
        <f t="shared" si="228"/>
        <v>0.10711479619188724</v>
      </c>
    </row>
    <row r="142" spans="1:43" s="99" customFormat="1" x14ac:dyDescent="0.25">
      <c r="A142" s="139">
        <v>0.15</v>
      </c>
      <c r="B142" s="129">
        <f>'Sub C_D_0'!AY103</f>
        <v>4.6766456166679057E-2</v>
      </c>
      <c r="C142" s="129">
        <f>'C_L vs. α'!X394</f>
        <v>0.1083219263347186</v>
      </c>
      <c r="D142" s="247">
        <f>'C_L vs. α'!Z394</f>
        <v>0.38583313397868807</v>
      </c>
      <c r="E142" s="143">
        <v>0</v>
      </c>
      <c r="F142" s="14">
        <f t="shared" si="191"/>
        <v>0.38431173932422247</v>
      </c>
      <c r="G142" s="6">
        <f t="shared" si="192"/>
        <v>6.3875347906820673E-2</v>
      </c>
      <c r="H142" s="14">
        <f t="shared" si="193"/>
        <v>0.38558163487981889</v>
      </c>
      <c r="I142" s="6">
        <f t="shared" si="194"/>
        <v>6.0548367630303412E-2</v>
      </c>
      <c r="J142" s="14">
        <f t="shared" si="195"/>
        <v>0.38772290608673249</v>
      </c>
      <c r="K142" s="6">
        <f t="shared" si="196"/>
        <v>5.8924087746923946E-2</v>
      </c>
      <c r="L142" s="14">
        <f t="shared" si="197"/>
        <v>0.3907799157285059</v>
      </c>
      <c r="M142" s="6">
        <f t="shared" si="198"/>
        <v>5.7960831927852813E-2</v>
      </c>
      <c r="N142" s="14">
        <f t="shared" si="199"/>
        <v>0.3948175326088007</v>
      </c>
      <c r="O142" s="6">
        <f t="shared" si="200"/>
        <v>5.7369041957272424E-2</v>
      </c>
      <c r="P142" s="14">
        <f t="shared" si="201"/>
        <v>0.39992348905569641</v>
      </c>
      <c r="Q142" s="6">
        <f t="shared" si="202"/>
        <v>5.7509102789704621E-2</v>
      </c>
      <c r="R142" s="14">
        <f t="shared" si="203"/>
        <v>0.406222101723128</v>
      </c>
      <c r="S142" s="6">
        <f t="shared" si="204"/>
        <v>5.7367186721278753E-2</v>
      </c>
      <c r="T142" s="14">
        <f t="shared" si="205"/>
        <v>0.41387106546210661</v>
      </c>
      <c r="U142" s="6">
        <f t="shared" si="206"/>
        <v>5.7409996367071982E-2</v>
      </c>
      <c r="V142" s="14">
        <f t="shared" si="207"/>
        <v>0.42308203920482768</v>
      </c>
      <c r="W142" s="6">
        <f t="shared" si="208"/>
        <v>5.7634263753855261E-2</v>
      </c>
      <c r="X142" s="14">
        <f t="shared" si="209"/>
        <v>0.43413739830618875</v>
      </c>
      <c r="Y142" s="6">
        <f t="shared" si="210"/>
        <v>5.8051691688808249E-2</v>
      </c>
      <c r="Z142" s="14">
        <f t="shared" si="211"/>
        <v>0.44741880877048118</v>
      </c>
      <c r="AA142" s="6">
        <f t="shared" si="212"/>
        <v>5.8689280320867961E-2</v>
      </c>
      <c r="AB142" s="14">
        <f t="shared" si="213"/>
        <v>0.46345204611014379</v>
      </c>
      <c r="AC142" s="6">
        <f t="shared" si="214"/>
        <v>5.9593183488894329E-2</v>
      </c>
      <c r="AD142" s="14">
        <f t="shared" si="215"/>
        <v>0.48298065127287826</v>
      </c>
      <c r="AE142" s="6">
        <f t="shared" si="216"/>
        <v>6.1309031547475641E-2</v>
      </c>
      <c r="AF142" s="14">
        <f t="shared" si="217"/>
        <v>0.50708851381089648</v>
      </c>
      <c r="AG142" s="6">
        <f t="shared" si="218"/>
        <v>6.3005810246655636E-2</v>
      </c>
      <c r="AH142" s="14">
        <f t="shared" si="219"/>
        <v>0.53742339613156631</v>
      </c>
      <c r="AI142" s="6">
        <f t="shared" si="220"/>
        <v>6.5353966800514057E-2</v>
      </c>
      <c r="AJ142" s="14">
        <f t="shared" si="221"/>
        <v>0.57662276017118796</v>
      </c>
      <c r="AK142" s="99">
        <f t="shared" si="222"/>
        <v>7.5337739920775443E-2</v>
      </c>
      <c r="AL142" s="14">
        <f t="shared" si="223"/>
        <v>0.62920458371597077</v>
      </c>
      <c r="AM142" s="99">
        <f t="shared" si="224"/>
        <v>8.2004149588092184E-2</v>
      </c>
      <c r="AN142" s="14">
        <f t="shared" si="225"/>
        <v>0.70338427056156072</v>
      </c>
      <c r="AO142" s="99">
        <f t="shared" si="226"/>
        <v>9.18008998837955E-2</v>
      </c>
      <c r="AP142" s="14">
        <f t="shared" si="227"/>
        <v>0.81365484479764483</v>
      </c>
      <c r="AQ142" s="99">
        <f t="shared" si="228"/>
        <v>0.10851205294933425</v>
      </c>
    </row>
    <row r="143" spans="1:43" x14ac:dyDescent="0.25">
      <c r="A143" s="129">
        <v>0.2</v>
      </c>
      <c r="B143" s="129">
        <f>'Sub C_D_0'!AY104</f>
        <v>4.5610730341684808E-2</v>
      </c>
      <c r="C143" s="129">
        <f>'C_L vs. α'!X395</f>
        <v>0.11003817113140557</v>
      </c>
      <c r="D143" s="247">
        <f>'C_L vs. α'!Z395</f>
        <v>0.38886014509871991</v>
      </c>
      <c r="E143" s="144">
        <v>2</v>
      </c>
      <c r="F143" s="14">
        <f t="shared" si="191"/>
        <v>0.38899276707186159</v>
      </c>
      <c r="G143" s="6">
        <f t="shared" si="192"/>
        <v>6.416853676258949E-2</v>
      </c>
      <c r="H143" s="14">
        <f t="shared" si="193"/>
        <v>0.39029232947325115</v>
      </c>
      <c r="I143" s="6">
        <f t="shared" si="194"/>
        <v>6.0844396304531728E-2</v>
      </c>
      <c r="J143" s="14">
        <f t="shared" si="195"/>
        <v>0.39247722604613877</v>
      </c>
      <c r="K143" s="6">
        <f t="shared" si="196"/>
        <v>5.922452547153105E-2</v>
      </c>
      <c r="L143" s="14">
        <f t="shared" si="197"/>
        <v>0.39559423273139527</v>
      </c>
      <c r="M143" s="6">
        <f t="shared" si="198"/>
        <v>5.8267470653457415E-2</v>
      </c>
      <c r="N143" s="14">
        <f t="shared" si="199"/>
        <v>0.39971025169953411</v>
      </c>
      <c r="O143" s="6">
        <f t="shared" si="200"/>
        <v>5.7683908347676914E-2</v>
      </c>
      <c r="P143" s="14">
        <f t="shared" si="201"/>
        <v>0.40491157812227885</v>
      </c>
      <c r="Q143" s="6">
        <f t="shared" si="202"/>
        <v>5.7834274140266935E-2</v>
      </c>
      <c r="R143" s="14">
        <f t="shared" si="203"/>
        <v>0.41133348153524191</v>
      </c>
      <c r="S143" s="6">
        <f t="shared" si="204"/>
        <v>5.7705666288883968E-2</v>
      </c>
      <c r="T143" s="14">
        <f t="shared" si="205"/>
        <v>0.41913364975262662</v>
      </c>
      <c r="U143" s="6">
        <f t="shared" si="206"/>
        <v>5.7765079931624115E-2</v>
      </c>
      <c r="V143" s="14">
        <f t="shared" si="207"/>
        <v>0.42852908814006446</v>
      </c>
      <c r="W143" s="6">
        <f t="shared" si="208"/>
        <v>5.8010010368595717E-2</v>
      </c>
      <c r="X143" s="14">
        <f t="shared" si="209"/>
        <v>0.43980936056464687</v>
      </c>
      <c r="Y143" s="6">
        <f t="shared" si="210"/>
        <v>5.8453224323079998E-2</v>
      </c>
      <c r="Z143" s="14">
        <f t="shared" si="211"/>
        <v>0.4533659297594817</v>
      </c>
      <c r="AA143" s="6">
        <f t="shared" si="212"/>
        <v>5.912323297942837E-2</v>
      </c>
      <c r="AB143" s="14">
        <f t="shared" si="213"/>
        <v>0.46973813806082698</v>
      </c>
      <c r="AC143" s="6">
        <f t="shared" si="214"/>
        <v>6.0068387192493577E-2</v>
      </c>
      <c r="AD143" s="14">
        <f t="shared" si="215"/>
        <v>0.48969010823531972</v>
      </c>
      <c r="AE143" s="6">
        <f t="shared" si="216"/>
        <v>6.1837719616565326E-2</v>
      </c>
      <c r="AF143" s="14">
        <f t="shared" si="217"/>
        <v>0.51433309688398454</v>
      </c>
      <c r="AG143" s="6">
        <f t="shared" si="218"/>
        <v>6.3605305279509569E-2</v>
      </c>
      <c r="AH143" s="14">
        <f t="shared" si="219"/>
        <v>0.54535461196381152</v>
      </c>
      <c r="AI143" s="6">
        <f t="shared" si="220"/>
        <v>6.6049745681284966E-2</v>
      </c>
      <c r="AJ143" s="14">
        <f t="shared" si="221"/>
        <v>0.58544768418876059</v>
      </c>
      <c r="AK143">
        <f t="shared" si="222"/>
        <v>7.6372215819888484E-2</v>
      </c>
      <c r="AL143" s="14">
        <f t="shared" si="223"/>
        <v>0.63922383224306656</v>
      </c>
      <c r="AM143">
        <f t="shared" si="224"/>
        <v>8.3286120168364786E-2</v>
      </c>
      <c r="AN143" s="14">
        <f t="shared" si="225"/>
        <v>0.71475470777604366</v>
      </c>
      <c r="AO143">
        <f t="shared" si="226"/>
        <v>9.3427470434447601E-2</v>
      </c>
      <c r="AP143" s="14">
        <f t="shared" si="227"/>
        <v>0.82416134155570586</v>
      </c>
      <c r="AQ143">
        <f t="shared" si="228"/>
        <v>0.11024785435742281</v>
      </c>
    </row>
    <row r="144" spans="1:43" x14ac:dyDescent="0.25">
      <c r="A144" s="139">
        <v>0.25</v>
      </c>
      <c r="B144" s="129">
        <f>'Sub C_D_0'!AY105</f>
        <v>4.4762414464183733E-2</v>
      </c>
      <c r="C144" s="129">
        <f>'C_L vs. α'!X396</f>
        <v>0.11228155521018422</v>
      </c>
      <c r="D144" s="247">
        <f>'C_L vs. α'!Z396</f>
        <v>0.39285856093509275</v>
      </c>
      <c r="E144" s="144">
        <v>4</v>
      </c>
      <c r="F144" s="14">
        <f t="shared" si="191"/>
        <v>0.39562334630613571</v>
      </c>
      <c r="G144" s="6">
        <f t="shared" si="192"/>
        <v>6.4591398491090232E-2</v>
      </c>
      <c r="H144" s="14">
        <f t="shared" si="193"/>
        <v>0.39695257555331842</v>
      </c>
      <c r="I144" s="6">
        <f t="shared" si="194"/>
        <v>6.1270577840888324E-2</v>
      </c>
      <c r="J144" s="14">
        <f t="shared" si="195"/>
        <v>0.39918109749218</v>
      </c>
      <c r="K144" s="6">
        <f t="shared" si="196"/>
        <v>5.9655908895218081E-2</v>
      </c>
      <c r="L144" s="14">
        <f t="shared" si="197"/>
        <v>0.40235810122091969</v>
      </c>
      <c r="M144" s="6">
        <f t="shared" si="198"/>
        <v>5.8706182073623762E-2</v>
      </c>
      <c r="N144" s="14">
        <f t="shared" si="199"/>
        <v>0.40655252227690253</v>
      </c>
      <c r="O144" s="6">
        <f t="shared" si="200"/>
        <v>5.8132335843904988E-2</v>
      </c>
      <c r="P144" s="14">
        <f t="shared" si="201"/>
        <v>0.41184921867549629</v>
      </c>
      <c r="Q144" s="6">
        <f t="shared" si="202"/>
        <v>5.8294881811954129E-2</v>
      </c>
      <c r="R144" s="14">
        <f t="shared" si="203"/>
        <v>0.41839441283399076</v>
      </c>
      <c r="S144" s="6">
        <f t="shared" si="204"/>
        <v>5.8181916538075938E-2</v>
      </c>
      <c r="T144" s="14">
        <f t="shared" si="205"/>
        <v>0.42634578552978158</v>
      </c>
      <c r="U144" s="6">
        <f t="shared" si="206"/>
        <v>5.8260781556380675E-2</v>
      </c>
      <c r="V144" s="14">
        <f t="shared" si="207"/>
        <v>0.43592568856193631</v>
      </c>
      <c r="W144" s="6">
        <f t="shared" si="208"/>
        <v>5.8529823243196069E-2</v>
      </c>
      <c r="X144" s="14">
        <f t="shared" si="209"/>
        <v>0.44743087430973993</v>
      </c>
      <c r="Y144" s="6">
        <f t="shared" si="210"/>
        <v>5.9002990803077887E-2</v>
      </c>
      <c r="Z144" s="14">
        <f t="shared" si="211"/>
        <v>0.46126260223511717</v>
      </c>
      <c r="AA144" s="6">
        <f t="shared" si="212"/>
        <v>5.9710469015893629E-2</v>
      </c>
      <c r="AB144" s="14">
        <f t="shared" si="213"/>
        <v>0.47797378149814512</v>
      </c>
      <c r="AC144" s="6">
        <f t="shared" si="214"/>
        <v>6.0703033328690106E-2</v>
      </c>
      <c r="AD144" s="14">
        <f t="shared" si="215"/>
        <v>0.49834911668439619</v>
      </c>
      <c r="AE144" s="6">
        <f t="shared" si="216"/>
        <v>6.2533451166960907E-2</v>
      </c>
      <c r="AF144" s="14">
        <f t="shared" si="217"/>
        <v>0.52352723144370739</v>
      </c>
      <c r="AG144" s="6">
        <f t="shared" si="218"/>
        <v>6.4381373248028839E-2</v>
      </c>
      <c r="AH144" s="14">
        <f t="shared" si="219"/>
        <v>0.55523537928269173</v>
      </c>
      <c r="AI144" s="6">
        <f t="shared" si="220"/>
        <v>6.6934305487613921E-2</v>
      </c>
      <c r="AJ144" s="14">
        <f t="shared" si="221"/>
        <v>0.5962221596929681</v>
      </c>
      <c r="AK144">
        <f t="shared" si="222"/>
        <v>7.7656523966087243E-2</v>
      </c>
      <c r="AL144" s="14">
        <f t="shared" si="223"/>
        <v>0.65119263225679724</v>
      </c>
      <c r="AM144">
        <f t="shared" si="224"/>
        <v>8.4844084291996746E-2</v>
      </c>
      <c r="AN144" s="14">
        <f t="shared" si="225"/>
        <v>0.7280746964771615</v>
      </c>
      <c r="AO144">
        <f t="shared" si="226"/>
        <v>9.5366104266333823E-2</v>
      </c>
      <c r="AP144" s="14">
        <f t="shared" si="227"/>
        <v>0.8366173898004019</v>
      </c>
      <c r="AQ144">
        <f t="shared" si="228"/>
        <v>0.11233459753706493</v>
      </c>
    </row>
    <row r="145" spans="1:43" x14ac:dyDescent="0.25">
      <c r="A145" s="129">
        <v>0.3</v>
      </c>
      <c r="B145" s="129">
        <f>'Sub C_D_0'!AY106</f>
        <v>4.4574297801057386E-2</v>
      </c>
      <c r="C145" s="129">
        <f>'C_L vs. α'!X397</f>
        <v>0.115013303835898</v>
      </c>
      <c r="D145" s="247">
        <f>'C_L vs. α'!Z397</f>
        <v>0.39791683239406395</v>
      </c>
      <c r="E145" s="144">
        <v>6</v>
      </c>
      <c r="F145" s="14">
        <f t="shared" si="191"/>
        <v>0.40420347702704473</v>
      </c>
      <c r="G145" s="6">
        <f t="shared" si="192"/>
        <v>6.5151756831707847E-2</v>
      </c>
      <c r="H145" s="14">
        <f t="shared" si="193"/>
        <v>0.40556237312002053</v>
      </c>
      <c r="I145" s="6">
        <f t="shared" si="194"/>
        <v>6.1834770984096517E-2</v>
      </c>
      <c r="J145" s="14">
        <f t="shared" si="195"/>
        <v>0.40783452042485613</v>
      </c>
      <c r="K145" s="6">
        <f t="shared" si="196"/>
        <v>6.0226148238376194E-2</v>
      </c>
      <c r="L145" s="14">
        <f t="shared" si="197"/>
        <v>0.4110715211970789</v>
      </c>
      <c r="M145" s="6">
        <f t="shared" si="198"/>
        <v>5.9284947202140559E-2</v>
      </c>
      <c r="N145" s="14">
        <f t="shared" si="199"/>
        <v>0.41534434434090578</v>
      </c>
      <c r="O145" s="6">
        <f t="shared" si="200"/>
        <v>5.8722397970140144E-2</v>
      </c>
      <c r="P145" s="14">
        <f t="shared" si="201"/>
        <v>0.42073641071534856</v>
      </c>
      <c r="Q145" s="6">
        <f t="shared" si="202"/>
        <v>5.8899111860571736E-2</v>
      </c>
      <c r="R145" s="14">
        <f t="shared" si="203"/>
        <v>0.4274048956193745</v>
      </c>
      <c r="S145" s="6">
        <f t="shared" si="204"/>
        <v>5.8804269001341405E-2</v>
      </c>
      <c r="T145" s="14">
        <f t="shared" si="205"/>
        <v>0.43550747279357144</v>
      </c>
      <c r="U145" s="6">
        <f t="shared" si="206"/>
        <v>5.890561118726579E-2</v>
      </c>
      <c r="V145" s="14">
        <f t="shared" si="207"/>
        <v>0.44527184047044294</v>
      </c>
      <c r="W145" s="6">
        <f t="shared" si="208"/>
        <v>5.9202429982287925E-2</v>
      </c>
      <c r="X145" s="14">
        <f t="shared" si="209"/>
        <v>0.45700193954146789</v>
      </c>
      <c r="Y145" s="6">
        <f t="shared" si="210"/>
        <v>5.9709984119482473E-2</v>
      </c>
      <c r="Z145" s="14">
        <f t="shared" si="211"/>
        <v>0.47110882619738753</v>
      </c>
      <c r="AA145" s="6">
        <f t="shared" si="212"/>
        <v>6.0460306093966222E-2</v>
      </c>
      <c r="AB145" s="14">
        <f t="shared" si="213"/>
        <v>0.48815897642209816</v>
      </c>
      <c r="AC145" s="6">
        <f t="shared" si="214"/>
        <v>6.15068395293294E-2</v>
      </c>
      <c r="AD145" s="14">
        <f t="shared" si="215"/>
        <v>0.50895767662010749</v>
      </c>
      <c r="AE145" s="6">
        <f t="shared" si="216"/>
        <v>6.3406443379250096E-2</v>
      </c>
      <c r="AF145" s="14">
        <f t="shared" si="217"/>
        <v>0.53467091749006523</v>
      </c>
      <c r="AG145" s="6">
        <f t="shared" si="218"/>
        <v>6.5344862753839966E-2</v>
      </c>
      <c r="AH145" s="14">
        <f t="shared" si="219"/>
        <v>0.56706569808820673</v>
      </c>
      <c r="AI145" s="6">
        <f t="shared" si="220"/>
        <v>6.8019305012148576E-2</v>
      </c>
      <c r="AJ145" s="14">
        <f t="shared" si="221"/>
        <v>0.60894618668381051</v>
      </c>
      <c r="AK145">
        <f t="shared" si="222"/>
        <v>7.9203377681296677E-2</v>
      </c>
      <c r="AL145" s="14">
        <f t="shared" si="223"/>
        <v>0.66511098375716293</v>
      </c>
      <c r="AM145">
        <f t="shared" si="224"/>
        <v>8.6692164521851633E-2</v>
      </c>
      <c r="AN145" s="14">
        <f t="shared" si="225"/>
        <v>0.74334423666491423</v>
      </c>
      <c r="AO145">
        <f t="shared" si="226"/>
        <v>9.7632518274845315E-2</v>
      </c>
      <c r="AP145" s="14">
        <f t="shared" si="227"/>
        <v>0.85102298953173272</v>
      </c>
      <c r="AQ145">
        <f t="shared" si="228"/>
        <v>0.11478697997874968</v>
      </c>
    </row>
    <row r="146" spans="1:43" x14ac:dyDescent="0.25">
      <c r="A146" s="139">
        <v>0.35</v>
      </c>
      <c r="B146" s="129">
        <f>'Sub C_D_0'!AY107</f>
        <v>4.4021738712510777E-2</v>
      </c>
      <c r="C146" s="129">
        <f>'C_L vs. α'!X398</f>
        <v>0.11854239254597372</v>
      </c>
      <c r="D146" s="247">
        <f>'C_L vs. α'!Z398</f>
        <v>0.40415379968872978</v>
      </c>
      <c r="E146" s="144">
        <v>8</v>
      </c>
      <c r="F146" s="14">
        <f t="shared" si="191"/>
        <v>0.4147331592345887</v>
      </c>
      <c r="G146" s="6">
        <f t="shared" si="192"/>
        <v>6.5859735893404339E-2</v>
      </c>
      <c r="H146" s="14">
        <f t="shared" si="193"/>
        <v>0.41612172217335763</v>
      </c>
      <c r="I146" s="6">
        <f t="shared" si="194"/>
        <v>6.2547134848456767E-2</v>
      </c>
      <c r="J146" s="14">
        <f t="shared" si="195"/>
        <v>0.41843749484416726</v>
      </c>
      <c r="K146" s="6">
        <f t="shared" si="196"/>
        <v>6.0945454090973607E-2</v>
      </c>
      <c r="L146" s="14">
        <f t="shared" si="197"/>
        <v>0.42173449265987317</v>
      </c>
      <c r="M146" s="6">
        <f t="shared" si="198"/>
        <v>6.0014047422373679E-2</v>
      </c>
      <c r="N146" s="14">
        <f t="shared" si="199"/>
        <v>0.42608571789154404</v>
      </c>
      <c r="O146" s="6">
        <f t="shared" si="200"/>
        <v>5.9464468620142992E-2</v>
      </c>
      <c r="P146" s="14">
        <f t="shared" si="201"/>
        <v>0.43157315424183584</v>
      </c>
      <c r="Q146" s="6">
        <f t="shared" si="202"/>
        <v>5.9657450711502386E-2</v>
      </c>
      <c r="R146" s="14">
        <f t="shared" si="203"/>
        <v>0.43836492989139325</v>
      </c>
      <c r="S146" s="6">
        <f t="shared" si="204"/>
        <v>5.9583355580744256E-2</v>
      </c>
      <c r="T146" s="14">
        <f t="shared" si="205"/>
        <v>0.44661871154399629</v>
      </c>
      <c r="U146" s="6">
        <f t="shared" si="206"/>
        <v>5.9710379139780702E-2</v>
      </c>
      <c r="V146" s="14">
        <f t="shared" si="207"/>
        <v>0.45656754386558457</v>
      </c>
      <c r="W146" s="6">
        <f t="shared" si="208"/>
        <v>6.0038858560079983E-2</v>
      </c>
      <c r="X146" s="14">
        <f t="shared" si="209"/>
        <v>0.4685225562598308</v>
      </c>
      <c r="Y146" s="6">
        <f t="shared" si="210"/>
        <v>6.0585497632551367E-2</v>
      </c>
      <c r="Z146" s="14">
        <f t="shared" si="211"/>
        <v>0.48290460164629284</v>
      </c>
      <c r="AA146" s="6">
        <f t="shared" si="212"/>
        <v>6.1384362246925721E-2</v>
      </c>
      <c r="AB146" s="14">
        <f t="shared" si="213"/>
        <v>0.50029372283268625</v>
      </c>
      <c r="AC146" s="6">
        <f t="shared" si="214"/>
        <v>6.2491823795834039E-2</v>
      </c>
      <c r="AD146" s="14">
        <f t="shared" si="215"/>
        <v>0.5215157880424538</v>
      </c>
      <c r="AE146" s="6">
        <f t="shared" si="216"/>
        <v>6.4469213803597672E-2</v>
      </c>
      <c r="AF146" s="14">
        <f t="shared" si="217"/>
        <v>0.54776415502305809</v>
      </c>
      <c r="AG146" s="6">
        <f t="shared" si="218"/>
        <v>6.6508922768146461E-2</v>
      </c>
      <c r="AH146" s="14">
        <f t="shared" si="219"/>
        <v>0.58084556838035672</v>
      </c>
      <c r="AI146" s="6">
        <f t="shared" si="220"/>
        <v>6.9318703417113714E-2</v>
      </c>
      <c r="AJ146" s="14">
        <f t="shared" si="221"/>
        <v>0.62361976516128792</v>
      </c>
      <c r="AK146">
        <f t="shared" si="222"/>
        <v>8.1027790657018844E-2</v>
      </c>
      <c r="AL146" s="14">
        <f t="shared" si="223"/>
        <v>0.68097888674416351</v>
      </c>
      <c r="AM146">
        <f t="shared" si="224"/>
        <v>8.8846783790370129E-2</v>
      </c>
      <c r="AN146" s="14">
        <f t="shared" si="225"/>
        <v>0.76056332833930196</v>
      </c>
      <c r="AO146">
        <f t="shared" si="226"/>
        <v>0.10024472972495038</v>
      </c>
      <c r="AP146" s="14">
        <f t="shared" si="227"/>
        <v>0.86737814074969855</v>
      </c>
      <c r="AQ146">
        <f t="shared" si="228"/>
        <v>0.11762199954254322</v>
      </c>
    </row>
    <row r="147" spans="1:43" x14ac:dyDescent="0.25">
      <c r="A147" s="129">
        <v>0.4</v>
      </c>
      <c r="B147" s="129">
        <f>'Sub C_D_0'!AY108</f>
        <v>4.3557240189285099E-2</v>
      </c>
      <c r="C147" s="129">
        <f>'C_L vs. α'!X399</f>
        <v>0.12287049407064402</v>
      </c>
      <c r="D147" s="247">
        <f>'C_L vs. α'!Z399</f>
        <v>0.41172716118850533</v>
      </c>
      <c r="E147" s="144">
        <v>10</v>
      </c>
      <c r="F147" s="14">
        <f t="shared" si="191"/>
        <v>0.42721239292876767</v>
      </c>
      <c r="G147" s="6">
        <f t="shared" si="192"/>
        <v>6.6727760154718874E-2</v>
      </c>
      <c r="H147" s="14">
        <f t="shared" si="193"/>
        <v>0.42863062271332963</v>
      </c>
      <c r="I147" s="6">
        <f t="shared" si="194"/>
        <v>6.3420128917846555E-2</v>
      </c>
      <c r="J147" s="14">
        <f t="shared" si="195"/>
        <v>0.43099002075011328</v>
      </c>
      <c r="K147" s="6">
        <f t="shared" si="196"/>
        <v>6.1826337412555624E-2</v>
      </c>
      <c r="L147" s="14">
        <f t="shared" si="197"/>
        <v>0.43434701560930233</v>
      </c>
      <c r="M147" s="6">
        <f t="shared" si="198"/>
        <v>6.0906064487266001E-2</v>
      </c>
      <c r="N147" s="14">
        <f t="shared" si="199"/>
        <v>0.43877664292881724</v>
      </c>
      <c r="O147" s="6">
        <f t="shared" si="200"/>
        <v>6.037122205725122E-2</v>
      </c>
      <c r="P147" s="14">
        <f t="shared" si="201"/>
        <v>0.44435944925495807</v>
      </c>
      <c r="Q147" s="6">
        <f t="shared" si="202"/>
        <v>6.0582685159705787E-2</v>
      </c>
      <c r="R147" s="14">
        <f t="shared" si="203"/>
        <v>0.45127451565004684</v>
      </c>
      <c r="S147" s="6">
        <f t="shared" si="204"/>
        <v>6.0532108547925387E-2</v>
      </c>
      <c r="T147" s="14">
        <f t="shared" si="205"/>
        <v>0.45967950178105599</v>
      </c>
      <c r="U147" s="6">
        <f t="shared" si="206"/>
        <v>6.0688196099003659E-2</v>
      </c>
      <c r="V147" s="14">
        <f t="shared" si="207"/>
        <v>0.46981279874736115</v>
      </c>
      <c r="W147" s="6">
        <f t="shared" si="208"/>
        <v>6.1052437320358033E-2</v>
      </c>
      <c r="X147" s="14">
        <f t="shared" si="209"/>
        <v>0.48199272446482866</v>
      </c>
      <c r="Y147" s="6">
        <f t="shared" si="210"/>
        <v>6.1643125072119297E-2</v>
      </c>
      <c r="Z147" s="14">
        <f t="shared" si="211"/>
        <v>0.4966499285818331</v>
      </c>
      <c r="AA147" s="6">
        <f t="shared" si="212"/>
        <v>6.2496555877628805E-2</v>
      </c>
      <c r="AB147" s="14">
        <f t="shared" si="213"/>
        <v>0.51437802072990912</v>
      </c>
      <c r="AC147" s="6">
        <f t="shared" si="214"/>
        <v>6.3672304499203636E-2</v>
      </c>
      <c r="AD147" s="14">
        <f t="shared" si="215"/>
        <v>0.536023450951435</v>
      </c>
      <c r="AE147" s="6">
        <f t="shared" si="216"/>
        <v>6.5736580359745514E-2</v>
      </c>
      <c r="AF147" s="14">
        <f t="shared" si="217"/>
        <v>0.56280694404268572</v>
      </c>
      <c r="AG147" s="6">
        <f t="shared" si="218"/>
        <v>6.7889002631728992E-2</v>
      </c>
      <c r="AH147" s="14">
        <f t="shared" si="219"/>
        <v>0.59657499015914173</v>
      </c>
      <c r="AI147" s="6">
        <f t="shared" si="220"/>
        <v>7.0848760234311123E-2</v>
      </c>
      <c r="AJ147" s="14">
        <f t="shared" si="221"/>
        <v>0.64024289512540022</v>
      </c>
      <c r="AK147">
        <f t="shared" si="222"/>
        <v>8.3147076954332932E-2</v>
      </c>
      <c r="AL147" s="14">
        <f t="shared" si="223"/>
        <v>0.69879634121779899</v>
      </c>
      <c r="AM147">
        <f t="shared" si="224"/>
        <v>9.1326665399569962E-2</v>
      </c>
      <c r="AN147" s="14">
        <f t="shared" si="225"/>
        <v>0.77973197150032458</v>
      </c>
      <c r="AO147">
        <f t="shared" si="226"/>
        <v>0.10322305625119436</v>
      </c>
      <c r="AP147" s="14">
        <f t="shared" si="227"/>
        <v>0.88568284345429937</v>
      </c>
      <c r="AQ147">
        <f t="shared" si="228"/>
        <v>0.12085895445808885</v>
      </c>
    </row>
    <row r="148" spans="1:43" x14ac:dyDescent="0.25">
      <c r="A148" s="139">
        <v>0.45</v>
      </c>
      <c r="B148" s="129">
        <f>'Sub C_D_0'!AY109</f>
        <v>4.3158041641537775E-2</v>
      </c>
      <c r="C148" s="129">
        <f>'C_L vs. α'!X400</f>
        <v>0.12815047869809809</v>
      </c>
      <c r="D148" s="247">
        <f>'C_L vs. α'!Z400</f>
        <v>0.42084590260886801</v>
      </c>
      <c r="E148" s="144">
        <v>12</v>
      </c>
      <c r="F148" s="14">
        <f t="shared" si="191"/>
        <v>0.44164117810958148</v>
      </c>
      <c r="G148" s="6">
        <f t="shared" si="192"/>
        <v>6.7770554463767604E-2</v>
      </c>
      <c r="H148" s="14">
        <f t="shared" si="193"/>
        <v>0.44308907473993669</v>
      </c>
      <c r="I148" s="6">
        <f t="shared" si="194"/>
        <v>6.4468513045720516E-2</v>
      </c>
      <c r="J148" s="14">
        <f t="shared" si="195"/>
        <v>0.44549209814269425</v>
      </c>
      <c r="K148" s="6">
        <f t="shared" si="196"/>
        <v>6.2883609532244644E-2</v>
      </c>
      <c r="L148" s="14">
        <f t="shared" si="197"/>
        <v>0.44890909004536644</v>
      </c>
      <c r="M148" s="6">
        <f t="shared" si="198"/>
        <v>6.1975880519337542E-2</v>
      </c>
      <c r="N148" s="14">
        <f t="shared" si="199"/>
        <v>0.45341711945272534</v>
      </c>
      <c r="O148" s="6">
        <f t="shared" si="200"/>
        <v>6.1457632914379591E-2</v>
      </c>
      <c r="P148" s="14">
        <f t="shared" si="201"/>
        <v>0.45909529575471519</v>
      </c>
      <c r="Q148" s="6">
        <f t="shared" si="202"/>
        <v>6.1689902369718733E-2</v>
      </c>
      <c r="R148" s="14">
        <f t="shared" si="203"/>
        <v>0.46613365289533548</v>
      </c>
      <c r="S148" s="6">
        <f t="shared" si="204"/>
        <v>6.1665760544102867E-2</v>
      </c>
      <c r="T148" s="14">
        <f t="shared" si="205"/>
        <v>0.47468984350475074</v>
      </c>
      <c r="U148" s="6">
        <f t="shared" si="206"/>
        <v>6.1854473119590095E-2</v>
      </c>
      <c r="V148" s="14">
        <f t="shared" si="207"/>
        <v>0.48500760511577268</v>
      </c>
      <c r="W148" s="6">
        <f t="shared" si="208"/>
        <v>6.2258794976484941E-2</v>
      </c>
      <c r="X148" s="14">
        <f t="shared" si="209"/>
        <v>0.49741244415646146</v>
      </c>
      <c r="Y148" s="6">
        <f t="shared" si="210"/>
        <v>6.2898760537598061E-2</v>
      </c>
      <c r="Z148" s="14">
        <f t="shared" si="211"/>
        <v>0.51234480700400831</v>
      </c>
      <c r="AA148" s="6">
        <f t="shared" si="212"/>
        <v>6.3813105758509181E-2</v>
      </c>
      <c r="AB148" s="14">
        <f t="shared" si="213"/>
        <v>0.530411870113767</v>
      </c>
      <c r="AC148" s="6">
        <f t="shared" si="214"/>
        <v>6.5064900380014959E-2</v>
      </c>
      <c r="AD148" s="14">
        <f t="shared" si="215"/>
        <v>0.55248066534705131</v>
      </c>
      <c r="AE148" s="6">
        <f t="shared" si="216"/>
        <v>6.7225661337012577E-2</v>
      </c>
      <c r="AF148" s="14">
        <f t="shared" si="217"/>
        <v>0.57979928454894847</v>
      </c>
      <c r="AG148" s="6">
        <f t="shared" si="218"/>
        <v>6.9502852054945316E-2</v>
      </c>
      <c r="AH148" s="14">
        <f t="shared" si="219"/>
        <v>0.61425396342456162</v>
      </c>
      <c r="AI148" s="6">
        <f t="shared" si="220"/>
        <v>7.262803536511972E-2</v>
      </c>
      <c r="AJ148" s="14">
        <f t="shared" si="221"/>
        <v>0.65881557657614764</v>
      </c>
      <c r="AK148">
        <f t="shared" si="222"/>
        <v>8.5580851003895175E-2</v>
      </c>
      <c r="AL148" s="14">
        <f t="shared" si="223"/>
        <v>0.71856334717806958</v>
      </c>
      <c r="AM148">
        <f t="shared" si="224"/>
        <v>9.4152833021046017E-2</v>
      </c>
      <c r="AN148" s="14">
        <f t="shared" si="225"/>
        <v>0.80085016614798221</v>
      </c>
      <c r="AO148">
        <f t="shared" si="226"/>
        <v>0.1065901158576997</v>
      </c>
      <c r="AP148" s="14">
        <f t="shared" si="227"/>
        <v>0.90593709764553509</v>
      </c>
      <c r="AQ148">
        <f t="shared" si="228"/>
        <v>0.12451944332460688</v>
      </c>
    </row>
    <row r="149" spans="1:43" x14ac:dyDescent="0.25">
      <c r="A149" s="129">
        <v>0.5</v>
      </c>
      <c r="B149" s="129">
        <f>'Sub C_D_0'!AY110</f>
        <v>4.2809042349981591E-2</v>
      </c>
      <c r="C149" s="129">
        <f>'C_L vs. α'!X401</f>
        <v>0.1345878156577352</v>
      </c>
      <c r="D149" s="247">
        <f>'C_L vs. α'!Z401</f>
        <v>0.43178880504861844</v>
      </c>
      <c r="E149" s="144">
        <v>14</v>
      </c>
      <c r="F149" s="14">
        <f t="shared" si="191"/>
        <v>0.45801951477703023</v>
      </c>
      <c r="G149" s="6">
        <f t="shared" si="192"/>
        <v>6.9005144038243871E-2</v>
      </c>
      <c r="H149" s="14">
        <f t="shared" si="193"/>
        <v>0.45949707825317859</v>
      </c>
      <c r="I149" s="6">
        <f t="shared" si="194"/>
        <v>6.5709347455110326E-2</v>
      </c>
      <c r="J149" s="14">
        <f t="shared" si="195"/>
        <v>0.46194372702191017</v>
      </c>
      <c r="K149" s="6">
        <f t="shared" si="196"/>
        <v>6.4134382148740163E-2</v>
      </c>
      <c r="L149" s="14">
        <f t="shared" si="197"/>
        <v>0.4654207159680655</v>
      </c>
      <c r="M149" s="6">
        <f t="shared" si="198"/>
        <v>6.3240678010685378E-2</v>
      </c>
      <c r="N149" s="14">
        <f t="shared" si="199"/>
        <v>0.47000714746326833</v>
      </c>
      <c r="O149" s="6">
        <f t="shared" si="200"/>
        <v>6.2740976194019971E-2</v>
      </c>
      <c r="P149" s="14">
        <f t="shared" si="201"/>
        <v>0.47578069374110726</v>
      </c>
      <c r="Q149" s="6">
        <f t="shared" si="202"/>
        <v>6.2996489875655093E-2</v>
      </c>
      <c r="R149" s="14">
        <f t="shared" si="203"/>
        <v>0.48294234162725902</v>
      </c>
      <c r="S149" s="6">
        <f t="shared" si="204"/>
        <v>6.3001844580071756E-2</v>
      </c>
      <c r="T149" s="14">
        <f t="shared" si="205"/>
        <v>0.49164973671508039</v>
      </c>
      <c r="U149" s="6">
        <f t="shared" si="206"/>
        <v>6.3226921625772453E-2</v>
      </c>
      <c r="V149" s="14">
        <f t="shared" si="207"/>
        <v>0.5021519629708191</v>
      </c>
      <c r="W149" s="6">
        <f t="shared" si="208"/>
        <v>6.3675860611400653E-2</v>
      </c>
      <c r="X149" s="14">
        <f t="shared" si="209"/>
        <v>0.51478171533472916</v>
      </c>
      <c r="Y149" s="6">
        <f t="shared" si="210"/>
        <v>6.4370598497976494E-2</v>
      </c>
      <c r="Z149" s="14">
        <f t="shared" si="211"/>
        <v>0.52998923691281841</v>
      </c>
      <c r="AA149" s="6">
        <f t="shared" si="212"/>
        <v>6.5352531031577718E-2</v>
      </c>
      <c r="AB149" s="14">
        <f t="shared" si="213"/>
        <v>0.54839527098425978</v>
      </c>
      <c r="AC149" s="6">
        <f t="shared" si="214"/>
        <v>6.6688530548421804E-2</v>
      </c>
      <c r="AD149" s="14">
        <f t="shared" si="215"/>
        <v>0.57088743122930241</v>
      </c>
      <c r="AE149" s="6">
        <f t="shared" si="216"/>
        <v>6.8955875394294916E-2</v>
      </c>
      <c r="AF149" s="14">
        <f t="shared" si="217"/>
        <v>0.598741176541846</v>
      </c>
      <c r="AG149" s="6">
        <f t="shared" si="218"/>
        <v>7.1370521117730193E-2</v>
      </c>
      <c r="AH149" s="14">
        <f t="shared" si="219"/>
        <v>0.63388248817661641</v>
      </c>
      <c r="AI149" s="6">
        <f t="shared" si="220"/>
        <v>7.4677389080495482E-2</v>
      </c>
      <c r="AJ149" s="14">
        <f t="shared" si="221"/>
        <v>0.67933780951352984</v>
      </c>
      <c r="AK149">
        <f t="shared" si="222"/>
        <v>8.8351027605938881E-2</v>
      </c>
      <c r="AL149" s="14">
        <f t="shared" si="223"/>
        <v>0.74027990462497495</v>
      </c>
      <c r="AM149">
        <f t="shared" si="224"/>
        <v>9.7348610695970172E-2</v>
      </c>
      <c r="AN149" s="14">
        <f t="shared" si="225"/>
        <v>0.82391791228227484</v>
      </c>
      <c r="AO149">
        <f t="shared" si="226"/>
        <v>0.11037082691816592</v>
      </c>
      <c r="AP149" s="14">
        <f t="shared" si="227"/>
        <v>0.92814090332340582</v>
      </c>
      <c r="AQ149">
        <f t="shared" si="228"/>
        <v>0.12862736511089473</v>
      </c>
    </row>
    <row r="150" spans="1:43" x14ac:dyDescent="0.25">
      <c r="A150" s="139">
        <v>0.55000000000000004</v>
      </c>
      <c r="B150" s="129">
        <f>'Sub C_D_0'!AY111</f>
        <v>4.2499739376059539E-2</v>
      </c>
      <c r="C150" s="129">
        <f>'C_L vs. α'!X402</f>
        <v>0.14246241120449887</v>
      </c>
      <c r="D150" s="247">
        <f>'C_L vs. α'!Z402</f>
        <v>0.44493263614763967</v>
      </c>
      <c r="E150" s="144">
        <v>16</v>
      </c>
      <c r="F150" s="14">
        <f t="shared" si="191"/>
        <v>0.47634740293111394</v>
      </c>
      <c r="G150" s="6">
        <f t="shared" si="192"/>
        <v>7.0450854465417989E-2</v>
      </c>
      <c r="H150" s="14">
        <f t="shared" si="193"/>
        <v>0.47785463325305538</v>
      </c>
      <c r="I150" s="6">
        <f t="shared" si="194"/>
        <v>6.7161992738624721E-2</v>
      </c>
      <c r="J150" s="14">
        <f t="shared" si="195"/>
        <v>0.48034490738776098</v>
      </c>
      <c r="K150" s="6">
        <f t="shared" si="196"/>
        <v>6.5598067330318727E-2</v>
      </c>
      <c r="L150" s="14">
        <f t="shared" si="197"/>
        <v>0.4838818933773994</v>
      </c>
      <c r="M150" s="6">
        <f t="shared" si="198"/>
        <v>6.4719939822983685E-2</v>
      </c>
      <c r="N150" s="14">
        <f t="shared" si="199"/>
        <v>0.48854672696044626</v>
      </c>
      <c r="O150" s="6">
        <f t="shared" si="200"/>
        <v>6.4240827268241291E-2</v>
      </c>
      <c r="P150" s="14">
        <f t="shared" si="201"/>
        <v>0.49441564321413423</v>
      </c>
      <c r="Q150" s="6">
        <f t="shared" si="202"/>
        <v>6.4522135581205842E-2</v>
      </c>
      <c r="R150" s="14">
        <f t="shared" si="203"/>
        <v>0.50170058184581745</v>
      </c>
      <c r="S150" s="6">
        <f t="shared" si="204"/>
        <v>6.4560194036204277E-2</v>
      </c>
      <c r="T150" s="14">
        <f t="shared" si="205"/>
        <v>0.51055918141204493</v>
      </c>
      <c r="U150" s="6">
        <f t="shared" si="206"/>
        <v>6.4825553411360287E-2</v>
      </c>
      <c r="V150" s="14">
        <f t="shared" si="207"/>
        <v>0.52124587231250041</v>
      </c>
      <c r="W150" s="6">
        <f t="shared" si="208"/>
        <v>6.532386367762219E-2</v>
      </c>
      <c r="X150" s="14">
        <f t="shared" si="209"/>
        <v>0.53410053799963186</v>
      </c>
      <c r="Y150" s="6">
        <f t="shared" si="210"/>
        <v>6.6079133791820635E-2</v>
      </c>
      <c r="Z150" s="14">
        <f t="shared" si="211"/>
        <v>0.54958321830826351</v>
      </c>
      <c r="AA150" s="6">
        <f t="shared" si="212"/>
        <v>6.7135651208422312E-2</v>
      </c>
      <c r="AB150" s="14">
        <f t="shared" si="213"/>
        <v>0.56832822334138755</v>
      </c>
      <c r="AC150" s="6">
        <f t="shared" si="214"/>
        <v>6.8564414484155081E-2</v>
      </c>
      <c r="AD150" s="14">
        <f t="shared" si="215"/>
        <v>0.5912437485981884</v>
      </c>
      <c r="AE150" s="6">
        <f t="shared" si="216"/>
        <v>7.0948941560065606E-2</v>
      </c>
      <c r="AF150" s="14">
        <f t="shared" si="217"/>
        <v>0.61963262002137853</v>
      </c>
      <c r="AG150" s="6">
        <f t="shared" si="218"/>
        <v>7.3514360269595569E-2</v>
      </c>
      <c r="AH150" s="14">
        <f t="shared" si="219"/>
        <v>0.6554605644153062</v>
      </c>
      <c r="AI150" s="6">
        <f t="shared" si="220"/>
        <v>7.7019982020971517E-2</v>
      </c>
      <c r="AJ150" s="14">
        <f t="shared" si="221"/>
        <v>0.70180959393754694</v>
      </c>
      <c r="AK150">
        <f t="shared" si="222"/>
        <v>9.1481821930274432E-2</v>
      </c>
      <c r="AL150" s="14">
        <f t="shared" si="223"/>
        <v>0.76394601355851532</v>
      </c>
      <c r="AM150">
        <f t="shared" si="224"/>
        <v>0.10093962283509145</v>
      </c>
      <c r="AN150" s="14">
        <f t="shared" si="225"/>
        <v>0.84893520990320226</v>
      </c>
      <c r="AO150">
        <f t="shared" si="226"/>
        <v>0.11459240817586958</v>
      </c>
      <c r="AP150" s="14">
        <f t="shared" si="227"/>
        <v>0.95229426048791133</v>
      </c>
      <c r="AQ150">
        <f t="shared" si="228"/>
        <v>0.13320891915532687</v>
      </c>
    </row>
    <row r="151" spans="1:43" x14ac:dyDescent="0.25">
      <c r="A151" s="129">
        <v>0.6</v>
      </c>
      <c r="B151" s="129">
        <f>'Sub C_D_0'!AY112</f>
        <v>4.2222549565343895E-2</v>
      </c>
      <c r="C151" s="129">
        <f>'C_L vs. α'!X403</f>
        <v>0.15216167774264583</v>
      </c>
      <c r="D151" s="247">
        <f>'C_L vs. α'!Z403</f>
        <v>0.46079638800646094</v>
      </c>
    </row>
    <row r="152" spans="1:43" x14ac:dyDescent="0.25">
      <c r="A152" s="139">
        <v>0.65</v>
      </c>
      <c r="B152" s="129">
        <f>'Sub C_D_0'!AY113</f>
        <v>4.2443652928819485E-2</v>
      </c>
      <c r="C152" s="129">
        <f>'C_L vs. α'!X404</f>
        <v>0.16427195887086532</v>
      </c>
      <c r="D152" s="247">
        <f>'C_L vs. α'!Z404</f>
        <v>0.48011331066331625</v>
      </c>
    </row>
    <row r="153" spans="1:43" x14ac:dyDescent="0.25">
      <c r="A153" s="129">
        <v>0.7</v>
      </c>
      <c r="B153" s="129">
        <f>'Sub C_D_0'!AY114</f>
        <v>4.2210107222666146E-2</v>
      </c>
      <c r="C153" s="129">
        <f>'C_L vs. α'!X405</f>
        <v>0.17957296921450339</v>
      </c>
      <c r="D153" s="247">
        <f>'C_L vs. α'!Z405</f>
        <v>0.50395361014601125</v>
      </c>
    </row>
    <row r="154" spans="1:43" x14ac:dyDescent="0.25">
      <c r="A154" s="139">
        <v>0.75</v>
      </c>
      <c r="B154" s="129">
        <f>'Sub C_D_0'!AY115</f>
        <v>4.199577618559161E-2</v>
      </c>
      <c r="C154" s="129">
        <f>'C_L vs. α'!X406</f>
        <v>0.19919440160472265</v>
      </c>
      <c r="D154" s="247">
        <f>'C_L vs. α'!Z406</f>
        <v>0.53394517608710246</v>
      </c>
    </row>
    <row r="155" spans="1:43" x14ac:dyDescent="0.25">
      <c r="A155" s="129">
        <v>0.8</v>
      </c>
      <c r="B155" s="129">
        <f>'Sub C_D_0'!AY116</f>
        <v>4.1797936881663514E-2</v>
      </c>
      <c r="C155" s="129">
        <f>'C_L vs. α'!X407</f>
        <v>0.22470712759551215</v>
      </c>
      <c r="D155" s="247">
        <f>'C_L vs. α'!Z407</f>
        <v>0.57269768603406035</v>
      </c>
    </row>
    <row r="156" spans="1:43" x14ac:dyDescent="0.25">
      <c r="A156" s="139">
        <v>0.85</v>
      </c>
      <c r="B156" s="129">
        <f>'Sub C_D_0'!AY117</f>
        <v>4.2068504676576093E-2</v>
      </c>
      <c r="C156" s="129">
        <f>'C_L vs. α'!X408</f>
        <v>0.25871347316564169</v>
      </c>
      <c r="D156" s="247">
        <f>'C_L vs. α'!Z408</f>
        <v>0.62468234732408157</v>
      </c>
    </row>
    <row r="157" spans="1:43" x14ac:dyDescent="0.25">
      <c r="A157" s="129">
        <v>0.9</v>
      </c>
      <c r="B157" s="129">
        <f>'Sub C_D_0'!AY118</f>
        <v>4.1893809499601226E-2</v>
      </c>
      <c r="C157" s="129">
        <f>'C_L vs. α'!X409</f>
        <v>0.29690816662707575</v>
      </c>
      <c r="D157" s="247">
        <f>'C_L vs. α'!Z409</f>
        <v>0.69818643982597794</v>
      </c>
    </row>
    <row r="158" spans="1:43" x14ac:dyDescent="0.25">
      <c r="A158" s="139">
        <v>0.95</v>
      </c>
      <c r="B158" s="129">
        <f>'Sub C_D_0'!AY119</f>
        <v>4.1730367438559887E-2</v>
      </c>
      <c r="C158" s="129">
        <f>'C_L vs. α'!X410</f>
        <v>0.27010057359335643</v>
      </c>
      <c r="D158" s="247">
        <f>'C_L vs. α'!Z410</f>
        <v>0.80888898429027301</v>
      </c>
    </row>
    <row r="159" spans="1:43" s="29" customFormat="1" x14ac:dyDescent="0.25">
      <c r="A159" s="11"/>
      <c r="B159" s="11"/>
      <c r="C159" s="11"/>
      <c r="D159" s="11"/>
    </row>
    <row r="160" spans="1:43" s="29" customFormat="1" x14ac:dyDescent="0.25">
      <c r="A160" s="122" t="s">
        <v>537</v>
      </c>
      <c r="B160" s="122" t="s">
        <v>290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s="29" customFormat="1" x14ac:dyDescent="0.25">
      <c r="A161" s="122" t="s">
        <v>202</v>
      </c>
      <c r="B161" s="145">
        <v>20000</v>
      </c>
      <c r="C161" s="122" t="s">
        <v>538</v>
      </c>
      <c r="D161" s="122" t="s">
        <v>539</v>
      </c>
      <c r="E161"/>
      <c r="F161" s="1" t="s">
        <v>536</v>
      </c>
      <c r="G161" s="140">
        <v>0.05</v>
      </c>
      <c r="H161" s="1" t="s">
        <v>536</v>
      </c>
      <c r="I161" s="140">
        <v>0.1</v>
      </c>
      <c r="J161" s="1" t="s">
        <v>536</v>
      </c>
      <c r="K161" s="140">
        <v>0.15</v>
      </c>
      <c r="L161" s="1" t="s">
        <v>536</v>
      </c>
      <c r="M161" s="140">
        <v>0.2</v>
      </c>
      <c r="N161" t="s">
        <v>536</v>
      </c>
      <c r="O161" s="141">
        <v>0.25</v>
      </c>
      <c r="P161" t="s">
        <v>536</v>
      </c>
      <c r="Q161" s="141">
        <v>0.3</v>
      </c>
      <c r="R161" t="s">
        <v>536</v>
      </c>
      <c r="S161" s="141">
        <v>0.35</v>
      </c>
      <c r="T161" t="s">
        <v>536</v>
      </c>
      <c r="U161" s="141">
        <v>0.4</v>
      </c>
      <c r="V161" t="s">
        <v>536</v>
      </c>
      <c r="W161" s="141">
        <v>0.45</v>
      </c>
      <c r="X161" t="s">
        <v>536</v>
      </c>
      <c r="Y161" s="141">
        <v>0.5</v>
      </c>
      <c r="Z161" t="s">
        <v>536</v>
      </c>
      <c r="AA161" s="141">
        <v>0.55000000000000004</v>
      </c>
      <c r="AB161" t="s">
        <v>536</v>
      </c>
      <c r="AC161" s="141">
        <v>0.6</v>
      </c>
      <c r="AD161" t="s">
        <v>536</v>
      </c>
      <c r="AE161" s="141">
        <v>0.65</v>
      </c>
      <c r="AF161" t="s">
        <v>536</v>
      </c>
      <c r="AG161" s="141">
        <v>0.7</v>
      </c>
      <c r="AH161" t="s">
        <v>536</v>
      </c>
      <c r="AI161" s="141">
        <v>0.75</v>
      </c>
      <c r="AJ161" t="s">
        <v>536</v>
      </c>
      <c r="AK161" s="141">
        <v>0.8</v>
      </c>
      <c r="AL161" t="s">
        <v>536</v>
      </c>
      <c r="AM161" s="141">
        <v>0.85</v>
      </c>
      <c r="AN161" t="s">
        <v>536</v>
      </c>
      <c r="AO161" s="141">
        <v>0.9</v>
      </c>
      <c r="AP161" t="s">
        <v>536</v>
      </c>
      <c r="AQ161" s="141">
        <v>0.95</v>
      </c>
    </row>
    <row r="162" spans="1:43" s="29" customFormat="1" x14ac:dyDescent="0.25">
      <c r="A162" s="121" t="s">
        <v>182</v>
      </c>
      <c r="B162" s="121" t="s">
        <v>534</v>
      </c>
      <c r="C162" s="121" t="s">
        <v>535</v>
      </c>
      <c r="D162" s="248" t="s">
        <v>1126</v>
      </c>
      <c r="E162" s="121" t="s">
        <v>421</v>
      </c>
      <c r="F162" s="14" t="s">
        <v>244</v>
      </c>
      <c r="G162" s="6" t="s">
        <v>245</v>
      </c>
      <c r="H162" s="14" t="s">
        <v>244</v>
      </c>
      <c r="I162" s="6" t="s">
        <v>245</v>
      </c>
      <c r="J162" s="14" t="s">
        <v>244</v>
      </c>
      <c r="K162" s="6" t="s">
        <v>245</v>
      </c>
      <c r="L162" s="14" t="s">
        <v>244</v>
      </c>
      <c r="M162" s="6" t="s">
        <v>245</v>
      </c>
      <c r="N162" t="s">
        <v>244</v>
      </c>
      <c r="O162" t="s">
        <v>245</v>
      </c>
      <c r="P162" t="s">
        <v>244</v>
      </c>
      <c r="Q162" t="s">
        <v>245</v>
      </c>
      <c r="R162" t="s">
        <v>244</v>
      </c>
      <c r="S162" t="s">
        <v>245</v>
      </c>
      <c r="T162" t="s">
        <v>244</v>
      </c>
      <c r="U162" t="s">
        <v>245</v>
      </c>
      <c r="V162" t="s">
        <v>244</v>
      </c>
      <c r="W162" t="s">
        <v>245</v>
      </c>
      <c r="X162" t="s">
        <v>244</v>
      </c>
      <c r="Y162" t="s">
        <v>245</v>
      </c>
      <c r="Z162" t="s">
        <v>244</v>
      </c>
      <c r="AA162" t="s">
        <v>245</v>
      </c>
      <c r="AB162" t="s">
        <v>244</v>
      </c>
      <c r="AC162" t="s">
        <v>245</v>
      </c>
      <c r="AD162" t="s">
        <v>244</v>
      </c>
      <c r="AE162" t="s">
        <v>245</v>
      </c>
      <c r="AF162" t="s">
        <v>244</v>
      </c>
      <c r="AG162" t="s">
        <v>245</v>
      </c>
      <c r="AH162" t="s">
        <v>244</v>
      </c>
      <c r="AI162" t="s">
        <v>245</v>
      </c>
      <c r="AJ162" t="s">
        <v>244</v>
      </c>
      <c r="AK162" t="s">
        <v>245</v>
      </c>
      <c r="AL162" t="s">
        <v>244</v>
      </c>
      <c r="AM162" t="s">
        <v>245</v>
      </c>
      <c r="AN162" t="s">
        <v>244</v>
      </c>
      <c r="AO162" t="s">
        <v>245</v>
      </c>
      <c r="AP162" t="s">
        <v>244</v>
      </c>
      <c r="AQ162" t="s">
        <v>245</v>
      </c>
    </row>
    <row r="163" spans="1:43" s="29" customFormat="1" x14ac:dyDescent="0.25">
      <c r="A163" s="129">
        <v>0</v>
      </c>
      <c r="B163" s="129" t="e">
        <f>'Sub C_D_0'!AY130</f>
        <v>#DIV/0!</v>
      </c>
      <c r="C163" s="129" t="e">
        <f>'C_L vs. α'!X416</f>
        <v>#NUM!</v>
      </c>
      <c r="D163" s="247">
        <f>'C_L vs. α'!Z416</f>
        <v>0.38204298311929219</v>
      </c>
      <c r="E163" s="144">
        <v>-6</v>
      </c>
      <c r="F163" s="14">
        <f>$D$19+$C$19*(RADIANS(E163-$B$12))+$E$10*RADIANS(E163)^2</f>
        <v>0.38196596500111457</v>
      </c>
      <c r="G163" s="6">
        <f>$B$140+$B$7*F163^2+$B$8*(F163-F$142)^2</f>
        <v>6.3730086725712468E-2</v>
      </c>
      <c r="H163" s="14">
        <f>$D$20+$C$20*(RADIANS(E163-$B$12))+$E$10*RADIANS(E163)^2</f>
        <v>0.38314686001933163</v>
      </c>
      <c r="I163" s="6">
        <f>$B$141+$B$7*H163^2+$B$8*(H163-H$142)^2</f>
        <v>6.0397116876810833E-2</v>
      </c>
      <c r="J163" s="14">
        <f>$D$21+$C$21*(RADIANS(E163-$B$12))+$E$10*RADIANS(E163)^2</f>
        <v>0.38515725512832322</v>
      </c>
      <c r="K163" s="6">
        <f>$B$142+$B$7*J163^2+$B$8*(J163-J$142)^2</f>
        <v>5.8763852107327104E-2</v>
      </c>
      <c r="L163" s="14">
        <f>$D$22+$C$22*(RADIANS(E163-$B$12))+$E$10*RADIANS(E163)^2</f>
        <v>0.38803427363964721</v>
      </c>
      <c r="M163" s="6">
        <f>$B$143+$B$7*L163^2+$B$8*(L163-L$142)^2</f>
        <v>5.7788047324178145E-2</v>
      </c>
      <c r="N163" s="14">
        <f>$D$23+$C$23*(RADIANS(E163-$B$12))+$E$10*RADIANS(E163)^2</f>
        <v>0.39183668425641005</v>
      </c>
      <c r="O163" s="6">
        <f>$B$144+$B$7*N163^2+$B$8*(N163-N$142)^2</f>
        <v>5.7179579722821471E-2</v>
      </c>
      <c r="P163" s="14">
        <f>$D$24+$C$24*(RADIANS(E163-$B$12))+$E$10*RADIANS(E163)^2</f>
        <v>0.39665653077575869</v>
      </c>
      <c r="Q163" s="6">
        <f>$B$145+$B$7*P163^2+$B$8*(P163-P$142)^2</f>
        <v>5.7298851650367758E-2</v>
      </c>
      <c r="R163" s="14">
        <f>$D$25+$C$25*(RADIANS(E163-$B$12))+$E$10*RADIANS(E163)^2</f>
        <v>0.40258527120659587</v>
      </c>
      <c r="S163" s="6">
        <f>$B$146+$B$7*R163^2+$B$8*(R163-R$142)^2</f>
        <v>5.7129562326772132E-2</v>
      </c>
      <c r="T163" s="14">
        <f>$D$26+$C$26*(RADIANS(E163-$B$12))+$E$10*RADIANS(E163)^2</f>
        <v>0.40978062151035616</v>
      </c>
      <c r="U163" s="6">
        <f>$B$147+$B$7*T163^2+$B$8*(T163-T$142)^2</f>
        <v>5.7137860119057124E-2</v>
      </c>
      <c r="V163" s="14">
        <f>$D$27+$C$27*(RADIANS(E163-$B$12))+$E$10*RADIANS(E163)^2</f>
        <v>0.41843820131892678</v>
      </c>
      <c r="W163" s="6">
        <f>$B$148+$B$7*V163^2+$B$8*(V163-V$142)^2</f>
        <v>5.7318650966133367E-2</v>
      </c>
      <c r="X163" s="14">
        <f>$D$28+$C$28*(RADIANS(E163-$B$12))+$E$10*RADIANS(E163)^2</f>
        <v>0.42881882045062403</v>
      </c>
      <c r="Y163" s="6">
        <f>$B$149+$B$7*X163^2+$B$8*(X163-X$142)^2</f>
        <v>5.7681072497200774E-2</v>
      </c>
      <c r="Z163" s="14">
        <f>$D$29+$C$29*(RADIANS(E163-$B$12))+$E$10*RADIANS(E163)^2</f>
        <v>0.44127475472328925</v>
      </c>
      <c r="AA163" s="6">
        <f>$B$150+$B$7*Z163^2+$B$8*(Z163-Z$142)^2</f>
        <v>5.8248451519247173E-2</v>
      </c>
      <c r="AB163" s="14">
        <f>$D$30+$C$30*(RADIANS(E163-$B$12))+$E$10*RADIANS(E163)^2</f>
        <v>0.45629107917790385</v>
      </c>
      <c r="AC163" s="6">
        <f>$B$151+$B$7*AB163^2+$B$8*(AB163-AB$142)^2</f>
        <v>5.9061556198881836E-2</v>
      </c>
      <c r="AD163" s="14">
        <f>$D$31+$C$31*(RADIANS(E163-$B$12))+$E$10*RADIANS(E163)^2</f>
        <v>0.4745495893053634</v>
      </c>
      <c r="AE163" s="6">
        <f>$B$152+$B$7*AD163^2+$B$8*(AD163-AD$142)^2</f>
        <v>6.0657561965821234E-2</v>
      </c>
      <c r="AF163" s="14">
        <f>$D$32+$C$32*(RADIANS(E163-$B$12))+$E$10*RADIANS(E163)^2</f>
        <v>0.49705207351144215</v>
      </c>
      <c r="AG163" s="6">
        <f>$B$153+$B$7*AF163^2+$B$8*(AF163-AF$142)^2</f>
        <v>6.2192782289477444E-2</v>
      </c>
      <c r="AH163" s="14">
        <f>$D$33+$C$33*(RADIANS(E163-$B$12))+$E$10*RADIANS(E163)^2</f>
        <v>0.52532705755464026</v>
      </c>
      <c r="AI163" s="6">
        <f>$B$154+$B$7*AH163^2+$B$8*(AH163-AH$142)^2</f>
        <v>6.4317233328729476E-2</v>
      </c>
      <c r="AJ163" s="14">
        <f>$D$34+$C$34*(RADIANS(E163-$B$12))+$E$10*RADIANS(E163)^2</f>
        <v>0.56184529703827968</v>
      </c>
      <c r="AK163">
        <f>$B$155+$B$9*AJ163^2</f>
        <v>7.3640678030356871E-2</v>
      </c>
      <c r="AL163" s="14">
        <f>$D$35+$C$35*(RADIANS(E163-$B$12))+$E$10*RADIANS(E163)^2</f>
        <v>0.61084414705449297</v>
      </c>
      <c r="AM163">
        <f>$B$156+$B$9*AL163^2</f>
        <v>7.9707479022450858E-2</v>
      </c>
      <c r="AN163" s="14">
        <f>$D$36+$C$36*(RADIANS(E163-$B$12))+$E$10*RADIANS(E163)^2</f>
        <v>0.68097026783792147</v>
      </c>
      <c r="AO163">
        <f>$B$157+$B$9*AN163^2</f>
        <v>8.8670904508988346E-2</v>
      </c>
      <c r="AP163" s="14">
        <f>$D$37+$C$37*(RADIANS(E163-$B$12))+$E$10*RADIANS(E163)^2</f>
        <v>0.79383266344327119</v>
      </c>
      <c r="AQ163">
        <f>$B$158+$B$9*AP163^2</f>
        <v>0.10529782999315529</v>
      </c>
    </row>
    <row r="164" spans="1:43" s="29" customFormat="1" x14ac:dyDescent="0.25">
      <c r="A164" s="139">
        <v>0.05</v>
      </c>
      <c r="B164" s="129">
        <f>'Sub C_D_0'!AY131</f>
        <v>5.5728545100377808E-2</v>
      </c>
      <c r="C164" s="129">
        <f>'C_L vs. α'!X417</f>
        <v>0.10607231296122756</v>
      </c>
      <c r="D164" s="247">
        <f>'C_L vs. α'!Z417</f>
        <v>0.3824586133220616</v>
      </c>
      <c r="E164" s="144">
        <v>-4</v>
      </c>
      <c r="F164" s="14">
        <f t="shared" ref="F164:F174" si="229">$D$19+$C$19*(RADIANS(E164-$B$12))+$E$10*RADIANS(E164)^2</f>
        <v>0.38079833828884896</v>
      </c>
      <c r="G164" s="6">
        <f t="shared" ref="G164:G174" si="230">$B$140+$B$7*F164^2+$B$8*(F164-F$142)^2</f>
        <v>6.3658195703824402E-2</v>
      </c>
      <c r="H164" s="14">
        <f t="shared" ref="H164:H174" si="231">$D$20+$C$20*(RADIANS(E164-$B$12))+$E$10*RADIANS(E164)^2</f>
        <v>0.38200890015285915</v>
      </c>
      <c r="I164" s="6">
        <f t="shared" ref="I164:I174" si="232">$B$141+$B$7*H164^2+$B$8*(H164-H$142)^2</f>
        <v>6.0326835737223597E-2</v>
      </c>
      <c r="J164" s="14">
        <f t="shared" ref="J164:J174" si="233">$D$21+$C$21*(RADIANS(E164-$B$12))+$E$10*RADIANS(E164)^2</f>
        <v>0.38406292062782471</v>
      </c>
      <c r="K164" s="6">
        <f t="shared" ref="K164:K174" si="234">$B$142+$B$7*J164^2+$B$8*(J164-J$142)^2</f>
        <v>5.8695910361270406E-2</v>
      </c>
      <c r="L164" s="14">
        <f t="shared" ref="L164:L174" si="235">$D$22+$C$22*(RADIANS(E164-$B$12))+$E$10*RADIANS(E164)^2</f>
        <v>0.3869999361826319</v>
      </c>
      <c r="M164" s="6">
        <f t="shared" ref="M164:M174" si="236">$B$143+$B$7*L164^2+$B$8*(L164-L$142)^2</f>
        <v>5.7723350353059207E-2</v>
      </c>
      <c r="N164" s="14">
        <f t="shared" ref="N164:N174" si="237">$D$23+$C$23*(RADIANS(E164-$B$12))+$E$10*RADIANS(E164)^2</f>
        <v>0.39088074888723873</v>
      </c>
      <c r="O164" s="6">
        <f t="shared" ref="O164:O174" si="238">$B$144+$B$7*N164^2+$B$8*(N164-N$142)^2</f>
        <v>5.7119200245085509E-2</v>
      </c>
      <c r="P164" s="14">
        <f t="shared" ref="P164:P174" si="239">$D$24+$C$24*(RADIANS(E164-$B$12))+$E$10*RADIANS(E164)^2</f>
        <v>0.39579596538243639</v>
      </c>
      <c r="Q164" s="6">
        <f t="shared" ref="Q164:Q174" si="240">$B$145+$B$7*P164^2+$B$8*(P164-P$142)^2</f>
        <v>5.7243826676617864E-2</v>
      </c>
      <c r="R164" s="14">
        <f t="shared" ref="R164:R174" si="241">$D$25+$C$25*(RADIANS(E164-$B$12))+$E$10*RADIANS(E164)^2</f>
        <v>0.40184799655880499</v>
      </c>
      <c r="S164" s="6">
        <f t="shared" ref="S164:S174" si="242">$B$146+$B$7*R164^2+$B$8*(R164-R$142)^2</f>
        <v>5.7081715348766889E-2</v>
      </c>
      <c r="T164" s="14">
        <f t="shared" ref="T164:T174" si="243">$D$26+$C$26*(RADIANS(E164-$B$12))+$E$10*RADIANS(E164)^2</f>
        <v>0.40919455134097138</v>
      </c>
      <c r="U164" s="6">
        <f t="shared" ref="U164:U174" si="244">$B$147+$B$7*T164^2+$B$8*(T164-T$142)^2</f>
        <v>5.7099145482769904E-2</v>
      </c>
      <c r="V164" s="14">
        <f t="shared" ref="V164:V174" si="245">$D$27+$C$27*(RADIANS(E164-$B$12))+$E$10*RADIANS(E164)^2</f>
        <v>0.41803659579425889</v>
      </c>
      <c r="W164" s="6">
        <f t="shared" ref="W164:W174" si="246">$B$148+$B$7*V164^2+$B$8*(V164-V$142)^2</f>
        <v>5.7291560733312992E-2</v>
      </c>
      <c r="X164" s="14">
        <f t="shared" ref="X164:X174" si="247">$D$28+$C$28*(RADIANS(E164-$B$12))+$E$10*RADIANS(E164)^2</f>
        <v>0.42864212824917736</v>
      </c>
      <c r="Y164" s="6">
        <f t="shared" ref="Y164:Y174" si="248">$B$149+$B$7*X164^2+$B$8*(X164-X$142)^2</f>
        <v>5.7668857842606482E-2</v>
      </c>
      <c r="Z164" s="14">
        <f t="shared" ref="Z164:Z174" si="249">$D$29+$C$29*(RADIANS(E164-$B$12))+$E$10*RADIANS(E164)^2</f>
        <v>0.44137322125238498</v>
      </c>
      <c r="AA164" s="6">
        <f t="shared" ref="AA164:AA174" si="250">$B$150+$B$7*Z164^2+$B$8*(Z164-Z$142)^2</f>
        <v>5.8255456330537136E-2</v>
      </c>
      <c r="AB164" s="14">
        <f t="shared" ref="AB164:AB174" si="251">$D$30+$C$30*(RADIANS(E164-$B$12))+$E$10*RADIANS(E164)^2</f>
        <v>0.45672851666868225</v>
      </c>
      <c r="AC164" s="6">
        <f t="shared" ref="AC164:AC174" si="252">$B$151+$B$7*AB164^2+$B$8*(AB164-AB$142)^2</f>
        <v>5.9093734699991227E-2</v>
      </c>
      <c r="AD164" s="14">
        <f t="shared" ref="AD164:AD174" si="253">$D$31+$C$31*(RADIANS(E164-$B$12))+$E$10*RADIANS(E164)^2</f>
        <v>0.47541039180790012</v>
      </c>
      <c r="AE164" s="6">
        <f t="shared" ref="AE164:AE174" si="254">$B$152+$B$7*AD164^2+$B$8*(AD164-AD$142)^2</f>
        <v>6.072341897874859E-2</v>
      </c>
      <c r="AF164" s="14">
        <f t="shared" ref="AF164:AF174" si="255">$D$32+$C$32*(RADIANS(E164-$B$12))+$E$10*RADIANS(E164)^2</f>
        <v>0.49844800212462537</v>
      </c>
      <c r="AG164" s="6">
        <f t="shared" ref="AG164:AG174" si="256">$B$153+$B$7*AF164^2+$B$8*(AF164-AF$142)^2</f>
        <v>6.2304646429323346E-2</v>
      </c>
      <c r="AH164" s="14">
        <f t="shared" ref="AH164:AH174" si="257">$D$33+$C$33*(RADIANS(E164-$B$12))+$E$10*RADIANS(E164)^2</f>
        <v>0.52740961892698079</v>
      </c>
      <c r="AI164" s="6">
        <f t="shared" ref="AI164:AI174" si="258">$B$154+$B$7*AH164^2+$B$8*(AH164-AH$142)^2</f>
        <v>6.449361849294126E-2</v>
      </c>
      <c r="AJ164" s="14">
        <f t="shared" ref="AJ164:AJ174" si="259">$D$34+$C$34*(RADIANS(E164-$B$12))+$E$10*RADIANS(E164)^2</f>
        <v>0.56482156659594751</v>
      </c>
      <c r="AK164">
        <f t="shared" ref="AK164:AK174" si="260">$B$155+$B$9*AJ164^2</f>
        <v>7.3978933423991894E-2</v>
      </c>
      <c r="AL164" s="14">
        <f t="shared" ref="AL164:AL174" si="261">$D$35+$C$35*(RADIANS(E164-$B$12))+$E$10*RADIANS(E164)^2</f>
        <v>0.61501474112168397</v>
      </c>
      <c r="AM164">
        <f t="shared" ref="AM164:AM174" si="262">$B$156+$B$9*AL164^2</f>
        <v>8.0223200654056082E-2</v>
      </c>
      <c r="AN164" s="14">
        <f t="shared" ref="AN164:AN174" si="263">$D$36+$C$36*(RADIANS(E164-$B$12))+$E$10*RADIANS(E164)^2</f>
        <v>0.68649205059249963</v>
      </c>
      <c r="AO164">
        <f t="shared" ref="AO164:AO174" si="264">$B$157+$B$9*AN164^2</f>
        <v>8.9432582892514337E-2</v>
      </c>
      <c r="AP164" s="14">
        <f t="shared" ref="AP164:AP174" si="265">$D$37+$C$37*(RADIANS(E164-$B$12))+$E$10*RADIANS(E164)^2</f>
        <v>0.79849050574142755</v>
      </c>
      <c r="AQ164">
        <f t="shared" ref="AQ164:AQ174" si="266">$B$158+$B$9*AP164^2</f>
        <v>0.10604598733374686</v>
      </c>
    </row>
    <row r="165" spans="1:43" s="29" customFormat="1" x14ac:dyDescent="0.25">
      <c r="A165" s="129">
        <v>0.1</v>
      </c>
      <c r="B165" s="129">
        <f>'Sub C_D_0'!AY132</f>
        <v>5.1751249585924822E-2</v>
      </c>
      <c r="C165" s="129">
        <f>'C_L vs. α'!X418</f>
        <v>0.10691194222125561</v>
      </c>
      <c r="D165" s="247">
        <f>'C_L vs. α'!Z418</f>
        <v>0.38371367545476148</v>
      </c>
      <c r="E165" s="144">
        <v>-2</v>
      </c>
      <c r="F165" s="14">
        <f t="shared" si="229"/>
        <v>0.38158026306321818</v>
      </c>
      <c r="G165" s="6">
        <f t="shared" si="230"/>
        <v>6.3706308553975896E-2</v>
      </c>
      <c r="H165" s="14">
        <f t="shared" si="231"/>
        <v>0.38282049177302152</v>
      </c>
      <c r="I165" s="6">
        <f t="shared" si="232"/>
        <v>6.0376933443057085E-2</v>
      </c>
      <c r="J165" s="14">
        <f t="shared" si="233"/>
        <v>0.3849181376139611</v>
      </c>
      <c r="K165" s="6">
        <f t="shared" si="234"/>
        <v>5.8748985870582721E-2</v>
      </c>
      <c r="L165" s="14">
        <f t="shared" si="235"/>
        <v>0.38791515021225137</v>
      </c>
      <c r="M165" s="6">
        <f t="shared" si="236"/>
        <v>5.7780585252598264E-2</v>
      </c>
      <c r="N165" s="14">
        <f t="shared" si="237"/>
        <v>0.39187436500470224</v>
      </c>
      <c r="O165" s="6">
        <f t="shared" si="238"/>
        <v>5.718196351808507E-2</v>
      </c>
      <c r="P165" s="14">
        <f t="shared" si="239"/>
        <v>0.39688495147574893</v>
      </c>
      <c r="Q165" s="6">
        <f t="shared" si="240"/>
        <v>5.7313482074038719E-2</v>
      </c>
      <c r="R165" s="14">
        <f t="shared" si="241"/>
        <v>0.40306027339764899</v>
      </c>
      <c r="S165" s="6">
        <f t="shared" si="242"/>
        <v>5.7160446672350589E-2</v>
      </c>
      <c r="T165" s="14">
        <f t="shared" si="243"/>
        <v>0.41055803265822149</v>
      </c>
      <c r="U165" s="6">
        <f t="shared" si="244"/>
        <v>5.7189321286377222E-2</v>
      </c>
      <c r="V165" s="14">
        <f t="shared" si="245"/>
        <v>0.41958454175622578</v>
      </c>
      <c r="W165" s="6">
        <f t="shared" si="246"/>
        <v>5.7396156163920166E-2</v>
      </c>
      <c r="X165" s="14">
        <f t="shared" si="247"/>
        <v>0.43041498753436558</v>
      </c>
      <c r="Y165" s="6">
        <f t="shared" si="248"/>
        <v>5.7791700279159204E-2</v>
      </c>
      <c r="Z165" s="14">
        <f t="shared" si="249"/>
        <v>0.44342123926811561</v>
      </c>
      <c r="AA165" s="6">
        <f t="shared" si="250"/>
        <v>5.8401593746086986E-2</v>
      </c>
      <c r="AB165" s="14">
        <f t="shared" si="251"/>
        <v>0.45911550564609555</v>
      </c>
      <c r="AC165" s="6">
        <f t="shared" si="252"/>
        <v>5.9270004955623984E-2</v>
      </c>
      <c r="AD165" s="14">
        <f t="shared" si="253"/>
        <v>0.47822074579707169</v>
      </c>
      <c r="AE165" s="6">
        <f t="shared" si="254"/>
        <v>6.0939470148681237E-2</v>
      </c>
      <c r="AF165" s="14">
        <f t="shared" si="255"/>
        <v>0.50179348222444353</v>
      </c>
      <c r="AG165" s="6">
        <f t="shared" si="256"/>
        <v>6.2574339917417662E-2</v>
      </c>
      <c r="AH165" s="14">
        <f t="shared" si="257"/>
        <v>0.53144173178595611</v>
      </c>
      <c r="AI165" s="6">
        <f t="shared" si="258"/>
        <v>6.4837610422230657E-2</v>
      </c>
      <c r="AJ165" s="14">
        <f t="shared" si="259"/>
        <v>0.56974738764025024</v>
      </c>
      <c r="AK165">
        <f t="shared" si="260"/>
        <v>7.4542683316400182E-2</v>
      </c>
      <c r="AL165" s="14">
        <f t="shared" si="261"/>
        <v>0.62113488667550987</v>
      </c>
      <c r="AM165">
        <f t="shared" si="262"/>
        <v>8.0986350357892423E-2</v>
      </c>
      <c r="AN165" s="14">
        <f t="shared" si="263"/>
        <v>0.69396338483371267</v>
      </c>
      <c r="AO165">
        <f t="shared" si="264"/>
        <v>9.0472976088563403E-2</v>
      </c>
      <c r="AP165" s="14">
        <f t="shared" si="265"/>
        <v>0.80509789952621869</v>
      </c>
      <c r="AQ165">
        <f t="shared" si="266"/>
        <v>0.10711479619188724</v>
      </c>
    </row>
    <row r="166" spans="1:43" s="29" customFormat="1" x14ac:dyDescent="0.25">
      <c r="A166" s="139">
        <v>0.15</v>
      </c>
      <c r="B166" s="129">
        <f>'Sub C_D_0'!AY133</f>
        <v>4.970943456892353E-2</v>
      </c>
      <c r="C166" s="129">
        <f>'C_L vs. α'!X419</f>
        <v>0.10816376407631595</v>
      </c>
      <c r="D166" s="247">
        <f>'C_L vs. α'!Z419</f>
        <v>0.38583313397868807</v>
      </c>
      <c r="E166" s="143">
        <v>0</v>
      </c>
      <c r="F166" s="14">
        <f t="shared" si="229"/>
        <v>0.38431173932422247</v>
      </c>
      <c r="G166" s="6">
        <f t="shared" si="230"/>
        <v>6.3875347906820673E-2</v>
      </c>
      <c r="H166" s="14">
        <f t="shared" si="231"/>
        <v>0.38558163487981889</v>
      </c>
      <c r="I166" s="6">
        <f t="shared" si="232"/>
        <v>6.0548367630303412E-2</v>
      </c>
      <c r="J166" s="14">
        <f t="shared" si="233"/>
        <v>0.38772290608673249</v>
      </c>
      <c r="K166" s="6">
        <f t="shared" si="234"/>
        <v>5.8924087746923946E-2</v>
      </c>
      <c r="L166" s="14">
        <f t="shared" si="235"/>
        <v>0.3907799157285059</v>
      </c>
      <c r="M166" s="6">
        <f t="shared" si="236"/>
        <v>5.7960831927852813E-2</v>
      </c>
      <c r="N166" s="14">
        <f t="shared" si="237"/>
        <v>0.3948175326088007</v>
      </c>
      <c r="O166" s="6">
        <f t="shared" si="238"/>
        <v>5.7369041957272424E-2</v>
      </c>
      <c r="P166" s="14">
        <f t="shared" si="239"/>
        <v>0.39992348905569641</v>
      </c>
      <c r="Q166" s="6">
        <f t="shared" si="240"/>
        <v>5.7509102789704621E-2</v>
      </c>
      <c r="R166" s="14">
        <f t="shared" si="241"/>
        <v>0.406222101723128</v>
      </c>
      <c r="S166" s="6">
        <f t="shared" si="242"/>
        <v>5.7367186721278753E-2</v>
      </c>
      <c r="T166" s="14">
        <f t="shared" si="243"/>
        <v>0.41387106546210661</v>
      </c>
      <c r="U166" s="6">
        <f t="shared" si="244"/>
        <v>5.7409996367071982E-2</v>
      </c>
      <c r="V166" s="14">
        <f t="shared" si="245"/>
        <v>0.42308203920482768</v>
      </c>
      <c r="W166" s="6">
        <f t="shared" si="246"/>
        <v>5.7634263753855261E-2</v>
      </c>
      <c r="X166" s="14">
        <f t="shared" si="247"/>
        <v>0.43413739830618875</v>
      </c>
      <c r="Y166" s="6">
        <f t="shared" si="248"/>
        <v>5.8051691688808249E-2</v>
      </c>
      <c r="Z166" s="14">
        <f t="shared" si="249"/>
        <v>0.44741880877048118</v>
      </c>
      <c r="AA166" s="6">
        <f t="shared" si="250"/>
        <v>5.8689280320867961E-2</v>
      </c>
      <c r="AB166" s="14">
        <f t="shared" si="251"/>
        <v>0.46345204611014379</v>
      </c>
      <c r="AC166" s="6">
        <f t="shared" si="252"/>
        <v>5.9593183488894329E-2</v>
      </c>
      <c r="AD166" s="14">
        <f t="shared" si="253"/>
        <v>0.48298065127287826</v>
      </c>
      <c r="AE166" s="6">
        <f t="shared" si="254"/>
        <v>6.1309031547475641E-2</v>
      </c>
      <c r="AF166" s="14">
        <f t="shared" si="255"/>
        <v>0.50708851381089648</v>
      </c>
      <c r="AG166" s="6">
        <f t="shared" si="256"/>
        <v>6.3005810246655636E-2</v>
      </c>
      <c r="AH166" s="14">
        <f t="shared" si="257"/>
        <v>0.53742339613156631</v>
      </c>
      <c r="AI166" s="6">
        <f t="shared" si="258"/>
        <v>6.5353966800514057E-2</v>
      </c>
      <c r="AJ166" s="14">
        <f t="shared" si="259"/>
        <v>0.57662276017118796</v>
      </c>
      <c r="AK166" s="99">
        <f t="shared" si="260"/>
        <v>7.5337739920775443E-2</v>
      </c>
      <c r="AL166" s="14">
        <f t="shared" si="261"/>
        <v>0.62920458371597077</v>
      </c>
      <c r="AM166" s="99">
        <f t="shared" si="262"/>
        <v>8.2004149588092184E-2</v>
      </c>
      <c r="AN166" s="14">
        <f t="shared" si="263"/>
        <v>0.70338427056156072</v>
      </c>
      <c r="AO166" s="99">
        <f t="shared" si="264"/>
        <v>9.18008998837955E-2</v>
      </c>
      <c r="AP166" s="14">
        <f t="shared" si="265"/>
        <v>0.81365484479764483</v>
      </c>
      <c r="AQ166" s="99">
        <f t="shared" si="266"/>
        <v>0.10851205294933425</v>
      </c>
    </row>
    <row r="167" spans="1:43" s="29" customFormat="1" x14ac:dyDescent="0.25">
      <c r="A167" s="129">
        <v>0.2</v>
      </c>
      <c r="B167" s="129">
        <f>'Sub C_D_0'!AY134</f>
        <v>4.8371618771016214E-2</v>
      </c>
      <c r="C167" s="129">
        <f>'C_L vs. α'!X420</f>
        <v>0.10988714161748976</v>
      </c>
      <c r="D167" s="247">
        <f>'C_L vs. α'!Z420</f>
        <v>0.38886014509871991</v>
      </c>
      <c r="E167" s="144">
        <v>2</v>
      </c>
      <c r="F167" s="14">
        <f t="shared" si="229"/>
        <v>0.38899276707186159</v>
      </c>
      <c r="G167" s="6">
        <f t="shared" si="230"/>
        <v>6.416853676258949E-2</v>
      </c>
      <c r="H167" s="14">
        <f t="shared" si="231"/>
        <v>0.39029232947325115</v>
      </c>
      <c r="I167" s="6">
        <f t="shared" si="232"/>
        <v>6.0844396304531728E-2</v>
      </c>
      <c r="J167" s="14">
        <f t="shared" si="233"/>
        <v>0.39247722604613877</v>
      </c>
      <c r="K167" s="6">
        <f t="shared" si="234"/>
        <v>5.922452547153105E-2</v>
      </c>
      <c r="L167" s="14">
        <f t="shared" si="235"/>
        <v>0.39559423273139527</v>
      </c>
      <c r="M167" s="6">
        <f t="shared" si="236"/>
        <v>5.8267470653457415E-2</v>
      </c>
      <c r="N167" s="14">
        <f t="shared" si="237"/>
        <v>0.39971025169953411</v>
      </c>
      <c r="O167" s="6">
        <f t="shared" si="238"/>
        <v>5.7683908347676914E-2</v>
      </c>
      <c r="P167" s="14">
        <f t="shared" si="239"/>
        <v>0.40491157812227885</v>
      </c>
      <c r="Q167" s="6">
        <f t="shared" si="240"/>
        <v>5.7834274140266935E-2</v>
      </c>
      <c r="R167" s="14">
        <f t="shared" si="241"/>
        <v>0.41133348153524191</v>
      </c>
      <c r="S167" s="6">
        <f t="shared" si="242"/>
        <v>5.7705666288883968E-2</v>
      </c>
      <c r="T167" s="14">
        <f t="shared" si="243"/>
        <v>0.41913364975262662</v>
      </c>
      <c r="U167" s="6">
        <f t="shared" si="244"/>
        <v>5.7765079931624115E-2</v>
      </c>
      <c r="V167" s="14">
        <f t="shared" si="245"/>
        <v>0.42852908814006446</v>
      </c>
      <c r="W167" s="6">
        <f t="shared" si="246"/>
        <v>5.8010010368595717E-2</v>
      </c>
      <c r="X167" s="14">
        <f t="shared" si="247"/>
        <v>0.43980936056464687</v>
      </c>
      <c r="Y167" s="6">
        <f t="shared" si="248"/>
        <v>5.8453224323079998E-2</v>
      </c>
      <c r="Z167" s="14">
        <f t="shared" si="249"/>
        <v>0.4533659297594817</v>
      </c>
      <c r="AA167" s="6">
        <f t="shared" si="250"/>
        <v>5.912323297942837E-2</v>
      </c>
      <c r="AB167" s="14">
        <f t="shared" si="251"/>
        <v>0.46973813806082698</v>
      </c>
      <c r="AC167" s="6">
        <f t="shared" si="252"/>
        <v>6.0068387192493577E-2</v>
      </c>
      <c r="AD167" s="14">
        <f t="shared" si="253"/>
        <v>0.48969010823531972</v>
      </c>
      <c r="AE167" s="6">
        <f t="shared" si="254"/>
        <v>6.1837719616565326E-2</v>
      </c>
      <c r="AF167" s="14">
        <f t="shared" si="255"/>
        <v>0.51433309688398454</v>
      </c>
      <c r="AG167" s="6">
        <f t="shared" si="256"/>
        <v>6.3605305279509569E-2</v>
      </c>
      <c r="AH167" s="14">
        <f t="shared" si="257"/>
        <v>0.54535461196381152</v>
      </c>
      <c r="AI167" s="6">
        <f t="shared" si="258"/>
        <v>6.6049745681284966E-2</v>
      </c>
      <c r="AJ167" s="14">
        <f t="shared" si="259"/>
        <v>0.58544768418876059</v>
      </c>
      <c r="AK167">
        <f t="shared" si="260"/>
        <v>7.6372215819888484E-2</v>
      </c>
      <c r="AL167" s="14">
        <f t="shared" si="261"/>
        <v>0.63922383224306656</v>
      </c>
      <c r="AM167">
        <f t="shared" si="262"/>
        <v>8.3286120168364786E-2</v>
      </c>
      <c r="AN167" s="14">
        <f t="shared" si="263"/>
        <v>0.71475470777604366</v>
      </c>
      <c r="AO167">
        <f t="shared" si="264"/>
        <v>9.3427470434447601E-2</v>
      </c>
      <c r="AP167" s="14">
        <f t="shared" si="265"/>
        <v>0.82416134155570586</v>
      </c>
      <c r="AQ167">
        <f t="shared" si="266"/>
        <v>0.11024785435742281</v>
      </c>
    </row>
    <row r="168" spans="1:43" s="29" customFormat="1" x14ac:dyDescent="0.25">
      <c r="A168" s="139">
        <v>0.25</v>
      </c>
      <c r="B168" s="129">
        <f>'Sub C_D_0'!AY135</f>
        <v>4.7391896273049232E-2</v>
      </c>
      <c r="C168" s="129">
        <f>'C_L vs. α'!X421</f>
        <v>0.11213878405136782</v>
      </c>
      <c r="D168" s="247">
        <f>'C_L vs. α'!Z421</f>
        <v>0.39285856093509275</v>
      </c>
      <c r="E168" s="144">
        <v>4</v>
      </c>
      <c r="F168" s="14">
        <f t="shared" si="229"/>
        <v>0.39562334630613571</v>
      </c>
      <c r="G168" s="6">
        <f t="shared" si="230"/>
        <v>6.4591398491090232E-2</v>
      </c>
      <c r="H168" s="14">
        <f t="shared" si="231"/>
        <v>0.39695257555331842</v>
      </c>
      <c r="I168" s="6">
        <f t="shared" si="232"/>
        <v>6.1270577840888324E-2</v>
      </c>
      <c r="J168" s="14">
        <f t="shared" si="233"/>
        <v>0.39918109749218</v>
      </c>
      <c r="K168" s="6">
        <f t="shared" si="234"/>
        <v>5.9655908895218081E-2</v>
      </c>
      <c r="L168" s="14">
        <f t="shared" si="235"/>
        <v>0.40235810122091969</v>
      </c>
      <c r="M168" s="6">
        <f t="shared" si="236"/>
        <v>5.8706182073623762E-2</v>
      </c>
      <c r="N168" s="14">
        <f t="shared" si="237"/>
        <v>0.40655252227690253</v>
      </c>
      <c r="O168" s="6">
        <f t="shared" si="238"/>
        <v>5.8132335843904988E-2</v>
      </c>
      <c r="P168" s="14">
        <f t="shared" si="239"/>
        <v>0.41184921867549629</v>
      </c>
      <c r="Q168" s="6">
        <f t="shared" si="240"/>
        <v>5.8294881811954129E-2</v>
      </c>
      <c r="R168" s="14">
        <f t="shared" si="241"/>
        <v>0.41839441283399076</v>
      </c>
      <c r="S168" s="6">
        <f t="shared" si="242"/>
        <v>5.8181916538075938E-2</v>
      </c>
      <c r="T168" s="14">
        <f t="shared" si="243"/>
        <v>0.42634578552978158</v>
      </c>
      <c r="U168" s="6">
        <f t="shared" si="244"/>
        <v>5.8260781556380675E-2</v>
      </c>
      <c r="V168" s="14">
        <f t="shared" si="245"/>
        <v>0.43592568856193631</v>
      </c>
      <c r="W168" s="6">
        <f t="shared" si="246"/>
        <v>5.8529823243196069E-2</v>
      </c>
      <c r="X168" s="14">
        <f t="shared" si="247"/>
        <v>0.44743087430973993</v>
      </c>
      <c r="Y168" s="6">
        <f t="shared" si="248"/>
        <v>5.9002990803077887E-2</v>
      </c>
      <c r="Z168" s="14">
        <f t="shared" si="249"/>
        <v>0.46126260223511717</v>
      </c>
      <c r="AA168" s="6">
        <f t="shared" si="250"/>
        <v>5.9710469015893629E-2</v>
      </c>
      <c r="AB168" s="14">
        <f t="shared" si="251"/>
        <v>0.47797378149814512</v>
      </c>
      <c r="AC168" s="6">
        <f t="shared" si="252"/>
        <v>6.0703033328690106E-2</v>
      </c>
      <c r="AD168" s="14">
        <f t="shared" si="253"/>
        <v>0.49834911668439619</v>
      </c>
      <c r="AE168" s="6">
        <f t="shared" si="254"/>
        <v>6.2533451166960907E-2</v>
      </c>
      <c r="AF168" s="14">
        <f t="shared" si="255"/>
        <v>0.52352723144370739</v>
      </c>
      <c r="AG168" s="6">
        <f t="shared" si="256"/>
        <v>6.4381373248028839E-2</v>
      </c>
      <c r="AH168" s="14">
        <f t="shared" si="257"/>
        <v>0.55523537928269173</v>
      </c>
      <c r="AI168" s="6">
        <f t="shared" si="258"/>
        <v>6.6934305487613921E-2</v>
      </c>
      <c r="AJ168" s="14">
        <f t="shared" si="259"/>
        <v>0.5962221596929681</v>
      </c>
      <c r="AK168">
        <f t="shared" si="260"/>
        <v>7.7656523966087243E-2</v>
      </c>
      <c r="AL168" s="14">
        <f t="shared" si="261"/>
        <v>0.65119263225679724</v>
      </c>
      <c r="AM168">
        <f t="shared" si="262"/>
        <v>8.4844084291996746E-2</v>
      </c>
      <c r="AN168" s="14">
        <f t="shared" si="263"/>
        <v>0.7280746964771615</v>
      </c>
      <c r="AO168">
        <f t="shared" si="264"/>
        <v>9.5366104266333823E-2</v>
      </c>
      <c r="AP168" s="14">
        <f t="shared" si="265"/>
        <v>0.8366173898004019</v>
      </c>
      <c r="AQ168">
        <f t="shared" si="266"/>
        <v>0.11233459753706493</v>
      </c>
    </row>
    <row r="169" spans="1:43" s="29" customFormat="1" x14ac:dyDescent="0.25">
      <c r="A169" s="129">
        <v>0.3</v>
      </c>
      <c r="B169" s="129">
        <f>'Sub C_D_0'!AY136</f>
        <v>4.7152835431231471E-2</v>
      </c>
      <c r="C169" s="129">
        <f>'C_L vs. α'!X422</f>
        <v>0.1148736684758787</v>
      </c>
      <c r="D169" s="247">
        <f>'C_L vs. α'!Z422</f>
        <v>0.39791683239406395</v>
      </c>
      <c r="E169" s="144">
        <v>6</v>
      </c>
      <c r="F169" s="14">
        <f t="shared" si="229"/>
        <v>0.40420347702704473</v>
      </c>
      <c r="G169" s="6">
        <f t="shared" si="230"/>
        <v>6.5151756831707847E-2</v>
      </c>
      <c r="H169" s="14">
        <f t="shared" si="231"/>
        <v>0.40556237312002053</v>
      </c>
      <c r="I169" s="6">
        <f t="shared" si="232"/>
        <v>6.1834770984096517E-2</v>
      </c>
      <c r="J169" s="14">
        <f t="shared" si="233"/>
        <v>0.40783452042485613</v>
      </c>
      <c r="K169" s="6">
        <f t="shared" si="234"/>
        <v>6.0226148238376194E-2</v>
      </c>
      <c r="L169" s="14">
        <f t="shared" si="235"/>
        <v>0.4110715211970789</v>
      </c>
      <c r="M169" s="6">
        <f t="shared" si="236"/>
        <v>5.9284947202140559E-2</v>
      </c>
      <c r="N169" s="14">
        <f t="shared" si="237"/>
        <v>0.41534434434090578</v>
      </c>
      <c r="O169" s="6">
        <f t="shared" si="238"/>
        <v>5.8722397970140144E-2</v>
      </c>
      <c r="P169" s="14">
        <f t="shared" si="239"/>
        <v>0.42073641071534856</v>
      </c>
      <c r="Q169" s="6">
        <f t="shared" si="240"/>
        <v>5.8899111860571736E-2</v>
      </c>
      <c r="R169" s="14">
        <f t="shared" si="241"/>
        <v>0.4274048956193745</v>
      </c>
      <c r="S169" s="6">
        <f t="shared" si="242"/>
        <v>5.8804269001341405E-2</v>
      </c>
      <c r="T169" s="14">
        <f t="shared" si="243"/>
        <v>0.43550747279357144</v>
      </c>
      <c r="U169" s="6">
        <f t="shared" si="244"/>
        <v>5.890561118726579E-2</v>
      </c>
      <c r="V169" s="14">
        <f t="shared" si="245"/>
        <v>0.44527184047044294</v>
      </c>
      <c r="W169" s="6">
        <f t="shared" si="246"/>
        <v>5.9202429982287925E-2</v>
      </c>
      <c r="X169" s="14">
        <f t="shared" si="247"/>
        <v>0.45700193954146789</v>
      </c>
      <c r="Y169" s="6">
        <f t="shared" si="248"/>
        <v>5.9709984119482473E-2</v>
      </c>
      <c r="Z169" s="14">
        <f t="shared" si="249"/>
        <v>0.47110882619738753</v>
      </c>
      <c r="AA169" s="6">
        <f t="shared" si="250"/>
        <v>6.0460306093966222E-2</v>
      </c>
      <c r="AB169" s="14">
        <f t="shared" si="251"/>
        <v>0.48815897642209816</v>
      </c>
      <c r="AC169" s="6">
        <f t="shared" si="252"/>
        <v>6.15068395293294E-2</v>
      </c>
      <c r="AD169" s="14">
        <f t="shared" si="253"/>
        <v>0.50895767662010749</v>
      </c>
      <c r="AE169" s="6">
        <f t="shared" si="254"/>
        <v>6.3406443379250096E-2</v>
      </c>
      <c r="AF169" s="14">
        <f t="shared" si="255"/>
        <v>0.53467091749006523</v>
      </c>
      <c r="AG169" s="6">
        <f t="shared" si="256"/>
        <v>6.5344862753839966E-2</v>
      </c>
      <c r="AH169" s="14">
        <f t="shared" si="257"/>
        <v>0.56706569808820673</v>
      </c>
      <c r="AI169" s="6">
        <f t="shared" si="258"/>
        <v>6.8019305012148576E-2</v>
      </c>
      <c r="AJ169" s="14">
        <f t="shared" si="259"/>
        <v>0.60894618668381051</v>
      </c>
      <c r="AK169">
        <f t="shared" si="260"/>
        <v>7.9203377681296677E-2</v>
      </c>
      <c r="AL169" s="14">
        <f t="shared" si="261"/>
        <v>0.66511098375716293</v>
      </c>
      <c r="AM169">
        <f t="shared" si="262"/>
        <v>8.6692164521851633E-2</v>
      </c>
      <c r="AN169" s="14">
        <f t="shared" si="263"/>
        <v>0.74334423666491423</v>
      </c>
      <c r="AO169">
        <f t="shared" si="264"/>
        <v>9.7632518274845315E-2</v>
      </c>
      <c r="AP169" s="14">
        <f t="shared" si="265"/>
        <v>0.85102298953173272</v>
      </c>
      <c r="AQ169">
        <f t="shared" si="266"/>
        <v>0.11478697997874968</v>
      </c>
    </row>
    <row r="170" spans="1:43" s="29" customFormat="1" x14ac:dyDescent="0.25">
      <c r="A170" s="139">
        <v>0.35</v>
      </c>
      <c r="B170" s="129">
        <f>'Sub C_D_0'!AY137</f>
        <v>4.6516738964414855E-2</v>
      </c>
      <c r="C170" s="129">
        <f>'C_L vs. α'!X423</f>
        <v>0.11841223714928488</v>
      </c>
      <c r="D170" s="247">
        <f>'C_L vs. α'!Z423</f>
        <v>0.40415379968872978</v>
      </c>
      <c r="E170" s="144">
        <v>8</v>
      </c>
      <c r="F170" s="14">
        <f t="shared" si="229"/>
        <v>0.4147331592345887</v>
      </c>
      <c r="G170" s="6">
        <f t="shared" si="230"/>
        <v>6.5859735893404339E-2</v>
      </c>
      <c r="H170" s="14">
        <f t="shared" si="231"/>
        <v>0.41612172217335763</v>
      </c>
      <c r="I170" s="6">
        <f t="shared" si="232"/>
        <v>6.2547134848456767E-2</v>
      </c>
      <c r="J170" s="14">
        <f t="shared" si="233"/>
        <v>0.41843749484416726</v>
      </c>
      <c r="K170" s="6">
        <f t="shared" si="234"/>
        <v>6.0945454090973607E-2</v>
      </c>
      <c r="L170" s="14">
        <f t="shared" si="235"/>
        <v>0.42173449265987317</v>
      </c>
      <c r="M170" s="6">
        <f t="shared" si="236"/>
        <v>6.0014047422373679E-2</v>
      </c>
      <c r="N170" s="14">
        <f t="shared" si="237"/>
        <v>0.42608571789154404</v>
      </c>
      <c r="O170" s="6">
        <f t="shared" si="238"/>
        <v>5.9464468620142992E-2</v>
      </c>
      <c r="P170" s="14">
        <f t="shared" si="239"/>
        <v>0.43157315424183584</v>
      </c>
      <c r="Q170" s="6">
        <f t="shared" si="240"/>
        <v>5.9657450711502386E-2</v>
      </c>
      <c r="R170" s="14">
        <f t="shared" si="241"/>
        <v>0.43836492989139325</v>
      </c>
      <c r="S170" s="6">
        <f t="shared" si="242"/>
        <v>5.9583355580744256E-2</v>
      </c>
      <c r="T170" s="14">
        <f t="shared" si="243"/>
        <v>0.44661871154399629</v>
      </c>
      <c r="U170" s="6">
        <f t="shared" si="244"/>
        <v>5.9710379139780702E-2</v>
      </c>
      <c r="V170" s="14">
        <f t="shared" si="245"/>
        <v>0.45656754386558457</v>
      </c>
      <c r="W170" s="6">
        <f t="shared" si="246"/>
        <v>6.0038858560079983E-2</v>
      </c>
      <c r="X170" s="14">
        <f t="shared" si="247"/>
        <v>0.4685225562598308</v>
      </c>
      <c r="Y170" s="6">
        <f t="shared" si="248"/>
        <v>6.0585497632551367E-2</v>
      </c>
      <c r="Z170" s="14">
        <f t="shared" si="249"/>
        <v>0.48290460164629284</v>
      </c>
      <c r="AA170" s="6">
        <f t="shared" si="250"/>
        <v>6.1384362246925721E-2</v>
      </c>
      <c r="AB170" s="14">
        <f t="shared" si="251"/>
        <v>0.50029372283268625</v>
      </c>
      <c r="AC170" s="6">
        <f t="shared" si="252"/>
        <v>6.2491823795834039E-2</v>
      </c>
      <c r="AD170" s="14">
        <f t="shared" si="253"/>
        <v>0.5215157880424538</v>
      </c>
      <c r="AE170" s="6">
        <f t="shared" si="254"/>
        <v>6.4469213803597672E-2</v>
      </c>
      <c r="AF170" s="14">
        <f t="shared" si="255"/>
        <v>0.54776415502305809</v>
      </c>
      <c r="AG170" s="6">
        <f t="shared" si="256"/>
        <v>6.6508922768146461E-2</v>
      </c>
      <c r="AH170" s="14">
        <f t="shared" si="257"/>
        <v>0.58084556838035672</v>
      </c>
      <c r="AI170" s="6">
        <f t="shared" si="258"/>
        <v>6.9318703417113714E-2</v>
      </c>
      <c r="AJ170" s="14">
        <f t="shared" si="259"/>
        <v>0.62361976516128792</v>
      </c>
      <c r="AK170">
        <f t="shared" si="260"/>
        <v>8.1027790657018844E-2</v>
      </c>
      <c r="AL170" s="14">
        <f t="shared" si="261"/>
        <v>0.68097888674416351</v>
      </c>
      <c r="AM170">
        <f t="shared" si="262"/>
        <v>8.8846783790370129E-2</v>
      </c>
      <c r="AN170" s="14">
        <f t="shared" si="263"/>
        <v>0.76056332833930196</v>
      </c>
      <c r="AO170">
        <f t="shared" si="264"/>
        <v>0.10024472972495038</v>
      </c>
      <c r="AP170" s="14">
        <f t="shared" si="265"/>
        <v>0.86737814074969855</v>
      </c>
      <c r="AQ170">
        <f t="shared" si="266"/>
        <v>0.11762199954254322</v>
      </c>
    </row>
    <row r="171" spans="1:43" s="29" customFormat="1" x14ac:dyDescent="0.25">
      <c r="A171" s="129">
        <v>0.4</v>
      </c>
      <c r="B171" s="129">
        <f>'Sub C_D_0'!AY138</f>
        <v>4.598265803215805E-2</v>
      </c>
      <c r="C171" s="129">
        <f>'C_L vs. α'!X424</f>
        <v>0.12275233554771042</v>
      </c>
      <c r="D171" s="247">
        <f>'C_L vs. α'!Z424</f>
        <v>0.41172716118850533</v>
      </c>
      <c r="E171" s="144">
        <v>10</v>
      </c>
      <c r="F171" s="14">
        <f t="shared" si="229"/>
        <v>0.42721239292876767</v>
      </c>
      <c r="G171" s="6">
        <f t="shared" si="230"/>
        <v>6.6727760154718874E-2</v>
      </c>
      <c r="H171" s="14">
        <f t="shared" si="231"/>
        <v>0.42863062271332963</v>
      </c>
      <c r="I171" s="6">
        <f t="shared" si="232"/>
        <v>6.3420128917846555E-2</v>
      </c>
      <c r="J171" s="14">
        <f t="shared" si="233"/>
        <v>0.43099002075011328</v>
      </c>
      <c r="K171" s="6">
        <f t="shared" si="234"/>
        <v>6.1826337412555624E-2</v>
      </c>
      <c r="L171" s="14">
        <f t="shared" si="235"/>
        <v>0.43434701560930233</v>
      </c>
      <c r="M171" s="6">
        <f t="shared" si="236"/>
        <v>6.0906064487266001E-2</v>
      </c>
      <c r="N171" s="14">
        <f t="shared" si="237"/>
        <v>0.43877664292881724</v>
      </c>
      <c r="O171" s="6">
        <f t="shared" si="238"/>
        <v>6.037122205725122E-2</v>
      </c>
      <c r="P171" s="14">
        <f t="shared" si="239"/>
        <v>0.44435944925495807</v>
      </c>
      <c r="Q171" s="6">
        <f t="shared" si="240"/>
        <v>6.0582685159705787E-2</v>
      </c>
      <c r="R171" s="14">
        <f t="shared" si="241"/>
        <v>0.45127451565004684</v>
      </c>
      <c r="S171" s="6">
        <f t="shared" si="242"/>
        <v>6.0532108547925387E-2</v>
      </c>
      <c r="T171" s="14">
        <f t="shared" si="243"/>
        <v>0.45967950178105599</v>
      </c>
      <c r="U171" s="6">
        <f t="shared" si="244"/>
        <v>6.0688196099003659E-2</v>
      </c>
      <c r="V171" s="14">
        <f t="shared" si="245"/>
        <v>0.46981279874736115</v>
      </c>
      <c r="W171" s="6">
        <f t="shared" si="246"/>
        <v>6.1052437320358033E-2</v>
      </c>
      <c r="X171" s="14">
        <f t="shared" si="247"/>
        <v>0.48199272446482866</v>
      </c>
      <c r="Y171" s="6">
        <f t="shared" si="248"/>
        <v>6.1643125072119297E-2</v>
      </c>
      <c r="Z171" s="14">
        <f t="shared" si="249"/>
        <v>0.4966499285818331</v>
      </c>
      <c r="AA171" s="6">
        <f t="shared" si="250"/>
        <v>6.2496555877628805E-2</v>
      </c>
      <c r="AB171" s="14">
        <f t="shared" si="251"/>
        <v>0.51437802072990912</v>
      </c>
      <c r="AC171" s="6">
        <f t="shared" si="252"/>
        <v>6.3672304499203636E-2</v>
      </c>
      <c r="AD171" s="14">
        <f t="shared" si="253"/>
        <v>0.536023450951435</v>
      </c>
      <c r="AE171" s="6">
        <f t="shared" si="254"/>
        <v>6.5736580359745514E-2</v>
      </c>
      <c r="AF171" s="14">
        <f t="shared" si="255"/>
        <v>0.56280694404268572</v>
      </c>
      <c r="AG171" s="6">
        <f t="shared" si="256"/>
        <v>6.7889002631728992E-2</v>
      </c>
      <c r="AH171" s="14">
        <f t="shared" si="257"/>
        <v>0.59657499015914173</v>
      </c>
      <c r="AI171" s="6">
        <f t="shared" si="258"/>
        <v>7.0848760234311123E-2</v>
      </c>
      <c r="AJ171" s="14">
        <f t="shared" si="259"/>
        <v>0.64024289512540022</v>
      </c>
      <c r="AK171">
        <f t="shared" si="260"/>
        <v>8.3147076954332932E-2</v>
      </c>
      <c r="AL171" s="14">
        <f t="shared" si="261"/>
        <v>0.69879634121779899</v>
      </c>
      <c r="AM171">
        <f t="shared" si="262"/>
        <v>9.1326665399569962E-2</v>
      </c>
      <c r="AN171" s="14">
        <f t="shared" si="263"/>
        <v>0.77973197150032458</v>
      </c>
      <c r="AO171">
        <f t="shared" si="264"/>
        <v>0.10322305625119436</v>
      </c>
      <c r="AP171" s="14">
        <f t="shared" si="265"/>
        <v>0.88568284345429937</v>
      </c>
      <c r="AQ171">
        <f t="shared" si="266"/>
        <v>0.12085895445808885</v>
      </c>
    </row>
    <row r="172" spans="1:43" s="29" customFormat="1" x14ac:dyDescent="0.25">
      <c r="A172" s="139">
        <v>0.45</v>
      </c>
      <c r="B172" s="129">
        <f>'Sub C_D_0'!AY139</f>
        <v>4.5524132494629464E-2</v>
      </c>
      <c r="C172" s="129">
        <f>'C_L vs. α'!X425</f>
        <v>0.1280478239991962</v>
      </c>
      <c r="D172" s="247">
        <f>'C_L vs. α'!Z425</f>
        <v>0.42084590260886801</v>
      </c>
      <c r="E172" s="144">
        <v>12</v>
      </c>
      <c r="F172" s="14">
        <f t="shared" si="229"/>
        <v>0.44164117810958148</v>
      </c>
      <c r="G172" s="6">
        <f t="shared" si="230"/>
        <v>6.7770554463767604E-2</v>
      </c>
      <c r="H172" s="14">
        <f t="shared" si="231"/>
        <v>0.44308907473993669</v>
      </c>
      <c r="I172" s="6">
        <f t="shared" si="232"/>
        <v>6.4468513045720516E-2</v>
      </c>
      <c r="J172" s="14">
        <f t="shared" si="233"/>
        <v>0.44549209814269425</v>
      </c>
      <c r="K172" s="6">
        <f t="shared" si="234"/>
        <v>6.2883609532244644E-2</v>
      </c>
      <c r="L172" s="14">
        <f t="shared" si="235"/>
        <v>0.44890909004536644</v>
      </c>
      <c r="M172" s="6">
        <f t="shared" si="236"/>
        <v>6.1975880519337542E-2</v>
      </c>
      <c r="N172" s="14">
        <f t="shared" si="237"/>
        <v>0.45341711945272534</v>
      </c>
      <c r="O172" s="6">
        <f t="shared" si="238"/>
        <v>6.1457632914379591E-2</v>
      </c>
      <c r="P172" s="14">
        <f t="shared" si="239"/>
        <v>0.45909529575471519</v>
      </c>
      <c r="Q172" s="6">
        <f t="shared" si="240"/>
        <v>6.1689902369718733E-2</v>
      </c>
      <c r="R172" s="14">
        <f t="shared" si="241"/>
        <v>0.46613365289533548</v>
      </c>
      <c r="S172" s="6">
        <f t="shared" si="242"/>
        <v>6.1665760544102867E-2</v>
      </c>
      <c r="T172" s="14">
        <f t="shared" si="243"/>
        <v>0.47468984350475074</v>
      </c>
      <c r="U172" s="6">
        <f t="shared" si="244"/>
        <v>6.1854473119590095E-2</v>
      </c>
      <c r="V172" s="14">
        <f t="shared" si="245"/>
        <v>0.48500760511577268</v>
      </c>
      <c r="W172" s="6">
        <f t="shared" si="246"/>
        <v>6.2258794976484941E-2</v>
      </c>
      <c r="X172" s="14">
        <f t="shared" si="247"/>
        <v>0.49741244415646146</v>
      </c>
      <c r="Y172" s="6">
        <f t="shared" si="248"/>
        <v>6.2898760537598061E-2</v>
      </c>
      <c r="Z172" s="14">
        <f t="shared" si="249"/>
        <v>0.51234480700400831</v>
      </c>
      <c r="AA172" s="6">
        <f t="shared" si="250"/>
        <v>6.3813105758509181E-2</v>
      </c>
      <c r="AB172" s="14">
        <f t="shared" si="251"/>
        <v>0.530411870113767</v>
      </c>
      <c r="AC172" s="6">
        <f t="shared" si="252"/>
        <v>6.5064900380014959E-2</v>
      </c>
      <c r="AD172" s="14">
        <f t="shared" si="253"/>
        <v>0.55248066534705131</v>
      </c>
      <c r="AE172" s="6">
        <f t="shared" si="254"/>
        <v>6.7225661337012577E-2</v>
      </c>
      <c r="AF172" s="14">
        <f t="shared" si="255"/>
        <v>0.57979928454894847</v>
      </c>
      <c r="AG172" s="6">
        <f t="shared" si="256"/>
        <v>6.9502852054945316E-2</v>
      </c>
      <c r="AH172" s="14">
        <f t="shared" si="257"/>
        <v>0.61425396342456162</v>
      </c>
      <c r="AI172" s="6">
        <f t="shared" si="258"/>
        <v>7.262803536511972E-2</v>
      </c>
      <c r="AJ172" s="14">
        <f t="shared" si="259"/>
        <v>0.65881557657614764</v>
      </c>
      <c r="AK172">
        <f t="shared" si="260"/>
        <v>8.5580851003895175E-2</v>
      </c>
      <c r="AL172" s="14">
        <f t="shared" si="261"/>
        <v>0.71856334717806958</v>
      </c>
      <c r="AM172">
        <f t="shared" si="262"/>
        <v>9.4152833021046017E-2</v>
      </c>
      <c r="AN172" s="14">
        <f t="shared" si="263"/>
        <v>0.80085016614798221</v>
      </c>
      <c r="AO172">
        <f t="shared" si="264"/>
        <v>0.1065901158576997</v>
      </c>
      <c r="AP172" s="14">
        <f t="shared" si="265"/>
        <v>0.90593709764553509</v>
      </c>
      <c r="AQ172">
        <f t="shared" si="266"/>
        <v>0.12451944332460688</v>
      </c>
    </row>
    <row r="173" spans="1:43" s="29" customFormat="1" x14ac:dyDescent="0.25">
      <c r="A173" s="129">
        <v>0.5</v>
      </c>
      <c r="B173" s="129">
        <f>'Sub C_D_0'!AY140</f>
        <v>4.5123628496041387E-2</v>
      </c>
      <c r="C173" s="129">
        <f>'C_L vs. α'!X426</f>
        <v>0.13450579701764889</v>
      </c>
      <c r="D173" s="247">
        <f>'C_L vs. α'!Z426</f>
        <v>0.43178880504861844</v>
      </c>
      <c r="E173" s="144">
        <v>14</v>
      </c>
      <c r="F173" s="14">
        <f t="shared" si="229"/>
        <v>0.45801951477703023</v>
      </c>
      <c r="G173" s="6">
        <f t="shared" si="230"/>
        <v>6.9005144038243871E-2</v>
      </c>
      <c r="H173" s="14">
        <f t="shared" si="231"/>
        <v>0.45949707825317859</v>
      </c>
      <c r="I173" s="6">
        <f t="shared" si="232"/>
        <v>6.5709347455110326E-2</v>
      </c>
      <c r="J173" s="14">
        <f t="shared" si="233"/>
        <v>0.46194372702191017</v>
      </c>
      <c r="K173" s="6">
        <f t="shared" si="234"/>
        <v>6.4134382148740163E-2</v>
      </c>
      <c r="L173" s="14">
        <f t="shared" si="235"/>
        <v>0.4654207159680655</v>
      </c>
      <c r="M173" s="6">
        <f t="shared" si="236"/>
        <v>6.3240678010685378E-2</v>
      </c>
      <c r="N173" s="14">
        <f t="shared" si="237"/>
        <v>0.47000714746326833</v>
      </c>
      <c r="O173" s="6">
        <f t="shared" si="238"/>
        <v>6.2740976194019971E-2</v>
      </c>
      <c r="P173" s="14">
        <f t="shared" si="239"/>
        <v>0.47578069374110726</v>
      </c>
      <c r="Q173" s="6">
        <f t="shared" si="240"/>
        <v>6.2996489875655093E-2</v>
      </c>
      <c r="R173" s="14">
        <f t="shared" si="241"/>
        <v>0.48294234162725902</v>
      </c>
      <c r="S173" s="6">
        <f t="shared" si="242"/>
        <v>6.3001844580071756E-2</v>
      </c>
      <c r="T173" s="14">
        <f t="shared" si="243"/>
        <v>0.49164973671508039</v>
      </c>
      <c r="U173" s="6">
        <f t="shared" si="244"/>
        <v>6.3226921625772453E-2</v>
      </c>
      <c r="V173" s="14">
        <f t="shared" si="245"/>
        <v>0.5021519629708191</v>
      </c>
      <c r="W173" s="6">
        <f t="shared" si="246"/>
        <v>6.3675860611400653E-2</v>
      </c>
      <c r="X173" s="14">
        <f t="shared" si="247"/>
        <v>0.51478171533472916</v>
      </c>
      <c r="Y173" s="6">
        <f t="shared" si="248"/>
        <v>6.4370598497976494E-2</v>
      </c>
      <c r="Z173" s="14">
        <f t="shared" si="249"/>
        <v>0.52998923691281841</v>
      </c>
      <c r="AA173" s="6">
        <f t="shared" si="250"/>
        <v>6.5352531031577718E-2</v>
      </c>
      <c r="AB173" s="14">
        <f t="shared" si="251"/>
        <v>0.54839527098425978</v>
      </c>
      <c r="AC173" s="6">
        <f t="shared" si="252"/>
        <v>6.6688530548421804E-2</v>
      </c>
      <c r="AD173" s="14">
        <f t="shared" si="253"/>
        <v>0.57088743122930241</v>
      </c>
      <c r="AE173" s="6">
        <f t="shared" si="254"/>
        <v>6.8955875394294916E-2</v>
      </c>
      <c r="AF173" s="14">
        <f t="shared" si="255"/>
        <v>0.598741176541846</v>
      </c>
      <c r="AG173" s="6">
        <f t="shared" si="256"/>
        <v>7.1370521117730193E-2</v>
      </c>
      <c r="AH173" s="14">
        <f t="shared" si="257"/>
        <v>0.63388248817661641</v>
      </c>
      <c r="AI173" s="6">
        <f t="shared" si="258"/>
        <v>7.4677389080495482E-2</v>
      </c>
      <c r="AJ173" s="14">
        <f t="shared" si="259"/>
        <v>0.67933780951352984</v>
      </c>
      <c r="AK173">
        <f t="shared" si="260"/>
        <v>8.8351027605938881E-2</v>
      </c>
      <c r="AL173" s="14">
        <f t="shared" si="261"/>
        <v>0.74027990462497495</v>
      </c>
      <c r="AM173">
        <f t="shared" si="262"/>
        <v>9.7348610695970172E-2</v>
      </c>
      <c r="AN173" s="14">
        <f t="shared" si="263"/>
        <v>0.82391791228227484</v>
      </c>
      <c r="AO173">
        <f t="shared" si="264"/>
        <v>0.11037082691816592</v>
      </c>
      <c r="AP173" s="14">
        <f t="shared" si="265"/>
        <v>0.92814090332340582</v>
      </c>
      <c r="AQ173">
        <f t="shared" si="266"/>
        <v>0.12862736511089473</v>
      </c>
    </row>
    <row r="174" spans="1:43" s="29" customFormat="1" x14ac:dyDescent="0.25">
      <c r="A174" s="139">
        <v>0.55000000000000004</v>
      </c>
      <c r="B174" s="129">
        <f>'Sub C_D_0'!AY141</f>
        <v>4.4768963692975235E-2</v>
      </c>
      <c r="C174" s="129">
        <f>'C_L vs. α'!X427</f>
        <v>0.142408805830194</v>
      </c>
      <c r="D174" s="247">
        <f>'C_L vs. α'!Z427</f>
        <v>0.44493263614763967</v>
      </c>
      <c r="E174" s="144">
        <v>16</v>
      </c>
      <c r="F174" s="14">
        <f t="shared" si="229"/>
        <v>0.47634740293111394</v>
      </c>
      <c r="G174" s="6">
        <f t="shared" si="230"/>
        <v>7.0450854465417989E-2</v>
      </c>
      <c r="H174" s="14">
        <f t="shared" si="231"/>
        <v>0.47785463325305538</v>
      </c>
      <c r="I174" s="6">
        <f t="shared" si="232"/>
        <v>6.7161992738624721E-2</v>
      </c>
      <c r="J174" s="14">
        <f t="shared" si="233"/>
        <v>0.48034490738776098</v>
      </c>
      <c r="K174" s="6">
        <f t="shared" si="234"/>
        <v>6.5598067330318727E-2</v>
      </c>
      <c r="L174" s="14">
        <f t="shared" si="235"/>
        <v>0.4838818933773994</v>
      </c>
      <c r="M174" s="6">
        <f t="shared" si="236"/>
        <v>6.4719939822983685E-2</v>
      </c>
      <c r="N174" s="14">
        <f t="shared" si="237"/>
        <v>0.48854672696044626</v>
      </c>
      <c r="O174" s="6">
        <f t="shared" si="238"/>
        <v>6.4240827268241291E-2</v>
      </c>
      <c r="P174" s="14">
        <f t="shared" si="239"/>
        <v>0.49441564321413423</v>
      </c>
      <c r="Q174" s="6">
        <f t="shared" si="240"/>
        <v>6.4522135581205842E-2</v>
      </c>
      <c r="R174" s="14">
        <f t="shared" si="241"/>
        <v>0.50170058184581745</v>
      </c>
      <c r="S174" s="6">
        <f t="shared" si="242"/>
        <v>6.4560194036204277E-2</v>
      </c>
      <c r="T174" s="14">
        <f t="shared" si="243"/>
        <v>0.51055918141204493</v>
      </c>
      <c r="U174" s="6">
        <f t="shared" si="244"/>
        <v>6.4825553411360287E-2</v>
      </c>
      <c r="V174" s="14">
        <f t="shared" si="245"/>
        <v>0.52124587231250041</v>
      </c>
      <c r="W174" s="6">
        <f t="shared" si="246"/>
        <v>6.532386367762219E-2</v>
      </c>
      <c r="X174" s="14">
        <f t="shared" si="247"/>
        <v>0.53410053799963186</v>
      </c>
      <c r="Y174" s="6">
        <f t="shared" si="248"/>
        <v>6.6079133791820635E-2</v>
      </c>
      <c r="Z174" s="14">
        <f t="shared" si="249"/>
        <v>0.54958321830826351</v>
      </c>
      <c r="AA174" s="6">
        <f t="shared" si="250"/>
        <v>6.7135651208422312E-2</v>
      </c>
      <c r="AB174" s="14">
        <f t="shared" si="251"/>
        <v>0.56832822334138755</v>
      </c>
      <c r="AC174" s="6">
        <f t="shared" si="252"/>
        <v>6.8564414484155081E-2</v>
      </c>
      <c r="AD174" s="14">
        <f t="shared" si="253"/>
        <v>0.5912437485981884</v>
      </c>
      <c r="AE174" s="6">
        <f t="shared" si="254"/>
        <v>7.0948941560065606E-2</v>
      </c>
      <c r="AF174" s="14">
        <f t="shared" si="255"/>
        <v>0.61963262002137853</v>
      </c>
      <c r="AG174" s="6">
        <f t="shared" si="256"/>
        <v>7.3514360269595569E-2</v>
      </c>
      <c r="AH174" s="14">
        <f t="shared" si="257"/>
        <v>0.6554605644153062</v>
      </c>
      <c r="AI174" s="6">
        <f t="shared" si="258"/>
        <v>7.7019982020971517E-2</v>
      </c>
      <c r="AJ174" s="14">
        <f t="shared" si="259"/>
        <v>0.70180959393754694</v>
      </c>
      <c r="AK174">
        <f t="shared" si="260"/>
        <v>9.1481821930274432E-2</v>
      </c>
      <c r="AL174" s="14">
        <f t="shared" si="261"/>
        <v>0.76394601355851532</v>
      </c>
      <c r="AM174">
        <f t="shared" si="262"/>
        <v>0.10093962283509145</v>
      </c>
      <c r="AN174" s="14">
        <f t="shared" si="263"/>
        <v>0.84893520990320226</v>
      </c>
      <c r="AO174">
        <f t="shared" si="264"/>
        <v>0.11459240817586958</v>
      </c>
      <c r="AP174" s="14">
        <f t="shared" si="265"/>
        <v>0.95229426048791133</v>
      </c>
      <c r="AQ174">
        <f t="shared" si="266"/>
        <v>0.13320891915532687</v>
      </c>
    </row>
    <row r="175" spans="1:43" s="29" customFormat="1" x14ac:dyDescent="0.25">
      <c r="A175" s="129">
        <v>0.6</v>
      </c>
      <c r="B175" s="129">
        <f>'Sub C_D_0'!AY142</f>
        <v>4.4451350620152652E-2</v>
      </c>
      <c r="C175" s="129">
        <f>'C_L vs. α'!X428</f>
        <v>0.1521486942707525</v>
      </c>
      <c r="D175" s="247">
        <f>'C_L vs. α'!Z428</f>
        <v>0.46079638800646094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s="29" customFormat="1" x14ac:dyDescent="0.25">
      <c r="A176" s="139">
        <v>0.65</v>
      </c>
      <c r="B176" s="129">
        <f>'Sub C_D_0'!AY143</f>
        <v>4.4683889785664753E-2</v>
      </c>
      <c r="C176" s="129">
        <f>'C_L vs. α'!X429</f>
        <v>0.16432263391237623</v>
      </c>
      <c r="D176" s="247">
        <f>'C_L vs. α'!Z429</f>
        <v>0.48011331066331625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s="29" customFormat="1" x14ac:dyDescent="0.25">
      <c r="A177" s="129">
        <v>0.7</v>
      </c>
      <c r="B177" s="129">
        <f>'Sub C_D_0'!AY144</f>
        <v>4.4416627004085364E-2</v>
      </c>
      <c r="C177" s="129">
        <f>'C_L vs. α'!X430</f>
        <v>0.17972569982754277</v>
      </c>
      <c r="D177" s="247">
        <f>'C_L vs. α'!Z430</f>
        <v>0.50395361014601125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s="29" customFormat="1" x14ac:dyDescent="0.25">
      <c r="A178" s="139">
        <v>0.75</v>
      </c>
      <c r="B178" s="129">
        <f>'Sub C_D_0'!AY145</f>
        <v>4.4171487643222526E-2</v>
      </c>
      <c r="C178" s="129">
        <f>'C_L vs. α'!X431</f>
        <v>0.19951920020227676</v>
      </c>
      <c r="D178" s="247">
        <f>'C_L vs. α'!Z431</f>
        <v>0.53394517608710246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s="29" customFormat="1" x14ac:dyDescent="0.25">
      <c r="A179" s="129">
        <v>0.8</v>
      </c>
      <c r="B179" s="129">
        <f>'Sub C_D_0'!AY146</f>
        <v>4.3945325618727174E-2</v>
      </c>
      <c r="C179" s="129">
        <f>'C_L vs. α'!X432</f>
        <v>0.22534803643651791</v>
      </c>
      <c r="D179" s="247">
        <f>'C_L vs. α'!Z432</f>
        <v>0.57269768603406035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s="29" customFormat="1" x14ac:dyDescent="0.25">
      <c r="A180" s="139">
        <v>0.85</v>
      </c>
      <c r="B180" s="129">
        <f>'Sub C_D_0'!AY147</f>
        <v>4.423500963818322E-2</v>
      </c>
      <c r="C180" s="129">
        <f>'C_L vs. α'!X433</f>
        <v>0.26006487277268031</v>
      </c>
      <c r="D180" s="247">
        <f>'C_L vs. α'!Z433</f>
        <v>0.62468234732408157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s="29" customFormat="1" x14ac:dyDescent="0.25">
      <c r="A181" s="129">
        <v>0.9</v>
      </c>
      <c r="B181" s="129">
        <f>'Sub C_D_0'!AY148</f>
        <v>4.4035492638605636E-2</v>
      </c>
      <c r="C181" s="129">
        <f>'C_L vs. α'!X434</f>
        <v>0.30003896469964619</v>
      </c>
      <c r="D181" s="247">
        <f>'C_L vs. α'!Z434</f>
        <v>0.69818643982597794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s="29" customFormat="1" x14ac:dyDescent="0.25">
      <c r="A182" s="139">
        <v>0.95</v>
      </c>
      <c r="B182" s="129">
        <f>'Sub C_D_0'!AY149</f>
        <v>4.3848905057918344E-2</v>
      </c>
      <c r="C182" s="129">
        <f>'C_L vs. α'!X435</f>
        <v>0.28036111166088074</v>
      </c>
      <c r="D182" s="247">
        <f>'C_L vs. α'!Z435</f>
        <v>0.80888898429027301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s="29" customFormat="1" x14ac:dyDescent="0.25">
      <c r="A183" s="11"/>
      <c r="B183" s="11"/>
      <c r="C183" s="11"/>
      <c r="D183" s="11"/>
    </row>
    <row r="185" spans="1:43" x14ac:dyDescent="0.25">
      <c r="A185" s="122" t="s">
        <v>537</v>
      </c>
      <c r="B185" s="122" t="s">
        <v>290</v>
      </c>
    </row>
    <row r="186" spans="1:43" x14ac:dyDescent="0.25">
      <c r="A186" s="122" t="s">
        <v>202</v>
      </c>
      <c r="B186" s="145">
        <v>30000</v>
      </c>
      <c r="C186" s="122" t="s">
        <v>538</v>
      </c>
      <c r="D186" s="122" t="s">
        <v>539</v>
      </c>
      <c r="F186" s="1" t="s">
        <v>536</v>
      </c>
      <c r="G186" s="140">
        <v>0.05</v>
      </c>
      <c r="H186" s="1" t="s">
        <v>536</v>
      </c>
      <c r="I186" s="140">
        <v>0.1</v>
      </c>
      <c r="J186" s="1" t="s">
        <v>536</v>
      </c>
      <c r="K186" s="140">
        <v>0.15</v>
      </c>
      <c r="L186" s="1" t="s">
        <v>536</v>
      </c>
      <c r="M186" s="140">
        <v>0.2</v>
      </c>
      <c r="N186" t="s">
        <v>536</v>
      </c>
      <c r="O186" s="141">
        <v>0.25</v>
      </c>
      <c r="P186" t="s">
        <v>536</v>
      </c>
      <c r="Q186" s="141">
        <v>0.3</v>
      </c>
      <c r="R186" t="s">
        <v>536</v>
      </c>
      <c r="S186" s="141">
        <v>0.35</v>
      </c>
      <c r="T186" t="s">
        <v>536</v>
      </c>
      <c r="U186" s="141">
        <v>0.4</v>
      </c>
      <c r="V186" t="s">
        <v>536</v>
      </c>
      <c r="W186" s="141">
        <v>0.45</v>
      </c>
      <c r="X186" t="s">
        <v>536</v>
      </c>
      <c r="Y186" s="141">
        <v>0.5</v>
      </c>
      <c r="Z186" t="s">
        <v>536</v>
      </c>
      <c r="AA186" s="141">
        <v>0.55000000000000004</v>
      </c>
      <c r="AB186" t="s">
        <v>536</v>
      </c>
      <c r="AC186" s="141">
        <v>0.6</v>
      </c>
      <c r="AD186" t="s">
        <v>536</v>
      </c>
      <c r="AE186" s="141">
        <v>0.65</v>
      </c>
      <c r="AF186" t="s">
        <v>536</v>
      </c>
      <c r="AG186" s="141">
        <v>0.7</v>
      </c>
      <c r="AH186" t="s">
        <v>536</v>
      </c>
      <c r="AI186" s="141">
        <v>0.75</v>
      </c>
      <c r="AJ186" t="s">
        <v>536</v>
      </c>
      <c r="AK186" s="141">
        <v>0.8</v>
      </c>
      <c r="AL186" t="s">
        <v>536</v>
      </c>
      <c r="AM186" s="141">
        <v>0.85</v>
      </c>
      <c r="AN186" t="s">
        <v>536</v>
      </c>
      <c r="AO186" s="141">
        <v>0.9</v>
      </c>
      <c r="AP186" t="s">
        <v>536</v>
      </c>
      <c r="AQ186" s="141">
        <v>0.95</v>
      </c>
    </row>
    <row r="187" spans="1:43" x14ac:dyDescent="0.25">
      <c r="A187" s="121" t="s">
        <v>182</v>
      </c>
      <c r="B187" s="121" t="s">
        <v>534</v>
      </c>
      <c r="C187" s="121" t="s">
        <v>535</v>
      </c>
      <c r="D187" s="248" t="s">
        <v>1126</v>
      </c>
      <c r="E187" s="121" t="s">
        <v>421</v>
      </c>
      <c r="F187" s="14" t="s">
        <v>244</v>
      </c>
      <c r="G187" s="6" t="s">
        <v>245</v>
      </c>
      <c r="H187" s="14" t="s">
        <v>244</v>
      </c>
      <c r="I187" s="6" t="s">
        <v>245</v>
      </c>
      <c r="J187" s="14" t="s">
        <v>244</v>
      </c>
      <c r="K187" s="6" t="s">
        <v>245</v>
      </c>
      <c r="L187" s="14" t="s">
        <v>244</v>
      </c>
      <c r="M187" s="6" t="s">
        <v>245</v>
      </c>
      <c r="N187" t="s">
        <v>244</v>
      </c>
      <c r="O187" t="s">
        <v>245</v>
      </c>
      <c r="P187" t="s">
        <v>244</v>
      </c>
      <c r="Q187" t="s">
        <v>245</v>
      </c>
      <c r="R187" t="s">
        <v>244</v>
      </c>
      <c r="S187" t="s">
        <v>245</v>
      </c>
      <c r="T187" t="s">
        <v>244</v>
      </c>
      <c r="U187" t="s">
        <v>245</v>
      </c>
      <c r="V187" t="s">
        <v>244</v>
      </c>
      <c r="W187" t="s">
        <v>245</v>
      </c>
      <c r="X187" t="s">
        <v>244</v>
      </c>
      <c r="Y187" t="s">
        <v>245</v>
      </c>
      <c r="Z187" t="s">
        <v>244</v>
      </c>
      <c r="AA187" t="s">
        <v>245</v>
      </c>
      <c r="AB187" t="s">
        <v>244</v>
      </c>
      <c r="AC187" t="s">
        <v>245</v>
      </c>
      <c r="AD187" t="s">
        <v>244</v>
      </c>
      <c r="AE187" t="s">
        <v>245</v>
      </c>
      <c r="AF187" t="s">
        <v>244</v>
      </c>
      <c r="AG187" t="s">
        <v>245</v>
      </c>
      <c r="AH187" t="s">
        <v>244</v>
      </c>
      <c r="AI187" t="s">
        <v>245</v>
      </c>
      <c r="AJ187" t="s">
        <v>244</v>
      </c>
      <c r="AK187" t="s">
        <v>245</v>
      </c>
      <c r="AL187" t="s">
        <v>244</v>
      </c>
      <c r="AM187" t="s">
        <v>245</v>
      </c>
      <c r="AN187" t="s">
        <v>244</v>
      </c>
      <c r="AO187" t="s">
        <v>245</v>
      </c>
      <c r="AP187" t="s">
        <v>244</v>
      </c>
      <c r="AQ187" t="s">
        <v>245</v>
      </c>
    </row>
    <row r="188" spans="1:43" x14ac:dyDescent="0.25">
      <c r="A188" s="129">
        <v>0</v>
      </c>
      <c r="B188" s="129" t="e">
        <f>'Sub C_D_0'!AY160</f>
        <v>#DIV/0!</v>
      </c>
      <c r="C188" s="129" t="e">
        <f>'C_L vs. α'!X441</f>
        <v>#NUM!</v>
      </c>
      <c r="D188" s="247">
        <f>'C_L vs. α'!Z441</f>
        <v>0.38204298311929219</v>
      </c>
      <c r="E188" s="144">
        <v>-6</v>
      </c>
      <c r="F188" s="14">
        <f>$D$19+$C$19*(RADIANS(E188-$B$12))+$E$10*RADIANS(E188)^2</f>
        <v>0.38196596500111457</v>
      </c>
      <c r="G188" s="6">
        <f>$B$189+$B$7*F188^2+$B$8*(F188-F$191)^2</f>
        <v>6.31083645400249E-2</v>
      </c>
      <c r="H188" s="14">
        <f>$D$20+$C$20*(RADIANS(E188-$B$12))+$E$10*RADIANS(E188)^2</f>
        <v>0.38314686001933163</v>
      </c>
      <c r="I188" s="6">
        <f>$B$190+$B$7*H188^2+$B$8*(H188-H$191)^2</f>
        <v>5.9866695057214966E-2</v>
      </c>
      <c r="J188" s="14">
        <f>$D$21+$C$21*(RADIANS(E188-$B$12))+$E$10*RADIANS(E188)^2</f>
        <v>0.38515725512832322</v>
      </c>
      <c r="K188" s="6">
        <f>$B$191+$B$7*J188^2+$B$8*(J188-J$191)^2</f>
        <v>5.8278952011913195E-2</v>
      </c>
      <c r="L188" s="14">
        <f>$D$22+$C$22*(RADIANS(E188-$B$12))+$E$10*RADIANS(E188)^2</f>
        <v>0.38803427363964721</v>
      </c>
      <c r="M188" s="6">
        <f>$B$192+$B$7*L188^2+$B$8*(L188-L$191)^2</f>
        <v>5.7332445738427704E-2</v>
      </c>
      <c r="N188" s="14">
        <f>$D$23+$C$23*(RADIANS(E188-$B$12))+$E$10*RADIANS(E188)^2</f>
        <v>0.39183668425641005</v>
      </c>
      <c r="O188" s="6">
        <f>$B$193+$B$7*N188^2+$B$8*(N188-N$191)^2</f>
        <v>5.6745158776017733E-2</v>
      </c>
      <c r="P188" s="14">
        <f>$D$24+$C$24*(RADIANS(E188-$B$12))+$E$10*RADIANS(E188)^2</f>
        <v>0.39665653077575869</v>
      </c>
      <c r="Q188" s="6">
        <f>$B$194+$B$7*P188^2+$B$8*(P188-P$191)^2</f>
        <v>5.6872446139114727E-2</v>
      </c>
      <c r="R188" s="14">
        <f>$D$25+$C$25*(RADIANS(E188-$B$12))+$E$10*RADIANS(E188)^2</f>
        <v>0.40258527120659587</v>
      </c>
      <c r="S188" s="6">
        <f>$B$195+$B$7*R188^2+$B$8*(R188-R$191)^2</f>
        <v>5.6716654983887213E-2</v>
      </c>
      <c r="T188" s="14">
        <f>$D$26+$C$26*(RADIANS(E188-$B$12))+$E$10*RADIANS(E188)^2</f>
        <v>0.40978062151035616</v>
      </c>
      <c r="U188" s="6">
        <f>$B$196+$B$7*T188^2+$B$8*(T188-T$191)^2</f>
        <v>5.6736206398940725E-2</v>
      </c>
      <c r="V188" s="14">
        <f>$D$27+$C$27*(RADIANS(E188-$B$12))+$E$10*RADIANS(E188)^2</f>
        <v>0.41843820131892678</v>
      </c>
      <c r="W188" s="6">
        <f>$B$197+$B$7*V188^2+$B$8*(V188-V$191)^2</f>
        <v>5.6926599826759766E-2</v>
      </c>
      <c r="X188" s="14">
        <f>$D$28+$C$28*(RADIANS(E188-$B$12))+$E$10*RADIANS(E188)^2</f>
        <v>0.42881882045062403</v>
      </c>
      <c r="Y188" s="6">
        <f>$B$198+$B$7*X188^2+$B$8*(X188-X$191)^2</f>
        <v>5.7297363595858124E-2</v>
      </c>
      <c r="Z188" s="14">
        <f>$D$29+$C$29*(RADIANS(E188-$B$12))+$E$10*RADIANS(E188)^2</f>
        <v>0.44127475472328925</v>
      </c>
      <c r="AA188" s="6">
        <f>$B$199+$B$7*Z188^2+$B$8*(Z188-Z$191)^2</f>
        <v>5.7872094399524704E-2</v>
      </c>
      <c r="AB188" s="14">
        <f>$D$30+$C$30*(RADIANS(E188-$B$12))+$E$10*RADIANS(E188)^2</f>
        <v>0.45629107917790385</v>
      </c>
      <c r="AC188" s="6">
        <f>$B$200+$B$7*AB188^2+$B$8*(AB188-AB$191)^2</f>
        <v>5.8691754078960524E-2</v>
      </c>
      <c r="AD188" s="14">
        <f>$D$31+$C$31*(RADIANS(E188-$B$12))+$E$10*RADIANS(E188)^2</f>
        <v>0.4745495893053634</v>
      </c>
      <c r="AE188" s="6">
        <f>$B$201+$B$7*AD188^2+$B$8*(AD188-AD$191)^2</f>
        <v>6.0285719870046821E-2</v>
      </c>
      <c r="AF188" s="14">
        <f>$D$32+$C$32*(RADIANS(E188-$B$12))+$E$10*RADIANS(E188)^2</f>
        <v>0.49705207351144215</v>
      </c>
      <c r="AG188" s="6">
        <f>$B$202+$B$7*AF188^2+$B$8*(AF188-AF$191)^2</f>
        <v>6.1826413064301103E-2</v>
      </c>
      <c r="AH188" s="14">
        <f>$D$33+$C$33*(RADIANS(E188-$B$12))+$E$10*RADIANS(E188)^2</f>
        <v>0.52532705755464026</v>
      </c>
      <c r="AI188" s="6">
        <f>$B$203+$B$7*AH188^2+$B$8*(AH188-AH$191)^2</f>
        <v>6.3955866934271619E-2</v>
      </c>
      <c r="AJ188" s="14">
        <f>$D$34+$C$34*(RADIANS(E188-$B$12))+$E$10*RADIANS(E188)^2</f>
        <v>0.56184529703827968</v>
      </c>
      <c r="AK188">
        <f>$B$204+$B$9*AJ188^2</f>
        <v>7.3283912629175899E-2</v>
      </c>
      <c r="AL188" s="14">
        <f>$D$35+$C$35*(RADIANS(E188-$B$12))+$E$10*RADIANS(E188)^2</f>
        <v>0.61084414705449297</v>
      </c>
      <c r="AM188">
        <f>$B$205+$B$9*AL188^2</f>
        <v>7.9347435366981536E-2</v>
      </c>
      <c r="AN188" s="14">
        <f>$D$36+$C$36*(RADIANS(E188-$B$12))+$E$10*RADIANS(E188)^2</f>
        <v>0.68097026783792147</v>
      </c>
      <c r="AO188">
        <f>$B$206+$B$9*AN188^2</f>
        <v>8.8314896026741974E-2</v>
      </c>
      <c r="AP188" s="14">
        <f>$D$37+$C$37*(RADIANS(E188-$B$12))+$E$10*RADIANS(E188)^2</f>
        <v>0.79383266344327119</v>
      </c>
      <c r="AQ188">
        <f>$B$207+$B$9*AP188^2</f>
        <v>0.10494558536810433</v>
      </c>
    </row>
    <row r="189" spans="1:43" x14ac:dyDescent="0.25">
      <c r="A189" s="139">
        <v>0.05</v>
      </c>
      <c r="B189" s="129">
        <f>'Sub C_D_0'!AY161</f>
        <v>5.1308977563317176E-2</v>
      </c>
      <c r="C189" s="129">
        <f>'C_L vs. α'!X442</f>
        <v>0.10625252697195428</v>
      </c>
      <c r="D189" s="247">
        <f>'C_L vs. α'!Z442</f>
        <v>0.3824586133220616</v>
      </c>
      <c r="E189" s="144">
        <v>-4</v>
      </c>
      <c r="F189" s="14">
        <f t="shared" ref="F189:F199" si="267">$D$19+$C$19*(RADIANS(E189-$B$12))+$E$10*RADIANS(E189)^2</f>
        <v>0.38079833828884896</v>
      </c>
      <c r="G189" s="6">
        <f t="shared" ref="G189:G199" si="268">$B$189+$B$7*F189^2+$B$8*(F189-F$191)^2</f>
        <v>6.3036473518136849E-2</v>
      </c>
      <c r="H189" s="14">
        <f t="shared" ref="H189:H199" si="269">$D$20+$C$20*(RADIANS(E189-$B$12))+$E$10*RADIANS(E189)^2</f>
        <v>0.38200890015285915</v>
      </c>
      <c r="I189" s="6">
        <f t="shared" ref="I189:I199" si="270">$B$190+$B$7*H189^2+$B$8*(H189-H$191)^2</f>
        <v>5.979641391762773E-2</v>
      </c>
      <c r="J189" s="14">
        <f t="shared" ref="J189:J199" si="271">$D$21+$C$21*(RADIANS(E189-$B$12))+$E$10*RADIANS(E189)^2</f>
        <v>0.38406292062782471</v>
      </c>
      <c r="K189" s="6">
        <f t="shared" ref="K189:K199" si="272">$B$191+$B$7*J189^2+$B$8*(J189-J$191)^2</f>
        <v>5.8211010265856497E-2</v>
      </c>
      <c r="L189" s="14">
        <f t="shared" ref="L189:L199" si="273">$D$22+$C$22*(RADIANS(E189-$B$12))+$E$10*RADIANS(E189)^2</f>
        <v>0.3869999361826319</v>
      </c>
      <c r="M189" s="6">
        <f t="shared" ref="M189:M199" si="274">$B$192+$B$7*L189^2+$B$8*(L189-L$191)^2</f>
        <v>5.7267748767308772E-2</v>
      </c>
      <c r="N189" s="14">
        <f t="shared" ref="N189:N199" si="275">$D$23+$C$23*(RADIANS(E189-$B$12))+$E$10*RADIANS(E189)^2</f>
        <v>0.39088074888723873</v>
      </c>
      <c r="O189" s="6">
        <f t="shared" ref="O189:O199" si="276">$B$193+$B$7*N189^2+$B$8*(N189-N$191)^2</f>
        <v>5.6684779298281772E-2</v>
      </c>
      <c r="P189" s="14">
        <f t="shared" ref="P189:P199" si="277">$D$24+$C$24*(RADIANS(E189-$B$12))+$E$10*RADIANS(E189)^2</f>
        <v>0.39579596538243639</v>
      </c>
      <c r="Q189" s="6">
        <f t="shared" ref="Q189:Q199" si="278">$B$194+$B$7*P189^2+$B$8*(P189-P$191)^2</f>
        <v>5.6817421165364833E-2</v>
      </c>
      <c r="R189" s="14">
        <f t="shared" ref="R189:R199" si="279">$D$25+$C$25*(RADIANS(E189-$B$12))+$E$10*RADIANS(E189)^2</f>
        <v>0.40184799655880499</v>
      </c>
      <c r="S189" s="6">
        <f t="shared" ref="S189:S199" si="280">$B$195+$B$7*R189^2+$B$8*(R189-R$191)^2</f>
        <v>5.666880800588197E-2</v>
      </c>
      <c r="T189" s="14">
        <f t="shared" ref="T189:T199" si="281">$D$26+$C$26*(RADIANS(E189-$B$12))+$E$10*RADIANS(E189)^2</f>
        <v>0.40919455134097138</v>
      </c>
      <c r="U189" s="6">
        <f t="shared" ref="U189:U199" si="282">$B$196+$B$7*T189^2+$B$8*(T189-T$191)^2</f>
        <v>5.6697491762653505E-2</v>
      </c>
      <c r="V189" s="14">
        <f t="shared" ref="V189:V199" si="283">$D$27+$C$27*(RADIANS(E189-$B$12))+$E$10*RADIANS(E189)^2</f>
        <v>0.41803659579425889</v>
      </c>
      <c r="W189" s="6">
        <f t="shared" ref="W189:W199" si="284">$B$197+$B$7*V189^2+$B$8*(V189-V$191)^2</f>
        <v>5.6899509593939392E-2</v>
      </c>
      <c r="X189" s="14">
        <f t="shared" ref="X189:X199" si="285">$D$28+$C$28*(RADIANS(E189-$B$12))+$E$10*RADIANS(E189)^2</f>
        <v>0.42864212824917736</v>
      </c>
      <c r="Y189" s="6">
        <f t="shared" ref="Y189:Y199" si="286">$B$198+$B$7*X189^2+$B$8*(X189-X$191)^2</f>
        <v>5.7285148941263832E-2</v>
      </c>
      <c r="Z189" s="14">
        <f t="shared" ref="Z189:Z199" si="287">$D$29+$C$29*(RADIANS(E189-$B$12))+$E$10*RADIANS(E189)^2</f>
        <v>0.44137322125238498</v>
      </c>
      <c r="AA189" s="6">
        <f t="shared" ref="AA189:AA199" si="288">$B$199+$B$7*Z189^2+$B$8*(Z189-Z$191)^2</f>
        <v>5.7879099210814675E-2</v>
      </c>
      <c r="AB189" s="14">
        <f t="shared" ref="AB189:AB199" si="289">$D$30+$C$30*(RADIANS(E189-$B$12))+$E$10*RADIANS(E189)^2</f>
        <v>0.45672851666868225</v>
      </c>
      <c r="AC189" s="6">
        <f t="shared" ref="AC189:AC199" si="290">$B$200+$B$7*AB189^2+$B$8*(AB189-AB$191)^2</f>
        <v>5.8723932580069915E-2</v>
      </c>
      <c r="AD189" s="14">
        <f t="shared" ref="AD189:AD199" si="291">$D$31+$C$31*(RADIANS(E189-$B$12))+$E$10*RADIANS(E189)^2</f>
        <v>0.47541039180790012</v>
      </c>
      <c r="AE189" s="6">
        <f t="shared" ref="AE189:AE199" si="292">$B$201+$B$7*AD189^2+$B$8*(AD189-AD$191)^2</f>
        <v>6.0351576882974191E-2</v>
      </c>
      <c r="AF189" s="14">
        <f t="shared" ref="AF189:AF199" si="293">$D$32+$C$32*(RADIANS(E189-$B$12))+$E$10*RADIANS(E189)^2</f>
        <v>0.49844800212462537</v>
      </c>
      <c r="AG189" s="6">
        <f t="shared" ref="AG189:AG199" si="294">$B$202+$B$7*AF189^2+$B$8*(AF189-AF$191)^2</f>
        <v>6.1938277204147005E-2</v>
      </c>
      <c r="AH189" s="14">
        <f t="shared" ref="AH189:AH199" si="295">$D$33+$C$33*(RADIANS(E189-$B$12))+$E$10*RADIANS(E189)^2</f>
        <v>0.52740961892698079</v>
      </c>
      <c r="AI189" s="6">
        <f t="shared" ref="AI189:AI199" si="296">$B$203+$B$7*AH189^2+$B$8*(AH189-AH$191)^2</f>
        <v>6.413225209848343E-2</v>
      </c>
      <c r="AJ189" s="14">
        <f t="shared" ref="AJ189:AJ199" si="297">$D$34+$C$34*(RADIANS(E189-$B$12))+$E$10*RADIANS(E189)^2</f>
        <v>0.56482156659594751</v>
      </c>
      <c r="AK189">
        <f t="shared" ref="AK189:AK199" si="298">$B$204+$B$9*AJ189^2</f>
        <v>7.3622168022810935E-2</v>
      </c>
      <c r="AL189" s="14">
        <f t="shared" ref="AL189:AL199" si="299">$D$35+$C$35*(RADIANS(E189-$B$12))+$E$10*RADIANS(E189)^2</f>
        <v>0.61501474112168397</v>
      </c>
      <c r="AM189">
        <f t="shared" ref="AM189:AM199" si="300">$B$205+$B$9*AL189^2</f>
        <v>7.986315699858676E-2</v>
      </c>
      <c r="AN189" s="14">
        <f t="shared" ref="AN189:AN199" si="301">$D$36+$C$36*(RADIANS(E189-$B$12))+$E$10*RADIANS(E189)^2</f>
        <v>0.68649205059249963</v>
      </c>
      <c r="AO189">
        <f t="shared" ref="AO189:AO199" si="302">$B$206+$B$9*AN189^2</f>
        <v>8.9076574410267964E-2</v>
      </c>
      <c r="AP189" s="14">
        <f t="shared" ref="AP189:AP199" si="303">$D$37+$C$37*(RADIANS(E189-$B$12))+$E$10*RADIANS(E189)^2</f>
        <v>0.79849050574142755</v>
      </c>
      <c r="AQ189">
        <f t="shared" ref="AQ189:AQ199" si="304">$B$207+$B$9*AP189^2</f>
        <v>0.1056937427086959</v>
      </c>
    </row>
    <row r="190" spans="1:43" x14ac:dyDescent="0.25">
      <c r="A190" s="129">
        <v>0.1</v>
      </c>
      <c r="B190" s="129">
        <f>'Sub C_D_0'!AY162</f>
        <v>4.799422894434191E-2</v>
      </c>
      <c r="C190" s="129">
        <f>'C_L vs. α'!X443</f>
        <v>0.10710313787004169</v>
      </c>
      <c r="D190" s="247">
        <f>'C_L vs. α'!Z443</f>
        <v>0.38371367545476148</v>
      </c>
      <c r="E190" s="144">
        <v>-2</v>
      </c>
      <c r="F190" s="14">
        <f t="shared" si="267"/>
        <v>0.38158026306321818</v>
      </c>
      <c r="G190" s="6">
        <f t="shared" si="268"/>
        <v>6.3084586368288342E-2</v>
      </c>
      <c r="H190" s="14">
        <f t="shared" si="269"/>
        <v>0.38282049177302152</v>
      </c>
      <c r="I190" s="6">
        <f t="shared" si="270"/>
        <v>5.9846511623461218E-2</v>
      </c>
      <c r="J190" s="14">
        <f t="shared" si="271"/>
        <v>0.3849181376139611</v>
      </c>
      <c r="K190" s="6">
        <f t="shared" si="272"/>
        <v>5.8264085775168811E-2</v>
      </c>
      <c r="L190" s="14">
        <f t="shared" si="273"/>
        <v>0.38791515021225137</v>
      </c>
      <c r="M190" s="6">
        <f t="shared" si="274"/>
        <v>5.7324983666847816E-2</v>
      </c>
      <c r="N190" s="14">
        <f t="shared" si="275"/>
        <v>0.39187436500470224</v>
      </c>
      <c r="O190" s="6">
        <f t="shared" si="276"/>
        <v>5.6747542571281333E-2</v>
      </c>
      <c r="P190" s="14">
        <f t="shared" si="277"/>
        <v>0.39688495147574893</v>
      </c>
      <c r="Q190" s="6">
        <f t="shared" si="278"/>
        <v>5.6887076562785688E-2</v>
      </c>
      <c r="R190" s="14">
        <f t="shared" si="279"/>
        <v>0.40306027339764899</v>
      </c>
      <c r="S190" s="6">
        <f t="shared" si="280"/>
        <v>5.674753932946567E-2</v>
      </c>
      <c r="T190" s="14">
        <f t="shared" si="281"/>
        <v>0.41055803265822149</v>
      </c>
      <c r="U190" s="6">
        <f t="shared" si="282"/>
        <v>5.6787667566260823E-2</v>
      </c>
      <c r="V190" s="14">
        <f t="shared" si="283"/>
        <v>0.41958454175622578</v>
      </c>
      <c r="W190" s="6">
        <f t="shared" si="284"/>
        <v>5.7004105024546566E-2</v>
      </c>
      <c r="X190" s="14">
        <f t="shared" si="285"/>
        <v>0.43041498753436558</v>
      </c>
      <c r="Y190" s="6">
        <f t="shared" si="286"/>
        <v>5.7407991377816554E-2</v>
      </c>
      <c r="Z190" s="14">
        <f t="shared" si="287"/>
        <v>0.44342123926811561</v>
      </c>
      <c r="AA190" s="6">
        <f t="shared" si="288"/>
        <v>5.8025236626364517E-2</v>
      </c>
      <c r="AB190" s="14">
        <f t="shared" si="289"/>
        <v>0.45911550564609555</v>
      </c>
      <c r="AC190" s="6">
        <f t="shared" si="290"/>
        <v>5.8900202835702672E-2</v>
      </c>
      <c r="AD190" s="14">
        <f t="shared" si="291"/>
        <v>0.47822074579707169</v>
      </c>
      <c r="AE190" s="6">
        <f t="shared" si="292"/>
        <v>6.056762805290683E-2</v>
      </c>
      <c r="AF190" s="14">
        <f t="shared" si="293"/>
        <v>0.50179348222444353</v>
      </c>
      <c r="AG190" s="6">
        <f t="shared" si="294"/>
        <v>6.2207970692241321E-2</v>
      </c>
      <c r="AH190" s="14">
        <f t="shared" si="295"/>
        <v>0.53144173178595611</v>
      </c>
      <c r="AI190" s="6">
        <f t="shared" si="296"/>
        <v>6.4476244027772814E-2</v>
      </c>
      <c r="AJ190" s="14">
        <f t="shared" si="297"/>
        <v>0.56974738764025024</v>
      </c>
      <c r="AK190">
        <f t="shared" si="298"/>
        <v>7.4185917915219196E-2</v>
      </c>
      <c r="AL190" s="14">
        <f t="shared" si="299"/>
        <v>0.62113488667550987</v>
      </c>
      <c r="AM190">
        <f t="shared" si="300"/>
        <v>8.0626306702423101E-2</v>
      </c>
      <c r="AN190" s="14">
        <f t="shared" si="301"/>
        <v>0.69396338483371267</v>
      </c>
      <c r="AO190">
        <f t="shared" si="302"/>
        <v>9.0116967606317031E-2</v>
      </c>
      <c r="AP190" s="14">
        <f t="shared" si="303"/>
        <v>0.80509789952621869</v>
      </c>
      <c r="AQ190">
        <f t="shared" si="304"/>
        <v>0.10676255156683628</v>
      </c>
    </row>
    <row r="191" spans="1:43" s="99" customFormat="1" x14ac:dyDescent="0.25">
      <c r="A191" s="139">
        <v>0.15</v>
      </c>
      <c r="B191" s="129">
        <f>'Sub C_D_0'!AY163</f>
        <v>4.6281556071265148E-2</v>
      </c>
      <c r="C191" s="129">
        <f>'C_L vs. α'!X444</f>
        <v>0.10834922633532522</v>
      </c>
      <c r="D191" s="247">
        <f>'C_L vs. α'!Z444</f>
        <v>0.38583313397868807</v>
      </c>
      <c r="E191" s="143">
        <v>0</v>
      </c>
      <c r="F191" s="14">
        <f t="shared" si="267"/>
        <v>0.38431173932422247</v>
      </c>
      <c r="G191" s="6">
        <f t="shared" si="268"/>
        <v>6.3253625721133119E-2</v>
      </c>
      <c r="H191" s="14">
        <f t="shared" si="269"/>
        <v>0.38558163487981889</v>
      </c>
      <c r="I191" s="6">
        <f t="shared" si="270"/>
        <v>6.0017945810707546E-2</v>
      </c>
      <c r="J191" s="14">
        <f t="shared" si="271"/>
        <v>0.38772290608673249</v>
      </c>
      <c r="K191" s="6">
        <f t="shared" si="272"/>
        <v>5.8439187651510037E-2</v>
      </c>
      <c r="L191" s="14">
        <f t="shared" si="273"/>
        <v>0.3907799157285059</v>
      </c>
      <c r="M191" s="6">
        <f t="shared" si="274"/>
        <v>5.7505230342102372E-2</v>
      </c>
      <c r="N191" s="14">
        <f t="shared" si="275"/>
        <v>0.3948175326088007</v>
      </c>
      <c r="O191" s="6">
        <f t="shared" si="276"/>
        <v>5.6934621010468686E-2</v>
      </c>
      <c r="P191" s="14">
        <f t="shared" si="277"/>
        <v>0.39992348905569641</v>
      </c>
      <c r="Q191" s="6">
        <f t="shared" si="278"/>
        <v>5.708269727845159E-2</v>
      </c>
      <c r="R191" s="14">
        <f t="shared" si="279"/>
        <v>0.406222101723128</v>
      </c>
      <c r="S191" s="6">
        <f t="shared" si="280"/>
        <v>5.6954279378393834E-2</v>
      </c>
      <c r="T191" s="14">
        <f t="shared" si="281"/>
        <v>0.41387106546210661</v>
      </c>
      <c r="U191" s="6">
        <f t="shared" si="282"/>
        <v>5.7008342646955583E-2</v>
      </c>
      <c r="V191" s="14">
        <f t="shared" si="283"/>
        <v>0.42308203920482768</v>
      </c>
      <c r="W191" s="6">
        <f t="shared" si="284"/>
        <v>5.7242212614481661E-2</v>
      </c>
      <c r="X191" s="14">
        <f t="shared" si="285"/>
        <v>0.43413739830618875</v>
      </c>
      <c r="Y191" s="6">
        <f t="shared" si="286"/>
        <v>5.7667982787465599E-2</v>
      </c>
      <c r="Z191" s="14">
        <f t="shared" si="287"/>
        <v>0.44741880877048118</v>
      </c>
      <c r="AA191" s="6">
        <f t="shared" si="288"/>
        <v>5.8312923201145492E-2</v>
      </c>
      <c r="AB191" s="14">
        <f t="shared" si="289"/>
        <v>0.46345204611014379</v>
      </c>
      <c r="AC191" s="6">
        <f t="shared" si="290"/>
        <v>5.9223381368973017E-2</v>
      </c>
      <c r="AD191" s="14">
        <f t="shared" si="291"/>
        <v>0.48298065127287826</v>
      </c>
      <c r="AE191" s="6">
        <f t="shared" si="292"/>
        <v>6.0937189451701235E-2</v>
      </c>
      <c r="AF191" s="14">
        <f t="shared" si="293"/>
        <v>0.50708851381089648</v>
      </c>
      <c r="AG191" s="6">
        <f t="shared" si="294"/>
        <v>6.2639441021479295E-2</v>
      </c>
      <c r="AH191" s="14">
        <f t="shared" si="295"/>
        <v>0.53742339613156631</v>
      </c>
      <c r="AI191" s="6">
        <f t="shared" si="296"/>
        <v>6.4992600406056228E-2</v>
      </c>
      <c r="AJ191" s="14">
        <f t="shared" si="297"/>
        <v>0.57662276017118796</v>
      </c>
      <c r="AK191" s="99">
        <f t="shared" si="298"/>
        <v>7.4980974519594457E-2</v>
      </c>
      <c r="AL191" s="14">
        <f t="shared" si="299"/>
        <v>0.62920458371597077</v>
      </c>
      <c r="AM191" s="99">
        <f t="shared" si="300"/>
        <v>8.1644105932622862E-2</v>
      </c>
      <c r="AN191" s="14">
        <f t="shared" si="301"/>
        <v>0.70338427056156072</v>
      </c>
      <c r="AO191" s="99">
        <f t="shared" si="302"/>
        <v>9.1444891401549128E-2</v>
      </c>
      <c r="AP191" s="14">
        <f t="shared" si="303"/>
        <v>0.81365484479764483</v>
      </c>
      <c r="AQ191" s="99">
        <f t="shared" si="304"/>
        <v>0.10815980832428329</v>
      </c>
    </row>
    <row r="192" spans="1:43" x14ac:dyDescent="0.25">
      <c r="A192" s="129">
        <v>0.2</v>
      </c>
      <c r="B192" s="129">
        <f>'Sub C_D_0'!AY164</f>
        <v>4.5155128755934366E-2</v>
      </c>
      <c r="C192" s="129">
        <f>'C_L vs. α'!X445</f>
        <v>0.11006380135905318</v>
      </c>
      <c r="D192" s="247">
        <f>'C_L vs. α'!Z445</f>
        <v>0.38886014509871991</v>
      </c>
      <c r="E192" s="144">
        <v>2</v>
      </c>
      <c r="F192" s="14">
        <f t="shared" si="267"/>
        <v>0.38899276707186159</v>
      </c>
      <c r="G192" s="6">
        <f t="shared" si="268"/>
        <v>6.354681457690195E-2</v>
      </c>
      <c r="H192" s="14">
        <f t="shared" si="269"/>
        <v>0.39029232947325115</v>
      </c>
      <c r="I192" s="6">
        <f t="shared" si="270"/>
        <v>6.0313974484935862E-2</v>
      </c>
      <c r="J192" s="14">
        <f t="shared" si="271"/>
        <v>0.39247722604613877</v>
      </c>
      <c r="K192" s="6">
        <f t="shared" si="272"/>
        <v>5.8739625376117141E-2</v>
      </c>
      <c r="L192" s="14">
        <f t="shared" si="273"/>
        <v>0.39559423273139527</v>
      </c>
      <c r="M192" s="6">
        <f t="shared" si="274"/>
        <v>5.7811869067706981E-2</v>
      </c>
      <c r="N192" s="14">
        <f t="shared" si="275"/>
        <v>0.39971025169953411</v>
      </c>
      <c r="O192" s="6">
        <f t="shared" si="276"/>
        <v>5.7249487400873177E-2</v>
      </c>
      <c r="P192" s="14">
        <f t="shared" si="277"/>
        <v>0.40491157812227885</v>
      </c>
      <c r="Q192" s="6">
        <f t="shared" si="278"/>
        <v>5.7407868629013904E-2</v>
      </c>
      <c r="R192" s="14">
        <f t="shared" si="279"/>
        <v>0.41133348153524191</v>
      </c>
      <c r="S192" s="6">
        <f t="shared" si="280"/>
        <v>5.7292758945999049E-2</v>
      </c>
      <c r="T192" s="14">
        <f t="shared" si="281"/>
        <v>0.41913364975262662</v>
      </c>
      <c r="U192" s="6">
        <f t="shared" si="282"/>
        <v>5.7363426211507716E-2</v>
      </c>
      <c r="V192" s="14">
        <f t="shared" si="283"/>
        <v>0.42852908814006446</v>
      </c>
      <c r="W192" s="6">
        <f t="shared" si="284"/>
        <v>5.7617959229222117E-2</v>
      </c>
      <c r="X192" s="14">
        <f t="shared" si="285"/>
        <v>0.43980936056464687</v>
      </c>
      <c r="Y192" s="6">
        <f t="shared" si="286"/>
        <v>5.8069515421737349E-2</v>
      </c>
      <c r="Z192" s="14">
        <f t="shared" si="287"/>
        <v>0.4533659297594817</v>
      </c>
      <c r="AA192" s="6">
        <f t="shared" si="288"/>
        <v>5.8746875859705901E-2</v>
      </c>
      <c r="AB192" s="14">
        <f t="shared" si="289"/>
        <v>0.46973813806082698</v>
      </c>
      <c r="AC192" s="6">
        <f t="shared" si="290"/>
        <v>5.9698585072572266E-2</v>
      </c>
      <c r="AD192" s="14">
        <f t="shared" si="291"/>
        <v>0.48969010823531972</v>
      </c>
      <c r="AE192" s="6">
        <f t="shared" si="292"/>
        <v>6.1465877520790912E-2</v>
      </c>
      <c r="AF192" s="14">
        <f t="shared" si="293"/>
        <v>0.51433309688398454</v>
      </c>
      <c r="AG192" s="6">
        <f t="shared" si="294"/>
        <v>6.3238936054333228E-2</v>
      </c>
      <c r="AH192" s="14">
        <f t="shared" si="295"/>
        <v>0.54535461196381152</v>
      </c>
      <c r="AI192" s="6">
        <f t="shared" si="296"/>
        <v>6.5688379286827109E-2</v>
      </c>
      <c r="AJ192" s="14">
        <f t="shared" si="297"/>
        <v>0.58544768418876059</v>
      </c>
      <c r="AK192">
        <f t="shared" si="298"/>
        <v>7.6015450418707525E-2</v>
      </c>
      <c r="AL192" s="14">
        <f t="shared" si="299"/>
        <v>0.63922383224306656</v>
      </c>
      <c r="AM192">
        <f t="shared" si="300"/>
        <v>8.2926076512895464E-2</v>
      </c>
      <c r="AN192" s="14">
        <f t="shared" si="301"/>
        <v>0.71475470777604366</v>
      </c>
      <c r="AO192">
        <f t="shared" si="302"/>
        <v>9.3071461952201229E-2</v>
      </c>
      <c r="AP192" s="14">
        <f t="shared" si="303"/>
        <v>0.82416134155570586</v>
      </c>
      <c r="AQ192">
        <f t="shared" si="304"/>
        <v>0.10989560973237185</v>
      </c>
    </row>
    <row r="193" spans="1:43" x14ac:dyDescent="0.25">
      <c r="A193" s="139">
        <v>0.25</v>
      </c>
      <c r="B193" s="129">
        <f>'Sub C_D_0'!AY165</f>
        <v>4.4327993517379996E-2</v>
      </c>
      <c r="C193" s="129">
        <f>'C_L vs. α'!X446</f>
        <v>0.11230550836416338</v>
      </c>
      <c r="D193" s="247">
        <f>'C_L vs. α'!Z446</f>
        <v>0.39285856093509275</v>
      </c>
      <c r="E193" s="144">
        <v>4</v>
      </c>
      <c r="F193" s="14">
        <f t="shared" si="267"/>
        <v>0.39562334630613571</v>
      </c>
      <c r="G193" s="6">
        <f t="shared" si="268"/>
        <v>6.3969676305402678E-2</v>
      </c>
      <c r="H193" s="14">
        <f t="shared" si="269"/>
        <v>0.39695257555331842</v>
      </c>
      <c r="I193" s="6">
        <f t="shared" si="270"/>
        <v>6.0740156021292457E-2</v>
      </c>
      <c r="J193" s="14">
        <f t="shared" si="271"/>
        <v>0.39918109749218</v>
      </c>
      <c r="K193" s="6">
        <f t="shared" si="272"/>
        <v>5.9171008799804171E-2</v>
      </c>
      <c r="L193" s="14">
        <f t="shared" si="273"/>
        <v>0.40235810122091969</v>
      </c>
      <c r="M193" s="6">
        <f t="shared" si="274"/>
        <v>5.8250580487873321E-2</v>
      </c>
      <c r="N193" s="14">
        <f t="shared" si="275"/>
        <v>0.40655252227690253</v>
      </c>
      <c r="O193" s="6">
        <f t="shared" si="276"/>
        <v>5.769791489710125E-2</v>
      </c>
      <c r="P193" s="14">
        <f t="shared" si="277"/>
        <v>0.41184921867549629</v>
      </c>
      <c r="Q193" s="6">
        <f t="shared" si="278"/>
        <v>5.7868476300701098E-2</v>
      </c>
      <c r="R193" s="14">
        <f t="shared" si="279"/>
        <v>0.41839441283399076</v>
      </c>
      <c r="S193" s="6">
        <f t="shared" si="280"/>
        <v>5.7769009195191019E-2</v>
      </c>
      <c r="T193" s="14">
        <f t="shared" si="281"/>
        <v>0.42634578552978158</v>
      </c>
      <c r="U193" s="6">
        <f t="shared" si="282"/>
        <v>5.7859127836264276E-2</v>
      </c>
      <c r="V193" s="14">
        <f t="shared" si="283"/>
        <v>0.43592568856193631</v>
      </c>
      <c r="W193" s="6">
        <f t="shared" si="284"/>
        <v>5.8137772103822469E-2</v>
      </c>
      <c r="X193" s="14">
        <f t="shared" si="285"/>
        <v>0.44743087430973993</v>
      </c>
      <c r="Y193" s="6">
        <f t="shared" si="286"/>
        <v>5.8619281901735237E-2</v>
      </c>
      <c r="Z193" s="14">
        <f t="shared" si="287"/>
        <v>0.46126260223511717</v>
      </c>
      <c r="AA193" s="6">
        <f t="shared" si="288"/>
        <v>5.9334111896171167E-2</v>
      </c>
      <c r="AB193" s="14">
        <f t="shared" si="289"/>
        <v>0.47797378149814512</v>
      </c>
      <c r="AC193" s="6">
        <f t="shared" si="290"/>
        <v>6.0333231208768795E-2</v>
      </c>
      <c r="AD193" s="14">
        <f t="shared" si="291"/>
        <v>0.49834911668439619</v>
      </c>
      <c r="AE193" s="6">
        <f t="shared" si="292"/>
        <v>6.2161609071186501E-2</v>
      </c>
      <c r="AF193" s="14">
        <f t="shared" si="293"/>
        <v>0.52352723144370739</v>
      </c>
      <c r="AG193" s="6">
        <f t="shared" si="294"/>
        <v>6.4015004022852498E-2</v>
      </c>
      <c r="AH193" s="14">
        <f t="shared" si="295"/>
        <v>0.55523537928269173</v>
      </c>
      <c r="AI193" s="6">
        <f t="shared" si="296"/>
        <v>6.6572939093156078E-2</v>
      </c>
      <c r="AJ193" s="14">
        <f t="shared" si="297"/>
        <v>0.5962221596929681</v>
      </c>
      <c r="AK193">
        <f t="shared" si="298"/>
        <v>7.7299758564906271E-2</v>
      </c>
      <c r="AL193" s="14">
        <f t="shared" si="299"/>
        <v>0.65119263225679724</v>
      </c>
      <c r="AM193">
        <f t="shared" si="300"/>
        <v>8.4484040636527424E-2</v>
      </c>
      <c r="AN193" s="14">
        <f t="shared" si="301"/>
        <v>0.7280746964771615</v>
      </c>
      <c r="AO193">
        <f t="shared" si="302"/>
        <v>9.501009578408745E-2</v>
      </c>
      <c r="AP193" s="14">
        <f t="shared" si="303"/>
        <v>0.8366173898004019</v>
      </c>
      <c r="AQ193">
        <f t="shared" si="304"/>
        <v>0.11198235291201397</v>
      </c>
    </row>
    <row r="194" spans="1:43" x14ac:dyDescent="0.25">
      <c r="A194" s="129">
        <v>0.3</v>
      </c>
      <c r="B194" s="129">
        <f>'Sub C_D_0'!AY166</f>
        <v>4.4147892289804355E-2</v>
      </c>
      <c r="C194" s="129">
        <f>'C_L vs. α'!X447</f>
        <v>0.11503720196674827</v>
      </c>
      <c r="D194" s="247">
        <f>'C_L vs. α'!Z447</f>
        <v>0.39791683239406395</v>
      </c>
      <c r="E194" s="144">
        <v>6</v>
      </c>
      <c r="F194" s="14">
        <f t="shared" si="267"/>
        <v>0.40420347702704473</v>
      </c>
      <c r="G194" s="6">
        <f t="shared" si="268"/>
        <v>6.4530034646020293E-2</v>
      </c>
      <c r="H194" s="14">
        <f t="shared" si="269"/>
        <v>0.40556237312002053</v>
      </c>
      <c r="I194" s="6">
        <f t="shared" si="270"/>
        <v>6.130434916450065E-2</v>
      </c>
      <c r="J194" s="14">
        <f t="shared" si="271"/>
        <v>0.40783452042485613</v>
      </c>
      <c r="K194" s="6">
        <f t="shared" si="272"/>
        <v>5.9741248142962285E-2</v>
      </c>
      <c r="L194" s="14">
        <f t="shared" si="273"/>
        <v>0.4110715211970789</v>
      </c>
      <c r="M194" s="6">
        <f t="shared" si="274"/>
        <v>5.8829345616390125E-2</v>
      </c>
      <c r="N194" s="14">
        <f t="shared" si="275"/>
        <v>0.41534434434090578</v>
      </c>
      <c r="O194" s="6">
        <f t="shared" si="276"/>
        <v>5.8287977023336407E-2</v>
      </c>
      <c r="P194" s="14">
        <f t="shared" si="277"/>
        <v>0.42073641071534856</v>
      </c>
      <c r="Q194" s="6">
        <f t="shared" si="278"/>
        <v>5.8472706349318705E-2</v>
      </c>
      <c r="R194" s="14">
        <f t="shared" si="279"/>
        <v>0.4274048956193745</v>
      </c>
      <c r="S194" s="6">
        <f t="shared" si="280"/>
        <v>5.8391361658456487E-2</v>
      </c>
      <c r="T194" s="14">
        <f t="shared" si="281"/>
        <v>0.43550747279357144</v>
      </c>
      <c r="U194" s="6">
        <f t="shared" si="282"/>
        <v>5.8503957467149391E-2</v>
      </c>
      <c r="V194" s="14">
        <f t="shared" si="283"/>
        <v>0.44527184047044294</v>
      </c>
      <c r="W194" s="6">
        <f t="shared" si="284"/>
        <v>5.8810378842914325E-2</v>
      </c>
      <c r="X194" s="14">
        <f t="shared" si="285"/>
        <v>0.45700193954146789</v>
      </c>
      <c r="Y194" s="6">
        <f t="shared" si="286"/>
        <v>5.9326275218139823E-2</v>
      </c>
      <c r="Z194" s="14">
        <f t="shared" si="287"/>
        <v>0.47110882619738753</v>
      </c>
      <c r="AA194" s="6">
        <f t="shared" si="288"/>
        <v>6.0083948974243753E-2</v>
      </c>
      <c r="AB194" s="14">
        <f t="shared" si="289"/>
        <v>0.48815897642209816</v>
      </c>
      <c r="AC194" s="6">
        <f t="shared" si="290"/>
        <v>6.1137037409408089E-2</v>
      </c>
      <c r="AD194" s="14">
        <f t="shared" si="291"/>
        <v>0.50895767662010749</v>
      </c>
      <c r="AE194" s="6">
        <f t="shared" si="292"/>
        <v>6.3034601283475683E-2</v>
      </c>
      <c r="AF194" s="14">
        <f t="shared" si="293"/>
        <v>0.53467091749006523</v>
      </c>
      <c r="AG194" s="6">
        <f t="shared" si="294"/>
        <v>6.4978493528663625E-2</v>
      </c>
      <c r="AH194" s="14">
        <f t="shared" si="295"/>
        <v>0.56706569808820673</v>
      </c>
      <c r="AI194" s="6">
        <f t="shared" si="296"/>
        <v>6.7657938617690733E-2</v>
      </c>
      <c r="AJ194" s="14">
        <f t="shared" si="297"/>
        <v>0.60894618668381051</v>
      </c>
      <c r="AK194">
        <f t="shared" si="298"/>
        <v>7.8846612280115691E-2</v>
      </c>
      <c r="AL194" s="14">
        <f t="shared" si="299"/>
        <v>0.66511098375716293</v>
      </c>
      <c r="AM194">
        <f t="shared" si="300"/>
        <v>8.6332120866382311E-2</v>
      </c>
      <c r="AN194" s="14">
        <f t="shared" si="301"/>
        <v>0.74334423666491423</v>
      </c>
      <c r="AO194">
        <f t="shared" si="302"/>
        <v>9.7276509792598942E-2</v>
      </c>
      <c r="AP194" s="14">
        <f t="shared" si="303"/>
        <v>0.85102298953173272</v>
      </c>
      <c r="AQ194">
        <f t="shared" si="304"/>
        <v>0.11443473535369872</v>
      </c>
    </row>
    <row r="195" spans="1:43" x14ac:dyDescent="0.25">
      <c r="A195" s="139">
        <v>0.35</v>
      </c>
      <c r="B195" s="129">
        <f>'Sub C_D_0'!AY167</f>
        <v>4.3608831369625858E-2</v>
      </c>
      <c r="C195" s="129">
        <f>'C_L vs. α'!X448</f>
        <v>0.11856448920169711</v>
      </c>
      <c r="D195" s="247">
        <f>'C_L vs. α'!Z448</f>
        <v>0.40415379968872978</v>
      </c>
      <c r="E195" s="144">
        <v>8</v>
      </c>
      <c r="F195" s="14">
        <f t="shared" si="267"/>
        <v>0.4147331592345887</v>
      </c>
      <c r="G195" s="6">
        <f t="shared" si="268"/>
        <v>6.5238013707716785E-2</v>
      </c>
      <c r="H195" s="14">
        <f t="shared" si="269"/>
        <v>0.41612172217335763</v>
      </c>
      <c r="I195" s="6">
        <f t="shared" si="270"/>
        <v>6.2016713028860901E-2</v>
      </c>
      <c r="J195" s="14">
        <f t="shared" si="271"/>
        <v>0.41843749484416726</v>
      </c>
      <c r="K195" s="6">
        <f t="shared" si="272"/>
        <v>6.0460553995559697E-2</v>
      </c>
      <c r="L195" s="14">
        <f t="shared" si="273"/>
        <v>0.42173449265987317</v>
      </c>
      <c r="M195" s="6">
        <f t="shared" si="274"/>
        <v>5.9558445836623231E-2</v>
      </c>
      <c r="N195" s="14">
        <f t="shared" si="275"/>
        <v>0.42608571789154404</v>
      </c>
      <c r="O195" s="6">
        <f t="shared" si="276"/>
        <v>5.9030047673339255E-2</v>
      </c>
      <c r="P195" s="14">
        <f t="shared" si="277"/>
        <v>0.43157315424183584</v>
      </c>
      <c r="Q195" s="6">
        <f t="shared" si="278"/>
        <v>5.9231045200249355E-2</v>
      </c>
      <c r="R195" s="14">
        <f t="shared" si="279"/>
        <v>0.43836492989139325</v>
      </c>
      <c r="S195" s="6">
        <f t="shared" si="280"/>
        <v>5.9170448237859337E-2</v>
      </c>
      <c r="T195" s="14">
        <f t="shared" si="281"/>
        <v>0.44661871154399629</v>
      </c>
      <c r="U195" s="6">
        <f t="shared" si="282"/>
        <v>5.9308725419664303E-2</v>
      </c>
      <c r="V195" s="14">
        <f t="shared" si="283"/>
        <v>0.45656754386558457</v>
      </c>
      <c r="W195" s="6">
        <f t="shared" si="284"/>
        <v>5.9646807420706383E-2</v>
      </c>
      <c r="X195" s="14">
        <f t="shared" si="285"/>
        <v>0.4685225562598308</v>
      </c>
      <c r="Y195" s="6">
        <f t="shared" si="286"/>
        <v>6.0201788731208718E-2</v>
      </c>
      <c r="Z195" s="14">
        <f t="shared" si="287"/>
        <v>0.48290460164629284</v>
      </c>
      <c r="AA195" s="6">
        <f t="shared" si="288"/>
        <v>6.1008005127203259E-2</v>
      </c>
      <c r="AB195" s="14">
        <f t="shared" si="289"/>
        <v>0.50029372283268625</v>
      </c>
      <c r="AC195" s="6">
        <f t="shared" si="290"/>
        <v>6.2122021675912728E-2</v>
      </c>
      <c r="AD195" s="14">
        <f t="shared" si="291"/>
        <v>0.5215157880424538</v>
      </c>
      <c r="AE195" s="6">
        <f t="shared" si="292"/>
        <v>6.4097371707823259E-2</v>
      </c>
      <c r="AF195" s="14">
        <f t="shared" si="293"/>
        <v>0.54776415502305809</v>
      </c>
      <c r="AG195" s="6">
        <f t="shared" si="294"/>
        <v>6.614255354297012E-2</v>
      </c>
      <c r="AH195" s="14">
        <f t="shared" si="295"/>
        <v>0.58084556838035672</v>
      </c>
      <c r="AI195" s="6">
        <f t="shared" si="296"/>
        <v>6.8957337022655871E-2</v>
      </c>
      <c r="AJ195" s="14">
        <f t="shared" si="297"/>
        <v>0.62361976516128792</v>
      </c>
      <c r="AK195">
        <f t="shared" si="298"/>
        <v>8.0671025255837886E-2</v>
      </c>
      <c r="AL195" s="14">
        <f t="shared" si="299"/>
        <v>0.68097888674416351</v>
      </c>
      <c r="AM195">
        <f t="shared" si="300"/>
        <v>8.8486740134900807E-2</v>
      </c>
      <c r="AN195" s="14">
        <f t="shared" si="301"/>
        <v>0.76056332833930196</v>
      </c>
      <c r="AO195">
        <f t="shared" si="302"/>
        <v>9.9888721242704009E-2</v>
      </c>
      <c r="AP195" s="14">
        <f t="shared" si="303"/>
        <v>0.86737814074969855</v>
      </c>
      <c r="AQ195">
        <f t="shared" si="304"/>
        <v>0.11726975491749227</v>
      </c>
    </row>
    <row r="196" spans="1:43" x14ac:dyDescent="0.25">
      <c r="A196" s="129">
        <v>0.4</v>
      </c>
      <c r="B196" s="129">
        <f>'Sub C_D_0'!AY168</f>
        <v>4.31555864691687E-2</v>
      </c>
      <c r="C196" s="129">
        <f>'C_L vs. α'!X449</f>
        <v>0.12289042432176656</v>
      </c>
      <c r="D196" s="247">
        <f>'C_L vs. α'!Z449</f>
        <v>0.41172716118850533</v>
      </c>
      <c r="E196" s="144">
        <v>10</v>
      </c>
      <c r="F196" s="14">
        <f t="shared" si="267"/>
        <v>0.42721239292876767</v>
      </c>
      <c r="G196" s="6">
        <f t="shared" si="268"/>
        <v>6.610603796903132E-2</v>
      </c>
      <c r="H196" s="14">
        <f t="shared" si="269"/>
        <v>0.42863062271332963</v>
      </c>
      <c r="I196" s="6">
        <f t="shared" si="270"/>
        <v>6.2889707098250688E-2</v>
      </c>
      <c r="J196" s="14">
        <f t="shared" si="271"/>
        <v>0.43099002075011328</v>
      </c>
      <c r="K196" s="6">
        <f t="shared" si="272"/>
        <v>6.1341437317141714E-2</v>
      </c>
      <c r="L196" s="14">
        <f t="shared" si="273"/>
        <v>0.43434701560930233</v>
      </c>
      <c r="M196" s="6">
        <f t="shared" si="274"/>
        <v>6.045046290151556E-2</v>
      </c>
      <c r="N196" s="14">
        <f t="shared" si="275"/>
        <v>0.43877664292881724</v>
      </c>
      <c r="O196" s="6">
        <f t="shared" si="276"/>
        <v>5.9936801110447482E-2</v>
      </c>
      <c r="P196" s="14">
        <f t="shared" si="277"/>
        <v>0.44435944925495807</v>
      </c>
      <c r="Q196" s="6">
        <f t="shared" si="278"/>
        <v>6.0156279648452757E-2</v>
      </c>
      <c r="R196" s="14">
        <f t="shared" si="279"/>
        <v>0.45127451565004684</v>
      </c>
      <c r="S196" s="6">
        <f t="shared" si="280"/>
        <v>6.0119201205040468E-2</v>
      </c>
      <c r="T196" s="14">
        <f t="shared" si="281"/>
        <v>0.45967950178105599</v>
      </c>
      <c r="U196" s="6">
        <f t="shared" si="282"/>
        <v>6.028654237888726E-2</v>
      </c>
      <c r="V196" s="14">
        <f t="shared" si="283"/>
        <v>0.46981279874736115</v>
      </c>
      <c r="W196" s="6">
        <f t="shared" si="284"/>
        <v>6.0660386180984432E-2</v>
      </c>
      <c r="X196" s="14">
        <f t="shared" si="285"/>
        <v>0.48199272446482866</v>
      </c>
      <c r="Y196" s="6">
        <f t="shared" si="286"/>
        <v>6.1259416170776647E-2</v>
      </c>
      <c r="Z196" s="14">
        <f t="shared" si="287"/>
        <v>0.4966499285818331</v>
      </c>
      <c r="AA196" s="6">
        <f t="shared" si="288"/>
        <v>6.2120198757906336E-2</v>
      </c>
      <c r="AB196" s="14">
        <f t="shared" si="289"/>
        <v>0.51437802072990912</v>
      </c>
      <c r="AC196" s="6">
        <f t="shared" si="290"/>
        <v>6.3302502379282324E-2</v>
      </c>
      <c r="AD196" s="14">
        <f t="shared" si="291"/>
        <v>0.536023450951435</v>
      </c>
      <c r="AE196" s="6">
        <f t="shared" si="292"/>
        <v>6.5364738263971101E-2</v>
      </c>
      <c r="AF196" s="14">
        <f t="shared" si="293"/>
        <v>0.56280694404268572</v>
      </c>
      <c r="AG196" s="6">
        <f t="shared" si="294"/>
        <v>6.7522633406552665E-2</v>
      </c>
      <c r="AH196" s="14">
        <f t="shared" si="295"/>
        <v>0.59657499015914173</v>
      </c>
      <c r="AI196" s="6">
        <f t="shared" si="296"/>
        <v>7.048739383985328E-2</v>
      </c>
      <c r="AJ196" s="14">
        <f t="shared" si="297"/>
        <v>0.64024289512540022</v>
      </c>
      <c r="AK196">
        <f t="shared" si="298"/>
        <v>8.279031155315196E-2</v>
      </c>
      <c r="AL196" s="14">
        <f t="shared" si="299"/>
        <v>0.69879634121779899</v>
      </c>
      <c r="AM196">
        <f t="shared" si="300"/>
        <v>9.096662174410064E-2</v>
      </c>
      <c r="AN196" s="14">
        <f t="shared" si="301"/>
        <v>0.77973197150032458</v>
      </c>
      <c r="AO196">
        <f t="shared" si="302"/>
        <v>0.10286704776894799</v>
      </c>
      <c r="AP196" s="14">
        <f t="shared" si="303"/>
        <v>0.88568284345429937</v>
      </c>
      <c r="AQ196">
        <f t="shared" si="304"/>
        <v>0.12050670983303789</v>
      </c>
    </row>
    <row r="197" spans="1:43" x14ac:dyDescent="0.25">
      <c r="A197" s="139">
        <v>0.45</v>
      </c>
      <c r="B197" s="129">
        <f>'Sub C_D_0'!AY169</f>
        <v>4.2765990502164175E-2</v>
      </c>
      <c r="C197" s="129">
        <f>'C_L vs. α'!X450</f>
        <v>0.12816770096166333</v>
      </c>
      <c r="D197" s="247">
        <f>'C_L vs. α'!Z450</f>
        <v>0.42084590260886801</v>
      </c>
      <c r="E197" s="144">
        <v>12</v>
      </c>
      <c r="F197" s="14">
        <f t="shared" si="267"/>
        <v>0.44164117810958148</v>
      </c>
      <c r="G197" s="6">
        <f t="shared" si="268"/>
        <v>6.7148832278080051E-2</v>
      </c>
      <c r="H197" s="14">
        <f t="shared" si="269"/>
        <v>0.44308907473993669</v>
      </c>
      <c r="I197" s="6">
        <f t="shared" si="270"/>
        <v>6.3938091226124649E-2</v>
      </c>
      <c r="J197" s="14">
        <f t="shared" si="271"/>
        <v>0.44549209814269425</v>
      </c>
      <c r="K197" s="6">
        <f t="shared" si="272"/>
        <v>6.2398709436830742E-2</v>
      </c>
      <c r="L197" s="14">
        <f t="shared" si="273"/>
        <v>0.44890909004536644</v>
      </c>
      <c r="M197" s="6">
        <f t="shared" si="274"/>
        <v>6.1520278933587108E-2</v>
      </c>
      <c r="N197" s="14">
        <f t="shared" si="275"/>
        <v>0.45341711945272534</v>
      </c>
      <c r="O197" s="6">
        <f t="shared" si="276"/>
        <v>6.1023211967575854E-2</v>
      </c>
      <c r="P197" s="14">
        <f t="shared" si="277"/>
        <v>0.45909529575471519</v>
      </c>
      <c r="Q197" s="6">
        <f t="shared" si="278"/>
        <v>6.1263496858465702E-2</v>
      </c>
      <c r="R197" s="14">
        <f t="shared" si="279"/>
        <v>0.46613365289533548</v>
      </c>
      <c r="S197" s="6">
        <f t="shared" si="280"/>
        <v>6.1252853201217948E-2</v>
      </c>
      <c r="T197" s="14">
        <f t="shared" si="281"/>
        <v>0.47468984350475074</v>
      </c>
      <c r="U197" s="6">
        <f t="shared" si="282"/>
        <v>6.1452819399473696E-2</v>
      </c>
      <c r="V197" s="14">
        <f t="shared" si="283"/>
        <v>0.48500760511577268</v>
      </c>
      <c r="W197" s="6">
        <f t="shared" si="284"/>
        <v>6.186674383711134E-2</v>
      </c>
      <c r="X197" s="14">
        <f t="shared" si="285"/>
        <v>0.49741244415646146</v>
      </c>
      <c r="Y197" s="6">
        <f t="shared" si="286"/>
        <v>6.2515051636255412E-2</v>
      </c>
      <c r="Z197" s="14">
        <f t="shared" si="287"/>
        <v>0.51234480700400831</v>
      </c>
      <c r="AA197" s="6">
        <f t="shared" si="288"/>
        <v>6.3436748638786719E-2</v>
      </c>
      <c r="AB197" s="14">
        <f t="shared" si="289"/>
        <v>0.530411870113767</v>
      </c>
      <c r="AC197" s="6">
        <f t="shared" si="290"/>
        <v>6.4695098260093661E-2</v>
      </c>
      <c r="AD197" s="14">
        <f t="shared" si="291"/>
        <v>0.55248066534705131</v>
      </c>
      <c r="AE197" s="6">
        <f t="shared" si="292"/>
        <v>6.6853819241238177E-2</v>
      </c>
      <c r="AF197" s="14">
        <f t="shared" si="293"/>
        <v>0.57979928454894847</v>
      </c>
      <c r="AG197" s="6">
        <f t="shared" si="294"/>
        <v>6.9136482829768975E-2</v>
      </c>
      <c r="AH197" s="14">
        <f t="shared" si="295"/>
        <v>0.61425396342456162</v>
      </c>
      <c r="AI197" s="6">
        <f t="shared" si="296"/>
        <v>7.2266668970661863E-2</v>
      </c>
      <c r="AJ197" s="14">
        <f t="shared" si="297"/>
        <v>0.65881557657614764</v>
      </c>
      <c r="AK197">
        <f t="shared" si="298"/>
        <v>8.5224085602714203E-2</v>
      </c>
      <c r="AL197" s="14">
        <f t="shared" si="299"/>
        <v>0.71856334717806958</v>
      </c>
      <c r="AM197">
        <f t="shared" si="300"/>
        <v>9.3792789365576695E-2</v>
      </c>
      <c r="AN197" s="14">
        <f t="shared" si="301"/>
        <v>0.80085016614798221</v>
      </c>
      <c r="AO197">
        <f t="shared" si="302"/>
        <v>0.10623410737545333</v>
      </c>
      <c r="AP197" s="14">
        <f t="shared" si="303"/>
        <v>0.90593709764553509</v>
      </c>
      <c r="AQ197">
        <f t="shared" si="304"/>
        <v>0.12416719869955592</v>
      </c>
    </row>
    <row r="198" spans="1:43" x14ac:dyDescent="0.25">
      <c r="A198" s="129">
        <v>0.5</v>
      </c>
      <c r="B198" s="129">
        <f>'Sub C_D_0'!AY170</f>
        <v>4.2425333448638941E-2</v>
      </c>
      <c r="C198" s="129">
        <f>'C_L vs. α'!X451</f>
        <v>0.13460151309406465</v>
      </c>
      <c r="D198" s="247">
        <f>'C_L vs. α'!Z451</f>
        <v>0.43178880504861844</v>
      </c>
      <c r="E198" s="144">
        <v>14</v>
      </c>
      <c r="F198" s="14">
        <f t="shared" si="267"/>
        <v>0.45801951477703023</v>
      </c>
      <c r="G198" s="6">
        <f t="shared" si="268"/>
        <v>6.8383421852556303E-2</v>
      </c>
      <c r="H198" s="14">
        <f t="shared" si="269"/>
        <v>0.45949707825317859</v>
      </c>
      <c r="I198" s="6">
        <f t="shared" si="270"/>
        <v>6.5178925635514459E-2</v>
      </c>
      <c r="J198" s="14">
        <f t="shared" si="271"/>
        <v>0.46194372702191017</v>
      </c>
      <c r="K198" s="6">
        <f t="shared" si="272"/>
        <v>6.3649482053326253E-2</v>
      </c>
      <c r="L198" s="14">
        <f t="shared" si="273"/>
        <v>0.4654207159680655</v>
      </c>
      <c r="M198" s="6">
        <f t="shared" si="274"/>
        <v>6.2785076424934944E-2</v>
      </c>
      <c r="N198" s="14">
        <f t="shared" si="275"/>
        <v>0.47000714746326833</v>
      </c>
      <c r="O198" s="6">
        <f t="shared" si="276"/>
        <v>6.2306555247216226E-2</v>
      </c>
      <c r="P198" s="14">
        <f t="shared" si="277"/>
        <v>0.47578069374110726</v>
      </c>
      <c r="Q198" s="6">
        <f t="shared" si="278"/>
        <v>6.2570084364402062E-2</v>
      </c>
      <c r="R198" s="14">
        <f t="shared" si="279"/>
        <v>0.48294234162725902</v>
      </c>
      <c r="S198" s="6">
        <f t="shared" si="280"/>
        <v>6.2588937237186837E-2</v>
      </c>
      <c r="T198" s="14">
        <f t="shared" si="281"/>
        <v>0.49164973671508039</v>
      </c>
      <c r="U198" s="6">
        <f t="shared" si="282"/>
        <v>6.2825267905656054E-2</v>
      </c>
      <c r="V198" s="14">
        <f t="shared" si="283"/>
        <v>0.5021519629708191</v>
      </c>
      <c r="W198" s="6">
        <f t="shared" si="284"/>
        <v>6.3283809472027053E-2</v>
      </c>
      <c r="X198" s="14">
        <f t="shared" si="285"/>
        <v>0.51478171533472916</v>
      </c>
      <c r="Y198" s="6">
        <f t="shared" si="286"/>
        <v>6.3986889596633845E-2</v>
      </c>
      <c r="Z198" s="14">
        <f t="shared" si="287"/>
        <v>0.52998923691281841</v>
      </c>
      <c r="AA198" s="6">
        <f t="shared" si="288"/>
        <v>6.4976173911855256E-2</v>
      </c>
      <c r="AB198" s="14">
        <f t="shared" si="289"/>
        <v>0.54839527098425978</v>
      </c>
      <c r="AC198" s="6">
        <f t="shared" si="290"/>
        <v>6.6318728428500492E-2</v>
      </c>
      <c r="AD198" s="14">
        <f t="shared" si="291"/>
        <v>0.57088743122930241</v>
      </c>
      <c r="AE198" s="6">
        <f t="shared" si="292"/>
        <v>6.8584033298520503E-2</v>
      </c>
      <c r="AF198" s="14">
        <f t="shared" si="293"/>
        <v>0.598741176541846</v>
      </c>
      <c r="AG198" s="6">
        <f t="shared" si="294"/>
        <v>7.1004151892553866E-2</v>
      </c>
      <c r="AH198" s="14">
        <f t="shared" si="295"/>
        <v>0.63388248817661641</v>
      </c>
      <c r="AI198" s="6">
        <f t="shared" si="296"/>
        <v>7.4316022686037653E-2</v>
      </c>
      <c r="AJ198" s="14">
        <f t="shared" si="297"/>
        <v>0.67933780951352984</v>
      </c>
      <c r="AK198">
        <f t="shared" si="298"/>
        <v>8.7994262204757895E-2</v>
      </c>
      <c r="AL198" s="14">
        <f t="shared" si="299"/>
        <v>0.74027990462497495</v>
      </c>
      <c r="AM198">
        <f t="shared" si="300"/>
        <v>9.698856704050085E-2</v>
      </c>
      <c r="AN198" s="14">
        <f t="shared" si="301"/>
        <v>0.82391791228227484</v>
      </c>
      <c r="AO198">
        <f t="shared" si="302"/>
        <v>0.11001481843591955</v>
      </c>
      <c r="AP198" s="14">
        <f t="shared" si="303"/>
        <v>0.92814090332340582</v>
      </c>
      <c r="AQ198">
        <f t="shared" si="304"/>
        <v>0.12827512048584377</v>
      </c>
    </row>
    <row r="199" spans="1:43" x14ac:dyDescent="0.25">
      <c r="A199" s="139">
        <v>0.55000000000000004</v>
      </c>
      <c r="B199" s="129">
        <f>'Sub C_D_0'!AY171</f>
        <v>4.2123382256337071E-2</v>
      </c>
      <c r="C199" s="129">
        <f>'C_L vs. α'!X452</f>
        <v>0.1424713281741227</v>
      </c>
      <c r="D199" s="247">
        <f>'C_L vs. α'!Z452</f>
        <v>0.44493263614763967</v>
      </c>
      <c r="E199" s="144">
        <v>16</v>
      </c>
      <c r="F199" s="14">
        <f t="shared" si="267"/>
        <v>0.47634740293111394</v>
      </c>
      <c r="G199" s="6">
        <f t="shared" si="268"/>
        <v>6.9829132279730435E-2</v>
      </c>
      <c r="H199" s="14">
        <f t="shared" si="269"/>
        <v>0.47785463325305538</v>
      </c>
      <c r="I199" s="6">
        <f t="shared" si="270"/>
        <v>6.6631570919028854E-2</v>
      </c>
      <c r="J199" s="14">
        <f t="shared" si="271"/>
        <v>0.48034490738776098</v>
      </c>
      <c r="K199" s="6">
        <f t="shared" si="272"/>
        <v>6.5113167234904817E-2</v>
      </c>
      <c r="L199" s="14">
        <f t="shared" si="273"/>
        <v>0.4838818933773994</v>
      </c>
      <c r="M199" s="6">
        <f t="shared" si="274"/>
        <v>6.4264338237233251E-2</v>
      </c>
      <c r="N199" s="14">
        <f t="shared" si="275"/>
        <v>0.48854672696044626</v>
      </c>
      <c r="O199" s="6">
        <f t="shared" si="276"/>
        <v>6.3806406321437553E-2</v>
      </c>
      <c r="P199" s="14">
        <f t="shared" si="277"/>
        <v>0.49441564321413423</v>
      </c>
      <c r="Q199" s="6">
        <f t="shared" si="278"/>
        <v>6.4095730069952811E-2</v>
      </c>
      <c r="R199" s="14">
        <f t="shared" si="279"/>
        <v>0.50170058184581745</v>
      </c>
      <c r="S199" s="6">
        <f t="shared" si="280"/>
        <v>6.4147286693319344E-2</v>
      </c>
      <c r="T199" s="14">
        <f t="shared" si="281"/>
        <v>0.51055918141204493</v>
      </c>
      <c r="U199" s="6">
        <f t="shared" si="282"/>
        <v>6.4423899691243888E-2</v>
      </c>
      <c r="V199" s="14">
        <f t="shared" si="283"/>
        <v>0.52124587231250041</v>
      </c>
      <c r="W199" s="6">
        <f t="shared" si="284"/>
        <v>6.493181253824859E-2</v>
      </c>
      <c r="X199" s="14">
        <f t="shared" si="285"/>
        <v>0.53410053799963186</v>
      </c>
      <c r="Y199" s="6">
        <f t="shared" si="286"/>
        <v>6.5695424890477985E-2</v>
      </c>
      <c r="Z199" s="14">
        <f t="shared" si="287"/>
        <v>0.54958321830826351</v>
      </c>
      <c r="AA199" s="6">
        <f t="shared" si="288"/>
        <v>6.6759294088699836E-2</v>
      </c>
      <c r="AB199" s="14">
        <f t="shared" si="289"/>
        <v>0.56832822334138755</v>
      </c>
      <c r="AC199" s="6">
        <f t="shared" si="290"/>
        <v>6.819461236423377E-2</v>
      </c>
      <c r="AD199" s="14">
        <f t="shared" si="291"/>
        <v>0.5912437485981884</v>
      </c>
      <c r="AE199" s="6">
        <f t="shared" si="292"/>
        <v>7.0577099464291207E-2</v>
      </c>
      <c r="AF199" s="14">
        <f t="shared" si="293"/>
        <v>0.61963262002137853</v>
      </c>
      <c r="AG199" s="6">
        <f t="shared" si="294"/>
        <v>7.3147991044419228E-2</v>
      </c>
      <c r="AH199" s="14">
        <f t="shared" si="295"/>
        <v>0.6554605644153062</v>
      </c>
      <c r="AI199" s="6">
        <f t="shared" si="296"/>
        <v>7.6658615626513674E-2</v>
      </c>
      <c r="AJ199" s="14">
        <f t="shared" si="297"/>
        <v>0.70180959393754694</v>
      </c>
      <c r="AK199">
        <f t="shared" si="298"/>
        <v>9.1125056529093473E-2</v>
      </c>
      <c r="AL199" s="14">
        <f t="shared" si="299"/>
        <v>0.76394601355851532</v>
      </c>
      <c r="AM199">
        <f t="shared" si="300"/>
        <v>0.10057957917962213</v>
      </c>
      <c r="AN199" s="14">
        <f t="shared" si="301"/>
        <v>0.84893520990320226</v>
      </c>
      <c r="AO199">
        <f t="shared" si="302"/>
        <v>0.1142363996936232</v>
      </c>
      <c r="AP199" s="14">
        <f t="shared" si="303"/>
        <v>0.95229426048791133</v>
      </c>
      <c r="AQ199">
        <f t="shared" si="304"/>
        <v>0.13285667453027591</v>
      </c>
    </row>
    <row r="200" spans="1:43" x14ac:dyDescent="0.25">
      <c r="A200" s="129">
        <v>0.6</v>
      </c>
      <c r="B200" s="129">
        <f>'Sub C_D_0'!AY172</f>
        <v>4.1852747445422583E-2</v>
      </c>
      <c r="C200" s="129">
        <f>'C_L vs. α'!X453</f>
        <v>0.15216382998166197</v>
      </c>
      <c r="D200" s="247">
        <f>'C_L vs. α'!Z453</f>
        <v>0.46079638800646094</v>
      </c>
    </row>
    <row r="201" spans="1:43" x14ac:dyDescent="0.25">
      <c r="A201" s="139">
        <v>0.65</v>
      </c>
      <c r="B201" s="129">
        <f>'Sub C_D_0'!AY173</f>
        <v>4.2071810833045079E-2</v>
      </c>
      <c r="C201" s="129">
        <f>'C_L vs. α'!X454</f>
        <v>0.16426336239313699</v>
      </c>
      <c r="D201" s="247">
        <f>'C_L vs. α'!Z454</f>
        <v>0.48011331066331625</v>
      </c>
    </row>
    <row r="202" spans="1:43" x14ac:dyDescent="0.25">
      <c r="A202" s="129">
        <v>0.7</v>
      </c>
      <c r="B202" s="129">
        <f>'Sub C_D_0'!AY174</f>
        <v>4.1843737997489805E-2</v>
      </c>
      <c r="C202" s="129">
        <f>'C_L vs. α'!X455</f>
        <v>0.17954714628800661</v>
      </c>
      <c r="D202" s="247">
        <f>'C_L vs. α'!Z455</f>
        <v>0.50395361014601125</v>
      </c>
    </row>
    <row r="203" spans="1:43" x14ac:dyDescent="0.25">
      <c r="A203" s="139">
        <v>0.75</v>
      </c>
      <c r="B203" s="129">
        <f>'Sub C_D_0'!AY175</f>
        <v>4.1634409791133767E-2</v>
      </c>
      <c r="C203" s="129">
        <f>'C_L vs. α'!X456</f>
        <v>0.19913965070149539</v>
      </c>
      <c r="D203" s="247">
        <f>'C_L vs. α'!Z456</f>
        <v>0.53394517608710246</v>
      </c>
    </row>
    <row r="204" spans="1:43" x14ac:dyDescent="0.25">
      <c r="A204" s="129">
        <v>0.8</v>
      </c>
      <c r="B204" s="129">
        <f>'Sub C_D_0'!AY176</f>
        <v>4.1441171480482542E-2</v>
      </c>
      <c r="C204" s="129">
        <f>'C_L vs. α'!X457</f>
        <v>0.22459938383969194</v>
      </c>
      <c r="D204" s="247">
        <f>'C_L vs. α'!Z457</f>
        <v>0.57269768603406035</v>
      </c>
    </row>
    <row r="205" spans="1:43" x14ac:dyDescent="0.25">
      <c r="A205" s="139">
        <v>0.85</v>
      </c>
      <c r="B205" s="129">
        <f>'Sub C_D_0'!AY177</f>
        <v>4.1708461021106771E-2</v>
      </c>
      <c r="C205" s="129">
        <f>'C_L vs. α'!X458</f>
        <v>0.25848095999507764</v>
      </c>
      <c r="D205" s="247">
        <f>'C_L vs. α'!Z458</f>
        <v>0.62468234732408157</v>
      </c>
    </row>
    <row r="206" spans="1:43" x14ac:dyDescent="0.25">
      <c r="A206" s="129">
        <v>0.9</v>
      </c>
      <c r="B206" s="129">
        <f>'Sub C_D_0'!AY178</f>
        <v>4.1537801017354853E-2</v>
      </c>
      <c r="C206" s="129">
        <f>'C_L vs. α'!X459</f>
        <v>0.29637099638935421</v>
      </c>
      <c r="D206" s="247">
        <f>'C_L vs. α'!Z459</f>
        <v>0.69818643982597794</v>
      </c>
    </row>
    <row r="207" spans="1:43" x14ac:dyDescent="0.25">
      <c r="A207" s="139">
        <v>0.95</v>
      </c>
      <c r="B207" s="129">
        <f>'Sub C_D_0'!AY179</f>
        <v>4.137812281350893E-2</v>
      </c>
      <c r="C207" s="129">
        <f>'C_L vs. α'!X460</f>
        <v>0.26834460027091589</v>
      </c>
      <c r="D207" s="247">
        <f>'C_L vs. α'!Z460</f>
        <v>0.80888898429027301</v>
      </c>
    </row>
    <row r="209" spans="1:43" x14ac:dyDescent="0.25">
      <c r="A209" s="122" t="s">
        <v>537</v>
      </c>
      <c r="B209" s="122" t="s">
        <v>290</v>
      </c>
    </row>
    <row r="210" spans="1:43" x14ac:dyDescent="0.25">
      <c r="A210" s="122" t="s">
        <v>202</v>
      </c>
      <c r="B210" s="145">
        <v>36000</v>
      </c>
      <c r="C210" s="122" t="s">
        <v>538</v>
      </c>
      <c r="D210" s="122" t="s">
        <v>539</v>
      </c>
      <c r="F210" s="1" t="s">
        <v>536</v>
      </c>
      <c r="G210" s="140">
        <v>0.05</v>
      </c>
      <c r="H210" s="1" t="s">
        <v>536</v>
      </c>
      <c r="I210" s="140">
        <v>0.1</v>
      </c>
      <c r="J210" s="1" t="s">
        <v>536</v>
      </c>
      <c r="K210" s="140">
        <v>0.15</v>
      </c>
      <c r="L210" s="1" t="s">
        <v>536</v>
      </c>
      <c r="M210" s="140">
        <v>0.2</v>
      </c>
      <c r="N210" t="s">
        <v>536</v>
      </c>
      <c r="O210" s="141">
        <v>0.25</v>
      </c>
      <c r="P210" t="s">
        <v>536</v>
      </c>
      <c r="Q210" s="141">
        <v>0.3</v>
      </c>
      <c r="R210" t="s">
        <v>536</v>
      </c>
      <c r="S210" s="141">
        <v>0.35</v>
      </c>
      <c r="T210" t="s">
        <v>536</v>
      </c>
      <c r="U210" s="141">
        <v>0.4</v>
      </c>
      <c r="V210" t="s">
        <v>536</v>
      </c>
      <c r="W210" s="141">
        <v>0.45</v>
      </c>
      <c r="X210" t="s">
        <v>536</v>
      </c>
      <c r="Y210" s="141">
        <v>0.5</v>
      </c>
      <c r="Z210" t="s">
        <v>536</v>
      </c>
      <c r="AA210" s="141">
        <v>0.55000000000000004</v>
      </c>
      <c r="AB210" t="s">
        <v>536</v>
      </c>
      <c r="AC210" s="141">
        <v>0.6</v>
      </c>
      <c r="AD210" t="s">
        <v>536</v>
      </c>
      <c r="AE210" s="141">
        <v>0.65</v>
      </c>
      <c r="AF210" t="s">
        <v>536</v>
      </c>
      <c r="AG210" s="141">
        <v>0.7</v>
      </c>
      <c r="AH210" t="s">
        <v>536</v>
      </c>
      <c r="AI210" s="141">
        <v>0.75</v>
      </c>
      <c r="AJ210" t="s">
        <v>536</v>
      </c>
      <c r="AK210" s="141">
        <v>0.8</v>
      </c>
      <c r="AL210" t="s">
        <v>536</v>
      </c>
      <c r="AM210" s="141">
        <v>0.85</v>
      </c>
      <c r="AN210" t="s">
        <v>536</v>
      </c>
      <c r="AO210" s="141">
        <v>0.9</v>
      </c>
      <c r="AP210" t="s">
        <v>536</v>
      </c>
      <c r="AQ210" s="141">
        <v>0.95</v>
      </c>
    </row>
    <row r="211" spans="1:43" x14ac:dyDescent="0.25">
      <c r="A211" s="121" t="s">
        <v>182</v>
      </c>
      <c r="B211" s="121" t="s">
        <v>534</v>
      </c>
      <c r="C211" s="121" t="s">
        <v>535</v>
      </c>
      <c r="D211" s="248" t="s">
        <v>1126</v>
      </c>
      <c r="E211" s="121" t="s">
        <v>421</v>
      </c>
      <c r="F211" s="14" t="s">
        <v>244</v>
      </c>
      <c r="G211" s="6" t="s">
        <v>245</v>
      </c>
      <c r="H211" s="14" t="s">
        <v>244</v>
      </c>
      <c r="I211" s="6" t="s">
        <v>245</v>
      </c>
      <c r="J211" s="14" t="s">
        <v>244</v>
      </c>
      <c r="K211" s="6" t="s">
        <v>245</v>
      </c>
      <c r="L211" s="14" t="s">
        <v>244</v>
      </c>
      <c r="M211" s="6" t="s">
        <v>245</v>
      </c>
      <c r="N211" t="s">
        <v>244</v>
      </c>
      <c r="O211" t="s">
        <v>245</v>
      </c>
      <c r="P211" t="s">
        <v>244</v>
      </c>
      <c r="Q211" t="s">
        <v>245</v>
      </c>
      <c r="R211" t="s">
        <v>244</v>
      </c>
      <c r="S211" t="s">
        <v>245</v>
      </c>
      <c r="T211" t="s">
        <v>244</v>
      </c>
      <c r="U211" t="s">
        <v>245</v>
      </c>
      <c r="V211" t="s">
        <v>244</v>
      </c>
      <c r="W211" t="s">
        <v>245</v>
      </c>
      <c r="X211" t="s">
        <v>244</v>
      </c>
      <c r="Y211" t="s">
        <v>245</v>
      </c>
      <c r="Z211" t="s">
        <v>244</v>
      </c>
      <c r="AA211" t="s">
        <v>245</v>
      </c>
      <c r="AB211" t="s">
        <v>244</v>
      </c>
      <c r="AC211" t="s">
        <v>245</v>
      </c>
      <c r="AD211" t="s">
        <v>244</v>
      </c>
      <c r="AE211" t="s">
        <v>245</v>
      </c>
      <c r="AF211" t="s">
        <v>244</v>
      </c>
      <c r="AG211" t="s">
        <v>245</v>
      </c>
      <c r="AH211" t="s">
        <v>244</v>
      </c>
      <c r="AI211" t="s">
        <v>245</v>
      </c>
      <c r="AJ211" t="s">
        <v>244</v>
      </c>
      <c r="AK211" t="s">
        <v>245</v>
      </c>
      <c r="AL211" t="s">
        <v>244</v>
      </c>
      <c r="AM211" t="s">
        <v>245</v>
      </c>
      <c r="AN211" t="s">
        <v>244</v>
      </c>
      <c r="AO211" t="s">
        <v>245</v>
      </c>
      <c r="AP211" t="s">
        <v>244</v>
      </c>
      <c r="AQ211" t="s">
        <v>245</v>
      </c>
    </row>
    <row r="212" spans="1:43" x14ac:dyDescent="0.25">
      <c r="A212" s="129">
        <v>0</v>
      </c>
      <c r="B212" s="129" t="e">
        <f>'Sub C_D_0'!AY190</f>
        <v>#DIV/0!</v>
      </c>
      <c r="C212" s="129" t="e">
        <f>'C_L vs. α'!X466</f>
        <v>#NUM!</v>
      </c>
      <c r="D212" s="247">
        <f>'C_L vs. α'!Z466</f>
        <v>0.38204298311929219</v>
      </c>
      <c r="E212" s="144">
        <v>-6</v>
      </c>
      <c r="F212" s="14">
        <f>$D$19+$C$19*(RADIANS(E212-$B$12))+$E$10*RADIANS(E212)^2</f>
        <v>0.38196596500111457</v>
      </c>
      <c r="G212" s="6">
        <f>$B$213+$B$7*F212^2+$B$8*(F212-F$215)^2</f>
        <v>6.3013334985608696E-2</v>
      </c>
      <c r="H212" s="14">
        <f>$D$20+$C$20*(RADIANS(E212-$B$12))+$E$10*RADIANS(E212)^2</f>
        <v>0.38314686001933163</v>
      </c>
      <c r="I212" s="6">
        <f>$B$214+$B$7*H212^2+$B$8*(H212-H$215)^2</f>
        <v>5.9785563989026499E-2</v>
      </c>
      <c r="J212" s="14">
        <f>$D$21+$C$21*(RADIANS(E212-$B$12))+$E$10*RADIANS(E212)^2</f>
        <v>0.38515725512832322</v>
      </c>
      <c r="K212" s="6">
        <f>$B$215+$B$7*J212^2+$B$8*(J212-J$215)^2</f>
        <v>5.8204755495608058E-2</v>
      </c>
      <c r="L212" s="14">
        <f>$D$22+$C$22*(RADIANS(E212-$B$12))+$E$10*RADIANS(E212)^2</f>
        <v>0.38803427363964721</v>
      </c>
      <c r="M212" s="6">
        <f>$B$216+$B$7*L212^2+$B$8*(L212-L$215)^2</f>
        <v>5.7262714257347989E-2</v>
      </c>
      <c r="N212" s="14">
        <f>$D$23+$C$23*(RADIANS(E212-$B$12))+$E$10*RADIANS(E212)^2</f>
        <v>0.39183668425641005</v>
      </c>
      <c r="O212" s="6">
        <f>$B$217+$B$7*N212^2+$B$8*(N212-N$215)^2</f>
        <v>5.66786561278547E-2</v>
      </c>
      <c r="P212" s="14">
        <f>$D$24+$C$24*(RADIANS(E212-$B$12))+$E$10*RADIANS(E212)^2</f>
        <v>0.39665653077575869</v>
      </c>
      <c r="Q212" s="6">
        <f>$B$218+$B$7*P212^2+$B$8*(P212-P$215)^2</f>
        <v>5.6807160216280031E-2</v>
      </c>
      <c r="R212" s="14">
        <f>$D$25+$C$25*(RADIANS(E212-$B$12))+$E$10*RADIANS(E212)^2</f>
        <v>0.40258527120659587</v>
      </c>
      <c r="S212" s="6">
        <f>$B$219+$B$7*R212^2+$B$8*(R212-R$215)^2</f>
        <v>5.6653427606099593E-2</v>
      </c>
      <c r="T212" s="14">
        <f>$D$26+$C$26*(RADIANS(E212-$B$12))+$E$10*RADIANS(E212)^2</f>
        <v>0.40978062151035616</v>
      </c>
      <c r="U212" s="6">
        <f>$B$220+$B$7*T212^2+$B$8*(T212-T$215)^2</f>
        <v>5.6674695524095056E-2</v>
      </c>
      <c r="V212" s="14">
        <f>$D$27+$C$27*(RADIANS(E212-$B$12))+$E$10*RADIANS(E212)^2</f>
        <v>0.41843820131892678</v>
      </c>
      <c r="W212" s="6">
        <f>$B$221+$B$7*V212^2+$B$8*(V212-V$215)^2</f>
        <v>5.6866553816483992E-2</v>
      </c>
      <c r="X212" s="14">
        <f>$D$28+$C$28*(RADIANS(E212-$B$12))+$E$10*RADIANS(E212)^2</f>
        <v>0.42881882045062403</v>
      </c>
      <c r="Y212" s="6">
        <f>$B$222+$B$7*X212^2+$B$8*(X212-X$215)^2</f>
        <v>5.7238590333111419E-2</v>
      </c>
      <c r="Z212" s="14">
        <f>$D$29+$C$29*(RADIANS(E212-$B$12))+$E$10*RADIANS(E212)^2</f>
        <v>0.44127475472328925</v>
      </c>
      <c r="AA212" s="6">
        <f>$B$223+$B$7*Z212^2+$B$8*(Z212-Z$215)^2</f>
        <v>5.7814442888777441E-2</v>
      </c>
      <c r="AB212" s="14">
        <f>$D$30+$C$30*(RADIANS(E212-$B$12))+$E$10*RADIANS(E212)^2</f>
        <v>0.45629107917790385</v>
      </c>
      <c r="AC212" s="6">
        <f>$B$224+$B$7*AB212^2+$B$8*(AB212-AB$215)^2</f>
        <v>5.863510283761502E-2</v>
      </c>
      <c r="AD212" s="14">
        <f>$D$31+$C$31*(RADIANS(E212-$B$12))+$E$10*RADIANS(E212)^2</f>
        <v>0.4745495893053634</v>
      </c>
      <c r="AE212" s="6">
        <f>$B$225+$B$7*AD212^2+$B$8*(AD212-AD$215)^2</f>
        <v>6.0228752445662607E-2</v>
      </c>
      <c r="AF212" s="14">
        <f>$D$32+$C$32*(RADIANS(E212-$B$12))+$E$10*RADIANS(E212)^2</f>
        <v>0.49705207351144215</v>
      </c>
      <c r="AG212" s="6">
        <f>$B$226+$B$7*AF212^2+$B$8*(AF212-AF$215)^2</f>
        <v>6.1770280916768963E-2</v>
      </c>
      <c r="AH212" s="14">
        <f>$D$33+$C$33*(RADIANS(E212-$B$12))+$E$10*RADIANS(E212)^2</f>
        <v>0.52532705755464026</v>
      </c>
      <c r="AI212" s="6">
        <f>$B$227+$B$7*AH212^2+$B$8*(AH212-AH$215)^2</f>
        <v>6.3900498379201212E-2</v>
      </c>
      <c r="AJ212" s="14">
        <f>$D$34+$C$34*(RADIANS(E212-$B$12))+$E$10*RADIANS(E212)^2</f>
        <v>0.56184529703827968</v>
      </c>
      <c r="AK212">
        <f>$B$228+$B$9*AJ212^2</f>
        <v>7.322924637903297E-2</v>
      </c>
      <c r="AL212" s="14">
        <f>$D$35+$C$35*(RADIANS(E212-$B$12))+$E$10*RADIANS(E212)^2</f>
        <v>0.61084414705449297</v>
      </c>
      <c r="AM212">
        <f>$B$229+$B$9*AL212^2</f>
        <v>7.9292264160456843E-2</v>
      </c>
      <c r="AN212" s="14">
        <f>$D$36+$C$36*(RADIANS(E212-$B$12))+$E$10*RADIANS(E212)^2</f>
        <v>0.68097026783792147</v>
      </c>
      <c r="AO212">
        <f>$B$230+$B$9*AN212^2</f>
        <v>8.8260340831328582E-2</v>
      </c>
      <c r="AP212" s="14">
        <f>$D$37+$C$37*(RADIANS(E212-$B$12))+$E$10*RADIANS(E212)^2</f>
        <v>0.79383266344327119</v>
      </c>
      <c r="AQ212">
        <f>$B$231+$B$9*AP212^2</f>
        <v>0.10489160479512494</v>
      </c>
    </row>
    <row r="213" spans="1:43" x14ac:dyDescent="0.25">
      <c r="A213" s="139">
        <v>0.05</v>
      </c>
      <c r="B213" s="129">
        <f>'Sub C_D_0'!AY191</f>
        <v>5.1213948008900959E-2</v>
      </c>
      <c r="C213" s="129">
        <f>'C_L vs. α'!X467</f>
        <v>0.10625707059841116</v>
      </c>
      <c r="D213" s="247">
        <f>'C_L vs. α'!Z467</f>
        <v>0.3824586133220616</v>
      </c>
      <c r="E213" s="144">
        <v>-4</v>
      </c>
      <c r="F213" s="14">
        <f t="shared" ref="F213:F223" si="305">$D$19+$C$19*(RADIANS(E213-$B$12))+$E$10*RADIANS(E213)^2</f>
        <v>0.38079833828884896</v>
      </c>
      <c r="G213" s="6">
        <f t="shared" ref="G213:G223" si="306">$B$213+$B$7*F213^2+$B$8*(F213-F$215)^2</f>
        <v>6.2941443963720631E-2</v>
      </c>
      <c r="H213" s="14">
        <f t="shared" ref="H213:H223" si="307">$D$20+$C$20*(RADIANS(E213-$B$12))+$E$10*RADIANS(E213)^2</f>
        <v>0.38200890015285915</v>
      </c>
      <c r="I213" s="6">
        <f t="shared" ref="I213:I222" si="308">$B$214+$B$7*H213^2+$B$8*(H213-H$215)^2</f>
        <v>5.9715282849439263E-2</v>
      </c>
      <c r="J213" s="14">
        <f t="shared" ref="J213:J223" si="309">$D$21+$C$21*(RADIANS(E213-$B$12))+$E$10*RADIANS(E213)^2</f>
        <v>0.38406292062782471</v>
      </c>
      <c r="K213" s="6">
        <f t="shared" ref="K213:K223" si="310">$B$215+$B$7*J213^2+$B$8*(J213-J$215)^2</f>
        <v>5.8136813749551361E-2</v>
      </c>
      <c r="L213" s="14">
        <f t="shared" ref="L213:L223" si="311">$D$22+$C$22*(RADIANS(E213-$B$12))+$E$10*RADIANS(E213)^2</f>
        <v>0.3869999361826319</v>
      </c>
      <c r="M213" s="6">
        <f t="shared" ref="M213:M223" si="312">$B$216+$B$7*L213^2+$B$8*(L213-L$215)^2</f>
        <v>5.7198017286229051E-2</v>
      </c>
      <c r="N213" s="14">
        <f t="shared" ref="N213:N223" si="313">$D$23+$C$23*(RADIANS(E213-$B$12))+$E$10*RADIANS(E213)^2</f>
        <v>0.39088074888723873</v>
      </c>
      <c r="O213" s="6">
        <f t="shared" ref="O213:O223" si="314">$B$217+$B$7*N213^2+$B$8*(N213-N$215)^2</f>
        <v>5.6618276650118739E-2</v>
      </c>
      <c r="P213" s="14">
        <f t="shared" ref="P213:P223" si="315">$D$24+$C$24*(RADIANS(E213-$B$12))+$E$10*RADIANS(E213)^2</f>
        <v>0.39579596538243639</v>
      </c>
      <c r="Q213" s="6">
        <f t="shared" ref="Q213:Q223" si="316">$B$218+$B$7*P213^2+$B$8*(P213-P$215)^2</f>
        <v>5.6752135242530137E-2</v>
      </c>
      <c r="R213" s="14">
        <f t="shared" ref="R213:R223" si="317">$D$25+$C$25*(RADIANS(E213-$B$12))+$E$10*RADIANS(E213)^2</f>
        <v>0.40184799655880499</v>
      </c>
      <c r="S213" s="6">
        <f t="shared" ref="S213:S223" si="318">$B$219+$B$7*R213^2+$B$8*(R213-R$215)^2</f>
        <v>5.660558062809435E-2</v>
      </c>
      <c r="T213" s="14">
        <f t="shared" ref="T213:T223" si="319">$D$26+$C$26*(RADIANS(E213-$B$12))+$E$10*RADIANS(E213)^2</f>
        <v>0.40919455134097138</v>
      </c>
      <c r="U213" s="6">
        <f t="shared" ref="U213:U223" si="320">$B$220+$B$7*T213^2+$B$8*(T213-T$215)^2</f>
        <v>5.6635980887807837E-2</v>
      </c>
      <c r="V213" s="14">
        <f t="shared" ref="V213:V223" si="321">$D$27+$C$27*(RADIANS(E213-$B$12))+$E$10*RADIANS(E213)^2</f>
        <v>0.41803659579425889</v>
      </c>
      <c r="W213" s="6">
        <f t="shared" ref="W213:W223" si="322">$B$221+$B$7*V213^2+$B$8*(V213-V$215)^2</f>
        <v>5.6839463583663617E-2</v>
      </c>
      <c r="X213" s="14">
        <f t="shared" ref="X213:X223" si="323">$D$28+$C$28*(RADIANS(E213-$B$12))+$E$10*RADIANS(E213)^2</f>
        <v>0.42864212824917736</v>
      </c>
      <c r="Y213" s="6">
        <f t="shared" ref="Y213:Y223" si="324">$B$222+$B$7*X213^2+$B$8*(X213-X$215)^2</f>
        <v>5.722637567851712E-2</v>
      </c>
      <c r="Z213" s="14">
        <f t="shared" ref="Z213:Z223" si="325">$D$29+$C$29*(RADIANS(E213-$B$12))+$E$10*RADIANS(E213)^2</f>
        <v>0.44137322125238498</v>
      </c>
      <c r="AA213" s="6">
        <f t="shared" ref="AA213:AA223" si="326">$B$223+$B$7*Z213^2+$B$8*(Z213-Z$215)^2</f>
        <v>5.7821447700067405E-2</v>
      </c>
      <c r="AB213" s="14">
        <f t="shared" ref="AB213:AB223" si="327">$D$30+$C$30*(RADIANS(E213-$B$12))+$E$10*RADIANS(E213)^2</f>
        <v>0.45672851666868225</v>
      </c>
      <c r="AC213" s="6">
        <f t="shared" ref="AC213:AC223" si="328">$B$224+$B$7*AB213^2+$B$8*(AB213-AB$215)^2</f>
        <v>5.8667281338724411E-2</v>
      </c>
      <c r="AD213" s="14">
        <f t="shared" ref="AD213:AD223" si="329">$D$31+$C$31*(RADIANS(E213-$B$12))+$E$10*RADIANS(E213)^2</f>
        <v>0.47541039180790012</v>
      </c>
      <c r="AE213" s="6">
        <f t="shared" ref="AE213:AE223" si="330">$B$225+$B$7*AD213^2+$B$8*(AD213-AD$215)^2</f>
        <v>6.0294609458589964E-2</v>
      </c>
      <c r="AF213" s="14">
        <f t="shared" ref="AF213:AF223" si="331">$D$32+$C$32*(RADIANS(E213-$B$12))+$E$10*RADIANS(E213)^2</f>
        <v>0.49844800212462537</v>
      </c>
      <c r="AG213" s="6">
        <f t="shared" ref="AG213:AG223" si="332">$B$226+$B$7*AF213^2+$B$8*(AF213-AF$215)^2</f>
        <v>6.1882145056614865E-2</v>
      </c>
      <c r="AH213" s="14">
        <f t="shared" ref="AH213:AH223" si="333">$D$33+$C$33*(RADIANS(E213-$B$12))+$E$10*RADIANS(E213)^2</f>
        <v>0.52740961892698079</v>
      </c>
      <c r="AI213" s="6">
        <f t="shared" ref="AI213:AI223" si="334">$B$227+$B$7*AH213^2+$B$8*(AH213-AH$215)^2</f>
        <v>6.4076883543413024E-2</v>
      </c>
      <c r="AJ213" s="14">
        <f t="shared" ref="AJ213:AJ223" si="335">$D$34+$C$34*(RADIANS(E213-$B$12))+$E$10*RADIANS(E213)^2</f>
        <v>0.56482156659594751</v>
      </c>
      <c r="AK213">
        <f t="shared" ref="AK213:AK223" si="336">$B$228+$B$9*AJ213^2</f>
        <v>7.3567501772667993E-2</v>
      </c>
      <c r="AL213" s="14">
        <f t="shared" ref="AL213:AL223" si="337">$D$35+$C$35*(RADIANS(E213-$B$12))+$E$10*RADIANS(E213)^2</f>
        <v>0.61501474112168397</v>
      </c>
      <c r="AM213">
        <f t="shared" ref="AM213:AM223" si="338">$B$229+$B$9*AL213^2</f>
        <v>7.9807985792062081E-2</v>
      </c>
      <c r="AN213" s="14">
        <f t="shared" ref="AN213:AN223" si="339">$D$36+$C$36*(RADIANS(E213-$B$12))+$E$10*RADIANS(E213)^2</f>
        <v>0.68649205059249963</v>
      </c>
      <c r="AO213">
        <f t="shared" ref="AO213:AO223" si="340">$B$230+$B$9*AN213^2</f>
        <v>8.9022019214854572E-2</v>
      </c>
      <c r="AP213" s="14">
        <f t="shared" ref="AP213:AP223" si="341">$D$37+$C$37*(RADIANS(E213-$B$12))+$E$10*RADIANS(E213)^2</f>
        <v>0.79849050574142755</v>
      </c>
      <c r="AQ213">
        <f t="shared" ref="AQ213:AQ223" si="342">$B$231+$B$9*AP213^2</f>
        <v>0.10563976213571651</v>
      </c>
    </row>
    <row r="214" spans="1:43" x14ac:dyDescent="0.25">
      <c r="A214" s="129">
        <v>0.1</v>
      </c>
      <c r="B214" s="129">
        <f>'Sub C_D_0'!AY192</f>
        <v>4.7913097876153443E-2</v>
      </c>
      <c r="C214" s="129">
        <f>'C_L vs. α'!X468</f>
        <v>0.10710759633970311</v>
      </c>
      <c r="D214" s="247">
        <f>'C_L vs. α'!Z468</f>
        <v>0.38371367545476148</v>
      </c>
      <c r="E214" s="144">
        <v>-2</v>
      </c>
      <c r="F214" s="14">
        <f t="shared" si="305"/>
        <v>0.38158026306321818</v>
      </c>
      <c r="G214" s="6">
        <f t="shared" si="306"/>
        <v>6.2989556813872125E-2</v>
      </c>
      <c r="H214" s="14">
        <f t="shared" si="307"/>
        <v>0.38282049177302152</v>
      </c>
      <c r="I214" s="6">
        <f t="shared" si="308"/>
        <v>5.9765380555272751E-2</v>
      </c>
      <c r="J214" s="14">
        <f t="shared" si="309"/>
        <v>0.3849181376139611</v>
      </c>
      <c r="K214" s="6">
        <f t="shared" si="310"/>
        <v>5.8189889258863675E-2</v>
      </c>
      <c r="L214" s="14">
        <f t="shared" si="311"/>
        <v>0.38791515021225137</v>
      </c>
      <c r="M214" s="6">
        <f t="shared" si="312"/>
        <v>5.7255252185768109E-2</v>
      </c>
      <c r="N214" s="14">
        <f t="shared" si="313"/>
        <v>0.39187436500470224</v>
      </c>
      <c r="O214" s="6">
        <f t="shared" si="314"/>
        <v>5.66810399231183E-2</v>
      </c>
      <c r="P214" s="14">
        <f t="shared" si="315"/>
        <v>0.39688495147574893</v>
      </c>
      <c r="Q214" s="6">
        <f t="shared" si="316"/>
        <v>5.6821790639950992E-2</v>
      </c>
      <c r="R214" s="14">
        <f t="shared" si="317"/>
        <v>0.40306027339764899</v>
      </c>
      <c r="S214" s="6">
        <f t="shared" si="318"/>
        <v>5.668431195167805E-2</v>
      </c>
      <c r="T214" s="14">
        <f t="shared" si="319"/>
        <v>0.41055803265822149</v>
      </c>
      <c r="U214" s="6">
        <f t="shared" si="320"/>
        <v>5.6726156691415154E-2</v>
      </c>
      <c r="V214" s="14">
        <f t="shared" si="321"/>
        <v>0.41958454175622578</v>
      </c>
      <c r="W214" s="6">
        <f t="shared" si="322"/>
        <v>5.6944059014270791E-2</v>
      </c>
      <c r="X214" s="14">
        <f t="shared" si="323"/>
        <v>0.43041498753436558</v>
      </c>
      <c r="Y214" s="6">
        <f t="shared" si="324"/>
        <v>5.7349218115069843E-2</v>
      </c>
      <c r="Z214" s="14">
        <f t="shared" si="325"/>
        <v>0.44342123926811561</v>
      </c>
      <c r="AA214" s="6">
        <f t="shared" si="326"/>
        <v>5.7967585115617254E-2</v>
      </c>
      <c r="AB214" s="14">
        <f t="shared" si="327"/>
        <v>0.45911550564609555</v>
      </c>
      <c r="AC214" s="6">
        <f t="shared" si="328"/>
        <v>5.8843551594357169E-2</v>
      </c>
      <c r="AD214" s="14">
        <f t="shared" si="329"/>
        <v>0.47822074579707169</v>
      </c>
      <c r="AE214" s="6">
        <f t="shared" si="330"/>
        <v>6.051066062852261E-2</v>
      </c>
      <c r="AF214" s="14">
        <f t="shared" si="331"/>
        <v>0.50179348222444353</v>
      </c>
      <c r="AG214" s="6">
        <f t="shared" si="332"/>
        <v>6.2151838544709181E-2</v>
      </c>
      <c r="AH214" s="14">
        <f t="shared" si="333"/>
        <v>0.53144173178595611</v>
      </c>
      <c r="AI214" s="6">
        <f t="shared" si="334"/>
        <v>6.4420875472702407E-2</v>
      </c>
      <c r="AJ214" s="14">
        <f t="shared" si="335"/>
        <v>0.56974738764025024</v>
      </c>
      <c r="AK214">
        <f t="shared" si="336"/>
        <v>7.4131251665076281E-2</v>
      </c>
      <c r="AL214" s="14">
        <f t="shared" si="337"/>
        <v>0.62113488667550987</v>
      </c>
      <c r="AM214">
        <f t="shared" si="338"/>
        <v>8.0571135495898394E-2</v>
      </c>
      <c r="AN214" s="14">
        <f t="shared" si="339"/>
        <v>0.69396338483371267</v>
      </c>
      <c r="AO214">
        <f t="shared" si="340"/>
        <v>9.0062412410903639E-2</v>
      </c>
      <c r="AP214" s="14">
        <f t="shared" si="341"/>
        <v>0.80509789952621869</v>
      </c>
      <c r="AQ214">
        <f t="shared" si="342"/>
        <v>0.10670857099385689</v>
      </c>
    </row>
    <row r="215" spans="1:43" s="99" customFormat="1" x14ac:dyDescent="0.25">
      <c r="A215" s="139">
        <v>0.15</v>
      </c>
      <c r="B215" s="129">
        <f>'Sub C_D_0'!AY193</f>
        <v>4.6207359554960012E-2</v>
      </c>
      <c r="C215" s="129">
        <f>'C_L vs. α'!X469</f>
        <v>0.10835342453251325</v>
      </c>
      <c r="D215" s="247">
        <f>'C_L vs. α'!Z469</f>
        <v>0.38583313397868807</v>
      </c>
      <c r="E215" s="143">
        <v>0</v>
      </c>
      <c r="F215" s="14">
        <f t="shared" si="305"/>
        <v>0.38431173932422247</v>
      </c>
      <c r="G215" s="6">
        <f t="shared" si="306"/>
        <v>6.3158596166716902E-2</v>
      </c>
      <c r="H215" s="14">
        <f t="shared" si="307"/>
        <v>0.38558163487981889</v>
      </c>
      <c r="I215" s="6">
        <f t="shared" si="308"/>
        <v>5.9936814742519079E-2</v>
      </c>
      <c r="J215" s="14">
        <f t="shared" si="309"/>
        <v>0.38772290608673249</v>
      </c>
      <c r="K215" s="6">
        <f t="shared" si="310"/>
        <v>5.8364991135204901E-2</v>
      </c>
      <c r="L215" s="14">
        <f t="shared" si="311"/>
        <v>0.3907799157285059</v>
      </c>
      <c r="M215" s="6">
        <f t="shared" si="312"/>
        <v>5.7435498861022657E-2</v>
      </c>
      <c r="N215" s="14">
        <f t="shared" si="313"/>
        <v>0.3948175326088007</v>
      </c>
      <c r="O215" s="6">
        <f t="shared" si="314"/>
        <v>5.6868118362305653E-2</v>
      </c>
      <c r="P215" s="14">
        <f t="shared" si="315"/>
        <v>0.39992348905569641</v>
      </c>
      <c r="Q215" s="6">
        <f t="shared" si="316"/>
        <v>5.7017411355616894E-2</v>
      </c>
      <c r="R215" s="14">
        <f t="shared" si="317"/>
        <v>0.406222101723128</v>
      </c>
      <c r="S215" s="6">
        <f t="shared" si="318"/>
        <v>5.6891052000606214E-2</v>
      </c>
      <c r="T215" s="14">
        <f t="shared" si="319"/>
        <v>0.41387106546210661</v>
      </c>
      <c r="U215" s="6">
        <f t="shared" si="320"/>
        <v>5.6946831772109914E-2</v>
      </c>
      <c r="V215" s="14">
        <f t="shared" si="321"/>
        <v>0.42308203920482768</v>
      </c>
      <c r="W215" s="6">
        <f t="shared" si="322"/>
        <v>5.7182166604205886E-2</v>
      </c>
      <c r="X215" s="14">
        <f t="shared" si="323"/>
        <v>0.43413739830618875</v>
      </c>
      <c r="Y215" s="6">
        <f t="shared" si="324"/>
        <v>5.7609209524718902E-2</v>
      </c>
      <c r="Z215" s="14">
        <f t="shared" si="325"/>
        <v>0.44741880877048118</v>
      </c>
      <c r="AA215" s="6">
        <f t="shared" si="326"/>
        <v>5.8255271690398229E-2</v>
      </c>
      <c r="AB215" s="14">
        <f t="shared" si="327"/>
        <v>0.46345204611014379</v>
      </c>
      <c r="AC215" s="6">
        <f t="shared" si="328"/>
        <v>5.9166730127627513E-2</v>
      </c>
      <c r="AD215" s="14">
        <f t="shared" si="329"/>
        <v>0.48298065127287826</v>
      </c>
      <c r="AE215" s="6">
        <f t="shared" si="330"/>
        <v>6.0880222027317014E-2</v>
      </c>
      <c r="AF215" s="14">
        <f t="shared" si="331"/>
        <v>0.50708851381089648</v>
      </c>
      <c r="AG215" s="6">
        <f t="shared" si="332"/>
        <v>6.2583308873947155E-2</v>
      </c>
      <c r="AH215" s="14">
        <f t="shared" si="333"/>
        <v>0.53742339613156631</v>
      </c>
      <c r="AI215" s="6">
        <f t="shared" si="334"/>
        <v>6.4937231850985822E-2</v>
      </c>
      <c r="AJ215" s="14">
        <f t="shared" si="335"/>
        <v>0.57662276017118796</v>
      </c>
      <c r="AK215" s="99">
        <f t="shared" si="336"/>
        <v>7.4926308269451541E-2</v>
      </c>
      <c r="AL215" s="14">
        <f t="shared" si="337"/>
        <v>0.62920458371597077</v>
      </c>
      <c r="AM215" s="99">
        <f t="shared" si="338"/>
        <v>8.158893472609817E-2</v>
      </c>
      <c r="AN215" s="14">
        <f t="shared" si="339"/>
        <v>0.70338427056156072</v>
      </c>
      <c r="AO215" s="99">
        <f t="shared" si="340"/>
        <v>9.1390336206135736E-2</v>
      </c>
      <c r="AP215" s="14">
        <f t="shared" si="341"/>
        <v>0.81365484479764483</v>
      </c>
      <c r="AQ215" s="99">
        <f t="shared" si="342"/>
        <v>0.1081058277513039</v>
      </c>
    </row>
    <row r="216" spans="1:43" x14ac:dyDescent="0.25">
      <c r="A216" s="129">
        <v>0.2</v>
      </c>
      <c r="B216" s="129">
        <f>'Sub C_D_0'!AY194</f>
        <v>4.5085397274854652E-2</v>
      </c>
      <c r="C216" s="129">
        <f>'C_L vs. α'!X470</f>
        <v>0.11006773279048564</v>
      </c>
      <c r="D216" s="247">
        <f>'C_L vs. α'!Z470</f>
        <v>0.38886014509871991</v>
      </c>
      <c r="E216" s="144">
        <v>2</v>
      </c>
      <c r="F216" s="14">
        <f t="shared" si="305"/>
        <v>0.38899276707186159</v>
      </c>
      <c r="G216" s="6">
        <f t="shared" si="306"/>
        <v>6.3451785022485718E-2</v>
      </c>
      <c r="H216" s="14">
        <f t="shared" si="307"/>
        <v>0.39029232947325115</v>
      </c>
      <c r="I216" s="6">
        <f t="shared" si="308"/>
        <v>6.0232843416747395E-2</v>
      </c>
      <c r="J216" s="14">
        <f t="shared" si="309"/>
        <v>0.39247722604613877</v>
      </c>
      <c r="K216" s="6">
        <f t="shared" si="310"/>
        <v>5.8665428859812005E-2</v>
      </c>
      <c r="L216" s="14">
        <f t="shared" si="311"/>
        <v>0.39559423273139527</v>
      </c>
      <c r="M216" s="6">
        <f t="shared" si="312"/>
        <v>5.774213758662726E-2</v>
      </c>
      <c r="N216" s="14">
        <f t="shared" si="313"/>
        <v>0.39971025169953411</v>
      </c>
      <c r="O216" s="6">
        <f t="shared" si="314"/>
        <v>5.7182984752710143E-2</v>
      </c>
      <c r="P216" s="14">
        <f t="shared" si="315"/>
        <v>0.40491157812227885</v>
      </c>
      <c r="Q216" s="6">
        <f t="shared" si="316"/>
        <v>5.7342582706179208E-2</v>
      </c>
      <c r="R216" s="14">
        <f t="shared" si="317"/>
        <v>0.41133348153524191</v>
      </c>
      <c r="S216" s="6">
        <f t="shared" si="318"/>
        <v>5.7229531568211429E-2</v>
      </c>
      <c r="T216" s="14">
        <f t="shared" si="319"/>
        <v>0.41913364975262662</v>
      </c>
      <c r="U216" s="6">
        <f t="shared" si="320"/>
        <v>5.7301915336662047E-2</v>
      </c>
      <c r="V216" s="14">
        <f t="shared" si="321"/>
        <v>0.42852908814006446</v>
      </c>
      <c r="W216" s="6">
        <f t="shared" si="322"/>
        <v>5.7557913218946342E-2</v>
      </c>
      <c r="X216" s="14">
        <f t="shared" si="323"/>
        <v>0.43980936056464687</v>
      </c>
      <c r="Y216" s="6">
        <f t="shared" si="324"/>
        <v>5.8010742158990644E-2</v>
      </c>
      <c r="Z216" s="14">
        <f t="shared" si="325"/>
        <v>0.4533659297594817</v>
      </c>
      <c r="AA216" s="6">
        <f t="shared" si="326"/>
        <v>5.8689224348958638E-2</v>
      </c>
      <c r="AB216" s="14">
        <f t="shared" si="327"/>
        <v>0.46973813806082698</v>
      </c>
      <c r="AC216" s="6">
        <f t="shared" si="328"/>
        <v>5.9641933831226762E-2</v>
      </c>
      <c r="AD216" s="14">
        <f t="shared" si="329"/>
        <v>0.48969010823531972</v>
      </c>
      <c r="AE216" s="6">
        <f t="shared" si="330"/>
        <v>6.1408910096406699E-2</v>
      </c>
      <c r="AF216" s="14">
        <f t="shared" si="331"/>
        <v>0.51433309688398454</v>
      </c>
      <c r="AG216" s="6">
        <f t="shared" si="332"/>
        <v>6.3182803906801088E-2</v>
      </c>
      <c r="AH216" s="14">
        <f t="shared" si="333"/>
        <v>0.54535461196381152</v>
      </c>
      <c r="AI216" s="6">
        <f t="shared" si="334"/>
        <v>6.5633010731756702E-2</v>
      </c>
      <c r="AJ216" s="14">
        <f t="shared" si="335"/>
        <v>0.58544768418876059</v>
      </c>
      <c r="AK216">
        <f t="shared" si="336"/>
        <v>7.5960784168564582E-2</v>
      </c>
      <c r="AL216" s="14">
        <f t="shared" si="337"/>
        <v>0.63922383224306656</v>
      </c>
      <c r="AM216">
        <f t="shared" si="338"/>
        <v>8.2870905306370785E-2</v>
      </c>
      <c r="AN216" s="14">
        <f t="shared" si="339"/>
        <v>0.71475470777604366</v>
      </c>
      <c r="AO216">
        <f t="shared" si="340"/>
        <v>9.3016906756787837E-2</v>
      </c>
      <c r="AP216" s="14">
        <f t="shared" si="341"/>
        <v>0.82416134155570586</v>
      </c>
      <c r="AQ216">
        <f t="shared" si="342"/>
        <v>0.10984162915939245</v>
      </c>
    </row>
    <row r="217" spans="1:43" x14ac:dyDescent="0.25">
      <c r="A217" s="139">
        <v>0.25</v>
      </c>
      <c r="B217" s="129">
        <f>'Sub C_D_0'!AY195</f>
        <v>4.4261490869216963E-2</v>
      </c>
      <c r="C217" s="129">
        <f>'C_L vs. α'!X471</f>
        <v>0.11230917617435043</v>
      </c>
      <c r="D217" s="247">
        <f>'C_L vs. α'!Z471</f>
        <v>0.39285856093509275</v>
      </c>
      <c r="E217" s="144">
        <v>4</v>
      </c>
      <c r="F217" s="14">
        <f t="shared" si="305"/>
        <v>0.39562334630613571</v>
      </c>
      <c r="G217" s="6">
        <f t="shared" si="306"/>
        <v>6.3874646750986461E-2</v>
      </c>
      <c r="H217" s="14">
        <f t="shared" si="307"/>
        <v>0.39695257555331842</v>
      </c>
      <c r="I217" s="6">
        <f t="shared" si="308"/>
        <v>6.065902495310399E-2</v>
      </c>
      <c r="J217" s="14">
        <f t="shared" si="309"/>
        <v>0.39918109749218</v>
      </c>
      <c r="K217" s="6">
        <f t="shared" si="310"/>
        <v>5.9096812283499035E-2</v>
      </c>
      <c r="L217" s="14">
        <f t="shared" si="311"/>
        <v>0.40235810122091969</v>
      </c>
      <c r="M217" s="6">
        <f t="shared" si="312"/>
        <v>5.8180849006793607E-2</v>
      </c>
      <c r="N217" s="14">
        <f t="shared" si="313"/>
        <v>0.40655252227690253</v>
      </c>
      <c r="O217" s="6">
        <f t="shared" si="314"/>
        <v>5.7631412248938217E-2</v>
      </c>
      <c r="P217" s="14">
        <f t="shared" si="315"/>
        <v>0.41184921867549629</v>
      </c>
      <c r="Q217" s="6">
        <f t="shared" si="316"/>
        <v>5.7803190377866402E-2</v>
      </c>
      <c r="R217" s="14">
        <f t="shared" si="317"/>
        <v>0.41839441283399076</v>
      </c>
      <c r="S217" s="6">
        <f t="shared" si="318"/>
        <v>5.77057818174034E-2</v>
      </c>
      <c r="T217" s="14">
        <f t="shared" si="319"/>
        <v>0.42634578552978158</v>
      </c>
      <c r="U217" s="6">
        <f t="shared" si="320"/>
        <v>5.7797616961418607E-2</v>
      </c>
      <c r="V217" s="14">
        <f t="shared" si="321"/>
        <v>0.43592568856193631</v>
      </c>
      <c r="W217" s="6">
        <f t="shared" si="322"/>
        <v>5.8077726093546694E-2</v>
      </c>
      <c r="X217" s="14">
        <f t="shared" si="323"/>
        <v>0.44743087430973993</v>
      </c>
      <c r="Y217" s="6">
        <f t="shared" si="324"/>
        <v>5.8560508638988533E-2</v>
      </c>
      <c r="Z217" s="14">
        <f t="shared" si="325"/>
        <v>0.46126260223511717</v>
      </c>
      <c r="AA217" s="6">
        <f t="shared" si="326"/>
        <v>5.9276460385423897E-2</v>
      </c>
      <c r="AB217" s="14">
        <f t="shared" si="327"/>
        <v>0.47797378149814512</v>
      </c>
      <c r="AC217" s="6">
        <f t="shared" si="328"/>
        <v>6.0276579967423291E-2</v>
      </c>
      <c r="AD217" s="14">
        <f t="shared" si="329"/>
        <v>0.49834911668439619</v>
      </c>
      <c r="AE217" s="6">
        <f t="shared" si="330"/>
        <v>6.210464164680228E-2</v>
      </c>
      <c r="AF217" s="14">
        <f t="shared" si="331"/>
        <v>0.52352723144370739</v>
      </c>
      <c r="AG217" s="6">
        <f t="shared" si="332"/>
        <v>6.3958871875320358E-2</v>
      </c>
      <c r="AH217" s="14">
        <f t="shared" si="333"/>
        <v>0.55523537928269173</v>
      </c>
      <c r="AI217" s="6">
        <f t="shared" si="334"/>
        <v>6.6517570538085671E-2</v>
      </c>
      <c r="AJ217" s="14">
        <f t="shared" si="335"/>
        <v>0.5962221596929681</v>
      </c>
      <c r="AK217">
        <f t="shared" si="336"/>
        <v>7.7245092314763342E-2</v>
      </c>
      <c r="AL217" s="14">
        <f t="shared" si="337"/>
        <v>0.65119263225679724</v>
      </c>
      <c r="AM217">
        <f t="shared" si="338"/>
        <v>8.4428869430002731E-2</v>
      </c>
      <c r="AN217" s="14">
        <f t="shared" si="339"/>
        <v>0.7280746964771615</v>
      </c>
      <c r="AO217">
        <f t="shared" si="340"/>
        <v>9.4955540588674059E-2</v>
      </c>
      <c r="AP217" s="14">
        <f t="shared" si="341"/>
        <v>0.8366173898004019</v>
      </c>
      <c r="AQ217">
        <f t="shared" si="342"/>
        <v>0.11192837233903458</v>
      </c>
    </row>
    <row r="218" spans="1:43" x14ac:dyDescent="0.25">
      <c r="A218" s="129">
        <v>0.3</v>
      </c>
      <c r="B218" s="129">
        <f>'Sub C_D_0'!AY196</f>
        <v>4.4082606366969659E-2</v>
      </c>
      <c r="C218" s="129">
        <f>'C_L vs. α'!X472</f>
        <v>0.11504087309189787</v>
      </c>
      <c r="D218" s="247">
        <f>'C_L vs. α'!Z472</f>
        <v>0.39791683239406395</v>
      </c>
      <c r="E218" s="144">
        <v>6</v>
      </c>
      <c r="F218" s="14">
        <f t="shared" si="305"/>
        <v>0.40420347702704473</v>
      </c>
      <c r="G218" s="6">
        <f t="shared" si="306"/>
        <v>6.4435005091604075E-2</v>
      </c>
      <c r="H218" s="14">
        <f t="shared" si="307"/>
        <v>0.40556237312002053</v>
      </c>
      <c r="I218" s="6">
        <f t="shared" si="308"/>
        <v>6.1223218096312183E-2</v>
      </c>
      <c r="J218" s="14">
        <f t="shared" si="309"/>
        <v>0.40783452042485613</v>
      </c>
      <c r="K218" s="6">
        <f t="shared" si="310"/>
        <v>5.9667051626657149E-2</v>
      </c>
      <c r="L218" s="14">
        <f t="shared" si="311"/>
        <v>0.4110715211970789</v>
      </c>
      <c r="M218" s="6">
        <f t="shared" si="312"/>
        <v>5.8759614135310403E-2</v>
      </c>
      <c r="N218" s="14">
        <f t="shared" si="313"/>
        <v>0.41534434434090578</v>
      </c>
      <c r="O218" s="6">
        <f t="shared" si="314"/>
        <v>5.8221474375173374E-2</v>
      </c>
      <c r="P218" s="14">
        <f t="shared" si="315"/>
        <v>0.42073641071534856</v>
      </c>
      <c r="Q218" s="6">
        <f t="shared" si="316"/>
        <v>5.8407420426484009E-2</v>
      </c>
      <c r="R218" s="14">
        <f t="shared" si="317"/>
        <v>0.4274048956193745</v>
      </c>
      <c r="S218" s="6">
        <f t="shared" si="318"/>
        <v>5.8328134280668867E-2</v>
      </c>
      <c r="T218" s="14">
        <f t="shared" si="319"/>
        <v>0.43550747279357144</v>
      </c>
      <c r="U218" s="6">
        <f t="shared" si="320"/>
        <v>5.8442446592303722E-2</v>
      </c>
      <c r="V218" s="14">
        <f t="shared" si="321"/>
        <v>0.44527184047044294</v>
      </c>
      <c r="W218" s="6">
        <f t="shared" si="322"/>
        <v>5.8750332832638551E-2</v>
      </c>
      <c r="X218" s="14">
        <f t="shared" si="323"/>
        <v>0.45700193954146789</v>
      </c>
      <c r="Y218" s="6">
        <f t="shared" si="324"/>
        <v>5.9267501955393112E-2</v>
      </c>
      <c r="Z218" s="14">
        <f t="shared" si="325"/>
        <v>0.47110882619738753</v>
      </c>
      <c r="AA218" s="6">
        <f t="shared" si="326"/>
        <v>6.002629746349649E-2</v>
      </c>
      <c r="AB218" s="14">
        <f t="shared" si="327"/>
        <v>0.48815897642209816</v>
      </c>
      <c r="AC218" s="6">
        <f t="shared" si="328"/>
        <v>6.1080386168062585E-2</v>
      </c>
      <c r="AD218" s="14">
        <f t="shared" si="329"/>
        <v>0.50895767662010749</v>
      </c>
      <c r="AE218" s="6">
        <f t="shared" si="330"/>
        <v>6.297763385909147E-2</v>
      </c>
      <c r="AF218" s="14">
        <f t="shared" si="331"/>
        <v>0.53467091749006523</v>
      </c>
      <c r="AG218" s="6">
        <f t="shared" si="332"/>
        <v>6.4922361381131485E-2</v>
      </c>
      <c r="AH218" s="14">
        <f t="shared" si="333"/>
        <v>0.56706569808820673</v>
      </c>
      <c r="AI218" s="6">
        <f t="shared" si="334"/>
        <v>6.7602570062620326E-2</v>
      </c>
      <c r="AJ218" s="14">
        <f t="shared" si="335"/>
        <v>0.60894618668381051</v>
      </c>
      <c r="AK218">
        <f t="shared" si="336"/>
        <v>7.8791946029972776E-2</v>
      </c>
      <c r="AL218" s="14">
        <f t="shared" si="337"/>
        <v>0.66511098375716293</v>
      </c>
      <c r="AM218">
        <f t="shared" si="338"/>
        <v>8.6276949659857632E-2</v>
      </c>
      <c r="AN218" s="14">
        <f t="shared" si="339"/>
        <v>0.74334423666491423</v>
      </c>
      <c r="AO218">
        <f t="shared" si="340"/>
        <v>9.722195459718555E-2</v>
      </c>
      <c r="AP218" s="14">
        <f t="shared" si="341"/>
        <v>0.85102298953173272</v>
      </c>
      <c r="AQ218">
        <f t="shared" si="342"/>
        <v>0.11438075478071932</v>
      </c>
    </row>
    <row r="219" spans="1:43" x14ac:dyDescent="0.25">
      <c r="A219" s="139">
        <v>0.35</v>
      </c>
      <c r="B219" s="129">
        <f>'Sub C_D_0'!AY197</f>
        <v>4.3545603991838239E-2</v>
      </c>
      <c r="C219" s="129">
        <f>'C_L vs. α'!X473</f>
        <v>0.11856787945531404</v>
      </c>
      <c r="D219" s="247">
        <f>'C_L vs. α'!Z473</f>
        <v>0.40415379968872978</v>
      </c>
      <c r="E219" s="144">
        <v>8</v>
      </c>
      <c r="F219" s="14">
        <f t="shared" si="305"/>
        <v>0.4147331592345887</v>
      </c>
      <c r="G219" s="6">
        <f t="shared" si="306"/>
        <v>6.5142984153300568E-2</v>
      </c>
      <c r="H219" s="14">
        <f t="shared" si="307"/>
        <v>0.41612172217335763</v>
      </c>
      <c r="I219" s="6">
        <f t="shared" si="308"/>
        <v>6.1935581960672434E-2</v>
      </c>
      <c r="J219" s="14">
        <f t="shared" si="309"/>
        <v>0.41843749484416726</v>
      </c>
      <c r="K219" s="6">
        <f t="shared" si="310"/>
        <v>6.0386357479254561E-2</v>
      </c>
      <c r="L219" s="14">
        <f t="shared" si="311"/>
        <v>0.42173449265987317</v>
      </c>
      <c r="M219" s="6">
        <f t="shared" si="312"/>
        <v>5.9488714355543523E-2</v>
      </c>
      <c r="N219" s="14">
        <f t="shared" si="313"/>
        <v>0.42608571789154404</v>
      </c>
      <c r="O219" s="6">
        <f t="shared" si="314"/>
        <v>5.8963545025176221E-2</v>
      </c>
      <c r="P219" s="14">
        <f t="shared" si="315"/>
        <v>0.43157315424183584</v>
      </c>
      <c r="Q219" s="6">
        <f t="shared" si="316"/>
        <v>5.9165759277414659E-2</v>
      </c>
      <c r="R219" s="14">
        <f t="shared" si="317"/>
        <v>0.43836492989139325</v>
      </c>
      <c r="S219" s="6">
        <f t="shared" si="318"/>
        <v>5.9107220860071717E-2</v>
      </c>
      <c r="T219" s="14">
        <f t="shared" si="319"/>
        <v>0.44661871154399629</v>
      </c>
      <c r="U219" s="6">
        <f t="shared" si="320"/>
        <v>5.9247214544818634E-2</v>
      </c>
      <c r="V219" s="14">
        <f t="shared" si="321"/>
        <v>0.45656754386558457</v>
      </c>
      <c r="W219" s="6">
        <f t="shared" si="322"/>
        <v>5.9586761410430608E-2</v>
      </c>
      <c r="X219" s="14">
        <f t="shared" si="323"/>
        <v>0.4685225562598308</v>
      </c>
      <c r="Y219" s="6">
        <f t="shared" si="324"/>
        <v>6.0143015468462013E-2</v>
      </c>
      <c r="Z219" s="14">
        <f t="shared" si="325"/>
        <v>0.48290460164629284</v>
      </c>
      <c r="AA219" s="6">
        <f t="shared" si="326"/>
        <v>6.0950353616455989E-2</v>
      </c>
      <c r="AB219" s="14">
        <f t="shared" si="327"/>
        <v>0.50029372283268625</v>
      </c>
      <c r="AC219" s="6">
        <f t="shared" si="328"/>
        <v>6.2065370434567224E-2</v>
      </c>
      <c r="AD219" s="14">
        <f t="shared" si="329"/>
        <v>0.5215157880424538</v>
      </c>
      <c r="AE219" s="6">
        <f t="shared" si="330"/>
        <v>6.4040404283439045E-2</v>
      </c>
      <c r="AF219" s="14">
        <f t="shared" si="331"/>
        <v>0.54776415502305809</v>
      </c>
      <c r="AG219" s="6">
        <f t="shared" si="332"/>
        <v>6.608642139543798E-2</v>
      </c>
      <c r="AH219" s="14">
        <f t="shared" si="333"/>
        <v>0.58084556838035672</v>
      </c>
      <c r="AI219" s="6">
        <f t="shared" si="334"/>
        <v>6.8901968467585464E-2</v>
      </c>
      <c r="AJ219" s="14">
        <f t="shared" si="335"/>
        <v>0.62361976516128792</v>
      </c>
      <c r="AK219">
        <f t="shared" si="336"/>
        <v>8.0616359005694943E-2</v>
      </c>
      <c r="AL219" s="14">
        <f t="shared" si="337"/>
        <v>0.68097888674416351</v>
      </c>
      <c r="AM219">
        <f t="shared" si="338"/>
        <v>8.8431568928376114E-2</v>
      </c>
      <c r="AN219" s="14">
        <f t="shared" si="339"/>
        <v>0.76056332833930196</v>
      </c>
      <c r="AO219">
        <f t="shared" si="340"/>
        <v>9.9834166047290618E-2</v>
      </c>
      <c r="AP219" s="14">
        <f t="shared" si="341"/>
        <v>0.86737814074969855</v>
      </c>
      <c r="AQ219">
        <f t="shared" si="342"/>
        <v>0.11721577434451287</v>
      </c>
    </row>
    <row r="220" spans="1:43" x14ac:dyDescent="0.25">
      <c r="A220" s="129">
        <v>0.4</v>
      </c>
      <c r="B220" s="129">
        <f>'Sub C_D_0'!AY198</f>
        <v>4.3094075594323031E-2</v>
      </c>
      <c r="C220" s="129">
        <f>'C_L vs. α'!X474</f>
        <v>0.12289347916831057</v>
      </c>
      <c r="D220" s="247">
        <f>'C_L vs. α'!Z474</f>
        <v>0.41172716118850533</v>
      </c>
      <c r="E220" s="144">
        <v>10</v>
      </c>
      <c r="F220" s="14">
        <f t="shared" si="305"/>
        <v>0.42721239292876767</v>
      </c>
      <c r="G220" s="6">
        <f t="shared" si="306"/>
        <v>6.6011008414615102E-2</v>
      </c>
      <c r="H220" s="14">
        <f t="shared" si="307"/>
        <v>0.42863062271332963</v>
      </c>
      <c r="I220" s="6">
        <f t="shared" si="308"/>
        <v>6.2808576030062221E-2</v>
      </c>
      <c r="J220" s="14">
        <f t="shared" si="309"/>
        <v>0.43099002075011328</v>
      </c>
      <c r="K220" s="6">
        <f t="shared" si="310"/>
        <v>6.1267240800836578E-2</v>
      </c>
      <c r="L220" s="14">
        <f t="shared" si="311"/>
        <v>0.43434701560930233</v>
      </c>
      <c r="M220" s="6">
        <f t="shared" si="312"/>
        <v>6.0380731420435846E-2</v>
      </c>
      <c r="N220" s="14">
        <f t="shared" si="313"/>
        <v>0.43877664292881724</v>
      </c>
      <c r="O220" s="6">
        <f t="shared" si="314"/>
        <v>5.9870298462284449E-2</v>
      </c>
      <c r="P220" s="14">
        <f t="shared" si="315"/>
        <v>0.44435944925495807</v>
      </c>
      <c r="Q220" s="6">
        <f t="shared" si="316"/>
        <v>6.0090993725618061E-2</v>
      </c>
      <c r="R220" s="14">
        <f t="shared" si="317"/>
        <v>0.45127451565004684</v>
      </c>
      <c r="S220" s="6">
        <f t="shared" si="318"/>
        <v>6.0055973827252848E-2</v>
      </c>
      <c r="T220" s="14">
        <f t="shared" si="319"/>
        <v>0.45967950178105599</v>
      </c>
      <c r="U220" s="6">
        <f t="shared" si="320"/>
        <v>6.0225031504041592E-2</v>
      </c>
      <c r="V220" s="14">
        <f t="shared" si="321"/>
        <v>0.46981279874736115</v>
      </c>
      <c r="W220" s="6">
        <f t="shared" si="322"/>
        <v>6.0600340170708658E-2</v>
      </c>
      <c r="X220" s="14">
        <f t="shared" si="323"/>
        <v>0.48199272446482866</v>
      </c>
      <c r="Y220" s="6">
        <f t="shared" si="324"/>
        <v>6.1200642908029942E-2</v>
      </c>
      <c r="Z220" s="14">
        <f t="shared" si="325"/>
        <v>0.4966499285818331</v>
      </c>
      <c r="AA220" s="6">
        <f t="shared" si="326"/>
        <v>6.2062547247159074E-2</v>
      </c>
      <c r="AB220" s="14">
        <f t="shared" si="327"/>
        <v>0.51437802072990912</v>
      </c>
      <c r="AC220" s="6">
        <f t="shared" si="328"/>
        <v>6.324585113793682E-2</v>
      </c>
      <c r="AD220" s="14">
        <f t="shared" si="329"/>
        <v>0.536023450951435</v>
      </c>
      <c r="AE220" s="6">
        <f t="shared" si="330"/>
        <v>6.5307770839586873E-2</v>
      </c>
      <c r="AF220" s="14">
        <f t="shared" si="331"/>
        <v>0.56280694404268572</v>
      </c>
      <c r="AG220" s="6">
        <f t="shared" si="332"/>
        <v>6.7466501259020525E-2</v>
      </c>
      <c r="AH220" s="14">
        <f t="shared" si="333"/>
        <v>0.59657499015914173</v>
      </c>
      <c r="AI220" s="6">
        <f t="shared" si="334"/>
        <v>7.0432025284782873E-2</v>
      </c>
      <c r="AJ220" s="14">
        <f t="shared" si="335"/>
        <v>0.64024289512540022</v>
      </c>
      <c r="AK220">
        <f t="shared" si="336"/>
        <v>8.2735645303009031E-2</v>
      </c>
      <c r="AL220" s="14">
        <f t="shared" si="337"/>
        <v>0.69879634121779899</v>
      </c>
      <c r="AM220">
        <f t="shared" si="338"/>
        <v>9.0911450537575961E-2</v>
      </c>
      <c r="AN220" s="14">
        <f t="shared" si="339"/>
        <v>0.77973197150032458</v>
      </c>
      <c r="AO220">
        <f t="shared" si="340"/>
        <v>0.1028124925735346</v>
      </c>
      <c r="AP220" s="14">
        <f t="shared" si="341"/>
        <v>0.88568284345429937</v>
      </c>
      <c r="AQ220">
        <f t="shared" si="342"/>
        <v>0.1204527292600585</v>
      </c>
    </row>
    <row r="221" spans="1:43" x14ac:dyDescent="0.25">
      <c r="A221" s="139">
        <v>0.45</v>
      </c>
      <c r="B221" s="129">
        <f>'Sub C_D_0'!AY199</f>
        <v>4.2705944491888401E-2</v>
      </c>
      <c r="C221" s="129">
        <f>'C_L vs. α'!X475</f>
        <v>0.12817033856003718</v>
      </c>
      <c r="D221" s="247">
        <f>'C_L vs. α'!Z475</f>
        <v>0.42084590260886801</v>
      </c>
      <c r="E221" s="144">
        <v>12</v>
      </c>
      <c r="F221" s="14">
        <f t="shared" si="305"/>
        <v>0.44164117810958148</v>
      </c>
      <c r="G221" s="6">
        <f t="shared" si="306"/>
        <v>6.7053802723663833E-2</v>
      </c>
      <c r="H221" s="14">
        <f t="shared" si="307"/>
        <v>0.44308907473993669</v>
      </c>
      <c r="I221" s="6">
        <f t="shared" si="308"/>
        <v>6.3856960157936182E-2</v>
      </c>
      <c r="J221" s="14">
        <f t="shared" si="309"/>
        <v>0.44549209814269425</v>
      </c>
      <c r="K221" s="6">
        <f t="shared" si="310"/>
        <v>6.2324512920525606E-2</v>
      </c>
      <c r="L221" s="14">
        <f t="shared" si="311"/>
        <v>0.44890909004536644</v>
      </c>
      <c r="M221" s="6">
        <f t="shared" si="312"/>
        <v>6.1450547452507387E-2</v>
      </c>
      <c r="N221" s="14">
        <f t="shared" si="313"/>
        <v>0.45341711945272534</v>
      </c>
      <c r="O221" s="6">
        <f t="shared" si="314"/>
        <v>6.095670931941282E-2</v>
      </c>
      <c r="P221" s="14">
        <f t="shared" si="315"/>
        <v>0.45909529575471519</v>
      </c>
      <c r="Q221" s="6">
        <f t="shared" si="316"/>
        <v>6.1198210935631006E-2</v>
      </c>
      <c r="R221" s="14">
        <f t="shared" si="317"/>
        <v>0.46613365289533548</v>
      </c>
      <c r="S221" s="6">
        <f t="shared" si="318"/>
        <v>6.1189625823430328E-2</v>
      </c>
      <c r="T221" s="14">
        <f t="shared" si="319"/>
        <v>0.47468984350475074</v>
      </c>
      <c r="U221" s="6">
        <f t="shared" si="320"/>
        <v>6.1391308524628027E-2</v>
      </c>
      <c r="V221" s="14">
        <f t="shared" si="321"/>
        <v>0.48500760511577268</v>
      </c>
      <c r="W221" s="6">
        <f t="shared" si="322"/>
        <v>6.1806697826835566E-2</v>
      </c>
      <c r="X221" s="14">
        <f t="shared" si="323"/>
        <v>0.49741244415646146</v>
      </c>
      <c r="Y221" s="6">
        <f t="shared" si="324"/>
        <v>6.2456278373508693E-2</v>
      </c>
      <c r="Z221" s="14">
        <f t="shared" si="325"/>
        <v>0.51234480700400831</v>
      </c>
      <c r="AA221" s="6">
        <f t="shared" si="326"/>
        <v>6.3379097128039463E-2</v>
      </c>
      <c r="AB221" s="14">
        <f t="shared" si="327"/>
        <v>0.530411870113767</v>
      </c>
      <c r="AC221" s="6">
        <f t="shared" si="328"/>
        <v>6.4638447018748144E-2</v>
      </c>
      <c r="AD221" s="14">
        <f t="shared" si="329"/>
        <v>0.55248066534705131</v>
      </c>
      <c r="AE221" s="6">
        <f t="shared" si="330"/>
        <v>6.679685181685395E-2</v>
      </c>
      <c r="AF221" s="14">
        <f t="shared" si="331"/>
        <v>0.57979928454894847</v>
      </c>
      <c r="AG221" s="6">
        <f t="shared" si="332"/>
        <v>6.9080350682236835E-2</v>
      </c>
      <c r="AH221" s="14">
        <f t="shared" si="333"/>
        <v>0.61425396342456162</v>
      </c>
      <c r="AI221" s="6">
        <f t="shared" si="334"/>
        <v>7.2211300415591456E-2</v>
      </c>
      <c r="AJ221" s="14">
        <f t="shared" si="335"/>
        <v>0.65881557657614764</v>
      </c>
      <c r="AK221">
        <f t="shared" si="336"/>
        <v>8.5169419352571274E-2</v>
      </c>
      <c r="AL221" s="14">
        <f t="shared" si="337"/>
        <v>0.71856334717806958</v>
      </c>
      <c r="AM221">
        <f t="shared" si="338"/>
        <v>9.3737618159052002E-2</v>
      </c>
      <c r="AN221" s="14">
        <f t="shared" si="339"/>
        <v>0.80085016614798221</v>
      </c>
      <c r="AO221">
        <f t="shared" si="340"/>
        <v>0.10617955218003994</v>
      </c>
      <c r="AP221" s="14">
        <f t="shared" si="341"/>
        <v>0.90593709764553509</v>
      </c>
      <c r="AQ221">
        <f t="shared" si="342"/>
        <v>0.12411321812657652</v>
      </c>
    </row>
    <row r="222" spans="1:43" x14ac:dyDescent="0.25">
      <c r="A222" s="129">
        <v>0.5</v>
      </c>
      <c r="B222" s="129">
        <f>'Sub C_D_0'!AY200</f>
        <v>4.2366560185892237E-2</v>
      </c>
      <c r="C222" s="129">
        <f>'C_L vs. α'!X476</f>
        <v>0.13460360938569085</v>
      </c>
      <c r="D222" s="247">
        <f>'C_L vs. α'!Z476</f>
        <v>0.43178880504861844</v>
      </c>
      <c r="E222" s="144">
        <v>14</v>
      </c>
      <c r="F222" s="14">
        <f t="shared" si="305"/>
        <v>0.45801951477703023</v>
      </c>
      <c r="G222" s="6">
        <f t="shared" si="306"/>
        <v>6.8288392298140099E-2</v>
      </c>
      <c r="H222" s="14">
        <f t="shared" si="307"/>
        <v>0.45949707825317859</v>
      </c>
      <c r="I222" s="6">
        <f t="shared" si="308"/>
        <v>6.5097794567325992E-2</v>
      </c>
      <c r="J222" s="14">
        <f t="shared" si="309"/>
        <v>0.46194372702191017</v>
      </c>
      <c r="K222" s="6">
        <f t="shared" si="310"/>
        <v>6.3575285537021117E-2</v>
      </c>
      <c r="L222" s="14">
        <f t="shared" si="311"/>
        <v>0.4654207159680655</v>
      </c>
      <c r="M222" s="6">
        <f t="shared" si="312"/>
        <v>6.2715344943855222E-2</v>
      </c>
      <c r="N222" s="14">
        <f t="shared" si="313"/>
        <v>0.47000714746326833</v>
      </c>
      <c r="O222" s="6">
        <f t="shared" si="314"/>
        <v>6.2240052599053193E-2</v>
      </c>
      <c r="P222" s="14">
        <f t="shared" si="315"/>
        <v>0.47578069374110726</v>
      </c>
      <c r="Q222" s="6">
        <f t="shared" si="316"/>
        <v>6.2504798441567366E-2</v>
      </c>
      <c r="R222" s="14">
        <f t="shared" si="317"/>
        <v>0.48294234162725902</v>
      </c>
      <c r="S222" s="6">
        <f t="shared" si="318"/>
        <v>6.2525709859399217E-2</v>
      </c>
      <c r="T222" s="14">
        <f t="shared" si="319"/>
        <v>0.49164973671508039</v>
      </c>
      <c r="U222" s="6">
        <f t="shared" si="320"/>
        <v>6.2763757030810385E-2</v>
      </c>
      <c r="V222" s="14">
        <f t="shared" si="321"/>
        <v>0.5021519629708191</v>
      </c>
      <c r="W222" s="6">
        <f t="shared" si="322"/>
        <v>6.3223763461751278E-2</v>
      </c>
      <c r="X222" s="14">
        <f t="shared" si="323"/>
        <v>0.51478171533472916</v>
      </c>
      <c r="Y222" s="6">
        <f t="shared" si="324"/>
        <v>6.3928116333887147E-2</v>
      </c>
      <c r="Z222" s="14">
        <f t="shared" si="325"/>
        <v>0.52998923691281841</v>
      </c>
      <c r="AA222" s="6">
        <f t="shared" si="326"/>
        <v>6.4918522401107986E-2</v>
      </c>
      <c r="AB222" s="14">
        <f t="shared" si="327"/>
        <v>0.54839527098425978</v>
      </c>
      <c r="AC222" s="6">
        <f t="shared" si="328"/>
        <v>6.6262077187154989E-2</v>
      </c>
      <c r="AD222" s="14">
        <f t="shared" si="329"/>
        <v>0.57088743122930241</v>
      </c>
      <c r="AE222" s="6">
        <f t="shared" si="330"/>
        <v>6.8527065874136275E-2</v>
      </c>
      <c r="AF222" s="14">
        <f t="shared" si="331"/>
        <v>0.598741176541846</v>
      </c>
      <c r="AG222" s="6">
        <f t="shared" si="332"/>
        <v>7.0948019745021726E-2</v>
      </c>
      <c r="AH222" s="14">
        <f t="shared" si="333"/>
        <v>0.63388248817661641</v>
      </c>
      <c r="AI222" s="6">
        <f t="shared" si="334"/>
        <v>7.4260654130967246E-2</v>
      </c>
      <c r="AJ222" s="14">
        <f t="shared" si="335"/>
        <v>0.67933780951352984</v>
      </c>
      <c r="AK222">
        <f t="shared" si="336"/>
        <v>8.793959595461498E-2</v>
      </c>
      <c r="AL222" s="14">
        <f t="shared" si="337"/>
        <v>0.74027990462497495</v>
      </c>
      <c r="AM222">
        <f t="shared" si="338"/>
        <v>9.6933395833976158E-2</v>
      </c>
      <c r="AN222" s="14">
        <f t="shared" si="339"/>
        <v>0.82391791228227484</v>
      </c>
      <c r="AO222">
        <f t="shared" si="340"/>
        <v>0.10996026324050616</v>
      </c>
      <c r="AP222" s="14">
        <f t="shared" si="341"/>
        <v>0.92814090332340582</v>
      </c>
      <c r="AQ222">
        <f t="shared" si="342"/>
        <v>0.12822113991286438</v>
      </c>
    </row>
    <row r="223" spans="1:43" x14ac:dyDescent="0.25">
      <c r="A223" s="139">
        <v>0.55000000000000004</v>
      </c>
      <c r="B223" s="129">
        <f>'Sub C_D_0'!AY201</f>
        <v>4.2065730745589808E-2</v>
      </c>
      <c r="C223" s="129">
        <f>'C_L vs. α'!X477</f>
        <v>0.14247269201428012</v>
      </c>
      <c r="D223" s="247">
        <f>'C_L vs. α'!Z477</f>
        <v>0.44493263614763967</v>
      </c>
      <c r="E223" s="144">
        <v>16</v>
      </c>
      <c r="F223" s="14">
        <f t="shared" si="305"/>
        <v>0.47634740293111394</v>
      </c>
      <c r="G223" s="6">
        <f t="shared" si="306"/>
        <v>6.9734102725314218E-2</v>
      </c>
      <c r="H223" s="14">
        <f t="shared" si="307"/>
        <v>0.47785463325305538</v>
      </c>
      <c r="I223" s="6">
        <f>$B$214+$B$7*H223^2+$B$8*(H223-H$215)^2</f>
        <v>6.6550439850840387E-2</v>
      </c>
      <c r="J223" s="14">
        <f t="shared" si="309"/>
        <v>0.48034490738776098</v>
      </c>
      <c r="K223" s="6">
        <f t="shared" si="310"/>
        <v>6.5038970718599681E-2</v>
      </c>
      <c r="L223" s="14">
        <f t="shared" si="311"/>
        <v>0.4838818933773994</v>
      </c>
      <c r="M223" s="6">
        <f t="shared" si="312"/>
        <v>6.419460675615353E-2</v>
      </c>
      <c r="N223" s="14">
        <f t="shared" si="313"/>
        <v>0.48854672696044626</v>
      </c>
      <c r="O223" s="6">
        <f t="shared" si="314"/>
        <v>6.373990367327452E-2</v>
      </c>
      <c r="P223" s="14">
        <f t="shared" si="315"/>
        <v>0.49441564321413423</v>
      </c>
      <c r="Q223" s="6">
        <f t="shared" si="316"/>
        <v>6.4030444147118115E-2</v>
      </c>
      <c r="R223" s="14">
        <f t="shared" si="317"/>
        <v>0.50170058184581745</v>
      </c>
      <c r="S223" s="6">
        <f t="shared" si="318"/>
        <v>6.4084059315531738E-2</v>
      </c>
      <c r="T223" s="14">
        <f t="shared" si="319"/>
        <v>0.51055918141204493</v>
      </c>
      <c r="U223" s="6">
        <f t="shared" si="320"/>
        <v>6.4362388816398219E-2</v>
      </c>
      <c r="V223" s="14">
        <f t="shared" si="321"/>
        <v>0.52124587231250041</v>
      </c>
      <c r="W223" s="6">
        <f t="shared" si="322"/>
        <v>6.4871766527972829E-2</v>
      </c>
      <c r="X223" s="14">
        <f t="shared" si="323"/>
        <v>0.53410053799963186</v>
      </c>
      <c r="Y223" s="6">
        <f t="shared" si="324"/>
        <v>6.5636651627731274E-2</v>
      </c>
      <c r="Z223" s="14">
        <f t="shared" si="325"/>
        <v>0.54958321830826351</v>
      </c>
      <c r="AA223" s="6">
        <f t="shared" si="326"/>
        <v>6.6701642577952566E-2</v>
      </c>
      <c r="AB223" s="14">
        <f t="shared" si="327"/>
        <v>0.56832822334138755</v>
      </c>
      <c r="AC223" s="6">
        <f t="shared" si="328"/>
        <v>6.8137961122888266E-2</v>
      </c>
      <c r="AD223" s="14">
        <f t="shared" si="329"/>
        <v>0.5912437485981884</v>
      </c>
      <c r="AE223" s="6">
        <f t="shared" si="330"/>
        <v>7.0520132039906994E-2</v>
      </c>
      <c r="AF223" s="14">
        <f t="shared" si="331"/>
        <v>0.61963262002137853</v>
      </c>
      <c r="AG223" s="6">
        <f t="shared" si="332"/>
        <v>7.3091858896887088E-2</v>
      </c>
      <c r="AH223" s="14">
        <f t="shared" si="333"/>
        <v>0.6554605644153062</v>
      </c>
      <c r="AI223" s="6">
        <f t="shared" si="334"/>
        <v>7.6603247071443267E-2</v>
      </c>
      <c r="AJ223" s="14">
        <f t="shared" si="335"/>
        <v>0.70180959393754694</v>
      </c>
      <c r="AK223">
        <f t="shared" si="336"/>
        <v>9.107039027895053E-2</v>
      </c>
      <c r="AL223" s="14">
        <f t="shared" si="337"/>
        <v>0.76394601355851532</v>
      </c>
      <c r="AM223">
        <f t="shared" si="338"/>
        <v>0.10052440797309745</v>
      </c>
      <c r="AN223" s="14">
        <f t="shared" si="339"/>
        <v>0.84893520990320226</v>
      </c>
      <c r="AO223">
        <f t="shared" si="340"/>
        <v>0.11418184449820981</v>
      </c>
      <c r="AP223" s="14">
        <f t="shared" si="341"/>
        <v>0.95229426048791133</v>
      </c>
      <c r="AQ223">
        <f t="shared" si="342"/>
        <v>0.13280269395729652</v>
      </c>
    </row>
    <row r="224" spans="1:43" x14ac:dyDescent="0.25">
      <c r="A224" s="129">
        <v>0.6</v>
      </c>
      <c r="B224" s="129">
        <f>'Sub C_D_0'!AY202</f>
        <v>4.1796096204077079E-2</v>
      </c>
      <c r="C224" s="129">
        <f>'C_L vs. α'!X478</f>
        <v>0.15216415898605515</v>
      </c>
      <c r="D224" s="247">
        <f>'C_L vs. α'!Z478</f>
        <v>0.46079638800646094</v>
      </c>
    </row>
    <row r="225" spans="1:43" x14ac:dyDescent="0.25">
      <c r="A225" s="139">
        <v>0.65</v>
      </c>
      <c r="B225" s="129">
        <f>'Sub C_D_0'!AY203</f>
        <v>4.2014843408660858E-2</v>
      </c>
      <c r="C225" s="129">
        <f>'C_L vs. α'!X479</f>
        <v>0.16426204337183825</v>
      </c>
      <c r="D225" s="247">
        <f>'C_L vs. α'!Z479</f>
        <v>0.48011331066331625</v>
      </c>
    </row>
    <row r="226" spans="1:43" x14ac:dyDescent="0.25">
      <c r="A226" s="129">
        <v>0.7</v>
      </c>
      <c r="B226" s="129">
        <f>'Sub C_D_0'!AY204</f>
        <v>4.1787605849957665E-2</v>
      </c>
      <c r="C226" s="129">
        <f>'C_L vs. α'!X480</f>
        <v>0.17954318610687942</v>
      </c>
      <c r="D226" s="247">
        <f>'C_L vs. α'!Z480</f>
        <v>0.50395361014601125</v>
      </c>
    </row>
    <row r="227" spans="1:43" x14ac:dyDescent="0.25">
      <c r="A227" s="139">
        <v>0.75</v>
      </c>
      <c r="B227" s="129">
        <f>'Sub C_D_0'!AY205</f>
        <v>4.157904123606336E-2</v>
      </c>
      <c r="C227" s="129">
        <f>'C_L vs. α'!X481</f>
        <v>0.19913125802093698</v>
      </c>
      <c r="D227" s="247">
        <f>'C_L vs. α'!Z481</f>
        <v>0.53394517608710246</v>
      </c>
    </row>
    <row r="228" spans="1:43" x14ac:dyDescent="0.25">
      <c r="A228" s="129">
        <v>0.8</v>
      </c>
      <c r="B228" s="129">
        <f>'Sub C_D_0'!AY206</f>
        <v>4.1386505230339612E-2</v>
      </c>
      <c r="C228" s="129">
        <f>'C_L vs. α'!X482</f>
        <v>0.22458287489423459</v>
      </c>
      <c r="D228" s="247">
        <f>'C_L vs. α'!Z482</f>
        <v>0.57269768603406035</v>
      </c>
    </row>
    <row r="229" spans="1:43" x14ac:dyDescent="0.25">
      <c r="A229" s="139">
        <v>0.85</v>
      </c>
      <c r="B229" s="129">
        <f>'Sub C_D_0'!AY207</f>
        <v>4.1653289814582078E-2</v>
      </c>
      <c r="C229" s="129">
        <f>'C_L vs. α'!X483</f>
        <v>0.25844520127575266</v>
      </c>
      <c r="D229" s="247">
        <f>'C_L vs. α'!Z483</f>
        <v>0.62468234732408157</v>
      </c>
    </row>
    <row r="230" spans="1:43" x14ac:dyDescent="0.25">
      <c r="A230" s="129">
        <v>0.9</v>
      </c>
      <c r="B230" s="129">
        <f>'Sub C_D_0'!AY208</f>
        <v>4.1483245821941461E-2</v>
      </c>
      <c r="C230" s="129">
        <f>'C_L vs. α'!X484</f>
        <v>0.29628841861566135</v>
      </c>
      <c r="D230" s="247">
        <f>'C_L vs. α'!Z484</f>
        <v>0.69818643982597794</v>
      </c>
    </row>
    <row r="231" spans="1:43" x14ac:dyDescent="0.25">
      <c r="A231" s="139">
        <v>0.95</v>
      </c>
      <c r="B231" s="129">
        <f>'Sub C_D_0'!AY209</f>
        <v>4.1324142240529535E-2</v>
      </c>
      <c r="C231" s="129">
        <f>'C_L vs. α'!X485</f>
        <v>0.2680747639849661</v>
      </c>
      <c r="D231" s="247">
        <f>'C_L vs. α'!Z485</f>
        <v>0.80888898429027301</v>
      </c>
    </row>
    <row r="233" spans="1:43" x14ac:dyDescent="0.25">
      <c r="A233" s="122" t="s">
        <v>537</v>
      </c>
      <c r="B233" s="122" t="s">
        <v>290</v>
      </c>
    </row>
    <row r="234" spans="1:43" x14ac:dyDescent="0.25">
      <c r="A234" s="122" t="s">
        <v>202</v>
      </c>
      <c r="B234" s="145">
        <v>40000</v>
      </c>
      <c r="C234" s="122" t="s">
        <v>538</v>
      </c>
      <c r="D234" s="122" t="s">
        <v>539</v>
      </c>
      <c r="F234" s="1" t="s">
        <v>536</v>
      </c>
      <c r="G234" s="140">
        <v>0.05</v>
      </c>
      <c r="H234" s="1" t="s">
        <v>536</v>
      </c>
      <c r="I234" s="140">
        <v>0.1</v>
      </c>
      <c r="J234" s="1" t="s">
        <v>536</v>
      </c>
      <c r="K234" s="140">
        <v>0.15</v>
      </c>
      <c r="L234" s="1" t="s">
        <v>536</v>
      </c>
      <c r="M234" s="140">
        <v>0.2</v>
      </c>
      <c r="N234" t="s">
        <v>536</v>
      </c>
      <c r="O234" s="141">
        <v>0.25</v>
      </c>
      <c r="P234" t="s">
        <v>536</v>
      </c>
      <c r="Q234" s="141">
        <v>0.3</v>
      </c>
      <c r="R234" t="s">
        <v>536</v>
      </c>
      <c r="S234" s="141">
        <v>0.35</v>
      </c>
      <c r="T234" t="s">
        <v>536</v>
      </c>
      <c r="U234" s="141">
        <v>0.4</v>
      </c>
      <c r="V234" t="s">
        <v>536</v>
      </c>
      <c r="W234" s="141">
        <v>0.45</v>
      </c>
      <c r="X234" t="s">
        <v>536</v>
      </c>
      <c r="Y234" s="141">
        <v>0.5</v>
      </c>
      <c r="Z234" t="s">
        <v>536</v>
      </c>
      <c r="AA234" s="141">
        <v>0.55000000000000004</v>
      </c>
      <c r="AB234" t="s">
        <v>536</v>
      </c>
      <c r="AC234" s="141">
        <v>0.6</v>
      </c>
      <c r="AD234" t="s">
        <v>536</v>
      </c>
      <c r="AE234" s="141">
        <v>0.65</v>
      </c>
      <c r="AF234" t="s">
        <v>536</v>
      </c>
      <c r="AG234" s="141">
        <v>0.7</v>
      </c>
      <c r="AH234" t="s">
        <v>536</v>
      </c>
      <c r="AI234" s="141">
        <v>0.75</v>
      </c>
      <c r="AJ234" t="s">
        <v>536</v>
      </c>
      <c r="AK234" s="141">
        <v>0.8</v>
      </c>
      <c r="AL234" t="s">
        <v>536</v>
      </c>
      <c r="AM234" s="141">
        <v>0.85</v>
      </c>
      <c r="AN234" t="s">
        <v>536</v>
      </c>
      <c r="AO234" s="141">
        <v>0.9</v>
      </c>
      <c r="AP234" t="s">
        <v>536</v>
      </c>
      <c r="AQ234" s="141">
        <v>0.95</v>
      </c>
    </row>
    <row r="235" spans="1:43" x14ac:dyDescent="0.25">
      <c r="A235" s="121" t="s">
        <v>182</v>
      </c>
      <c r="B235" s="121" t="s">
        <v>534</v>
      </c>
      <c r="C235" s="121" t="s">
        <v>535</v>
      </c>
      <c r="D235" s="248" t="s">
        <v>1126</v>
      </c>
      <c r="E235" s="121" t="s">
        <v>421</v>
      </c>
      <c r="F235" s="14" t="s">
        <v>244</v>
      </c>
      <c r="G235" s="6" t="s">
        <v>245</v>
      </c>
      <c r="H235" s="14" t="s">
        <v>244</v>
      </c>
      <c r="I235" s="6" t="s">
        <v>245</v>
      </c>
      <c r="J235" s="14" t="s">
        <v>244</v>
      </c>
      <c r="K235" s="6" t="s">
        <v>245</v>
      </c>
      <c r="L235" s="14" t="s">
        <v>244</v>
      </c>
      <c r="M235" s="6" t="s">
        <v>245</v>
      </c>
      <c r="N235" t="s">
        <v>244</v>
      </c>
      <c r="O235" t="s">
        <v>245</v>
      </c>
      <c r="P235" t="s">
        <v>244</v>
      </c>
      <c r="Q235" t="s">
        <v>245</v>
      </c>
      <c r="R235" t="s">
        <v>244</v>
      </c>
      <c r="S235" t="s">
        <v>245</v>
      </c>
      <c r="T235" t="s">
        <v>244</v>
      </c>
      <c r="U235" t="s">
        <v>245</v>
      </c>
      <c r="V235" t="s">
        <v>244</v>
      </c>
      <c r="W235" t="s">
        <v>245</v>
      </c>
      <c r="X235" t="s">
        <v>244</v>
      </c>
      <c r="Y235" t="s">
        <v>245</v>
      </c>
      <c r="Z235" t="s">
        <v>244</v>
      </c>
      <c r="AA235" t="s">
        <v>245</v>
      </c>
      <c r="AB235" t="s">
        <v>244</v>
      </c>
      <c r="AC235" t="s">
        <v>245</v>
      </c>
      <c r="AD235" t="s">
        <v>244</v>
      </c>
      <c r="AE235" t="s">
        <v>245</v>
      </c>
      <c r="AF235" t="s">
        <v>244</v>
      </c>
      <c r="AG235" t="s">
        <v>245</v>
      </c>
      <c r="AH235" t="s">
        <v>244</v>
      </c>
      <c r="AI235" t="s">
        <v>245</v>
      </c>
      <c r="AJ235" t="s">
        <v>244</v>
      </c>
      <c r="AK235" t="s">
        <v>245</v>
      </c>
      <c r="AL235" t="s">
        <v>244</v>
      </c>
      <c r="AM235" t="s">
        <v>245</v>
      </c>
      <c r="AN235" t="s">
        <v>244</v>
      </c>
      <c r="AO235" t="s">
        <v>245</v>
      </c>
      <c r="AP235" t="s">
        <v>244</v>
      </c>
      <c r="AQ235" t="s">
        <v>245</v>
      </c>
    </row>
    <row r="236" spans="1:43" x14ac:dyDescent="0.25">
      <c r="A236" s="129">
        <v>0</v>
      </c>
      <c r="B236" s="129" t="e">
        <f>'Sub C_D_0'!AY220</f>
        <v>#DIV/0!</v>
      </c>
      <c r="C236" s="129" t="e">
        <f>'C_L vs. α'!X491</f>
        <v>#NUM!</v>
      </c>
      <c r="D236" s="247">
        <f>'C_L vs. α'!Z491</f>
        <v>0.38204298311929219</v>
      </c>
      <c r="E236" s="144">
        <v>-6</v>
      </c>
      <c r="F236" s="14">
        <f>$D$19+$C$19*(RADIANS(E236-$B$12))+$E$10*RADIANS(E236)^2</f>
        <v>0.38196596500111457</v>
      </c>
      <c r="G236" s="6">
        <f>$B$237+$B$7*F236^2+$B$8*(F236-F$239)^2</f>
        <v>6.2453963449364082E-2</v>
      </c>
      <c r="H236" s="14">
        <f>$D$20+$C$20*(RADIANS(E236-$B$12))+$E$10*RADIANS(E236)^2</f>
        <v>0.38314686001933163</v>
      </c>
      <c r="I236" s="6">
        <f>$B$238+$B$7*H236^2+$B$8*(H236-H$239)^2</f>
        <v>5.9307695524939849E-2</v>
      </c>
      <c r="J236" s="14">
        <f>$D$21+$C$21*(RADIANS(E236-$B$12))+$E$10*RADIANS(E236)^2</f>
        <v>0.38515725512832322</v>
      </c>
      <c r="K236" s="6">
        <f>$B$239+$B$7*J236^2+$B$8*(J236-J$239)^2</f>
        <v>5.7767578655259035E-2</v>
      </c>
      <c r="L236" s="14">
        <f>$D$22+$C$22*(RADIANS(E236-$B$12))+$E$10*RADIANS(E236)^2</f>
        <v>0.38803427363964721</v>
      </c>
      <c r="M236" s="6">
        <f>$B$240+$B$7*L236^2+$B$8*(L236-L$239)^2</f>
        <v>5.6851748006006918E-2</v>
      </c>
      <c r="N236" s="14">
        <f>$D$23+$C$23*(RADIANS(E236-$B$12))+$E$10*RADIANS(E236)^2</f>
        <v>0.39183668425641005</v>
      </c>
      <c r="O236" s="6">
        <f>$B$241+$B$7*N236^2+$B$8*(N236-N$239)^2</f>
        <v>5.628664883511636E-2</v>
      </c>
      <c r="P236" s="14">
        <f>$D$24+$C$24*(RADIANS(E236-$B$12))+$E$10*RADIANS(E236)^2</f>
        <v>0.39665653077575869</v>
      </c>
      <c r="Q236" s="6">
        <f>$B$242+$B$7*P236^2+$B$8*(P236-P$239)^2</f>
        <v>5.6422269013214107E-2</v>
      </c>
      <c r="R236" s="14">
        <f>$D$25+$C$25*(RADIANS(E236-$B$12))+$E$10*RADIANS(E236)^2</f>
        <v>0.40258527120659587</v>
      </c>
      <c r="S236" s="6">
        <f>$B$243+$B$7*R236^2+$B$8*(R236-R$239)^2</f>
        <v>5.6280628290034163E-2</v>
      </c>
      <c r="T236" s="14">
        <f>$D$26+$C$26*(RADIANS(E236-$B$12))+$E$10*RADIANS(E236)^2</f>
        <v>0.40978062151035616</v>
      </c>
      <c r="U236" s="6">
        <f>$B$244+$B$7*T236^2+$B$8*(T236-T$239)^2</f>
        <v>5.6311980366124267E-2</v>
      </c>
      <c r="V236" s="14">
        <f>$D$27+$C$27*(RADIANS(E236-$B$12))+$E$10*RADIANS(E236)^2</f>
        <v>0.41843820131892678</v>
      </c>
      <c r="W236" s="6">
        <f>$B$245+$B$7*V236^2+$B$8*(V236-V$239)^2</f>
        <v>5.6512445530607469E-2</v>
      </c>
      <c r="X236" s="14">
        <f>$D$28+$C$28*(RADIANS(E236-$B$12))+$E$10*RADIANS(E236)^2</f>
        <v>0.42881882045062403</v>
      </c>
      <c r="Y236" s="6">
        <f>$B$246+$B$7*X236^2+$B$8*(X236-X$239)^2</f>
        <v>5.6891960923624273E-2</v>
      </c>
      <c r="Z236" s="14">
        <f>$D$29+$C$29*(RADIANS(E236-$B$12))+$E$10*RADIANS(E236)^2</f>
        <v>0.44127475472328925</v>
      </c>
      <c r="AA236" s="6">
        <f>$B$247+$B$7*Z236^2+$B$8*(Z236-Z$239)^2</f>
        <v>5.7474405703992461E-2</v>
      </c>
      <c r="AB236" s="14">
        <f>$D$30+$C$30*(RADIANS(E236-$B$12))+$E$10*RADIANS(E236)^2</f>
        <v>0.45629107917790385</v>
      </c>
      <c r="AC236" s="6">
        <f>$B$248+$B$7*AB236^2+$B$8*(AB236-AB$239)^2</f>
        <v>5.8300944457478278E-2</v>
      </c>
      <c r="AD236" s="14">
        <f>$D$31+$C$31*(RADIANS(E236-$B$12))+$E$10*RADIANS(E236)^2</f>
        <v>0.4745495893053634</v>
      </c>
      <c r="AE236" s="6">
        <f>$B$249+$B$7*AD236^2+$B$8*(AD236-AD$239)^2</f>
        <v>5.9892709059129932E-2</v>
      </c>
      <c r="AF236" s="14">
        <f>$D$32+$C$32*(RADIANS(E236-$B$12))+$E$10*RADIANS(E236)^2</f>
        <v>0.49705207351144215</v>
      </c>
      <c r="AG236" s="6">
        <f>$B$250+$B$7*AF236^2+$B$8*(AF236-AF$239)^2</f>
        <v>6.1439147376287542E-2</v>
      </c>
      <c r="AH236" s="14">
        <f>$D$33+$C$33*(RADIANS(E236-$B$12))+$E$10*RADIANS(E236)^2</f>
        <v>0.52532705755464026</v>
      </c>
      <c r="AI236" s="6">
        <f>$B$251+$B$7*AH236^2+$B$8*(AH236-AH$239)^2</f>
        <v>6.3573853607357081E-2</v>
      </c>
      <c r="AJ236" s="14">
        <f>$D$34+$C$34*(RADIANS(E236-$B$12))+$E$10*RADIANS(E236)^2</f>
        <v>0.56184529703827968</v>
      </c>
      <c r="AK236">
        <f>$B$252+$B$9*AJ236^2</f>
        <v>7.2906730345700568E-2</v>
      </c>
      <c r="AL236" s="14">
        <f>$D$35+$C$35*(RADIANS(E236-$B$12))+$E$10*RADIANS(E236)^2</f>
        <v>0.61084414705449297</v>
      </c>
      <c r="AM236">
        <f>$B$253+$B$9*AL236^2</f>
        <v>7.8966754652101873E-2</v>
      </c>
      <c r="AN236" s="14">
        <f>$D$36+$C$36*(RADIANS(E236-$B$12))+$E$10*RADIANS(E236)^2</f>
        <v>0.68097026783792147</v>
      </c>
      <c r="AO236">
        <f>$B$254+$B$9*AN236^2</f>
        <v>8.7938453155446739E-2</v>
      </c>
      <c r="AP236" s="14">
        <f>$D$37+$C$37*(RADIANS(E236-$B$12))+$E$10*RADIANS(E236)^2</f>
        <v>0.79383266344327119</v>
      </c>
      <c r="AQ236">
        <f>$B$255+$B$9*AP236^2</f>
        <v>0.10457309577279325</v>
      </c>
    </row>
    <row r="237" spans="1:43" x14ac:dyDescent="0.25">
      <c r="A237" s="139">
        <v>0.05</v>
      </c>
      <c r="B237" s="129">
        <f>'Sub C_D_0'!AY221</f>
        <v>5.0654576472656351E-2</v>
      </c>
      <c r="C237" s="129">
        <f>'C_L vs. α'!X492</f>
        <v>0.10628431328737685</v>
      </c>
      <c r="D237" s="247">
        <f>'C_L vs. α'!Z492</f>
        <v>0.3824586133220616</v>
      </c>
      <c r="E237" s="144">
        <v>-4</v>
      </c>
      <c r="F237" s="14">
        <f t="shared" ref="F237:F247" si="343">$D$19+$C$19*(RADIANS(E237-$B$12))+$E$10*RADIANS(E237)^2</f>
        <v>0.38079833828884896</v>
      </c>
      <c r="G237" s="6">
        <f t="shared" ref="G237:G247" si="344">$B$237+$B$7*F237^2+$B$8*(F237-F$239)^2</f>
        <v>6.2382072427476017E-2</v>
      </c>
      <c r="H237" s="14">
        <f t="shared" ref="H237:H247" si="345">$D$20+$C$20*(RADIANS(E237-$B$12))+$E$10*RADIANS(E237)^2</f>
        <v>0.38200890015285915</v>
      </c>
      <c r="I237" s="6">
        <f t="shared" ref="I237:I247" si="346">$B$238+$B$7*H237^2+$B$8*(H237-H$239)^2</f>
        <v>5.9237414385352613E-2</v>
      </c>
      <c r="J237" s="14">
        <f t="shared" ref="J237:J247" si="347">$D$21+$C$21*(RADIANS(E237-$B$12))+$E$10*RADIANS(E237)^2</f>
        <v>0.38406292062782471</v>
      </c>
      <c r="K237" s="6">
        <f t="shared" ref="K237:K247" si="348">$B$239+$B$7*J237^2+$B$8*(J237-J$239)^2</f>
        <v>5.7699636909202337E-2</v>
      </c>
      <c r="L237" s="14">
        <f t="shared" ref="L237:L247" si="349">$D$22+$C$22*(RADIANS(E237-$B$12))+$E$10*RADIANS(E237)^2</f>
        <v>0.3869999361826319</v>
      </c>
      <c r="M237" s="6">
        <f t="shared" ref="M237:M247" si="350">$B$240+$B$7*L237^2+$B$8*(L237-L$239)^2</f>
        <v>5.678705103488798E-2</v>
      </c>
      <c r="N237" s="14">
        <f t="shared" ref="N237:N247" si="351">$D$23+$C$23*(RADIANS(E237-$B$12))+$E$10*RADIANS(E237)^2</f>
        <v>0.39088074888723873</v>
      </c>
      <c r="O237" s="6">
        <f t="shared" ref="O237:O247" si="352">$B$241+$B$7*N237^2+$B$8*(N237-N$239)^2</f>
        <v>5.6226269357380398E-2</v>
      </c>
      <c r="P237" s="14">
        <f t="shared" ref="P237:P247" si="353">$D$24+$C$24*(RADIANS(E237-$B$12))+$E$10*RADIANS(E237)^2</f>
        <v>0.39579596538243639</v>
      </c>
      <c r="Q237" s="6">
        <f t="shared" ref="Q237:Q247" si="354">$B$242+$B$7*P237^2+$B$8*(P237-P$239)^2</f>
        <v>5.6367244039464214E-2</v>
      </c>
      <c r="R237" s="14">
        <f t="shared" ref="R237:R247" si="355">$D$25+$C$25*(RADIANS(E237-$B$12))+$E$10*RADIANS(E237)^2</f>
        <v>0.40184799655880499</v>
      </c>
      <c r="S237" s="6">
        <f t="shared" ref="S237:S246" si="356">$B$243+$B$7*R237^2+$B$8*(R237-R$239)^2</f>
        <v>5.6232781312028919E-2</v>
      </c>
      <c r="T237" s="14">
        <f t="shared" ref="T237:T247" si="357">$D$26+$C$26*(RADIANS(E237-$B$12))+$E$10*RADIANS(E237)^2</f>
        <v>0.40919455134097138</v>
      </c>
      <c r="U237" s="6">
        <f t="shared" ref="U237:U247" si="358">$B$244+$B$7*T237^2+$B$8*(T237-T$239)^2</f>
        <v>5.6273265729837048E-2</v>
      </c>
      <c r="V237" s="14">
        <f t="shared" ref="V237:V247" si="359">$D$27+$C$27*(RADIANS(E237-$B$12))+$E$10*RADIANS(E237)^2</f>
        <v>0.41803659579425889</v>
      </c>
      <c r="W237" s="6">
        <f t="shared" ref="W237:W247" si="360">$B$245+$B$7*V237^2+$B$8*(V237-V$239)^2</f>
        <v>5.6485355297787095E-2</v>
      </c>
      <c r="X237" s="14">
        <f t="shared" ref="X237:X247" si="361">$D$28+$C$28*(RADIANS(E237-$B$12))+$E$10*RADIANS(E237)^2</f>
        <v>0.42864212824917736</v>
      </c>
      <c r="Y237" s="6">
        <f t="shared" ref="Y237:Y247" si="362">$B$246+$B$7*X237^2+$B$8*(X237-X$239)^2</f>
        <v>5.6879746269029981E-2</v>
      </c>
      <c r="Z237" s="14">
        <f t="shared" ref="Z237:Z247" si="363">$D$29+$C$29*(RADIANS(E237-$B$12))+$E$10*RADIANS(E237)^2</f>
        <v>0.44137322125238498</v>
      </c>
      <c r="AA237" s="6">
        <f t="shared" ref="AA237:AA247" si="364">$B$247+$B$7*Z237^2+$B$8*(Z237-Z$239)^2</f>
        <v>5.7481410515282425E-2</v>
      </c>
      <c r="AB237" s="14">
        <f t="shared" ref="AB237:AB247" si="365">$D$30+$C$30*(RADIANS(E237-$B$12))+$E$10*RADIANS(E237)^2</f>
        <v>0.45672851666868225</v>
      </c>
      <c r="AC237" s="6">
        <f t="shared" ref="AC237:AC247" si="366">$B$248+$B$7*AB237^2+$B$8*(AB237-AB$239)^2</f>
        <v>5.8333122958587669E-2</v>
      </c>
      <c r="AD237" s="14">
        <f t="shared" ref="AD237:AD247" si="367">$D$31+$C$31*(RADIANS(E237-$B$12))+$E$10*RADIANS(E237)^2</f>
        <v>0.47541039180790012</v>
      </c>
      <c r="AE237" s="6">
        <f t="shared" ref="AE237:AE247" si="368">$B$249+$B$7*AD237^2+$B$8*(AD237-AD$239)^2</f>
        <v>5.9958566072057302E-2</v>
      </c>
      <c r="AF237" s="14">
        <f t="shared" ref="AF237:AF247" si="369">$D$32+$C$32*(RADIANS(E237-$B$12))+$E$10*RADIANS(E237)^2</f>
        <v>0.49844800212462537</v>
      </c>
      <c r="AG237" s="6">
        <f t="shared" ref="AG237:AG247" si="370">$B$250+$B$7*AF237^2+$B$8*(AF237-AF$239)^2</f>
        <v>6.1551011516133444E-2</v>
      </c>
      <c r="AH237" s="14">
        <f t="shared" ref="AH237:AH247" si="371">$D$33+$C$33*(RADIANS(E237-$B$12))+$E$10*RADIANS(E237)^2</f>
        <v>0.52740961892698079</v>
      </c>
      <c r="AI237" s="6">
        <f t="shared" ref="AI237:AI247" si="372">$B$251+$B$7*AH237^2+$B$8*(AH237-AH$239)^2</f>
        <v>6.3750238771568865E-2</v>
      </c>
      <c r="AJ237" s="14">
        <f t="shared" ref="AJ237:AJ247" si="373">$D$34+$C$34*(RADIANS(E237-$B$12))+$E$10*RADIANS(E237)^2</f>
        <v>0.56482156659594751</v>
      </c>
      <c r="AK237">
        <f t="shared" ref="AK237:AK247" si="374">$B$252+$B$9*AJ237^2</f>
        <v>7.3244985739335605E-2</v>
      </c>
      <c r="AL237" s="14">
        <f t="shared" ref="AL237:AL247" si="375">$D$35+$C$35*(RADIANS(E237-$B$12))+$E$10*RADIANS(E237)^2</f>
        <v>0.61501474112168397</v>
      </c>
      <c r="AM237">
        <f t="shared" ref="AM237:AM247" si="376">$B$253+$B$9*AL237^2</f>
        <v>7.948247628370711E-2</v>
      </c>
      <c r="AN237" s="14">
        <f t="shared" ref="AN237:AN247" si="377">$D$36+$C$36*(RADIANS(E237-$B$12))+$E$10*RADIANS(E237)^2</f>
        <v>0.68649205059249963</v>
      </c>
      <c r="AO237">
        <f t="shared" ref="AO237:AO247" si="378">$B$254+$B$9*AN237^2</f>
        <v>8.8700131538972743E-2</v>
      </c>
      <c r="AP237" s="14">
        <f t="shared" ref="AP237:AP247" si="379">$D$37+$C$37*(RADIANS(E237-$B$12))+$E$10*RADIANS(E237)^2</f>
        <v>0.79849050574142755</v>
      </c>
      <c r="AQ237">
        <f t="shared" ref="AQ237:AQ247" si="380">$B$255+$B$9*AP237^2</f>
        <v>0.10532125311338482</v>
      </c>
    </row>
    <row r="238" spans="1:43" x14ac:dyDescent="0.25">
      <c r="A238" s="129">
        <v>0.1</v>
      </c>
      <c r="B238" s="129">
        <f>'Sub C_D_0'!AY222</f>
        <v>4.7435229412066793E-2</v>
      </c>
      <c r="C238" s="129">
        <f>'C_L vs. α'!X493</f>
        <v>0.10713407049224531</v>
      </c>
      <c r="D238" s="247">
        <f>'C_L vs. α'!Z493</f>
        <v>0.38371367545476148</v>
      </c>
      <c r="E238" s="144">
        <v>-2</v>
      </c>
      <c r="F238" s="14">
        <f t="shared" si="343"/>
        <v>0.38158026306321818</v>
      </c>
      <c r="G238" s="6">
        <f t="shared" si="344"/>
        <v>6.2430185277627517E-2</v>
      </c>
      <c r="H238" s="14">
        <f t="shared" si="345"/>
        <v>0.38282049177302152</v>
      </c>
      <c r="I238" s="6">
        <f t="shared" si="346"/>
        <v>5.9287512091186101E-2</v>
      </c>
      <c r="J238" s="14">
        <f t="shared" si="347"/>
        <v>0.3849181376139611</v>
      </c>
      <c r="K238" s="6">
        <f t="shared" si="348"/>
        <v>5.7752712418514651E-2</v>
      </c>
      <c r="L238" s="14">
        <f t="shared" si="349"/>
        <v>0.38791515021225137</v>
      </c>
      <c r="M238" s="6">
        <f t="shared" si="350"/>
        <v>5.6844285934427037E-2</v>
      </c>
      <c r="N238" s="14">
        <f t="shared" si="351"/>
        <v>0.39187436500470224</v>
      </c>
      <c r="O238" s="6">
        <f t="shared" si="352"/>
        <v>5.6289032630379959E-2</v>
      </c>
      <c r="P238" s="14">
        <f t="shared" si="353"/>
        <v>0.39688495147574893</v>
      </c>
      <c r="Q238" s="6">
        <f t="shared" si="354"/>
        <v>5.6436899436885068E-2</v>
      </c>
      <c r="R238" s="14">
        <f t="shared" si="355"/>
        <v>0.40306027339764899</v>
      </c>
      <c r="S238" s="6">
        <f t="shared" si="356"/>
        <v>5.6311512635612619E-2</v>
      </c>
      <c r="T238" s="14">
        <f t="shared" si="357"/>
        <v>0.41055803265822149</v>
      </c>
      <c r="U238" s="6">
        <f t="shared" si="358"/>
        <v>5.6363441533444365E-2</v>
      </c>
      <c r="V238" s="14">
        <f t="shared" si="359"/>
        <v>0.41958454175622578</v>
      </c>
      <c r="W238" s="6">
        <f t="shared" si="360"/>
        <v>5.6589950728394268E-2</v>
      </c>
      <c r="X238" s="14">
        <f t="shared" si="361"/>
        <v>0.43041498753436558</v>
      </c>
      <c r="Y238" s="6">
        <f t="shared" si="362"/>
        <v>5.7002588705582703E-2</v>
      </c>
      <c r="Z238" s="14">
        <f t="shared" si="363"/>
        <v>0.44342123926811561</v>
      </c>
      <c r="AA238" s="6">
        <f t="shared" si="364"/>
        <v>5.7627547930832274E-2</v>
      </c>
      <c r="AB238" s="14">
        <f t="shared" si="365"/>
        <v>0.45911550564609555</v>
      </c>
      <c r="AC238" s="6">
        <f t="shared" si="366"/>
        <v>5.8509393214220426E-2</v>
      </c>
      <c r="AD238" s="14">
        <f t="shared" si="367"/>
        <v>0.47822074579707169</v>
      </c>
      <c r="AE238" s="6">
        <f t="shared" si="368"/>
        <v>6.0174617241989942E-2</v>
      </c>
      <c r="AF238" s="14">
        <f t="shared" si="369"/>
        <v>0.50179348222444353</v>
      </c>
      <c r="AG238" s="6">
        <f t="shared" si="370"/>
        <v>6.1820705004227761E-2</v>
      </c>
      <c r="AH238" s="14">
        <f t="shared" si="371"/>
        <v>0.53144173178595611</v>
      </c>
      <c r="AI238" s="6">
        <f t="shared" si="372"/>
        <v>6.4094230700858262E-2</v>
      </c>
      <c r="AJ238" s="14">
        <f t="shared" si="373"/>
        <v>0.56974738764025024</v>
      </c>
      <c r="AK238">
        <f t="shared" si="374"/>
        <v>7.3808735631743866E-2</v>
      </c>
      <c r="AL238" s="14">
        <f t="shared" si="375"/>
        <v>0.62113488667550987</v>
      </c>
      <c r="AM238">
        <f t="shared" si="376"/>
        <v>8.0245625987543423E-2</v>
      </c>
      <c r="AN238" s="14">
        <f t="shared" si="377"/>
        <v>0.69396338483371267</v>
      </c>
      <c r="AO238">
        <f t="shared" si="378"/>
        <v>8.9740524735021809E-2</v>
      </c>
      <c r="AP238" s="14">
        <f t="shared" si="379"/>
        <v>0.80509789952621869</v>
      </c>
      <c r="AQ238">
        <f t="shared" si="380"/>
        <v>0.1063900619715252</v>
      </c>
    </row>
    <row r="239" spans="1:43" s="99" customFormat="1" x14ac:dyDescent="0.25">
      <c r="A239" s="139">
        <v>0.15</v>
      </c>
      <c r="B239" s="129">
        <f>'Sub C_D_0'!AY223</f>
        <v>4.5770182714610988E-2</v>
      </c>
      <c r="C239" s="129">
        <f>'C_L vs. α'!X494</f>
        <v>0.10837825688305214</v>
      </c>
      <c r="D239" s="247">
        <f>'C_L vs. α'!Z494</f>
        <v>0.38583313397868807</v>
      </c>
      <c r="E239" s="143">
        <v>0</v>
      </c>
      <c r="F239" s="14">
        <f t="shared" si="343"/>
        <v>0.38431173932422247</v>
      </c>
      <c r="G239" s="6">
        <f t="shared" si="344"/>
        <v>6.2599224630472294E-2</v>
      </c>
      <c r="H239" s="14">
        <f t="shared" si="345"/>
        <v>0.38558163487981889</v>
      </c>
      <c r="I239" s="6">
        <f t="shared" si="346"/>
        <v>5.9458946278432429E-2</v>
      </c>
      <c r="J239" s="14">
        <f t="shared" si="347"/>
        <v>0.38772290608673249</v>
      </c>
      <c r="K239" s="6">
        <f t="shared" si="348"/>
        <v>5.7927814294855877E-2</v>
      </c>
      <c r="L239" s="14">
        <f t="shared" si="349"/>
        <v>0.3907799157285059</v>
      </c>
      <c r="M239" s="6">
        <f t="shared" si="350"/>
        <v>5.7024532609681586E-2</v>
      </c>
      <c r="N239" s="14">
        <f t="shared" si="351"/>
        <v>0.3948175326088007</v>
      </c>
      <c r="O239" s="6">
        <f t="shared" si="352"/>
        <v>5.6476111069567313E-2</v>
      </c>
      <c r="P239" s="14">
        <f t="shared" si="353"/>
        <v>0.39992348905569641</v>
      </c>
      <c r="Q239" s="6">
        <f t="shared" si="354"/>
        <v>5.6632520152550971E-2</v>
      </c>
      <c r="R239" s="14">
        <f t="shared" si="355"/>
        <v>0.406222101723128</v>
      </c>
      <c r="S239" s="6">
        <f t="shared" si="356"/>
        <v>5.6518252684540783E-2</v>
      </c>
      <c r="T239" s="14">
        <f t="shared" si="357"/>
        <v>0.41387106546210661</v>
      </c>
      <c r="U239" s="6">
        <f t="shared" si="358"/>
        <v>5.6584116614139125E-2</v>
      </c>
      <c r="V239" s="14">
        <f t="shared" si="359"/>
        <v>0.42308203920482768</v>
      </c>
      <c r="W239" s="6">
        <f t="shared" si="360"/>
        <v>5.6828058318329364E-2</v>
      </c>
      <c r="X239" s="14">
        <f t="shared" si="361"/>
        <v>0.43413739830618875</v>
      </c>
      <c r="Y239" s="6">
        <f t="shared" si="362"/>
        <v>5.7262580115231748E-2</v>
      </c>
      <c r="Z239" s="14">
        <f t="shared" si="363"/>
        <v>0.44741880877048118</v>
      </c>
      <c r="AA239" s="6">
        <f t="shared" si="364"/>
        <v>5.7915234505613249E-2</v>
      </c>
      <c r="AB239" s="14">
        <f t="shared" si="365"/>
        <v>0.46345204611014379</v>
      </c>
      <c r="AC239" s="6">
        <f t="shared" si="366"/>
        <v>5.8832571747490771E-2</v>
      </c>
      <c r="AD239" s="14">
        <f t="shared" si="367"/>
        <v>0.48298065127287826</v>
      </c>
      <c r="AE239" s="6">
        <f t="shared" si="368"/>
        <v>6.0544178640784346E-2</v>
      </c>
      <c r="AF239" s="14">
        <f t="shared" si="369"/>
        <v>0.50708851381089648</v>
      </c>
      <c r="AG239" s="6">
        <f t="shared" si="370"/>
        <v>6.2252175333465734E-2</v>
      </c>
      <c r="AH239" s="14">
        <f t="shared" si="371"/>
        <v>0.53742339613156631</v>
      </c>
      <c r="AI239" s="6">
        <f t="shared" si="372"/>
        <v>6.4610587079141663E-2</v>
      </c>
      <c r="AJ239" s="14">
        <f t="shared" si="373"/>
        <v>0.57662276017118796</v>
      </c>
      <c r="AK239" s="99">
        <f t="shared" si="374"/>
        <v>7.4603792236119126E-2</v>
      </c>
      <c r="AL239" s="14">
        <f t="shared" si="375"/>
        <v>0.62920458371597077</v>
      </c>
      <c r="AM239" s="99">
        <f t="shared" si="376"/>
        <v>8.1263425217743199E-2</v>
      </c>
      <c r="AN239" s="14">
        <f t="shared" si="377"/>
        <v>0.70338427056156072</v>
      </c>
      <c r="AO239" s="99">
        <f t="shared" si="378"/>
        <v>9.1068448530253907E-2</v>
      </c>
      <c r="AP239" s="14">
        <f t="shared" si="379"/>
        <v>0.81365484479764483</v>
      </c>
      <c r="AQ239" s="99">
        <f t="shared" si="380"/>
        <v>0.10778731872897221</v>
      </c>
    </row>
    <row r="240" spans="1:43" x14ac:dyDescent="0.25">
      <c r="A240" s="129">
        <v>0.2</v>
      </c>
      <c r="B240" s="129">
        <f>'Sub C_D_0'!AY224</f>
        <v>4.4674431023513581E-2</v>
      </c>
      <c r="C240" s="129">
        <f>'C_L vs. α'!X495</f>
        <v>0.11009093451775737</v>
      </c>
      <c r="D240" s="247">
        <f>'C_L vs. α'!Z495</f>
        <v>0.38886014509871991</v>
      </c>
      <c r="E240" s="144">
        <v>2</v>
      </c>
      <c r="F240" s="14">
        <f t="shared" si="343"/>
        <v>0.38899276707186159</v>
      </c>
      <c r="G240" s="6">
        <f t="shared" si="344"/>
        <v>6.2892413486241111E-2</v>
      </c>
      <c r="H240" s="14">
        <f t="shared" si="345"/>
        <v>0.39029232947325115</v>
      </c>
      <c r="I240" s="6">
        <f t="shared" si="346"/>
        <v>5.9754974952660744E-2</v>
      </c>
      <c r="J240" s="14">
        <f t="shared" si="347"/>
        <v>0.39247722604613877</v>
      </c>
      <c r="K240" s="6">
        <f t="shared" si="348"/>
        <v>5.8228252019462981E-2</v>
      </c>
      <c r="L240" s="14">
        <f t="shared" si="349"/>
        <v>0.39559423273139527</v>
      </c>
      <c r="M240" s="6">
        <f t="shared" si="350"/>
        <v>5.7331171335286188E-2</v>
      </c>
      <c r="N240" s="14">
        <f t="shared" si="351"/>
        <v>0.39971025169953411</v>
      </c>
      <c r="O240" s="6">
        <f t="shared" si="352"/>
        <v>5.6790977459971803E-2</v>
      </c>
      <c r="P240" s="14">
        <f t="shared" si="353"/>
        <v>0.40491157812227885</v>
      </c>
      <c r="Q240" s="6">
        <f t="shared" si="354"/>
        <v>5.6957691503113285E-2</v>
      </c>
      <c r="R240" s="14">
        <f t="shared" si="355"/>
        <v>0.41133348153524191</v>
      </c>
      <c r="S240" s="6">
        <f t="shared" si="356"/>
        <v>5.6856732252145999E-2</v>
      </c>
      <c r="T240" s="14">
        <f t="shared" si="357"/>
        <v>0.41913364975262662</v>
      </c>
      <c r="U240" s="6">
        <f t="shared" si="358"/>
        <v>5.6939200178691259E-2</v>
      </c>
      <c r="V240" s="14">
        <f t="shared" si="359"/>
        <v>0.42852908814006446</v>
      </c>
      <c r="W240" s="6">
        <f t="shared" si="360"/>
        <v>5.720380493306982E-2</v>
      </c>
      <c r="X240" s="14">
        <f t="shared" si="361"/>
        <v>0.43980936056464687</v>
      </c>
      <c r="Y240" s="6">
        <f t="shared" si="362"/>
        <v>5.7664112749503497E-2</v>
      </c>
      <c r="Z240" s="14">
        <f t="shared" si="363"/>
        <v>0.4533659297594817</v>
      </c>
      <c r="AA240" s="6">
        <f t="shared" si="364"/>
        <v>5.8349187164173658E-2</v>
      </c>
      <c r="AB240" s="14">
        <f t="shared" si="365"/>
        <v>0.46973813806082698</v>
      </c>
      <c r="AC240" s="6">
        <f t="shared" si="366"/>
        <v>5.930777545109002E-2</v>
      </c>
      <c r="AD240" s="14">
        <f t="shared" si="367"/>
        <v>0.48969010823531972</v>
      </c>
      <c r="AE240" s="6">
        <f t="shared" si="368"/>
        <v>6.1072866709874024E-2</v>
      </c>
      <c r="AF240" s="14">
        <f t="shared" si="369"/>
        <v>0.51433309688398454</v>
      </c>
      <c r="AG240" s="6">
        <f t="shared" si="370"/>
        <v>6.2851670366319667E-2</v>
      </c>
      <c r="AH240" s="14">
        <f t="shared" si="371"/>
        <v>0.54535461196381152</v>
      </c>
      <c r="AI240" s="6">
        <f t="shared" si="372"/>
        <v>6.5306365959912571E-2</v>
      </c>
      <c r="AJ240" s="14">
        <f t="shared" si="373"/>
        <v>0.58544768418876059</v>
      </c>
      <c r="AK240">
        <f t="shared" si="374"/>
        <v>7.5638268135232195E-2</v>
      </c>
      <c r="AL240" s="14">
        <f t="shared" si="375"/>
        <v>0.63922383224306656</v>
      </c>
      <c r="AM240">
        <f t="shared" si="376"/>
        <v>8.2545395798015814E-2</v>
      </c>
      <c r="AN240" s="14">
        <f t="shared" si="377"/>
        <v>0.71475470777604366</v>
      </c>
      <c r="AO240">
        <f t="shared" si="378"/>
        <v>9.2695019080906021E-2</v>
      </c>
      <c r="AP240" s="14">
        <f t="shared" si="379"/>
        <v>0.82416134155570586</v>
      </c>
      <c r="AQ240">
        <f t="shared" si="380"/>
        <v>0.10952312013706077</v>
      </c>
    </row>
    <row r="241" spans="1:43" x14ac:dyDescent="0.25">
      <c r="A241" s="139">
        <v>0.25</v>
      </c>
      <c r="B241" s="129">
        <f>'Sub C_D_0'!AY225</f>
        <v>4.3869483576478623E-2</v>
      </c>
      <c r="C241" s="129">
        <f>'C_L vs. α'!X496</f>
        <v>0.11233078839786849</v>
      </c>
      <c r="D241" s="247">
        <f>'C_L vs. α'!Z496</f>
        <v>0.39285856093509275</v>
      </c>
      <c r="E241" s="144">
        <v>4</v>
      </c>
      <c r="F241" s="14">
        <f t="shared" si="343"/>
        <v>0.39562334630613571</v>
      </c>
      <c r="G241" s="6">
        <f t="shared" si="344"/>
        <v>6.3315275214741853E-2</v>
      </c>
      <c r="H241" s="14">
        <f t="shared" si="345"/>
        <v>0.39695257555331842</v>
      </c>
      <c r="I241" s="6">
        <f t="shared" si="346"/>
        <v>6.018115648901734E-2</v>
      </c>
      <c r="J241" s="14">
        <f t="shared" si="347"/>
        <v>0.39918109749218</v>
      </c>
      <c r="K241" s="6">
        <f t="shared" si="348"/>
        <v>5.8659635443150011E-2</v>
      </c>
      <c r="L241" s="14">
        <f t="shared" si="349"/>
        <v>0.40235810122091969</v>
      </c>
      <c r="M241" s="6">
        <f t="shared" si="350"/>
        <v>5.7769882755452535E-2</v>
      </c>
      <c r="N241" s="14">
        <f t="shared" si="351"/>
        <v>0.40655252227690253</v>
      </c>
      <c r="O241" s="6">
        <f t="shared" si="352"/>
        <v>5.7239404956199877E-2</v>
      </c>
      <c r="P241" s="14">
        <f t="shared" si="353"/>
        <v>0.41184921867549629</v>
      </c>
      <c r="Q241" s="6">
        <f t="shared" si="354"/>
        <v>5.7418299174800479E-2</v>
      </c>
      <c r="R241" s="14">
        <f t="shared" si="355"/>
        <v>0.41839441283399076</v>
      </c>
      <c r="S241" s="6">
        <f t="shared" si="356"/>
        <v>5.7332982501337969E-2</v>
      </c>
      <c r="T241" s="14">
        <f t="shared" si="357"/>
        <v>0.42634578552978158</v>
      </c>
      <c r="U241" s="6">
        <f t="shared" si="358"/>
        <v>5.7434901803447819E-2</v>
      </c>
      <c r="V241" s="14">
        <f t="shared" si="359"/>
        <v>0.43592568856193631</v>
      </c>
      <c r="W241" s="6">
        <f t="shared" si="360"/>
        <v>5.7723617807670172E-2</v>
      </c>
      <c r="X241" s="14">
        <f t="shared" si="361"/>
        <v>0.44743087430973993</v>
      </c>
      <c r="Y241" s="6">
        <f t="shared" si="362"/>
        <v>5.8213879229501386E-2</v>
      </c>
      <c r="Z241" s="14">
        <f t="shared" si="363"/>
        <v>0.46126260223511717</v>
      </c>
      <c r="AA241" s="6">
        <f t="shared" si="364"/>
        <v>5.8936423200638917E-2</v>
      </c>
      <c r="AB241" s="14">
        <f t="shared" si="365"/>
        <v>0.47797378149814512</v>
      </c>
      <c r="AC241" s="6">
        <f t="shared" si="366"/>
        <v>5.9942421587286548E-2</v>
      </c>
      <c r="AD241" s="14">
        <f t="shared" si="367"/>
        <v>0.49834911668439619</v>
      </c>
      <c r="AE241" s="6">
        <f t="shared" si="368"/>
        <v>6.1768598260269612E-2</v>
      </c>
      <c r="AF241" s="14">
        <f t="shared" si="369"/>
        <v>0.52352723144370739</v>
      </c>
      <c r="AG241" s="6">
        <f t="shared" si="370"/>
        <v>6.3627738334838937E-2</v>
      </c>
      <c r="AH241" s="14">
        <f t="shared" si="371"/>
        <v>0.55523537928269173</v>
      </c>
      <c r="AI241" s="6">
        <f t="shared" si="372"/>
        <v>6.6190925766241526E-2</v>
      </c>
      <c r="AJ241" s="14">
        <f t="shared" si="373"/>
        <v>0.5962221596929681</v>
      </c>
      <c r="AK241">
        <f t="shared" si="374"/>
        <v>7.6922576281430941E-2</v>
      </c>
      <c r="AL241" s="14">
        <f t="shared" si="375"/>
        <v>0.65119263225679724</v>
      </c>
      <c r="AM241">
        <f t="shared" si="376"/>
        <v>8.4103359921647761E-2</v>
      </c>
      <c r="AN241" s="14">
        <f t="shared" si="377"/>
        <v>0.7280746964771615</v>
      </c>
      <c r="AO241">
        <f t="shared" si="378"/>
        <v>9.4633652912792215E-2</v>
      </c>
      <c r="AP241" s="14">
        <f t="shared" si="379"/>
        <v>0.8366173898004019</v>
      </c>
      <c r="AQ241">
        <f t="shared" si="380"/>
        <v>0.11160986331670289</v>
      </c>
    </row>
    <row r="242" spans="1:43" x14ac:dyDescent="0.25">
      <c r="A242" s="129">
        <v>0.3</v>
      </c>
      <c r="B242" s="129">
        <f>'Sub C_D_0'!AY226</f>
        <v>4.3697715163903736E-2</v>
      </c>
      <c r="C242" s="129">
        <f>'C_L vs. α'!X497</f>
        <v>0.11506256822064728</v>
      </c>
      <c r="D242" s="247">
        <f>'C_L vs. α'!Z497</f>
        <v>0.39791683239406395</v>
      </c>
      <c r="E242" s="144">
        <v>6</v>
      </c>
      <c r="F242" s="14">
        <f t="shared" si="343"/>
        <v>0.40420347702704473</v>
      </c>
      <c r="G242" s="6">
        <f t="shared" si="344"/>
        <v>6.3875633555359468E-2</v>
      </c>
      <c r="H242" s="14">
        <f t="shared" si="345"/>
        <v>0.40556237312002053</v>
      </c>
      <c r="I242" s="6">
        <f t="shared" si="346"/>
        <v>6.0745349632225533E-2</v>
      </c>
      <c r="J242" s="14">
        <f t="shared" si="347"/>
        <v>0.40783452042485613</v>
      </c>
      <c r="K242" s="6">
        <f t="shared" si="348"/>
        <v>5.9229874786308125E-2</v>
      </c>
      <c r="L242" s="14">
        <f t="shared" si="349"/>
        <v>0.4110715211970789</v>
      </c>
      <c r="M242" s="6">
        <f t="shared" si="350"/>
        <v>5.8348647883969332E-2</v>
      </c>
      <c r="N242" s="14">
        <f t="shared" si="351"/>
        <v>0.41534434434090578</v>
      </c>
      <c r="O242" s="6">
        <f t="shared" si="352"/>
        <v>5.7829467082435033E-2</v>
      </c>
      <c r="P242" s="14">
        <f t="shared" si="353"/>
        <v>0.42073641071534856</v>
      </c>
      <c r="Q242" s="6">
        <f t="shared" si="354"/>
        <v>5.8022529223418086E-2</v>
      </c>
      <c r="R242" s="14">
        <f t="shared" si="355"/>
        <v>0.4274048956193745</v>
      </c>
      <c r="S242" s="6">
        <f t="shared" si="356"/>
        <v>5.7955334964603436E-2</v>
      </c>
      <c r="T242" s="14">
        <f t="shared" si="357"/>
        <v>0.43550747279357144</v>
      </c>
      <c r="U242" s="6">
        <f t="shared" si="358"/>
        <v>5.8079731434332933E-2</v>
      </c>
      <c r="V242" s="14">
        <f t="shared" si="359"/>
        <v>0.44527184047044294</v>
      </c>
      <c r="W242" s="6">
        <f t="shared" si="360"/>
        <v>5.8396224546762028E-2</v>
      </c>
      <c r="X242" s="14">
        <f t="shared" si="361"/>
        <v>0.45700193954146789</v>
      </c>
      <c r="Y242" s="6">
        <f t="shared" si="362"/>
        <v>5.8920872545905972E-2</v>
      </c>
      <c r="Z242" s="14">
        <f t="shared" si="363"/>
        <v>0.47110882619738753</v>
      </c>
      <c r="AA242" s="6">
        <f t="shared" si="364"/>
        <v>5.968626027871151E-2</v>
      </c>
      <c r="AB242" s="14">
        <f t="shared" si="365"/>
        <v>0.48815897642209816</v>
      </c>
      <c r="AC242" s="6">
        <f t="shared" si="366"/>
        <v>6.0746227787925842E-2</v>
      </c>
      <c r="AD242" s="14">
        <f t="shared" si="367"/>
        <v>0.50895767662010749</v>
      </c>
      <c r="AE242" s="6">
        <f t="shared" si="368"/>
        <v>6.2641590472558795E-2</v>
      </c>
      <c r="AF242" s="14">
        <f t="shared" si="369"/>
        <v>0.53467091749006523</v>
      </c>
      <c r="AG242" s="6">
        <f t="shared" si="370"/>
        <v>6.4591227840650065E-2</v>
      </c>
      <c r="AH242" s="14">
        <f t="shared" si="371"/>
        <v>0.56706569808820673</v>
      </c>
      <c r="AI242" s="6">
        <f t="shared" si="372"/>
        <v>6.7275925290776181E-2</v>
      </c>
      <c r="AJ242" s="14">
        <f t="shared" si="373"/>
        <v>0.60894618668381051</v>
      </c>
      <c r="AK242">
        <f t="shared" si="374"/>
        <v>7.8469429996640361E-2</v>
      </c>
      <c r="AL242" s="14">
        <f t="shared" si="375"/>
        <v>0.66511098375716293</v>
      </c>
      <c r="AM242">
        <f t="shared" si="376"/>
        <v>8.5951440151502662E-2</v>
      </c>
      <c r="AN242" s="14">
        <f t="shared" si="377"/>
        <v>0.74334423666491423</v>
      </c>
      <c r="AO242">
        <f t="shared" si="378"/>
        <v>9.6900066921303721E-2</v>
      </c>
      <c r="AP242" s="14">
        <f t="shared" si="379"/>
        <v>0.85102298953173272</v>
      </c>
      <c r="AQ242">
        <f t="shared" si="380"/>
        <v>0.11406224575838764</v>
      </c>
    </row>
    <row r="243" spans="1:43" x14ac:dyDescent="0.25">
      <c r="A243" s="139">
        <v>0.35</v>
      </c>
      <c r="B243" s="129">
        <f>'Sub C_D_0'!AY227</f>
        <v>4.3172804675772808E-2</v>
      </c>
      <c r="C243" s="129">
        <f>'C_L vs. α'!X498</f>
        <v>0.1185878928284851</v>
      </c>
      <c r="D243" s="247">
        <f>'C_L vs. α'!Z498</f>
        <v>0.40415379968872978</v>
      </c>
      <c r="E243" s="144">
        <v>8</v>
      </c>
      <c r="F243" s="14">
        <f t="shared" si="343"/>
        <v>0.4147331592345887</v>
      </c>
      <c r="G243" s="6">
        <f t="shared" si="344"/>
        <v>6.458361261705596E-2</v>
      </c>
      <c r="H243" s="14">
        <f t="shared" si="345"/>
        <v>0.41612172217335763</v>
      </c>
      <c r="I243" s="6">
        <f t="shared" si="346"/>
        <v>6.1457713496585784E-2</v>
      </c>
      <c r="J243" s="14">
        <f t="shared" si="347"/>
        <v>0.41843749484416726</v>
      </c>
      <c r="K243" s="6">
        <f t="shared" si="348"/>
        <v>5.9949180638905537E-2</v>
      </c>
      <c r="L243" s="14">
        <f t="shared" si="349"/>
        <v>0.42173449265987317</v>
      </c>
      <c r="M243" s="6">
        <f t="shared" si="350"/>
        <v>5.9077748104202452E-2</v>
      </c>
      <c r="N243" s="14">
        <f t="shared" si="351"/>
        <v>0.42608571789154404</v>
      </c>
      <c r="O243" s="6">
        <f t="shared" si="352"/>
        <v>5.8571537732437881E-2</v>
      </c>
      <c r="P243" s="14">
        <f t="shared" si="353"/>
        <v>0.43157315424183584</v>
      </c>
      <c r="Q243" s="6">
        <f t="shared" si="354"/>
        <v>5.8780868074348736E-2</v>
      </c>
      <c r="R243" s="14">
        <f t="shared" si="355"/>
        <v>0.43836492989139325</v>
      </c>
      <c r="S243" s="6">
        <f t="shared" si="356"/>
        <v>5.8734421544006286E-2</v>
      </c>
      <c r="T243" s="14">
        <f t="shared" si="357"/>
        <v>0.44661871154399629</v>
      </c>
      <c r="U243" s="6">
        <f t="shared" si="358"/>
        <v>5.8884499386847845E-2</v>
      </c>
      <c r="V243" s="14">
        <f t="shared" si="359"/>
        <v>0.45656754386558457</v>
      </c>
      <c r="W243" s="6">
        <f t="shared" si="360"/>
        <v>5.9232653124554085E-2</v>
      </c>
      <c r="X243" s="14">
        <f t="shared" si="361"/>
        <v>0.4685225562598308</v>
      </c>
      <c r="Y243" s="6">
        <f t="shared" si="362"/>
        <v>5.9796386058974867E-2</v>
      </c>
      <c r="Z243" s="14">
        <f t="shared" si="363"/>
        <v>0.48290460164629284</v>
      </c>
      <c r="AA243" s="6">
        <f t="shared" si="364"/>
        <v>6.0610316431671009E-2</v>
      </c>
      <c r="AB243" s="14">
        <f t="shared" si="365"/>
        <v>0.50029372283268625</v>
      </c>
      <c r="AC243" s="6">
        <f t="shared" si="366"/>
        <v>6.1731212054430482E-2</v>
      </c>
      <c r="AD243" s="14">
        <f t="shared" si="367"/>
        <v>0.5215157880424538</v>
      </c>
      <c r="AE243" s="6">
        <f t="shared" si="368"/>
        <v>6.370436089690637E-2</v>
      </c>
      <c r="AF243" s="14">
        <f t="shared" si="369"/>
        <v>0.54776415502305809</v>
      </c>
      <c r="AG243" s="6">
        <f t="shared" si="370"/>
        <v>6.5755287854956559E-2</v>
      </c>
      <c r="AH243" s="14">
        <f t="shared" si="371"/>
        <v>0.58084556838035672</v>
      </c>
      <c r="AI243" s="6">
        <f t="shared" si="372"/>
        <v>6.8575323695741319E-2</v>
      </c>
      <c r="AJ243" s="14">
        <f t="shared" si="373"/>
        <v>0.62361976516128792</v>
      </c>
      <c r="AK243">
        <f t="shared" si="374"/>
        <v>8.0293842972362556E-2</v>
      </c>
      <c r="AL243" s="14">
        <f t="shared" si="375"/>
        <v>0.68097888674416351</v>
      </c>
      <c r="AM243">
        <f t="shared" si="376"/>
        <v>8.8106059420021143E-2</v>
      </c>
      <c r="AN243" s="14">
        <f t="shared" si="377"/>
        <v>0.76056332833930196</v>
      </c>
      <c r="AO243">
        <f t="shared" si="378"/>
        <v>9.9512278371408802E-2</v>
      </c>
      <c r="AP243" s="14">
        <f t="shared" si="379"/>
        <v>0.86737814074969855</v>
      </c>
      <c r="AQ243">
        <f t="shared" si="380"/>
        <v>0.11689726532218118</v>
      </c>
    </row>
    <row r="244" spans="1:43" x14ac:dyDescent="0.25">
      <c r="A244" s="129">
        <v>0.4</v>
      </c>
      <c r="B244" s="129">
        <f>'Sub C_D_0'!AY228</f>
        <v>4.2731360436352242E-2</v>
      </c>
      <c r="C244" s="129">
        <f>'C_L vs. α'!X499</f>
        <v>0.1229114965628397</v>
      </c>
      <c r="D244" s="247">
        <f>'C_L vs. α'!Z499</f>
        <v>0.41172716118850533</v>
      </c>
      <c r="E244" s="144">
        <v>10</v>
      </c>
      <c r="F244" s="14">
        <f t="shared" si="343"/>
        <v>0.42721239292876767</v>
      </c>
      <c r="G244" s="6">
        <f t="shared" si="344"/>
        <v>6.5451636878370495E-2</v>
      </c>
      <c r="H244" s="14">
        <f t="shared" si="345"/>
        <v>0.42863062271332963</v>
      </c>
      <c r="I244" s="6">
        <f t="shared" si="346"/>
        <v>6.2330707565975578E-2</v>
      </c>
      <c r="J244" s="14">
        <f t="shared" si="347"/>
        <v>0.43099002075011328</v>
      </c>
      <c r="K244" s="6">
        <f t="shared" si="348"/>
        <v>6.0830063960487554E-2</v>
      </c>
      <c r="L244" s="14">
        <f t="shared" si="349"/>
        <v>0.43434701560930233</v>
      </c>
      <c r="M244" s="6">
        <f t="shared" si="350"/>
        <v>5.9969765169094774E-2</v>
      </c>
      <c r="N244" s="14">
        <f t="shared" si="351"/>
        <v>0.43877664292881724</v>
      </c>
      <c r="O244" s="6">
        <f t="shared" si="352"/>
        <v>5.9478291169546109E-2</v>
      </c>
      <c r="P244" s="14">
        <f t="shared" si="353"/>
        <v>0.44435944925495807</v>
      </c>
      <c r="Q244" s="6">
        <f t="shared" si="354"/>
        <v>5.9706102522552137E-2</v>
      </c>
      <c r="R244" s="14">
        <f t="shared" si="355"/>
        <v>0.45127451565004684</v>
      </c>
      <c r="S244" s="6">
        <f t="shared" si="356"/>
        <v>5.9683174511187417E-2</v>
      </c>
      <c r="T244" s="14">
        <f t="shared" si="357"/>
        <v>0.45967950178105599</v>
      </c>
      <c r="U244" s="6">
        <f t="shared" si="358"/>
        <v>5.9862316346070803E-2</v>
      </c>
      <c r="V244" s="14">
        <f t="shared" si="359"/>
        <v>0.46981279874736115</v>
      </c>
      <c r="W244" s="6">
        <f t="shared" si="360"/>
        <v>6.0246231884832135E-2</v>
      </c>
      <c r="X244" s="14">
        <f t="shared" si="361"/>
        <v>0.48199272446482866</v>
      </c>
      <c r="Y244" s="6">
        <f t="shared" si="362"/>
        <v>6.0854013498542796E-2</v>
      </c>
      <c r="Z244" s="14">
        <f t="shared" si="363"/>
        <v>0.4966499285818331</v>
      </c>
      <c r="AA244" s="6">
        <f t="shared" si="364"/>
        <v>6.1722510062374093E-2</v>
      </c>
      <c r="AB244" s="14">
        <f t="shared" si="365"/>
        <v>0.51437802072990912</v>
      </c>
      <c r="AC244" s="6">
        <f t="shared" si="366"/>
        <v>6.2911692757800078E-2</v>
      </c>
      <c r="AD244" s="14">
        <f t="shared" si="367"/>
        <v>0.536023450951435</v>
      </c>
      <c r="AE244" s="6">
        <f t="shared" si="368"/>
        <v>6.4971727453054212E-2</v>
      </c>
      <c r="AF244" s="14">
        <f t="shared" si="369"/>
        <v>0.56280694404268572</v>
      </c>
      <c r="AG244" s="6">
        <f t="shared" si="370"/>
        <v>6.7135367718539105E-2</v>
      </c>
      <c r="AH244" s="14">
        <f t="shared" si="371"/>
        <v>0.59657499015914173</v>
      </c>
      <c r="AI244" s="6">
        <f t="shared" si="372"/>
        <v>7.0105380512938728E-2</v>
      </c>
      <c r="AJ244" s="14">
        <f t="shared" si="373"/>
        <v>0.64024289512540022</v>
      </c>
      <c r="AK244">
        <f t="shared" si="374"/>
        <v>8.241312926967663E-2</v>
      </c>
      <c r="AL244" s="14">
        <f t="shared" si="375"/>
        <v>0.69879634121779899</v>
      </c>
      <c r="AM244">
        <f t="shared" si="376"/>
        <v>9.058594102922099E-2</v>
      </c>
      <c r="AN244" s="14">
        <f t="shared" si="377"/>
        <v>0.77973197150032458</v>
      </c>
      <c r="AO244">
        <f t="shared" si="378"/>
        <v>0.10249060489765277</v>
      </c>
      <c r="AP244" s="14">
        <f t="shared" si="379"/>
        <v>0.88568284345429937</v>
      </c>
      <c r="AQ244">
        <f t="shared" si="380"/>
        <v>0.12013422023772681</v>
      </c>
    </row>
    <row r="245" spans="1:43" x14ac:dyDescent="0.25">
      <c r="A245" s="139">
        <v>0.45</v>
      </c>
      <c r="B245" s="129">
        <f>'Sub C_D_0'!AY229</f>
        <v>4.2351836206011878E-2</v>
      </c>
      <c r="C245" s="129">
        <f>'C_L vs. α'!X500</f>
        <v>0.12818588349115431</v>
      </c>
      <c r="D245" s="247">
        <f>'C_L vs. α'!Z500</f>
        <v>0.42084590260886801</v>
      </c>
      <c r="E245" s="144">
        <v>12</v>
      </c>
      <c r="F245" s="14">
        <f t="shared" si="343"/>
        <v>0.44164117810958148</v>
      </c>
      <c r="G245" s="6">
        <f t="shared" si="344"/>
        <v>6.6494431187419226E-2</v>
      </c>
      <c r="H245" s="14">
        <f t="shared" si="345"/>
        <v>0.44308907473993669</v>
      </c>
      <c r="I245" s="6">
        <f t="shared" si="346"/>
        <v>6.3379091693849532E-2</v>
      </c>
      <c r="J245" s="14">
        <f t="shared" si="347"/>
        <v>0.44549209814269425</v>
      </c>
      <c r="K245" s="6">
        <f t="shared" si="348"/>
        <v>6.1887336080176582E-2</v>
      </c>
      <c r="L245" s="14">
        <f t="shared" si="349"/>
        <v>0.44890909004536644</v>
      </c>
      <c r="M245" s="6">
        <f t="shared" si="350"/>
        <v>6.1039581201166315E-2</v>
      </c>
      <c r="N245" s="14">
        <f t="shared" si="351"/>
        <v>0.45341711945272534</v>
      </c>
      <c r="O245" s="6">
        <f t="shared" si="352"/>
        <v>6.056470202667448E-2</v>
      </c>
      <c r="P245" s="14">
        <f t="shared" si="353"/>
        <v>0.45909529575471519</v>
      </c>
      <c r="Q245" s="6">
        <f t="shared" si="354"/>
        <v>6.0813319732565083E-2</v>
      </c>
      <c r="R245" s="14">
        <f t="shared" si="355"/>
        <v>0.46613365289533548</v>
      </c>
      <c r="S245" s="6">
        <f t="shared" si="356"/>
        <v>6.0816826507364898E-2</v>
      </c>
      <c r="T245" s="14">
        <f t="shared" si="357"/>
        <v>0.47468984350475074</v>
      </c>
      <c r="U245" s="6">
        <f t="shared" si="358"/>
        <v>6.1028593366657238E-2</v>
      </c>
      <c r="V245" s="14">
        <f t="shared" si="359"/>
        <v>0.48500760511577268</v>
      </c>
      <c r="W245" s="6">
        <f t="shared" si="360"/>
        <v>6.1452589540959043E-2</v>
      </c>
      <c r="X245" s="14">
        <f t="shared" si="361"/>
        <v>0.49741244415646146</v>
      </c>
      <c r="Y245" s="6">
        <f t="shared" si="362"/>
        <v>6.2109648964021553E-2</v>
      </c>
      <c r="Z245" s="14">
        <f t="shared" si="363"/>
        <v>0.51234480700400831</v>
      </c>
      <c r="AA245" s="6">
        <f t="shared" si="364"/>
        <v>6.3039059943254483E-2</v>
      </c>
      <c r="AB245" s="14">
        <f t="shared" si="365"/>
        <v>0.530411870113767</v>
      </c>
      <c r="AC245" s="6">
        <f t="shared" si="366"/>
        <v>6.4304288638611415E-2</v>
      </c>
      <c r="AD245" s="14">
        <f t="shared" si="367"/>
        <v>0.55248066534705131</v>
      </c>
      <c r="AE245" s="6">
        <f t="shared" si="368"/>
        <v>6.6460808430321289E-2</v>
      </c>
      <c r="AF245" s="14">
        <f t="shared" si="369"/>
        <v>0.57979928454894847</v>
      </c>
      <c r="AG245" s="6">
        <f t="shared" si="370"/>
        <v>6.8749217141755414E-2</v>
      </c>
      <c r="AH245" s="14">
        <f t="shared" si="371"/>
        <v>0.61425396342456162</v>
      </c>
      <c r="AI245" s="6">
        <f t="shared" si="372"/>
        <v>7.1884655643747325E-2</v>
      </c>
      <c r="AJ245" s="14">
        <f t="shared" si="373"/>
        <v>0.65881557657614764</v>
      </c>
      <c r="AK245">
        <f t="shared" si="374"/>
        <v>8.4846903319238873E-2</v>
      </c>
      <c r="AL245" s="14">
        <f t="shared" si="375"/>
        <v>0.71856334717806958</v>
      </c>
      <c r="AM245">
        <f t="shared" si="376"/>
        <v>9.3412108650697032E-2</v>
      </c>
      <c r="AN245" s="14">
        <f t="shared" si="377"/>
        <v>0.80085016614798221</v>
      </c>
      <c r="AO245">
        <f t="shared" si="378"/>
        <v>0.10585766450415811</v>
      </c>
      <c r="AP245" s="14">
        <f t="shared" si="379"/>
        <v>0.90593709764553509</v>
      </c>
      <c r="AQ245">
        <f t="shared" si="380"/>
        <v>0.12379470910424484</v>
      </c>
    </row>
    <row r="246" spans="1:43" x14ac:dyDescent="0.25">
      <c r="A246" s="129">
        <v>0.5</v>
      </c>
      <c r="B246" s="129">
        <f>'Sub C_D_0'!AY230</f>
        <v>4.201993077640509E-2</v>
      </c>
      <c r="C246" s="129">
        <f>'C_L vs. α'!X501</f>
        <v>0.13461595622817585</v>
      </c>
      <c r="D246" s="247">
        <f>'C_L vs. α'!Z501</f>
        <v>0.43178880504861844</v>
      </c>
      <c r="E246" s="144">
        <v>14</v>
      </c>
      <c r="F246" s="14">
        <f t="shared" si="343"/>
        <v>0.45801951477703023</v>
      </c>
      <c r="G246" s="6">
        <f t="shared" si="344"/>
        <v>6.7729020761895492E-2</v>
      </c>
      <c r="H246" s="14">
        <f t="shared" si="345"/>
        <v>0.45949707825317859</v>
      </c>
      <c r="I246" s="6">
        <f t="shared" si="346"/>
        <v>6.4619926103239342E-2</v>
      </c>
      <c r="J246" s="14">
        <f t="shared" si="347"/>
        <v>0.46194372702191017</v>
      </c>
      <c r="K246" s="6">
        <f t="shared" si="348"/>
        <v>6.3138108696672093E-2</v>
      </c>
      <c r="L246" s="14">
        <f t="shared" si="349"/>
        <v>0.4654207159680655</v>
      </c>
      <c r="M246" s="6">
        <f t="shared" si="350"/>
        <v>6.2304378692514158E-2</v>
      </c>
      <c r="N246" s="14">
        <f t="shared" si="351"/>
        <v>0.47000714746326833</v>
      </c>
      <c r="O246" s="6">
        <f t="shared" si="352"/>
        <v>6.1848045306314846E-2</v>
      </c>
      <c r="P246" s="14">
        <f t="shared" si="353"/>
        <v>0.47578069374110726</v>
      </c>
      <c r="Q246" s="6">
        <f t="shared" si="354"/>
        <v>6.2119907238501443E-2</v>
      </c>
      <c r="R246" s="14">
        <f t="shared" si="355"/>
        <v>0.48294234162725902</v>
      </c>
      <c r="S246" s="6">
        <f t="shared" si="356"/>
        <v>6.2152910543333786E-2</v>
      </c>
      <c r="T246" s="14">
        <f t="shared" si="357"/>
        <v>0.49164973671508039</v>
      </c>
      <c r="U246" s="6">
        <f t="shared" si="358"/>
        <v>6.2401041872839604E-2</v>
      </c>
      <c r="V246" s="14">
        <f t="shared" si="359"/>
        <v>0.5021519629708191</v>
      </c>
      <c r="W246" s="6">
        <f t="shared" si="360"/>
        <v>6.2869655175874756E-2</v>
      </c>
      <c r="X246" s="14">
        <f t="shared" si="361"/>
        <v>0.51478171533472916</v>
      </c>
      <c r="Y246" s="6">
        <f t="shared" si="362"/>
        <v>6.3581486924399994E-2</v>
      </c>
      <c r="Z246" s="14">
        <f t="shared" si="363"/>
        <v>0.52998923691281841</v>
      </c>
      <c r="AA246" s="6">
        <f t="shared" si="364"/>
        <v>6.4578485216323006E-2</v>
      </c>
      <c r="AB246" s="14">
        <f t="shared" si="365"/>
        <v>0.54839527098425978</v>
      </c>
      <c r="AC246" s="6">
        <f t="shared" si="366"/>
        <v>6.5927918807018246E-2</v>
      </c>
      <c r="AD246" s="14">
        <f t="shared" si="367"/>
        <v>0.57088743122930241</v>
      </c>
      <c r="AE246" s="6">
        <f t="shared" si="368"/>
        <v>6.8191022487603614E-2</v>
      </c>
      <c r="AF246" s="14">
        <f t="shared" si="369"/>
        <v>0.598741176541846</v>
      </c>
      <c r="AG246" s="6">
        <f t="shared" si="370"/>
        <v>7.0616886204540305E-2</v>
      </c>
      <c r="AH246" s="14">
        <f t="shared" si="371"/>
        <v>0.63388248817661641</v>
      </c>
      <c r="AI246" s="6">
        <f t="shared" si="372"/>
        <v>7.3934009359123087E-2</v>
      </c>
      <c r="AJ246" s="14">
        <f t="shared" si="373"/>
        <v>0.67933780951352984</v>
      </c>
      <c r="AK246">
        <f t="shared" si="374"/>
        <v>8.7617079921282565E-2</v>
      </c>
      <c r="AL246" s="14">
        <f t="shared" si="375"/>
        <v>0.74027990462497495</v>
      </c>
      <c r="AM246">
        <f t="shared" si="376"/>
        <v>9.6607886325621187E-2</v>
      </c>
      <c r="AN246" s="14">
        <f t="shared" si="377"/>
        <v>0.82391791228227484</v>
      </c>
      <c r="AO246">
        <f t="shared" si="378"/>
        <v>0.10963837556462433</v>
      </c>
      <c r="AP246" s="14">
        <f t="shared" si="379"/>
        <v>0.92814090332340582</v>
      </c>
      <c r="AQ246">
        <f t="shared" si="380"/>
        <v>0.12790263089053269</v>
      </c>
    </row>
    <row r="247" spans="1:43" x14ac:dyDescent="0.25">
      <c r="A247" s="139">
        <v>0.55000000000000004</v>
      </c>
      <c r="B247" s="129">
        <f>'Sub C_D_0'!AY231</f>
        <v>4.1725693560804827E-2</v>
      </c>
      <c r="C247" s="129">
        <f>'C_L vs. α'!X502</f>
        <v>0.1424807203828512</v>
      </c>
      <c r="D247" s="247">
        <f>'C_L vs. α'!Z502</f>
        <v>0.44493263614763967</v>
      </c>
      <c r="E247" s="144">
        <v>16</v>
      </c>
      <c r="F247" s="14">
        <f t="shared" si="343"/>
        <v>0.47634740293111394</v>
      </c>
      <c r="G247" s="6">
        <f t="shared" si="344"/>
        <v>6.917473118906961E-2</v>
      </c>
      <c r="H247" s="14">
        <f t="shared" si="345"/>
        <v>0.47785463325305538</v>
      </c>
      <c r="I247" s="6">
        <f t="shared" si="346"/>
        <v>6.6072571386753737E-2</v>
      </c>
      <c r="J247" s="14">
        <f t="shared" si="347"/>
        <v>0.48034490738776098</v>
      </c>
      <c r="K247" s="6">
        <f t="shared" si="348"/>
        <v>6.4601793878250657E-2</v>
      </c>
      <c r="L247" s="14">
        <f t="shared" si="349"/>
        <v>0.4838818933773994</v>
      </c>
      <c r="M247" s="6">
        <f t="shared" si="350"/>
        <v>6.3783640504812458E-2</v>
      </c>
      <c r="N247" s="14">
        <f t="shared" si="351"/>
        <v>0.48854672696044626</v>
      </c>
      <c r="O247" s="6">
        <f t="shared" si="352"/>
        <v>6.3347896380536173E-2</v>
      </c>
      <c r="P247" s="14">
        <f t="shared" si="353"/>
        <v>0.49441564321413423</v>
      </c>
      <c r="Q247" s="6">
        <f t="shared" si="354"/>
        <v>6.3645552944052192E-2</v>
      </c>
      <c r="R247" s="14">
        <f t="shared" si="355"/>
        <v>0.50170058184581745</v>
      </c>
      <c r="S247" s="6">
        <f>$B$243+$B$7*R247^2+$B$8*(R247-R$239)^2</f>
        <v>6.3711259999466308E-2</v>
      </c>
      <c r="T247" s="14">
        <f t="shared" si="357"/>
        <v>0.51055918141204493</v>
      </c>
      <c r="U247" s="6">
        <f t="shared" si="358"/>
        <v>6.3999673658427431E-2</v>
      </c>
      <c r="V247" s="14">
        <f t="shared" si="359"/>
        <v>0.52124587231250041</v>
      </c>
      <c r="W247" s="6">
        <f t="shared" si="360"/>
        <v>6.4517658242096293E-2</v>
      </c>
      <c r="X247" s="14">
        <f t="shared" si="361"/>
        <v>0.53410053799963186</v>
      </c>
      <c r="Y247" s="6">
        <f t="shared" si="362"/>
        <v>6.5290022218244134E-2</v>
      </c>
      <c r="Z247" s="14">
        <f t="shared" si="363"/>
        <v>0.54958321830826351</v>
      </c>
      <c r="AA247" s="6">
        <f t="shared" si="364"/>
        <v>6.6361605393167586E-2</v>
      </c>
      <c r="AB247" s="14">
        <f t="shared" si="365"/>
        <v>0.56832822334138755</v>
      </c>
      <c r="AC247" s="6">
        <f t="shared" si="366"/>
        <v>6.7803802742751523E-2</v>
      </c>
      <c r="AD247" s="14">
        <f t="shared" si="367"/>
        <v>0.5912437485981884</v>
      </c>
      <c r="AE247" s="6">
        <f t="shared" si="368"/>
        <v>7.0184088653374319E-2</v>
      </c>
      <c r="AF247" s="14">
        <f t="shared" si="369"/>
        <v>0.61963262002137853</v>
      </c>
      <c r="AG247" s="6">
        <f t="shared" si="370"/>
        <v>7.2760725356405667E-2</v>
      </c>
      <c r="AH247" s="14">
        <f t="shared" si="371"/>
        <v>0.6554605644153062</v>
      </c>
      <c r="AI247" s="6">
        <f t="shared" si="372"/>
        <v>7.6276602299599122E-2</v>
      </c>
      <c r="AJ247" s="14">
        <f t="shared" si="373"/>
        <v>0.70180959393754694</v>
      </c>
      <c r="AK247">
        <f t="shared" si="374"/>
        <v>9.0747874245618143E-2</v>
      </c>
      <c r="AL247" s="14">
        <f t="shared" si="375"/>
        <v>0.76394601355851532</v>
      </c>
      <c r="AM247">
        <f t="shared" si="376"/>
        <v>0.10019889846474248</v>
      </c>
      <c r="AN247" s="14">
        <f t="shared" si="377"/>
        <v>0.84893520990320226</v>
      </c>
      <c r="AO247">
        <f t="shared" si="378"/>
        <v>0.11385995682232798</v>
      </c>
      <c r="AP247" s="14">
        <f t="shared" si="379"/>
        <v>0.95229426048791133</v>
      </c>
      <c r="AQ247">
        <f t="shared" si="380"/>
        <v>0.13248418493496483</v>
      </c>
    </row>
    <row r="248" spans="1:43" x14ac:dyDescent="0.25">
      <c r="A248" s="129">
        <v>0.6</v>
      </c>
      <c r="B248" s="129">
        <f>'Sub C_D_0'!AY232</f>
        <v>4.1461937823940337E-2</v>
      </c>
      <c r="C248" s="129">
        <f>'C_L vs. α'!X503</f>
        <v>0.15216609475301043</v>
      </c>
      <c r="D248" s="247">
        <f>'C_L vs. α'!Z503</f>
        <v>0.46079638800646094</v>
      </c>
    </row>
    <row r="249" spans="1:43" x14ac:dyDescent="0.25">
      <c r="A249" s="139">
        <v>0.65</v>
      </c>
      <c r="B249" s="129">
        <f>'Sub C_D_0'!AY233</f>
        <v>4.167880002212819E-2</v>
      </c>
      <c r="C249" s="129">
        <f>'C_L vs. α'!X504</f>
        <v>0.16425425612326591</v>
      </c>
      <c r="D249" s="247">
        <f>'C_L vs. α'!Z504</f>
        <v>0.48011331066331625</v>
      </c>
    </row>
    <row r="250" spans="1:43" x14ac:dyDescent="0.25">
      <c r="A250" s="129">
        <v>0.7</v>
      </c>
      <c r="B250" s="129">
        <f>'Sub C_D_0'!AY234</f>
        <v>4.1456472309476244E-2</v>
      </c>
      <c r="C250" s="129">
        <f>'C_L vs. α'!X505</f>
        <v>0.17951981669565989</v>
      </c>
      <c r="D250" s="247">
        <f>'C_L vs. α'!Z505</f>
        <v>0.50395361014601125</v>
      </c>
    </row>
    <row r="251" spans="1:43" x14ac:dyDescent="0.25">
      <c r="A251" s="139">
        <v>0.75</v>
      </c>
      <c r="B251" s="129">
        <f>'Sub C_D_0'!AY235</f>
        <v>4.1252396464219215E-2</v>
      </c>
      <c r="C251" s="129">
        <f>'C_L vs. α'!X506</f>
        <v>0.19908175256385252</v>
      </c>
      <c r="D251" s="247">
        <f>'C_L vs. α'!Z506</f>
        <v>0.53394517608710246</v>
      </c>
    </row>
    <row r="252" spans="1:43" x14ac:dyDescent="0.25">
      <c r="A252" s="129">
        <v>0.8</v>
      </c>
      <c r="B252" s="129">
        <f>'Sub C_D_0'!AY236</f>
        <v>4.1063989197007211E-2</v>
      </c>
      <c r="C252" s="129">
        <f>'C_L vs. α'!X507</f>
        <v>0.22448553128454779</v>
      </c>
      <c r="D252" s="247">
        <f>'C_L vs. α'!Z507</f>
        <v>0.57269768603406035</v>
      </c>
    </row>
    <row r="253" spans="1:43" x14ac:dyDescent="0.25">
      <c r="A253" s="139">
        <v>0.85</v>
      </c>
      <c r="B253" s="129">
        <f>'Sub C_D_0'!AY237</f>
        <v>4.1327780306227108E-2</v>
      </c>
      <c r="C253" s="129">
        <f>'C_L vs. α'!X508</f>
        <v>0.25823364087638484</v>
      </c>
      <c r="D253" s="247">
        <f>'C_L vs. α'!Z508</f>
        <v>0.62468234732408157</v>
      </c>
    </row>
    <row r="254" spans="1:43" x14ac:dyDescent="0.25">
      <c r="A254" s="129">
        <v>0.9</v>
      </c>
      <c r="B254" s="129">
        <f>'Sub C_D_0'!AY238</f>
        <v>4.1161358146059632E-2</v>
      </c>
      <c r="C254" s="129">
        <f>'C_L vs. α'!X509</f>
        <v>0.29580004617636996</v>
      </c>
      <c r="D254" s="247">
        <f>'C_L vs. α'!Z509</f>
        <v>0.69818643982597794</v>
      </c>
    </row>
    <row r="255" spans="1:43" x14ac:dyDescent="0.25">
      <c r="A255" s="139">
        <v>0.95</v>
      </c>
      <c r="B255" s="129">
        <f>'Sub C_D_0'!AY239</f>
        <v>4.1005633218197848E-2</v>
      </c>
      <c r="C255" s="129">
        <f>'C_L vs. α'!X510</f>
        <v>0.26647948485822331</v>
      </c>
      <c r="D255" s="247">
        <f>'C_L vs. α'!Z510</f>
        <v>0.80888898429027301</v>
      </c>
    </row>
    <row r="257" spans="1:43" x14ac:dyDescent="0.25">
      <c r="A257" s="122" t="s">
        <v>537</v>
      </c>
      <c r="B257" s="122" t="s">
        <v>290</v>
      </c>
    </row>
    <row r="258" spans="1:43" x14ac:dyDescent="0.25">
      <c r="A258" s="122" t="s">
        <v>202</v>
      </c>
      <c r="B258" s="145">
        <v>45000</v>
      </c>
      <c r="C258" s="122" t="s">
        <v>538</v>
      </c>
      <c r="D258" s="122" t="s">
        <v>539</v>
      </c>
      <c r="F258" s="1" t="s">
        <v>536</v>
      </c>
      <c r="G258" s="140">
        <v>0.05</v>
      </c>
      <c r="H258" s="1" t="s">
        <v>536</v>
      </c>
      <c r="I258" s="140">
        <v>0.1</v>
      </c>
      <c r="J258" s="1" t="s">
        <v>536</v>
      </c>
      <c r="K258" s="140">
        <v>0.15</v>
      </c>
      <c r="L258" s="1" t="s">
        <v>536</v>
      </c>
      <c r="M258" s="140">
        <v>0.2</v>
      </c>
      <c r="N258" t="s">
        <v>536</v>
      </c>
      <c r="O258" s="141">
        <v>0.25</v>
      </c>
      <c r="P258" t="s">
        <v>536</v>
      </c>
      <c r="Q258" s="141">
        <v>0.3</v>
      </c>
      <c r="R258" t="s">
        <v>536</v>
      </c>
      <c r="S258" s="141">
        <v>0.35</v>
      </c>
      <c r="T258" t="s">
        <v>536</v>
      </c>
      <c r="U258" s="141">
        <v>0.4</v>
      </c>
      <c r="V258" t="s">
        <v>536</v>
      </c>
      <c r="W258" s="141">
        <v>0.45</v>
      </c>
      <c r="X258" t="s">
        <v>536</v>
      </c>
      <c r="Y258" s="141">
        <v>0.5</v>
      </c>
      <c r="Z258" t="s">
        <v>536</v>
      </c>
      <c r="AA258" s="141">
        <v>0.55000000000000004</v>
      </c>
      <c r="AB258" t="s">
        <v>536</v>
      </c>
      <c r="AC258" s="141">
        <v>0.6</v>
      </c>
      <c r="AD258" t="s">
        <v>536</v>
      </c>
      <c r="AE258" s="141">
        <v>0.65</v>
      </c>
      <c r="AF258" t="s">
        <v>536</v>
      </c>
      <c r="AG258" s="141">
        <v>0.7</v>
      </c>
      <c r="AH258" t="s">
        <v>536</v>
      </c>
      <c r="AI258" s="141">
        <v>0.75</v>
      </c>
      <c r="AJ258" t="s">
        <v>536</v>
      </c>
      <c r="AK258" s="141">
        <v>0.8</v>
      </c>
      <c r="AL258" t="s">
        <v>536</v>
      </c>
      <c r="AM258" s="141">
        <v>0.85</v>
      </c>
      <c r="AN258" t="s">
        <v>536</v>
      </c>
      <c r="AO258" s="141">
        <v>0.9</v>
      </c>
      <c r="AP258" t="s">
        <v>536</v>
      </c>
      <c r="AQ258" s="141">
        <v>0.95</v>
      </c>
    </row>
    <row r="259" spans="1:43" x14ac:dyDescent="0.25">
      <c r="A259" s="121" t="s">
        <v>182</v>
      </c>
      <c r="B259" s="121" t="s">
        <v>534</v>
      </c>
      <c r="C259" s="121" t="s">
        <v>535</v>
      </c>
      <c r="D259" s="248" t="s">
        <v>1126</v>
      </c>
      <c r="E259" s="121" t="s">
        <v>421</v>
      </c>
      <c r="F259" s="14" t="s">
        <v>244</v>
      </c>
      <c r="G259" s="6" t="s">
        <v>245</v>
      </c>
      <c r="H259" s="14" t="s">
        <v>244</v>
      </c>
      <c r="I259" s="6" t="s">
        <v>245</v>
      </c>
      <c r="J259" s="14" t="s">
        <v>244</v>
      </c>
      <c r="K259" s="6" t="s">
        <v>245</v>
      </c>
      <c r="L259" s="14" t="s">
        <v>244</v>
      </c>
      <c r="M259" s="6" t="s">
        <v>245</v>
      </c>
      <c r="N259" t="s">
        <v>244</v>
      </c>
      <c r="O259" t="s">
        <v>245</v>
      </c>
      <c r="P259" t="s">
        <v>244</v>
      </c>
      <c r="Q259" t="s">
        <v>245</v>
      </c>
      <c r="R259" t="s">
        <v>244</v>
      </c>
      <c r="S259" t="s">
        <v>245</v>
      </c>
      <c r="T259" t="s">
        <v>244</v>
      </c>
      <c r="U259" t="s">
        <v>245</v>
      </c>
      <c r="V259" t="s">
        <v>244</v>
      </c>
      <c r="W259" t="s">
        <v>245</v>
      </c>
      <c r="X259" t="s">
        <v>244</v>
      </c>
      <c r="Y259" t="s">
        <v>245</v>
      </c>
      <c r="Z259" t="s">
        <v>244</v>
      </c>
      <c r="AA259" t="s">
        <v>245</v>
      </c>
      <c r="AB259" t="s">
        <v>244</v>
      </c>
      <c r="AC259" t="s">
        <v>245</v>
      </c>
      <c r="AD259" t="s">
        <v>244</v>
      </c>
      <c r="AE259" t="s">
        <v>245</v>
      </c>
      <c r="AF259" t="s">
        <v>244</v>
      </c>
      <c r="AG259" t="s">
        <v>245</v>
      </c>
      <c r="AH259" t="s">
        <v>244</v>
      </c>
      <c r="AI259" t="s">
        <v>245</v>
      </c>
      <c r="AJ259" t="s">
        <v>244</v>
      </c>
      <c r="AK259" t="s">
        <v>245</v>
      </c>
      <c r="AL259" t="s">
        <v>244</v>
      </c>
      <c r="AM259" t="s">
        <v>245</v>
      </c>
      <c r="AN259" t="s">
        <v>244</v>
      </c>
      <c r="AO259" t="s">
        <v>245</v>
      </c>
      <c r="AP259" t="s">
        <v>244</v>
      </c>
      <c r="AQ259" t="s">
        <v>245</v>
      </c>
    </row>
    <row r="260" spans="1:43" x14ac:dyDescent="0.25">
      <c r="A260" s="129">
        <v>0</v>
      </c>
      <c r="B260" s="129" t="e">
        <f>'Sub C_D_0'!AY250</f>
        <v>#DIV/0!</v>
      </c>
      <c r="C260" s="129" t="e">
        <f>'C_L vs. α'!X516</f>
        <v>#NUM!</v>
      </c>
      <c r="D260" s="247">
        <f>'C_L vs. α'!Z516</f>
        <v>0.38204298311929219</v>
      </c>
      <c r="E260" s="144">
        <v>-6</v>
      </c>
      <c r="F260" s="14">
        <f>$D$19+$C$19*(RADIANS(E260-$B$12))+$E$10*RADIANS(E260)^2</f>
        <v>0.38196596500111457</v>
      </c>
      <c r="G260" s="6">
        <f>$B$261+$B$7*F260^2+$B$8*(F260-F$263)^2</f>
        <v>6.150698287801349E-2</v>
      </c>
      <c r="H260" s="14">
        <f>$D$20+$C$20*(RADIANS(E260-$B$12))+$E$10*RADIANS(E260)^2</f>
        <v>0.38314686001933163</v>
      </c>
      <c r="I260" s="6">
        <f>$B$262+$B$7*H260^2+$B$8*(H260-H$263)^2</f>
        <v>5.8497481920054217E-2</v>
      </c>
      <c r="J260" s="14">
        <f>$D$21+$C$21*(RADIANS(E260-$B$12))+$E$10*RADIANS(E260)^2</f>
        <v>0.38515725512832322</v>
      </c>
      <c r="K260" s="6">
        <f>$B$263+$B$7*J260^2+$B$8*(J260-J$263)^2</f>
        <v>5.7025750599597684E-2</v>
      </c>
      <c r="L260" s="14">
        <f>$D$22+$C$22*(RADIANS(E260-$B$12))+$E$10*RADIANS(E260)^2</f>
        <v>0.38803427363964721</v>
      </c>
      <c r="M260" s="6">
        <f>$B$264+$B$7*L260^2+$B$8*(L260-L$263)^2</f>
        <v>5.6154008009109933E-2</v>
      </c>
      <c r="N260" s="14">
        <f>$D$23+$C$23*(RADIANS(E260-$B$12))+$E$10*RADIANS(E260)^2</f>
        <v>0.39183668425641005</v>
      </c>
      <c r="O260" s="6">
        <f>$B$265+$B$7*N260^2+$B$8*(N260-N$263)^2</f>
        <v>5.5620819164244044E-2</v>
      </c>
      <c r="P260" s="14">
        <f>$D$24+$C$24*(RADIANS(E260-$B$12))+$E$10*RADIANS(E260)^2</f>
        <v>0.39665653077575869</v>
      </c>
      <c r="Q260" s="6">
        <f>$B$266+$B$7*P260^2+$B$8*(P260-P$263)^2</f>
        <v>5.576830434454344E-2</v>
      </c>
      <c r="R260" s="14">
        <f>$D$25+$C$25*(RADIANS(E260-$B$12))+$E$10*RADIANS(E260)^2</f>
        <v>0.40258527120659587</v>
      </c>
      <c r="S260" s="6">
        <f>$B$267+$B$7*R260^2+$B$8*(R260-R$263)^2</f>
        <v>5.5647033797938658E-2</v>
      </c>
      <c r="T260" s="14">
        <f>$D$26+$C$26*(RADIANS(E260-$B$12))+$E$10*RADIANS(E260)^2</f>
        <v>0.40978062151035616</v>
      </c>
      <c r="U260" s="6">
        <f>$B$268+$B$7*T260^2+$B$8*(T260-T$263)^2</f>
        <v>5.5695379396739839E-2</v>
      </c>
      <c r="V260" s="14">
        <f>$D$27+$C$27*(RADIANS(E260-$B$12))+$E$10*RADIANS(E260)^2</f>
        <v>0.41843820131892678</v>
      </c>
      <c r="W260" s="6">
        <f>$B$269+$B$7*V260^2+$B$8*(V260-V$263)^2</f>
        <v>5.5910352714255533E-2</v>
      </c>
      <c r="X260" s="14">
        <f>$D$28+$C$28*(RADIANS(E260-$B$12))+$E$10*RADIANS(E260)^2</f>
        <v>0.42881882045062403</v>
      </c>
      <c r="Y260" s="6">
        <f>$B$270+$B$7*X260^2+$B$8*(X260-X$263)^2</f>
        <v>5.6302477984522446E-2</v>
      </c>
      <c r="Z260" s="14">
        <f>$D$29+$C$29*(RADIANS(E260-$B$12))+$E$10*RADIANS(E260)^2</f>
        <v>0.44127475472328925</v>
      </c>
      <c r="AA260" s="6">
        <f>$B$271+$B$7*Z260^2+$B$8*(Z260-Z$263)^2</f>
        <v>5.6896040138673117E-2</v>
      </c>
      <c r="AB260" s="14">
        <f>$D$30+$C$30*(RADIANS(E260-$B$12))+$E$10*RADIANS(E260)^2</f>
        <v>0.45629107917790385</v>
      </c>
      <c r="AC260" s="6">
        <f>$B$272+$B$7*AB260^2+$B$8*(AB260-AB$263)^2</f>
        <v>5.7732495091287327E-2</v>
      </c>
      <c r="AD260" s="14">
        <f>$D$31+$C$31*(RADIANS(E260-$B$12))+$E$10*RADIANS(E260)^2</f>
        <v>0.4745495893053634</v>
      </c>
      <c r="AE260" s="6">
        <f>$B$273+$B$7*AD260^2+$B$8*(AD260-AD$263)^2</f>
        <v>5.9320973742969248E-2</v>
      </c>
      <c r="AF260" s="14">
        <f>$D$32+$C$32*(RADIANS(E260-$B$12))+$E$10*RADIANS(E260)^2</f>
        <v>0.49705207351144215</v>
      </c>
      <c r="AG260" s="6">
        <f>$B$274+$B$7*AF260^2+$B$8*(AF260-AF$263)^2</f>
        <v>6.0875696754679645E-2</v>
      </c>
      <c r="AH260" s="14">
        <f>$D$33+$C$33*(RADIANS(E260-$B$12))+$E$10*RADIANS(E260)^2</f>
        <v>0.52532705755464026</v>
      </c>
      <c r="AI260" s="6">
        <f>$B$275+$B$7*AH260^2+$B$8*(AH260-AH$263)^2</f>
        <v>6.3017978314788323E-2</v>
      </c>
      <c r="AJ260" s="14">
        <f>$D$34+$C$34*(RADIANS(E260-$B$12))+$E$10*RADIANS(E260)^2</f>
        <v>0.56184529703827968</v>
      </c>
      <c r="AK260">
        <f>$B$276+$B$9*AJ260^2</f>
        <v>7.235782376408216E-2</v>
      </c>
      <c r="AL260" s="14">
        <f>$D$35+$C$35*(RADIANS(E260-$B$12))+$E$10*RADIANS(E260)^2</f>
        <v>0.61084414705449297</v>
      </c>
      <c r="AM260">
        <f>$B$277+$B$9*AL260^2</f>
        <v>7.8412696298729698E-2</v>
      </c>
      <c r="AN260" s="14">
        <f>$D$36+$C$36*(RADIANS(E260-$B$12))+$E$10*RADIANS(E260)^2</f>
        <v>0.68097026783792147</v>
      </c>
      <c r="AO260">
        <f>$B$278+$B$9*AN260^2</f>
        <v>8.7390509509622932E-2</v>
      </c>
      <c r="AP260" s="14">
        <f>$D$37+$C$37*(RADIANS(E260-$B$12))+$E$10*RADIANS(E260)^2</f>
        <v>0.79383266344327119</v>
      </c>
      <c r="AQ260">
        <f>$B$279+$B$9*AP260^2</f>
        <v>0.10403085692922154</v>
      </c>
    </row>
    <row r="261" spans="1:43" x14ac:dyDescent="0.25">
      <c r="A261" s="139">
        <v>0.05</v>
      </c>
      <c r="B261" s="129">
        <f>'Sub C_D_0'!AY251</f>
        <v>4.9707595901305759E-2</v>
      </c>
      <c r="C261" s="129">
        <f>'C_L vs. α'!X517</f>
        <v>0.10633226209403525</v>
      </c>
      <c r="D261" s="247">
        <f>'C_L vs. α'!Z517</f>
        <v>0.3824586133220616</v>
      </c>
      <c r="E261" s="144">
        <v>-4</v>
      </c>
      <c r="F261" s="14">
        <f t="shared" ref="F261:F271" si="381">$D$19+$C$19*(RADIANS(E261-$B$12))+$E$10*RADIANS(E261)^2</f>
        <v>0.38079833828884896</v>
      </c>
      <c r="G261" s="6">
        <f t="shared" ref="G261:G271" si="382">$B$261+$B$7*F261^2+$B$8*(F261-F$263)^2</f>
        <v>6.1435091856125425E-2</v>
      </c>
      <c r="H261" s="14">
        <f t="shared" ref="H261:H271" si="383">$D$20+$C$20*(RADIANS(E261-$B$12))+$E$10*RADIANS(E261)^2</f>
        <v>0.38200890015285915</v>
      </c>
      <c r="I261" s="6">
        <f t="shared" ref="I261:I271" si="384">$B$262+$B$7*H261^2+$B$8*(H261-H$263)^2</f>
        <v>5.8427200780466981E-2</v>
      </c>
      <c r="J261" s="14">
        <f t="shared" ref="J261:J271" si="385">$D$21+$C$21*(RADIANS(E261-$B$12))+$E$10*RADIANS(E261)^2</f>
        <v>0.38406292062782471</v>
      </c>
      <c r="K261" s="6">
        <f t="shared" ref="K261:K271" si="386">$B$263+$B$7*J261^2+$B$8*(J261-J$263)^2</f>
        <v>5.6957808853540987E-2</v>
      </c>
      <c r="L261" s="14">
        <f t="shared" ref="L261:L271" si="387">$D$22+$C$22*(RADIANS(E261-$B$12))+$E$10*RADIANS(E261)^2</f>
        <v>0.3869999361826319</v>
      </c>
      <c r="M261" s="6">
        <f t="shared" ref="M261:M271" si="388">$B$264+$B$7*L261^2+$B$8*(L261-L$263)^2</f>
        <v>5.6089311037990995E-2</v>
      </c>
      <c r="N261" s="14">
        <f t="shared" ref="N261:N271" si="389">$D$23+$C$23*(RADIANS(E261-$B$12))+$E$10*RADIANS(E261)^2</f>
        <v>0.39088074888723873</v>
      </c>
      <c r="O261" s="6">
        <f t="shared" ref="O261:O271" si="390">$B$265+$B$7*N261^2+$B$8*(N261-N$263)^2</f>
        <v>5.5560439686508083E-2</v>
      </c>
      <c r="P261" s="14">
        <f t="shared" ref="P261:P271" si="391">$D$24+$C$24*(RADIANS(E261-$B$12))+$E$10*RADIANS(E261)^2</f>
        <v>0.39579596538243639</v>
      </c>
      <c r="Q261" s="6">
        <f t="shared" ref="Q261:Q271" si="392">$B$266+$B$7*P261^2+$B$8*(P261-P$263)^2</f>
        <v>5.5713279370793546E-2</v>
      </c>
      <c r="R261" s="14">
        <f t="shared" ref="R261:R271" si="393">$D$25+$C$25*(RADIANS(E261-$B$12))+$E$10*RADIANS(E261)^2</f>
        <v>0.40184799655880499</v>
      </c>
      <c r="S261" s="6">
        <f t="shared" ref="S261:S271" si="394">$B$267+$B$7*R261^2+$B$8*(R261-R$263)^2</f>
        <v>5.5599186819933415E-2</v>
      </c>
      <c r="T261" s="14">
        <f t="shared" ref="T261:T271" si="395">$D$26+$C$26*(RADIANS(E261-$B$12))+$E$10*RADIANS(E261)^2</f>
        <v>0.40919455134097138</v>
      </c>
      <c r="U261" s="6">
        <f t="shared" ref="U261:U271" si="396">$B$268+$B$7*T261^2+$B$8*(T261-T$263)^2</f>
        <v>5.5656664760452619E-2</v>
      </c>
      <c r="V261" s="14">
        <f t="shared" ref="V261:V271" si="397">$D$27+$C$27*(RADIANS(E261-$B$12))+$E$10*RADIANS(E261)^2</f>
        <v>0.41803659579425889</v>
      </c>
      <c r="W261" s="6">
        <f t="shared" ref="W261:W271" si="398">$B$269+$B$7*V261^2+$B$8*(V261-V$263)^2</f>
        <v>5.5883262481435159E-2</v>
      </c>
      <c r="X261" s="14">
        <f t="shared" ref="X261:X271" si="399">$D$28+$C$28*(RADIANS(E261-$B$12))+$E$10*RADIANS(E261)^2</f>
        <v>0.42864212824917736</v>
      </c>
      <c r="Y261" s="6">
        <f t="shared" ref="Y261:Y271" si="400">$B$270+$B$7*X261^2+$B$8*(X261-X$263)^2</f>
        <v>5.6290263329928154E-2</v>
      </c>
      <c r="Z261" s="14">
        <f t="shared" ref="Z261:Z271" si="401">$D$29+$C$29*(RADIANS(E261-$B$12))+$E$10*RADIANS(E261)^2</f>
        <v>0.44137322125238498</v>
      </c>
      <c r="AA261" s="6">
        <f t="shared" ref="AA261:AA271" si="402">$B$271+$B$7*Z261^2+$B$8*(Z261-Z$263)^2</f>
        <v>5.690304494996308E-2</v>
      </c>
      <c r="AB261" s="14">
        <f t="shared" ref="AB261:AB271" si="403">$D$30+$C$30*(RADIANS(E261-$B$12))+$E$10*RADIANS(E261)^2</f>
        <v>0.45672851666868225</v>
      </c>
      <c r="AC261" s="6">
        <f t="shared" ref="AC261:AC271" si="404">$B$272+$B$7*AB261^2+$B$8*(AB261-AB$263)^2</f>
        <v>5.7764673592396718E-2</v>
      </c>
      <c r="AD261" s="14">
        <f t="shared" ref="AD261:AD271" si="405">$D$31+$C$31*(RADIANS(E261-$B$12))+$E$10*RADIANS(E261)^2</f>
        <v>0.47541039180790012</v>
      </c>
      <c r="AE261" s="6">
        <f t="shared" ref="AE261:AE271" si="406">$B$273+$B$7*AD261^2+$B$8*(AD261-AD$263)^2</f>
        <v>5.9386830755896618E-2</v>
      </c>
      <c r="AF261" s="14">
        <f t="shared" ref="AF261:AF271" si="407">$D$32+$C$32*(RADIANS(E261-$B$12))+$E$10*RADIANS(E261)^2</f>
        <v>0.49844800212462537</v>
      </c>
      <c r="AG261" s="6">
        <f t="shared" ref="AG261:AG271" si="408">$B$274+$B$7*AF261^2+$B$8*(AF261-AF$263)^2</f>
        <v>6.0987560894525547E-2</v>
      </c>
      <c r="AH261" s="14">
        <f t="shared" ref="AH261:AH271" si="409">$D$33+$C$33*(RADIANS(E261-$B$12))+$E$10*RADIANS(E261)^2</f>
        <v>0.52740961892698079</v>
      </c>
      <c r="AI261" s="6">
        <f t="shared" ref="AI261:AI271" si="410">$B$275+$B$7*AH261^2+$B$8*(AH261-AH$263)^2</f>
        <v>6.3194363479000135E-2</v>
      </c>
      <c r="AJ261" s="14">
        <f t="shared" ref="AJ261:AJ271" si="411">$D$34+$C$34*(RADIANS(E261-$B$12))+$E$10*RADIANS(E261)^2</f>
        <v>0.56482156659594751</v>
      </c>
      <c r="AK261">
        <f t="shared" ref="AK261:AK271" si="412">$B$276+$B$9*AJ261^2</f>
        <v>7.2696079157717197E-2</v>
      </c>
      <c r="AL261" s="14">
        <f t="shared" ref="AL261:AL271" si="413">$D$35+$C$35*(RADIANS(E261-$B$12))+$E$10*RADIANS(E261)^2</f>
        <v>0.61501474112168397</v>
      </c>
      <c r="AM261">
        <f t="shared" ref="AM261:AM271" si="414">$B$277+$B$9*AL261^2</f>
        <v>7.8928417930334921E-2</v>
      </c>
      <c r="AN261" s="14">
        <f t="shared" ref="AN261:AN271" si="415">$D$36+$C$36*(RADIANS(E261-$B$12))+$E$10*RADIANS(E261)^2</f>
        <v>0.68649205059249963</v>
      </c>
      <c r="AO261">
        <f t="shared" ref="AO261:AO271" si="416">$B$278+$B$9*AN261^2</f>
        <v>8.8152187893148923E-2</v>
      </c>
      <c r="AP261" s="14">
        <f t="shared" ref="AP261:AP271" si="417">$D$37+$C$37*(RADIANS(E261-$B$12))+$E$10*RADIANS(E261)^2</f>
        <v>0.79849050574142755</v>
      </c>
      <c r="AQ261">
        <f t="shared" ref="AQ261:AQ271" si="418">$B$279+$B$9*AP261^2</f>
        <v>0.10477901426981311</v>
      </c>
    </row>
    <row r="262" spans="1:43" x14ac:dyDescent="0.25">
      <c r="A262" s="129">
        <v>0.1</v>
      </c>
      <c r="B262" s="129">
        <f>'Sub C_D_0'!AY252</f>
        <v>4.6625015807181161E-2</v>
      </c>
      <c r="C262" s="129">
        <f>'C_L vs. α'!X518</f>
        <v>0.10717969289227106</v>
      </c>
      <c r="D262" s="247">
        <f>'C_L vs. α'!Z518</f>
        <v>0.38371367545476148</v>
      </c>
      <c r="E262" s="144">
        <v>-2</v>
      </c>
      <c r="F262" s="14">
        <f t="shared" si="381"/>
        <v>0.38158026306321818</v>
      </c>
      <c r="G262" s="6">
        <f t="shared" si="382"/>
        <v>6.1483204706276925E-2</v>
      </c>
      <c r="H262" s="14">
        <f t="shared" si="383"/>
        <v>0.38282049177302152</v>
      </c>
      <c r="I262" s="6">
        <f t="shared" si="384"/>
        <v>5.8477298486300469E-2</v>
      </c>
      <c r="J262" s="14">
        <f t="shared" si="385"/>
        <v>0.3849181376139611</v>
      </c>
      <c r="K262" s="6">
        <f t="shared" si="386"/>
        <v>5.7010884362853301E-2</v>
      </c>
      <c r="L262" s="14">
        <f t="shared" si="387"/>
        <v>0.38791515021225137</v>
      </c>
      <c r="M262" s="6">
        <f t="shared" si="388"/>
        <v>5.6146545937530053E-2</v>
      </c>
      <c r="N262" s="14">
        <f t="shared" si="389"/>
        <v>0.39187436500470224</v>
      </c>
      <c r="O262" s="6">
        <f t="shared" si="390"/>
        <v>5.5623202959507644E-2</v>
      </c>
      <c r="P262" s="14">
        <f t="shared" si="391"/>
        <v>0.39688495147574893</v>
      </c>
      <c r="Q262" s="6">
        <f t="shared" si="392"/>
        <v>5.5782934768214401E-2</v>
      </c>
      <c r="R262" s="14">
        <f t="shared" si="393"/>
        <v>0.40306027339764899</v>
      </c>
      <c r="S262" s="6">
        <f t="shared" si="394"/>
        <v>5.5677918143517115E-2</v>
      </c>
      <c r="T262" s="14">
        <f t="shared" si="395"/>
        <v>0.41055803265822149</v>
      </c>
      <c r="U262" s="6">
        <f t="shared" si="396"/>
        <v>5.5746840564059937E-2</v>
      </c>
      <c r="V262" s="14">
        <f t="shared" si="397"/>
        <v>0.41958454175622578</v>
      </c>
      <c r="W262" s="6">
        <f t="shared" si="398"/>
        <v>5.5987857912042333E-2</v>
      </c>
      <c r="X262" s="14">
        <f t="shared" si="399"/>
        <v>0.43041498753436558</v>
      </c>
      <c r="Y262" s="6">
        <f t="shared" si="400"/>
        <v>5.6413105766480877E-2</v>
      </c>
      <c r="Z262" s="14">
        <f t="shared" si="401"/>
        <v>0.44342123926811561</v>
      </c>
      <c r="AA262" s="6">
        <f t="shared" si="402"/>
        <v>5.7049182365512929E-2</v>
      </c>
      <c r="AB262" s="14">
        <f t="shared" si="403"/>
        <v>0.45911550564609555</v>
      </c>
      <c r="AC262" s="6">
        <f t="shared" si="404"/>
        <v>5.7940943848029475E-2</v>
      </c>
      <c r="AD262" s="14">
        <f t="shared" si="405"/>
        <v>0.47822074579707169</v>
      </c>
      <c r="AE262" s="6">
        <f t="shared" si="406"/>
        <v>5.9602881925829257E-2</v>
      </c>
      <c r="AF262" s="14">
        <f t="shared" si="407"/>
        <v>0.50179348222444353</v>
      </c>
      <c r="AG262" s="6">
        <f t="shared" si="408"/>
        <v>6.1257254382619863E-2</v>
      </c>
      <c r="AH262" s="14">
        <f t="shared" si="409"/>
        <v>0.53144173178595611</v>
      </c>
      <c r="AI262" s="6">
        <f t="shared" si="410"/>
        <v>6.3538355408289518E-2</v>
      </c>
      <c r="AJ262" s="14">
        <f t="shared" si="411"/>
        <v>0.56974738764025024</v>
      </c>
      <c r="AK262">
        <f t="shared" si="412"/>
        <v>7.3259829050125458E-2</v>
      </c>
      <c r="AL262" s="14">
        <f t="shared" si="413"/>
        <v>0.62113488667550987</v>
      </c>
      <c r="AM262">
        <f t="shared" si="414"/>
        <v>7.9691567634171262E-2</v>
      </c>
      <c r="AN262" s="14">
        <f t="shared" si="415"/>
        <v>0.69396338483371267</v>
      </c>
      <c r="AO262">
        <f t="shared" si="416"/>
        <v>8.9192581089197989E-2</v>
      </c>
      <c r="AP262" s="14">
        <f t="shared" si="417"/>
        <v>0.80509789952621869</v>
      </c>
      <c r="AQ262">
        <f t="shared" si="418"/>
        <v>0.10584782312795349</v>
      </c>
    </row>
    <row r="263" spans="1:43" s="99" customFormat="1" x14ac:dyDescent="0.25">
      <c r="A263" s="139">
        <v>0.15</v>
      </c>
      <c r="B263" s="129">
        <f>'Sub C_D_0'!AY253</f>
        <v>4.5028354658949638E-2</v>
      </c>
      <c r="C263" s="129">
        <f>'C_L vs. α'!X519</f>
        <v>0.10842068391652951</v>
      </c>
      <c r="D263" s="247">
        <f>'C_L vs. α'!Z519</f>
        <v>0.38583313397868807</v>
      </c>
      <c r="E263" s="143">
        <v>0</v>
      </c>
      <c r="F263" s="14">
        <f t="shared" si="381"/>
        <v>0.38431173932422247</v>
      </c>
      <c r="G263" s="6">
        <f t="shared" si="382"/>
        <v>6.1652244059121702E-2</v>
      </c>
      <c r="H263" s="14">
        <f t="shared" si="383"/>
        <v>0.38558163487981889</v>
      </c>
      <c r="I263" s="6">
        <f t="shared" si="384"/>
        <v>5.8648732673546797E-2</v>
      </c>
      <c r="J263" s="14">
        <f t="shared" si="385"/>
        <v>0.38772290608673249</v>
      </c>
      <c r="K263" s="6">
        <f t="shared" si="386"/>
        <v>5.7185986239194526E-2</v>
      </c>
      <c r="L263" s="14">
        <f t="shared" si="387"/>
        <v>0.3907799157285059</v>
      </c>
      <c r="M263" s="6">
        <f t="shared" si="388"/>
        <v>5.6326792612784601E-2</v>
      </c>
      <c r="N263" s="14">
        <f t="shared" si="389"/>
        <v>0.3948175326088007</v>
      </c>
      <c r="O263" s="6">
        <f t="shared" si="390"/>
        <v>5.5810281398694997E-2</v>
      </c>
      <c r="P263" s="14">
        <f t="shared" si="391"/>
        <v>0.39992348905569641</v>
      </c>
      <c r="Q263" s="6">
        <f t="shared" si="392"/>
        <v>5.5978555483880303E-2</v>
      </c>
      <c r="R263" s="14">
        <f t="shared" si="393"/>
        <v>0.406222101723128</v>
      </c>
      <c r="S263" s="6">
        <f t="shared" si="394"/>
        <v>5.5884658192445279E-2</v>
      </c>
      <c r="T263" s="14">
        <f t="shared" si="395"/>
        <v>0.41387106546210661</v>
      </c>
      <c r="U263" s="6">
        <f t="shared" si="396"/>
        <v>5.5967515644754696E-2</v>
      </c>
      <c r="V263" s="14">
        <f t="shared" si="397"/>
        <v>0.42308203920482768</v>
      </c>
      <c r="W263" s="6">
        <f t="shared" si="398"/>
        <v>5.6225965501977428E-2</v>
      </c>
      <c r="X263" s="14">
        <f t="shared" si="399"/>
        <v>0.43413739830618875</v>
      </c>
      <c r="Y263" s="6">
        <f t="shared" si="400"/>
        <v>5.6673097176129922E-2</v>
      </c>
      <c r="Z263" s="14">
        <f t="shared" si="401"/>
        <v>0.44741880877048118</v>
      </c>
      <c r="AA263" s="6">
        <f t="shared" si="402"/>
        <v>5.7336868940293904E-2</v>
      </c>
      <c r="AB263" s="14">
        <f t="shared" si="403"/>
        <v>0.46345204611014379</v>
      </c>
      <c r="AC263" s="6">
        <f t="shared" si="404"/>
        <v>5.826412238129982E-2</v>
      </c>
      <c r="AD263" s="14">
        <f t="shared" si="405"/>
        <v>0.48298065127287826</v>
      </c>
      <c r="AE263" s="6">
        <f t="shared" si="406"/>
        <v>5.9972443324623662E-2</v>
      </c>
      <c r="AF263" s="14">
        <f t="shared" si="407"/>
        <v>0.50708851381089648</v>
      </c>
      <c r="AG263" s="6">
        <f t="shared" si="408"/>
        <v>6.1688724711857837E-2</v>
      </c>
      <c r="AH263" s="14">
        <f t="shared" si="409"/>
        <v>0.53742339613156631</v>
      </c>
      <c r="AI263" s="6">
        <f t="shared" si="410"/>
        <v>6.4054711786572932E-2</v>
      </c>
      <c r="AJ263" s="14">
        <f t="shared" si="411"/>
        <v>0.57662276017118796</v>
      </c>
      <c r="AK263" s="99">
        <f t="shared" si="412"/>
        <v>7.4054885654500718E-2</v>
      </c>
      <c r="AL263" s="14">
        <f t="shared" si="413"/>
        <v>0.62920458371597077</v>
      </c>
      <c r="AM263" s="99">
        <f t="shared" si="414"/>
        <v>8.0709366864371024E-2</v>
      </c>
      <c r="AN263" s="14">
        <f t="shared" si="415"/>
        <v>0.70338427056156072</v>
      </c>
      <c r="AO263" s="99">
        <f t="shared" si="416"/>
        <v>9.0520504884430086E-2</v>
      </c>
      <c r="AP263" s="14">
        <f t="shared" si="417"/>
        <v>0.81365484479764483</v>
      </c>
      <c r="AQ263" s="99">
        <f t="shared" si="418"/>
        <v>0.1072450798854005</v>
      </c>
    </row>
    <row r="264" spans="1:43" x14ac:dyDescent="0.25">
      <c r="A264" s="129">
        <v>0.2</v>
      </c>
      <c r="B264" s="129">
        <f>'Sub C_D_0'!AY254</f>
        <v>4.3976691026616596E-2</v>
      </c>
      <c r="C264" s="129">
        <f>'C_L vs. α'!X520</f>
        <v>0.1101303746094074</v>
      </c>
      <c r="D264" s="247">
        <f>'C_L vs. α'!Z520</f>
        <v>0.38886014509871991</v>
      </c>
      <c r="E264" s="144">
        <v>2</v>
      </c>
      <c r="F264" s="14">
        <f t="shared" si="381"/>
        <v>0.38899276707186159</v>
      </c>
      <c r="G264" s="6">
        <f t="shared" si="382"/>
        <v>6.1945432914890526E-2</v>
      </c>
      <c r="H264" s="14">
        <f t="shared" si="383"/>
        <v>0.39029232947325115</v>
      </c>
      <c r="I264" s="6">
        <f t="shared" si="384"/>
        <v>5.8944761347775113E-2</v>
      </c>
      <c r="J264" s="14">
        <f t="shared" si="385"/>
        <v>0.39247722604613877</v>
      </c>
      <c r="K264" s="6">
        <f t="shared" si="386"/>
        <v>5.7486423963801631E-2</v>
      </c>
      <c r="L264" s="14">
        <f t="shared" si="387"/>
        <v>0.39559423273139527</v>
      </c>
      <c r="M264" s="6">
        <f t="shared" si="388"/>
        <v>5.6633431338389204E-2</v>
      </c>
      <c r="N264" s="14">
        <f t="shared" si="389"/>
        <v>0.39971025169953411</v>
      </c>
      <c r="O264" s="6">
        <f t="shared" si="390"/>
        <v>5.6125147789099487E-2</v>
      </c>
      <c r="P264" s="14">
        <f t="shared" si="391"/>
        <v>0.40491157812227885</v>
      </c>
      <c r="Q264" s="6">
        <f t="shared" si="392"/>
        <v>5.6303726834442618E-2</v>
      </c>
      <c r="R264" s="14">
        <f t="shared" si="393"/>
        <v>0.41133348153524191</v>
      </c>
      <c r="S264" s="6">
        <f t="shared" si="394"/>
        <v>5.6223137760050494E-2</v>
      </c>
      <c r="T264" s="14">
        <f t="shared" si="395"/>
        <v>0.41913364975262662</v>
      </c>
      <c r="U264" s="6">
        <f t="shared" si="396"/>
        <v>5.632259920930683E-2</v>
      </c>
      <c r="V264" s="14">
        <f t="shared" si="397"/>
        <v>0.42852908814006446</v>
      </c>
      <c r="W264" s="6">
        <f t="shared" si="398"/>
        <v>5.6601712116717884E-2</v>
      </c>
      <c r="X264" s="14">
        <f t="shared" si="399"/>
        <v>0.43980936056464687</v>
      </c>
      <c r="Y264" s="6">
        <f t="shared" si="400"/>
        <v>5.7074629810401671E-2</v>
      </c>
      <c r="Z264" s="14">
        <f t="shared" si="401"/>
        <v>0.4533659297594817</v>
      </c>
      <c r="AA264" s="6">
        <f t="shared" si="402"/>
        <v>5.7770821598854313E-2</v>
      </c>
      <c r="AB264" s="14">
        <f t="shared" si="403"/>
        <v>0.46973813806082698</v>
      </c>
      <c r="AC264" s="6">
        <f t="shared" si="404"/>
        <v>5.8739326084899068E-2</v>
      </c>
      <c r="AD264" s="14">
        <f t="shared" si="405"/>
        <v>0.48969010823531972</v>
      </c>
      <c r="AE264" s="6">
        <f t="shared" si="406"/>
        <v>6.0501131393713339E-2</v>
      </c>
      <c r="AF264" s="14">
        <f t="shared" si="407"/>
        <v>0.51433309688398454</v>
      </c>
      <c r="AG264" s="6">
        <f t="shared" si="408"/>
        <v>6.2288219744711777E-2</v>
      </c>
      <c r="AH264" s="14">
        <f t="shared" si="409"/>
        <v>0.54535461196381152</v>
      </c>
      <c r="AI264" s="6">
        <f t="shared" si="410"/>
        <v>6.4750490667343813E-2</v>
      </c>
      <c r="AJ264" s="14">
        <f t="shared" si="411"/>
        <v>0.58544768418876059</v>
      </c>
      <c r="AK264">
        <f t="shared" si="412"/>
        <v>7.5089361553613787E-2</v>
      </c>
      <c r="AL264" s="14">
        <f t="shared" si="413"/>
        <v>0.63922383224306656</v>
      </c>
      <c r="AM264">
        <f t="shared" si="414"/>
        <v>8.1991337444643625E-2</v>
      </c>
      <c r="AN264" s="14">
        <f t="shared" si="415"/>
        <v>0.71475470777604366</v>
      </c>
      <c r="AO264">
        <f t="shared" si="416"/>
        <v>9.2147075435082187E-2</v>
      </c>
      <c r="AP264" s="14">
        <f t="shared" si="417"/>
        <v>0.82416134155570586</v>
      </c>
      <c r="AQ264">
        <f t="shared" si="418"/>
        <v>0.10898088129348905</v>
      </c>
    </row>
    <row r="265" spans="1:43" x14ac:dyDescent="0.25">
      <c r="A265" s="139">
        <v>0.25</v>
      </c>
      <c r="B265" s="129">
        <f>'Sub C_D_0'!AY255</f>
        <v>4.3203653905606307E-2</v>
      </c>
      <c r="C265" s="129">
        <f>'C_L vs. α'!X521</f>
        <v>0.11236739765977473</v>
      </c>
      <c r="D265" s="247">
        <f>'C_L vs. α'!Z521</f>
        <v>0.39285856093509275</v>
      </c>
      <c r="E265" s="144">
        <v>4</v>
      </c>
      <c r="F265" s="14">
        <f t="shared" si="381"/>
        <v>0.39562334630613571</v>
      </c>
      <c r="G265" s="6">
        <f t="shared" si="382"/>
        <v>6.2368294643391262E-2</v>
      </c>
      <c r="H265" s="14">
        <f t="shared" si="383"/>
        <v>0.39695257555331842</v>
      </c>
      <c r="I265" s="6">
        <f t="shared" si="384"/>
        <v>5.9370942884131708E-2</v>
      </c>
      <c r="J265" s="14">
        <f t="shared" si="385"/>
        <v>0.39918109749218</v>
      </c>
      <c r="K265" s="6">
        <f t="shared" si="386"/>
        <v>5.7917807387488661E-2</v>
      </c>
      <c r="L265" s="14">
        <f t="shared" si="387"/>
        <v>0.40235810122091969</v>
      </c>
      <c r="M265" s="6">
        <f t="shared" si="388"/>
        <v>5.7072142758555551E-2</v>
      </c>
      <c r="N265" s="14">
        <f t="shared" si="389"/>
        <v>0.40655252227690253</v>
      </c>
      <c r="O265" s="6">
        <f t="shared" si="390"/>
        <v>5.6573575285327561E-2</v>
      </c>
      <c r="P265" s="14">
        <f t="shared" si="391"/>
        <v>0.41184921867549629</v>
      </c>
      <c r="Q265" s="6">
        <f t="shared" si="392"/>
        <v>5.6764334506129811E-2</v>
      </c>
      <c r="R265" s="14">
        <f t="shared" si="393"/>
        <v>0.41839441283399076</v>
      </c>
      <c r="S265" s="6">
        <f t="shared" si="394"/>
        <v>5.6699388009242464E-2</v>
      </c>
      <c r="T265" s="14">
        <f t="shared" si="395"/>
        <v>0.42634578552978158</v>
      </c>
      <c r="U265" s="6">
        <f t="shared" si="396"/>
        <v>5.681830083406339E-2</v>
      </c>
      <c r="V265" s="14">
        <f t="shared" si="397"/>
        <v>0.43592568856193631</v>
      </c>
      <c r="W265" s="6">
        <f t="shared" si="398"/>
        <v>5.7121524991318243E-2</v>
      </c>
      <c r="X265" s="14">
        <f t="shared" si="399"/>
        <v>0.44743087430973993</v>
      </c>
      <c r="Y265" s="6">
        <f t="shared" si="400"/>
        <v>5.762439629039956E-2</v>
      </c>
      <c r="Z265" s="14">
        <f t="shared" si="401"/>
        <v>0.46126260223511717</v>
      </c>
      <c r="AA265" s="6">
        <f t="shared" si="402"/>
        <v>5.8358057635319573E-2</v>
      </c>
      <c r="AB265" s="14">
        <f t="shared" si="403"/>
        <v>0.47797378149814512</v>
      </c>
      <c r="AC265" s="6">
        <f t="shared" si="404"/>
        <v>5.9373972221095597E-2</v>
      </c>
      <c r="AD265" s="14">
        <f t="shared" si="405"/>
        <v>0.49834911668439619</v>
      </c>
      <c r="AE265" s="6">
        <f t="shared" si="406"/>
        <v>6.1196862944108928E-2</v>
      </c>
      <c r="AF265" s="14">
        <f t="shared" si="407"/>
        <v>0.52352723144370739</v>
      </c>
      <c r="AG265" s="6">
        <f t="shared" si="408"/>
        <v>6.306428771323104E-2</v>
      </c>
      <c r="AH265" s="14">
        <f t="shared" si="409"/>
        <v>0.55523537928269173</v>
      </c>
      <c r="AI265" s="6">
        <f t="shared" si="410"/>
        <v>6.5635050473672782E-2</v>
      </c>
      <c r="AJ265" s="14">
        <f t="shared" si="411"/>
        <v>0.5962221596929681</v>
      </c>
      <c r="AK265">
        <f t="shared" si="412"/>
        <v>7.6373669699812533E-2</v>
      </c>
      <c r="AL265" s="14">
        <f t="shared" si="413"/>
        <v>0.65119263225679724</v>
      </c>
      <c r="AM265">
        <f t="shared" si="414"/>
        <v>8.3549301568275586E-2</v>
      </c>
      <c r="AN265" s="14">
        <f t="shared" si="415"/>
        <v>0.7280746964771615</v>
      </c>
      <c r="AO265">
        <f t="shared" si="416"/>
        <v>9.4085709266968409E-2</v>
      </c>
      <c r="AP265" s="14">
        <f t="shared" si="417"/>
        <v>0.8366173898004019</v>
      </c>
      <c r="AQ265">
        <f t="shared" si="418"/>
        <v>0.11106762447313118</v>
      </c>
    </row>
    <row r="266" spans="1:43" x14ac:dyDescent="0.25">
      <c r="A266" s="129">
        <v>0.3</v>
      </c>
      <c r="B266" s="129">
        <f>'Sub C_D_0'!AY256</f>
        <v>4.3043750495233069E-2</v>
      </c>
      <c r="C266" s="129">
        <f>'C_L vs. α'!X522</f>
        <v>0.11509956629056074</v>
      </c>
      <c r="D266" s="247">
        <f>'C_L vs. α'!Z522</f>
        <v>0.39791683239406395</v>
      </c>
      <c r="E266" s="144">
        <v>6</v>
      </c>
      <c r="F266" s="14">
        <f t="shared" si="381"/>
        <v>0.40420347702704473</v>
      </c>
      <c r="G266" s="6">
        <f t="shared" si="382"/>
        <v>6.2928652984008876E-2</v>
      </c>
      <c r="H266" s="14">
        <f t="shared" si="383"/>
        <v>0.40556237312002053</v>
      </c>
      <c r="I266" s="6">
        <f t="shared" si="384"/>
        <v>5.9935136027339901E-2</v>
      </c>
      <c r="J266" s="14">
        <f t="shared" si="385"/>
        <v>0.40783452042485613</v>
      </c>
      <c r="K266" s="6">
        <f t="shared" si="386"/>
        <v>5.8488046730646774E-2</v>
      </c>
      <c r="L266" s="14">
        <f t="shared" si="387"/>
        <v>0.4110715211970789</v>
      </c>
      <c r="M266" s="6">
        <f t="shared" si="388"/>
        <v>5.7650907887072347E-2</v>
      </c>
      <c r="N266" s="14">
        <f t="shared" si="389"/>
        <v>0.41534434434090578</v>
      </c>
      <c r="O266" s="6">
        <f t="shared" si="390"/>
        <v>5.7163637411562718E-2</v>
      </c>
      <c r="P266" s="14">
        <f t="shared" si="391"/>
        <v>0.42073641071534856</v>
      </c>
      <c r="Q266" s="6">
        <f t="shared" si="392"/>
        <v>5.7368564554747419E-2</v>
      </c>
      <c r="R266" s="14">
        <f t="shared" si="393"/>
        <v>0.4274048956193745</v>
      </c>
      <c r="S266" s="6">
        <f t="shared" si="394"/>
        <v>5.7321740472507932E-2</v>
      </c>
      <c r="T266" s="14">
        <f t="shared" si="395"/>
        <v>0.43550747279357144</v>
      </c>
      <c r="U266" s="6">
        <f t="shared" si="396"/>
        <v>5.7463130464948504E-2</v>
      </c>
      <c r="V266" s="14">
        <f t="shared" si="397"/>
        <v>0.44527184047044294</v>
      </c>
      <c r="W266" s="6">
        <f t="shared" si="398"/>
        <v>5.7794131730410085E-2</v>
      </c>
      <c r="X266" s="14">
        <f t="shared" si="399"/>
        <v>0.45700193954146789</v>
      </c>
      <c r="Y266" s="6">
        <f t="shared" si="400"/>
        <v>5.8331389606804146E-2</v>
      </c>
      <c r="Z266" s="14">
        <f t="shared" si="401"/>
        <v>0.47110882619738753</v>
      </c>
      <c r="AA266" s="6">
        <f t="shared" si="402"/>
        <v>5.9107894713392166E-2</v>
      </c>
      <c r="AB266" s="14">
        <f t="shared" si="403"/>
        <v>0.48815897642209816</v>
      </c>
      <c r="AC266" s="6">
        <f t="shared" si="404"/>
        <v>6.0177778421734891E-2</v>
      </c>
      <c r="AD266" s="14">
        <f t="shared" si="405"/>
        <v>0.50895767662010749</v>
      </c>
      <c r="AE266" s="6">
        <f t="shared" si="406"/>
        <v>6.206985515639811E-2</v>
      </c>
      <c r="AF266" s="14">
        <f t="shared" si="407"/>
        <v>0.53467091749006523</v>
      </c>
      <c r="AG266" s="6">
        <f t="shared" si="408"/>
        <v>6.4027777219042167E-2</v>
      </c>
      <c r="AH266" s="14">
        <f t="shared" si="409"/>
        <v>0.56706569808820673</v>
      </c>
      <c r="AI266" s="6">
        <f t="shared" si="410"/>
        <v>6.6720049998207437E-2</v>
      </c>
      <c r="AJ266" s="14">
        <f t="shared" si="411"/>
        <v>0.60894618668381051</v>
      </c>
      <c r="AK266">
        <f t="shared" si="412"/>
        <v>7.7920523415021953E-2</v>
      </c>
      <c r="AL266" s="14">
        <f t="shared" si="413"/>
        <v>0.66511098375716293</v>
      </c>
      <c r="AM266">
        <f t="shared" si="414"/>
        <v>8.5397381798130473E-2</v>
      </c>
      <c r="AN266" s="14">
        <f t="shared" si="415"/>
        <v>0.74334423666491423</v>
      </c>
      <c r="AO266">
        <f t="shared" si="416"/>
        <v>9.6352123275479901E-2</v>
      </c>
      <c r="AP266" s="14">
        <f t="shared" si="417"/>
        <v>0.85102298953173272</v>
      </c>
      <c r="AQ266">
        <f t="shared" si="418"/>
        <v>0.11352000691481592</v>
      </c>
    </row>
    <row r="267" spans="1:43" x14ac:dyDescent="0.25">
      <c r="A267" s="139">
        <v>0.35</v>
      </c>
      <c r="B267" s="129">
        <f>'Sub C_D_0'!AY257</f>
        <v>4.2539210183677303E-2</v>
      </c>
      <c r="C267" s="129">
        <f>'C_L vs. α'!X523</f>
        <v>0.1186219390866687</v>
      </c>
      <c r="D267" s="247">
        <f>'C_L vs. α'!Z523</f>
        <v>0.40415379968872978</v>
      </c>
      <c r="E267" s="144">
        <v>8</v>
      </c>
      <c r="F267" s="14">
        <f t="shared" si="381"/>
        <v>0.4147331592345887</v>
      </c>
      <c r="G267" s="6">
        <f t="shared" si="382"/>
        <v>6.3636632045705369E-2</v>
      </c>
      <c r="H267" s="14">
        <f t="shared" si="383"/>
        <v>0.41612172217335763</v>
      </c>
      <c r="I267" s="6">
        <f t="shared" si="384"/>
        <v>6.0647499891700152E-2</v>
      </c>
      <c r="J267" s="14">
        <f t="shared" si="385"/>
        <v>0.41843749484416726</v>
      </c>
      <c r="K267" s="6">
        <f t="shared" si="386"/>
        <v>5.9207352583244187E-2</v>
      </c>
      <c r="L267" s="14">
        <f t="shared" si="387"/>
        <v>0.42173449265987317</v>
      </c>
      <c r="M267" s="6">
        <f t="shared" si="388"/>
        <v>5.8380008107305467E-2</v>
      </c>
      <c r="N267" s="14">
        <f t="shared" si="389"/>
        <v>0.42608571789154404</v>
      </c>
      <c r="O267" s="6">
        <f t="shared" si="390"/>
        <v>5.7905708061565565E-2</v>
      </c>
      <c r="P267" s="14">
        <f t="shared" si="391"/>
        <v>0.43157315424183584</v>
      </c>
      <c r="Q267" s="6">
        <f t="shared" si="392"/>
        <v>5.8126903405678068E-2</v>
      </c>
      <c r="R267" s="14">
        <f t="shared" si="393"/>
        <v>0.43836492989139325</v>
      </c>
      <c r="S267" s="6">
        <f t="shared" si="394"/>
        <v>5.8100827051910782E-2</v>
      </c>
      <c r="T267" s="14">
        <f t="shared" si="395"/>
        <v>0.44661871154399629</v>
      </c>
      <c r="U267" s="6">
        <f t="shared" si="396"/>
        <v>5.8267898417463417E-2</v>
      </c>
      <c r="V267" s="14">
        <f t="shared" si="397"/>
        <v>0.45656754386558457</v>
      </c>
      <c r="W267" s="6">
        <f t="shared" si="398"/>
        <v>5.863056030820215E-2</v>
      </c>
      <c r="X267" s="14">
        <f t="shared" si="399"/>
        <v>0.4685225562598308</v>
      </c>
      <c r="Y267" s="6">
        <f t="shared" si="400"/>
        <v>5.920690311987304E-2</v>
      </c>
      <c r="Z267" s="14">
        <f t="shared" si="401"/>
        <v>0.48290460164629284</v>
      </c>
      <c r="AA267" s="6">
        <f t="shared" si="402"/>
        <v>6.0031950866351665E-2</v>
      </c>
      <c r="AB267" s="14">
        <f t="shared" si="403"/>
        <v>0.50029372283268625</v>
      </c>
      <c r="AC267" s="6">
        <f t="shared" si="404"/>
        <v>6.116276268823953E-2</v>
      </c>
      <c r="AD267" s="14">
        <f t="shared" si="405"/>
        <v>0.5215157880424538</v>
      </c>
      <c r="AE267" s="6">
        <f t="shared" si="406"/>
        <v>6.3132625580745699E-2</v>
      </c>
      <c r="AF267" s="14">
        <f t="shared" si="407"/>
        <v>0.54776415502305809</v>
      </c>
      <c r="AG267" s="6">
        <f t="shared" si="408"/>
        <v>6.5191837233348662E-2</v>
      </c>
      <c r="AH267" s="14">
        <f t="shared" si="409"/>
        <v>0.58084556838035672</v>
      </c>
      <c r="AI267" s="6">
        <f t="shared" si="410"/>
        <v>6.8019448403172575E-2</v>
      </c>
      <c r="AJ267" s="14">
        <f t="shared" si="411"/>
        <v>0.62361976516128792</v>
      </c>
      <c r="AK267">
        <f t="shared" si="412"/>
        <v>7.9744936390744148E-2</v>
      </c>
      <c r="AL267" s="14">
        <f t="shared" si="413"/>
        <v>0.68097888674416351</v>
      </c>
      <c r="AM267">
        <f t="shared" si="414"/>
        <v>8.7552001066648968E-2</v>
      </c>
      <c r="AN267" s="14">
        <f t="shared" si="415"/>
        <v>0.76056332833930196</v>
      </c>
      <c r="AO267">
        <f t="shared" si="416"/>
        <v>9.8964334725584968E-2</v>
      </c>
      <c r="AP267" s="14">
        <f t="shared" si="417"/>
        <v>0.86737814074969855</v>
      </c>
      <c r="AQ267">
        <f t="shared" si="418"/>
        <v>0.11635502647860947</v>
      </c>
    </row>
    <row r="268" spans="1:43" x14ac:dyDescent="0.25">
      <c r="A268" s="129">
        <v>0.4</v>
      </c>
      <c r="B268" s="129">
        <f>'Sub C_D_0'!AY258</f>
        <v>4.2114759466967813E-2</v>
      </c>
      <c r="C268" s="129">
        <f>'C_L vs. α'!X524</f>
        <v>0.12294208600200296</v>
      </c>
      <c r="D268" s="247">
        <f>'C_L vs. α'!Z524</f>
        <v>0.41172716118850533</v>
      </c>
      <c r="E268" s="144">
        <v>10</v>
      </c>
      <c r="F268" s="14">
        <f t="shared" si="381"/>
        <v>0.42721239292876767</v>
      </c>
      <c r="G268" s="6">
        <f t="shared" si="382"/>
        <v>6.4504656307019903E-2</v>
      </c>
      <c r="H268" s="14">
        <f t="shared" si="383"/>
        <v>0.42863062271332963</v>
      </c>
      <c r="I268" s="6">
        <f t="shared" si="384"/>
        <v>6.1520493961089946E-2</v>
      </c>
      <c r="J268" s="14">
        <f t="shared" si="385"/>
        <v>0.43099002075011328</v>
      </c>
      <c r="K268" s="6">
        <f t="shared" si="386"/>
        <v>6.0088235904826204E-2</v>
      </c>
      <c r="L268" s="14">
        <f t="shared" si="387"/>
        <v>0.43434701560930233</v>
      </c>
      <c r="M268" s="6">
        <f t="shared" si="388"/>
        <v>5.927202517219779E-2</v>
      </c>
      <c r="N268" s="14">
        <f t="shared" si="389"/>
        <v>0.43877664292881724</v>
      </c>
      <c r="O268" s="6">
        <f t="shared" si="390"/>
        <v>5.8812461498673793E-2</v>
      </c>
      <c r="P268" s="14">
        <f t="shared" si="391"/>
        <v>0.44435944925495807</v>
      </c>
      <c r="Q268" s="6">
        <f t="shared" si="392"/>
        <v>5.905213785388147E-2</v>
      </c>
      <c r="R268" s="14">
        <f t="shared" si="393"/>
        <v>0.45127451565004684</v>
      </c>
      <c r="S268" s="6">
        <f t="shared" si="394"/>
        <v>5.9049580019091913E-2</v>
      </c>
      <c r="T268" s="14">
        <f t="shared" si="395"/>
        <v>0.45967950178105599</v>
      </c>
      <c r="U268" s="6">
        <f t="shared" si="396"/>
        <v>5.9245715376686374E-2</v>
      </c>
      <c r="V268" s="14">
        <f t="shared" si="397"/>
        <v>0.46981279874736115</v>
      </c>
      <c r="W268" s="6">
        <f t="shared" si="398"/>
        <v>5.9644139068480199E-2</v>
      </c>
      <c r="X268" s="14">
        <f t="shared" si="399"/>
        <v>0.48199272446482866</v>
      </c>
      <c r="Y268" s="6">
        <f t="shared" si="400"/>
        <v>6.0264530559440969E-2</v>
      </c>
      <c r="Z268" s="14">
        <f t="shared" si="401"/>
        <v>0.4966499285818331</v>
      </c>
      <c r="AA268" s="6">
        <f t="shared" si="402"/>
        <v>6.1144144497054749E-2</v>
      </c>
      <c r="AB268" s="14">
        <f t="shared" si="403"/>
        <v>0.51437802072990912</v>
      </c>
      <c r="AC268" s="6">
        <f t="shared" si="404"/>
        <v>6.2343243391609127E-2</v>
      </c>
      <c r="AD268" s="14">
        <f t="shared" si="405"/>
        <v>0.536023450951435</v>
      </c>
      <c r="AE268" s="6">
        <f t="shared" si="406"/>
        <v>6.4399992136893527E-2</v>
      </c>
      <c r="AF268" s="14">
        <f t="shared" si="407"/>
        <v>0.56280694404268572</v>
      </c>
      <c r="AG268" s="6">
        <f t="shared" si="408"/>
        <v>6.6571917096931207E-2</v>
      </c>
      <c r="AH268" s="14">
        <f t="shared" si="409"/>
        <v>0.59657499015914173</v>
      </c>
      <c r="AI268" s="6">
        <f t="shared" si="410"/>
        <v>6.9549505220369984E-2</v>
      </c>
      <c r="AJ268" s="14">
        <f t="shared" si="411"/>
        <v>0.64024289512540022</v>
      </c>
      <c r="AK268">
        <f t="shared" si="412"/>
        <v>8.1864222688058222E-2</v>
      </c>
      <c r="AL268" s="14">
        <f t="shared" si="413"/>
        <v>0.69879634121779899</v>
      </c>
      <c r="AM268">
        <f t="shared" si="414"/>
        <v>9.0031882675848801E-2</v>
      </c>
      <c r="AN268" s="14">
        <f t="shared" si="415"/>
        <v>0.77973197150032458</v>
      </c>
      <c r="AO268">
        <f t="shared" si="416"/>
        <v>0.10194266125182895</v>
      </c>
      <c r="AP268" s="14">
        <f t="shared" si="417"/>
        <v>0.88568284345429937</v>
      </c>
      <c r="AQ268">
        <f t="shared" si="418"/>
        <v>0.1195919813941551</v>
      </c>
    </row>
    <row r="269" spans="1:43" x14ac:dyDescent="0.25">
      <c r="A269" s="139">
        <v>0.45</v>
      </c>
      <c r="B269" s="129">
        <f>'Sub C_D_0'!AY259</f>
        <v>4.1749743389659942E-2</v>
      </c>
      <c r="C269" s="129">
        <f>'C_L vs. α'!X525</f>
        <v>0.12821223096247833</v>
      </c>
      <c r="D269" s="247">
        <f>'C_L vs. α'!Z525</f>
        <v>0.42084590260886801</v>
      </c>
      <c r="E269" s="144">
        <v>12</v>
      </c>
      <c r="F269" s="14">
        <f t="shared" si="381"/>
        <v>0.44164117810958148</v>
      </c>
      <c r="G269" s="6">
        <f t="shared" si="382"/>
        <v>6.5547450616068634E-2</v>
      </c>
      <c r="H269" s="14">
        <f t="shared" si="383"/>
        <v>0.44308907473993669</v>
      </c>
      <c r="I269" s="6">
        <f t="shared" si="384"/>
        <v>6.2568878088963914E-2</v>
      </c>
      <c r="J269" s="14">
        <f t="shared" si="385"/>
        <v>0.44549209814269425</v>
      </c>
      <c r="K269" s="6">
        <f t="shared" si="386"/>
        <v>6.1145508024515231E-2</v>
      </c>
      <c r="L269" s="14">
        <f t="shared" si="387"/>
        <v>0.44890909004536644</v>
      </c>
      <c r="M269" s="6">
        <f t="shared" si="388"/>
        <v>6.0341841204269331E-2</v>
      </c>
      <c r="N269" s="14">
        <f t="shared" si="389"/>
        <v>0.45341711945272534</v>
      </c>
      <c r="O269" s="6">
        <f t="shared" si="390"/>
        <v>5.9898872355802164E-2</v>
      </c>
      <c r="P269" s="14">
        <f t="shared" si="391"/>
        <v>0.45909529575471519</v>
      </c>
      <c r="Q269" s="6">
        <f t="shared" si="392"/>
        <v>6.0159355063894415E-2</v>
      </c>
      <c r="R269" s="14">
        <f t="shared" si="393"/>
        <v>0.46613365289533548</v>
      </c>
      <c r="S269" s="6">
        <f t="shared" si="394"/>
        <v>6.0183232015269393E-2</v>
      </c>
      <c r="T269" s="14">
        <f t="shared" si="395"/>
        <v>0.47468984350475074</v>
      </c>
      <c r="U269" s="6">
        <f t="shared" si="396"/>
        <v>6.041199239727281E-2</v>
      </c>
      <c r="V269" s="14">
        <f t="shared" si="397"/>
        <v>0.48500760511577268</v>
      </c>
      <c r="W269" s="6">
        <f t="shared" si="398"/>
        <v>6.0850496724607107E-2</v>
      </c>
      <c r="X269" s="14">
        <f t="shared" si="399"/>
        <v>0.49741244415646146</v>
      </c>
      <c r="Y269" s="6">
        <f t="shared" si="400"/>
        <v>6.1520166024919727E-2</v>
      </c>
      <c r="Z269" s="14">
        <f t="shared" si="401"/>
        <v>0.51234480700400831</v>
      </c>
      <c r="AA269" s="6">
        <f t="shared" si="402"/>
        <v>6.2460694377935132E-2</v>
      </c>
      <c r="AB269" s="14">
        <f t="shared" si="403"/>
        <v>0.530411870113767</v>
      </c>
      <c r="AC269" s="6">
        <f t="shared" si="404"/>
        <v>6.373583927242045E-2</v>
      </c>
      <c r="AD269" s="14">
        <f t="shared" si="405"/>
        <v>0.55248066534705131</v>
      </c>
      <c r="AE269" s="6">
        <f t="shared" si="406"/>
        <v>6.588907311416059E-2</v>
      </c>
      <c r="AF269" s="14">
        <f t="shared" si="407"/>
        <v>0.57979928454894847</v>
      </c>
      <c r="AG269" s="6">
        <f t="shared" si="408"/>
        <v>6.8185766520147517E-2</v>
      </c>
      <c r="AH269" s="14">
        <f t="shared" si="409"/>
        <v>0.61425396342456162</v>
      </c>
      <c r="AI269" s="6">
        <f t="shared" si="410"/>
        <v>7.1328780351178567E-2</v>
      </c>
      <c r="AJ269" s="14">
        <f t="shared" si="411"/>
        <v>0.65881557657614764</v>
      </c>
      <c r="AK269">
        <f t="shared" si="412"/>
        <v>8.4297996737620465E-2</v>
      </c>
      <c r="AL269" s="14">
        <f t="shared" si="413"/>
        <v>0.71856334717806958</v>
      </c>
      <c r="AM269">
        <f t="shared" si="414"/>
        <v>9.2858050297324857E-2</v>
      </c>
      <c r="AN269" s="14">
        <f t="shared" si="415"/>
        <v>0.80085016614798221</v>
      </c>
      <c r="AO269">
        <f t="shared" si="416"/>
        <v>0.10530972085833429</v>
      </c>
      <c r="AP269" s="14">
        <f t="shared" si="417"/>
        <v>0.90593709764553509</v>
      </c>
      <c r="AQ269">
        <f t="shared" si="418"/>
        <v>0.12325247026067312</v>
      </c>
    </row>
    <row r="270" spans="1:43" x14ac:dyDescent="0.25">
      <c r="A270" s="129">
        <v>0.5</v>
      </c>
      <c r="B270" s="129">
        <f>'Sub C_D_0'!AY260</f>
        <v>4.1430447837303264E-2</v>
      </c>
      <c r="C270" s="129">
        <f>'C_L vs. α'!X526</f>
        <v>0.13463685305510828</v>
      </c>
      <c r="D270" s="247">
        <f>'C_L vs. α'!Z526</f>
        <v>0.43178880504861844</v>
      </c>
      <c r="E270" s="144">
        <v>14</v>
      </c>
      <c r="F270" s="14">
        <f t="shared" si="381"/>
        <v>0.45801951477703023</v>
      </c>
      <c r="G270" s="6">
        <f t="shared" si="382"/>
        <v>6.67820401905449E-2</v>
      </c>
      <c r="H270" s="14">
        <f t="shared" si="383"/>
        <v>0.45949707825317859</v>
      </c>
      <c r="I270" s="6">
        <f t="shared" si="384"/>
        <v>6.380971249835371E-2</v>
      </c>
      <c r="J270" s="14">
        <f t="shared" si="385"/>
        <v>0.46194372702191017</v>
      </c>
      <c r="K270" s="6">
        <f t="shared" si="386"/>
        <v>6.239628064101075E-2</v>
      </c>
      <c r="L270" s="14">
        <f t="shared" si="387"/>
        <v>0.4654207159680655</v>
      </c>
      <c r="M270" s="6">
        <f t="shared" si="388"/>
        <v>6.1606638695617173E-2</v>
      </c>
      <c r="N270" s="14">
        <f t="shared" si="389"/>
        <v>0.47000714746326833</v>
      </c>
      <c r="O270" s="6">
        <f t="shared" si="390"/>
        <v>6.1182215635442537E-2</v>
      </c>
      <c r="P270" s="14">
        <f t="shared" si="391"/>
        <v>0.47578069374110726</v>
      </c>
      <c r="Q270" s="6">
        <f t="shared" si="392"/>
        <v>6.1465942569830775E-2</v>
      </c>
      <c r="R270" s="14">
        <f t="shared" si="393"/>
        <v>0.48294234162725902</v>
      </c>
      <c r="S270" s="6">
        <f t="shared" si="394"/>
        <v>6.1519316051238282E-2</v>
      </c>
      <c r="T270" s="14">
        <f t="shared" si="395"/>
        <v>0.49164973671508039</v>
      </c>
      <c r="U270" s="6">
        <f t="shared" si="396"/>
        <v>6.1784440903455175E-2</v>
      </c>
      <c r="V270" s="14">
        <f t="shared" si="397"/>
        <v>0.5021519629708191</v>
      </c>
      <c r="W270" s="6">
        <f t="shared" si="398"/>
        <v>6.2267562359522813E-2</v>
      </c>
      <c r="X270" s="14">
        <f t="shared" si="399"/>
        <v>0.51478171533472916</v>
      </c>
      <c r="Y270" s="6">
        <f t="shared" si="400"/>
        <v>6.2992003985298167E-2</v>
      </c>
      <c r="Z270" s="14">
        <f t="shared" si="401"/>
        <v>0.52998923691281841</v>
      </c>
      <c r="AA270" s="6">
        <f t="shared" si="402"/>
        <v>6.4000119651003662E-2</v>
      </c>
      <c r="AB270" s="14">
        <f t="shared" si="403"/>
        <v>0.54839527098425978</v>
      </c>
      <c r="AC270" s="6">
        <f t="shared" si="404"/>
        <v>6.5359469440827295E-2</v>
      </c>
      <c r="AD270" s="14">
        <f t="shared" si="405"/>
        <v>0.57088743122930241</v>
      </c>
      <c r="AE270" s="6">
        <f t="shared" si="406"/>
        <v>6.7619287171442929E-2</v>
      </c>
      <c r="AF270" s="14">
        <f t="shared" si="407"/>
        <v>0.598741176541846</v>
      </c>
      <c r="AG270" s="6">
        <f t="shared" si="408"/>
        <v>7.0053435582932408E-2</v>
      </c>
      <c r="AH270" s="14">
        <f t="shared" si="409"/>
        <v>0.63388248817661641</v>
      </c>
      <c r="AI270" s="6">
        <f t="shared" si="410"/>
        <v>7.3378134066554357E-2</v>
      </c>
      <c r="AJ270" s="14">
        <f t="shared" si="411"/>
        <v>0.67933780951352984</v>
      </c>
      <c r="AK270">
        <f t="shared" si="412"/>
        <v>8.7068173339664157E-2</v>
      </c>
      <c r="AL270" s="14">
        <f t="shared" si="413"/>
        <v>0.74027990462497495</v>
      </c>
      <c r="AM270">
        <f t="shared" si="414"/>
        <v>9.6053827972249012E-2</v>
      </c>
      <c r="AN270" s="14">
        <f t="shared" si="415"/>
        <v>0.82391791228227484</v>
      </c>
      <c r="AO270">
        <f t="shared" si="416"/>
        <v>0.10909043191880051</v>
      </c>
      <c r="AP270" s="14">
        <f t="shared" si="417"/>
        <v>0.92814090332340582</v>
      </c>
      <c r="AQ270">
        <f t="shared" si="418"/>
        <v>0.12736039204696098</v>
      </c>
    </row>
    <row r="271" spans="1:43" x14ac:dyDescent="0.25">
      <c r="A271" s="139">
        <v>0.55000000000000004</v>
      </c>
      <c r="B271" s="129">
        <f>'Sub C_D_0'!AY261</f>
        <v>4.1147327995485483E-2</v>
      </c>
      <c r="C271" s="129">
        <f>'C_L vs. α'!X527</f>
        <v>0.14249429118231199</v>
      </c>
      <c r="D271" s="247">
        <f>'C_L vs. α'!Z527</f>
        <v>0.44493263614763967</v>
      </c>
      <c r="E271" s="144">
        <v>16</v>
      </c>
      <c r="F271" s="14">
        <f t="shared" si="381"/>
        <v>0.47634740293111394</v>
      </c>
      <c r="G271" s="6">
        <f t="shared" si="382"/>
        <v>6.8227750617719018E-2</v>
      </c>
      <c r="H271" s="14">
        <f t="shared" si="383"/>
        <v>0.47785463325305538</v>
      </c>
      <c r="I271" s="6">
        <f t="shared" si="384"/>
        <v>6.5262357781868105E-2</v>
      </c>
      <c r="J271" s="14">
        <f t="shared" si="385"/>
        <v>0.48034490738776098</v>
      </c>
      <c r="K271" s="6">
        <f t="shared" si="386"/>
        <v>6.3859965822589307E-2</v>
      </c>
      <c r="L271" s="14">
        <f t="shared" si="387"/>
        <v>0.4838818933773994</v>
      </c>
      <c r="M271" s="6">
        <f t="shared" si="388"/>
        <v>6.3085900507915474E-2</v>
      </c>
      <c r="N271" s="14">
        <f t="shared" si="389"/>
        <v>0.48854672696044626</v>
      </c>
      <c r="O271" s="6">
        <f t="shared" si="390"/>
        <v>6.2682066709663864E-2</v>
      </c>
      <c r="P271" s="14">
        <f t="shared" si="391"/>
        <v>0.49441564321413423</v>
      </c>
      <c r="Q271" s="6">
        <f t="shared" si="392"/>
        <v>6.2991588275381524E-2</v>
      </c>
      <c r="R271" s="14">
        <f t="shared" si="393"/>
        <v>0.50170058184581745</v>
      </c>
      <c r="S271" s="6">
        <f t="shared" si="394"/>
        <v>6.3077665507370789E-2</v>
      </c>
      <c r="T271" s="14">
        <f t="shared" si="395"/>
        <v>0.51055918141204493</v>
      </c>
      <c r="U271" s="6">
        <f t="shared" si="396"/>
        <v>6.3383072689043002E-2</v>
      </c>
      <c r="V271" s="14">
        <f t="shared" si="397"/>
        <v>0.52124587231250041</v>
      </c>
      <c r="W271" s="6">
        <f t="shared" si="398"/>
        <v>6.3915565425744364E-2</v>
      </c>
      <c r="X271" s="14">
        <f t="shared" si="399"/>
        <v>0.53410053799963186</v>
      </c>
      <c r="Y271" s="6">
        <f t="shared" si="400"/>
        <v>6.4700539279142308E-2</v>
      </c>
      <c r="Z271" s="14">
        <f t="shared" si="401"/>
        <v>0.54958321830826351</v>
      </c>
      <c r="AA271" s="6">
        <f t="shared" si="402"/>
        <v>6.5783239827848242E-2</v>
      </c>
      <c r="AB271" s="14">
        <f t="shared" si="403"/>
        <v>0.56832822334138755</v>
      </c>
      <c r="AC271" s="6">
        <f t="shared" si="404"/>
        <v>6.7235353376560572E-2</v>
      </c>
      <c r="AD271" s="14">
        <f t="shared" si="405"/>
        <v>0.5912437485981884</v>
      </c>
      <c r="AE271" s="6">
        <f t="shared" si="406"/>
        <v>6.9612353337213634E-2</v>
      </c>
      <c r="AF271" s="14">
        <f t="shared" si="407"/>
        <v>0.61963262002137853</v>
      </c>
      <c r="AG271" s="6">
        <f t="shared" si="408"/>
        <v>7.219727473479777E-2</v>
      </c>
      <c r="AH271" s="14">
        <f t="shared" si="409"/>
        <v>0.6554605644153062</v>
      </c>
      <c r="AI271" s="6">
        <f t="shared" si="410"/>
        <v>7.5720727007030378E-2</v>
      </c>
      <c r="AJ271" s="14">
        <f t="shared" si="411"/>
        <v>0.70180959393754694</v>
      </c>
      <c r="AK271">
        <f t="shared" si="412"/>
        <v>9.0198967663999735E-2</v>
      </c>
      <c r="AL271" s="14">
        <f t="shared" si="413"/>
        <v>0.76394601355851532</v>
      </c>
      <c r="AM271">
        <f t="shared" si="414"/>
        <v>9.9644840111370286E-2</v>
      </c>
      <c r="AN271" s="14">
        <f t="shared" si="415"/>
        <v>0.84893520990320226</v>
      </c>
      <c r="AO271">
        <f t="shared" si="416"/>
        <v>0.11331201317650416</v>
      </c>
      <c r="AP271" s="14">
        <f t="shared" si="417"/>
        <v>0.95229426048791133</v>
      </c>
      <c r="AQ271">
        <f t="shared" si="418"/>
        <v>0.13194194609139312</v>
      </c>
    </row>
    <row r="272" spans="1:43" x14ac:dyDescent="0.25">
      <c r="A272" s="129">
        <v>0.6</v>
      </c>
      <c r="B272" s="129">
        <f>'Sub C_D_0'!AY262</f>
        <v>4.0893488457749386E-2</v>
      </c>
      <c r="C272" s="129">
        <f>'C_L vs. α'!X528</f>
        <v>0.15216936324470795</v>
      </c>
      <c r="D272" s="247">
        <f>'C_L vs. α'!Z528</f>
        <v>0.46079638800646094</v>
      </c>
      <c r="AA272" s="6"/>
    </row>
    <row r="273" spans="1:4" x14ac:dyDescent="0.25">
      <c r="A273" s="139">
        <v>0.65</v>
      </c>
      <c r="B273" s="129">
        <f>'Sub C_D_0'!AY263</f>
        <v>4.1107064705967505E-2</v>
      </c>
      <c r="C273" s="129">
        <f>'C_L vs. α'!X529</f>
        <v>0.16424100372502631</v>
      </c>
      <c r="D273" s="247">
        <f>'C_L vs. α'!Z529</f>
        <v>0.48011331066331625</v>
      </c>
    </row>
    <row r="274" spans="1:4" x14ac:dyDescent="0.25">
      <c r="A274" s="129">
        <v>0.7</v>
      </c>
      <c r="B274" s="129">
        <f>'Sub C_D_0'!AY264</f>
        <v>4.0893021687868347E-2</v>
      </c>
      <c r="C274" s="129">
        <f>'C_L vs. α'!X530</f>
        <v>0.17948008771137672</v>
      </c>
      <c r="D274" s="247">
        <f>'C_L vs. α'!Z530</f>
        <v>0.50395361014601125</v>
      </c>
    </row>
    <row r="275" spans="1:4" x14ac:dyDescent="0.25">
      <c r="A275" s="139">
        <v>0.75</v>
      </c>
      <c r="B275" s="129">
        <f>'Sub C_D_0'!AY265</f>
        <v>4.0696521171650471E-2</v>
      </c>
      <c r="C275" s="129">
        <f>'C_L vs. α'!X531</f>
        <v>0.19899767023945256</v>
      </c>
      <c r="D275" s="247">
        <f>'C_L vs. α'!Z531</f>
        <v>0.53394517608710246</v>
      </c>
    </row>
    <row r="276" spans="1:4" x14ac:dyDescent="0.25">
      <c r="A276" s="129">
        <v>0.8</v>
      </c>
      <c r="B276" s="129">
        <f>'Sub C_D_0'!AY266</f>
        <v>4.0515082615388803E-2</v>
      </c>
      <c r="C276" s="129">
        <f>'C_L vs. α'!X532</f>
        <v>0.22432034009927498</v>
      </c>
      <c r="D276" s="247">
        <f>'C_L vs. α'!Z532</f>
        <v>0.57269768603406035</v>
      </c>
    </row>
    <row r="277" spans="1:4" x14ac:dyDescent="0.25">
      <c r="A277" s="139">
        <v>0.85</v>
      </c>
      <c r="B277" s="129">
        <f>'Sub C_D_0'!AY267</f>
        <v>4.0773721952854933E-2</v>
      </c>
      <c r="C277" s="129">
        <f>'C_L vs. α'!X533</f>
        <v>0.2578718372570542</v>
      </c>
      <c r="D277" s="247">
        <f>'C_L vs. α'!Z533</f>
        <v>0.62468234732408157</v>
      </c>
    </row>
    <row r="278" spans="1:4" x14ac:dyDescent="0.25">
      <c r="A278" s="129">
        <v>0.9</v>
      </c>
      <c r="B278" s="129">
        <f>'Sub C_D_0'!AY268</f>
        <v>4.0613414500235812E-2</v>
      </c>
      <c r="C278" s="129">
        <f>'C_L vs. α'!X534</f>
        <v>0.29496555858184381</v>
      </c>
      <c r="D278" s="247">
        <f>'C_L vs. α'!Z534</f>
        <v>0.69818643982597794</v>
      </c>
    </row>
    <row r="279" spans="1:4" x14ac:dyDescent="0.25">
      <c r="A279" s="139">
        <v>0.95</v>
      </c>
      <c r="B279" s="129">
        <f>'Sub C_D_0'!AY269</f>
        <v>4.0463394374626135E-2</v>
      </c>
      <c r="C279" s="129">
        <f>'C_L vs. α'!X535</f>
        <v>0.26375575508272281</v>
      </c>
      <c r="D279" s="247">
        <f>'C_L vs. α'!Z535</f>
        <v>0.80888898429027301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83B0-B35C-4C98-B5BB-E52EC6470C47}">
  <dimension ref="A1:AQ279"/>
  <sheetViews>
    <sheetView topLeftCell="A22" zoomScale="115" zoomScaleNormal="115" workbookViewId="0">
      <selection activeCell="AB45" sqref="AB45"/>
    </sheetView>
  </sheetViews>
  <sheetFormatPr defaultRowHeight="15" x14ac:dyDescent="0.25"/>
  <cols>
    <col min="2" max="2" width="13.7109375" style="264" customWidth="1"/>
    <col min="3" max="3" width="10.42578125" style="264" customWidth="1"/>
  </cols>
  <sheetData>
    <row r="1" spans="1:43" x14ac:dyDescent="0.25">
      <c r="A1" t="s">
        <v>524</v>
      </c>
      <c r="E1" t="s">
        <v>542</v>
      </c>
      <c r="H1" t="s">
        <v>541</v>
      </c>
      <c r="I1">
        <v>0</v>
      </c>
    </row>
    <row r="2" spans="1:43" x14ac:dyDescent="0.25">
      <c r="A2" t="s">
        <v>525</v>
      </c>
      <c r="B2" s="265">
        <v>0.98499999999999999</v>
      </c>
      <c r="C2" s="264" t="s">
        <v>529</v>
      </c>
      <c r="E2" t="s">
        <v>525</v>
      </c>
      <c r="F2" s="28"/>
      <c r="G2" t="s">
        <v>529</v>
      </c>
      <c r="I2">
        <v>15</v>
      </c>
    </row>
    <row r="3" spans="1:43" x14ac:dyDescent="0.25">
      <c r="A3" t="s">
        <v>519</v>
      </c>
      <c r="B3" s="264">
        <f>B4/B5</f>
        <v>3.2258064516129031E-2</v>
      </c>
      <c r="E3" t="s">
        <v>519</v>
      </c>
      <c r="F3">
        <f>F4/F5</f>
        <v>0.27093397849462364</v>
      </c>
      <c r="I3">
        <v>30</v>
      </c>
    </row>
    <row r="4" spans="1:43" x14ac:dyDescent="0.25">
      <c r="A4" s="70" t="s">
        <v>144</v>
      </c>
      <c r="B4" s="264">
        <v>1.5</v>
      </c>
      <c r="E4" s="70" t="s">
        <v>144</v>
      </c>
      <c r="F4">
        <v>12.59843</v>
      </c>
      <c r="I4">
        <v>36</v>
      </c>
    </row>
    <row r="5" spans="1:43" x14ac:dyDescent="0.25">
      <c r="A5" s="70" t="s">
        <v>143</v>
      </c>
      <c r="B5" s="264">
        <v>46.5</v>
      </c>
      <c r="E5" s="70" t="s">
        <v>143</v>
      </c>
      <c r="F5">
        <v>46.5</v>
      </c>
      <c r="I5">
        <v>40</v>
      </c>
    </row>
    <row r="6" spans="1:43" x14ac:dyDescent="0.25">
      <c r="A6" t="s">
        <v>155</v>
      </c>
      <c r="B6" s="264">
        <f>B2*(1-B3^2)</f>
        <v>0.9839750260145681</v>
      </c>
      <c r="C6" s="264" t="s">
        <v>530</v>
      </c>
      <c r="E6" t="s">
        <v>155</v>
      </c>
      <c r="F6">
        <f>F2*(1-F3^2)</f>
        <v>0</v>
      </c>
      <c r="G6" t="s">
        <v>530</v>
      </c>
      <c r="I6">
        <v>45</v>
      </c>
    </row>
    <row r="7" spans="1:43" x14ac:dyDescent="0.25">
      <c r="A7" t="s">
        <v>526</v>
      </c>
      <c r="B7" s="264">
        <f>1/(PI()*4*B6)</f>
        <v>8.0873466746674824E-2</v>
      </c>
      <c r="C7" s="264" t="s">
        <v>531</v>
      </c>
      <c r="E7" t="s">
        <v>526</v>
      </c>
      <c r="F7" t="e">
        <f>1/(PI()*4*F6)</f>
        <v>#DIV/0!</v>
      </c>
      <c r="G7" t="s">
        <v>531</v>
      </c>
    </row>
    <row r="8" spans="1:43" x14ac:dyDescent="0.25">
      <c r="A8" t="s">
        <v>527</v>
      </c>
      <c r="B8" s="265">
        <v>0.02</v>
      </c>
      <c r="C8" s="264" t="s">
        <v>532</v>
      </c>
      <c r="E8" t="s">
        <v>527</v>
      </c>
      <c r="F8" s="28"/>
      <c r="G8" t="s">
        <v>532</v>
      </c>
    </row>
    <row r="9" spans="1:43" x14ac:dyDescent="0.25">
      <c r="A9" t="s">
        <v>528</v>
      </c>
      <c r="B9" s="264">
        <f>B7+B8</f>
        <v>0.10087346674667483</v>
      </c>
      <c r="E9" t="s">
        <v>528</v>
      </c>
      <c r="F9" t="e">
        <f>F7+F8</f>
        <v>#DIV/0!</v>
      </c>
    </row>
    <row r="10" spans="1:43" x14ac:dyDescent="0.25">
      <c r="A10" t="s">
        <v>268</v>
      </c>
      <c r="B10" s="264">
        <v>4</v>
      </c>
      <c r="D10" t="s">
        <v>416</v>
      </c>
      <c r="E10">
        <v>0.8</v>
      </c>
    </row>
    <row r="11" spans="1:43" x14ac:dyDescent="0.25">
      <c r="A11" t="s">
        <v>410</v>
      </c>
      <c r="B11" s="266">
        <v>24.1</v>
      </c>
      <c r="D11" t="s">
        <v>144</v>
      </c>
      <c r="E11" s="29">
        <v>12.5984</v>
      </c>
    </row>
    <row r="12" spans="1:43" x14ac:dyDescent="0.25">
      <c r="A12" t="s">
        <v>422</v>
      </c>
      <c r="B12" s="266">
        <v>-1</v>
      </c>
      <c r="D12" t="s">
        <v>143</v>
      </c>
      <c r="E12">
        <v>46.5</v>
      </c>
    </row>
    <row r="13" spans="1:43" x14ac:dyDescent="0.25">
      <c r="A13" t="s">
        <v>191</v>
      </c>
      <c r="B13" s="264">
        <v>100</v>
      </c>
      <c r="C13" s="264" t="s">
        <v>414</v>
      </c>
      <c r="D13" t="s">
        <v>519</v>
      </c>
      <c r="E13">
        <f>E11/E12</f>
        <v>0.2709333333333333</v>
      </c>
    </row>
    <row r="15" spans="1:43" x14ac:dyDescent="0.25">
      <c r="A15" s="122" t="s">
        <v>537</v>
      </c>
      <c r="B15" s="267" t="s">
        <v>635</v>
      </c>
    </row>
    <row r="16" spans="1:43" x14ac:dyDescent="0.25">
      <c r="A16" s="122" t="s">
        <v>202</v>
      </c>
      <c r="B16" s="268" t="s">
        <v>533</v>
      </c>
      <c r="C16" s="267" t="s">
        <v>538</v>
      </c>
      <c r="D16" s="122" t="s">
        <v>540</v>
      </c>
      <c r="F16" s="1" t="s">
        <v>536</v>
      </c>
      <c r="G16" s="140">
        <v>0.05</v>
      </c>
      <c r="H16" s="1" t="s">
        <v>536</v>
      </c>
      <c r="I16" s="140">
        <v>0.1</v>
      </c>
      <c r="J16" s="1" t="s">
        <v>536</v>
      </c>
      <c r="K16" s="140">
        <v>0.15</v>
      </c>
      <c r="L16" s="1" t="s">
        <v>536</v>
      </c>
      <c r="M16" s="140">
        <v>0.2</v>
      </c>
      <c r="N16" t="s">
        <v>536</v>
      </c>
      <c r="O16" s="141">
        <v>0.25</v>
      </c>
      <c r="P16" t="s">
        <v>536</v>
      </c>
      <c r="Q16" s="141">
        <v>0.3</v>
      </c>
      <c r="R16" t="s">
        <v>536</v>
      </c>
      <c r="S16" s="141">
        <v>0.35</v>
      </c>
      <c r="T16" t="s">
        <v>536</v>
      </c>
      <c r="U16" s="141">
        <v>0.4</v>
      </c>
      <c r="V16" t="s">
        <v>536</v>
      </c>
      <c r="W16" s="141">
        <v>0.45</v>
      </c>
      <c r="X16" t="s">
        <v>536</v>
      </c>
      <c r="Y16" s="141">
        <v>0.5</v>
      </c>
      <c r="Z16" t="s">
        <v>536</v>
      </c>
      <c r="AA16" s="141">
        <v>0.55000000000000004</v>
      </c>
      <c r="AB16" t="s">
        <v>536</v>
      </c>
      <c r="AC16" s="141">
        <v>0.6</v>
      </c>
      <c r="AD16" t="s">
        <v>536</v>
      </c>
      <c r="AE16" s="141">
        <v>0.65</v>
      </c>
      <c r="AF16" t="s">
        <v>536</v>
      </c>
      <c r="AG16" s="141">
        <v>0.7</v>
      </c>
      <c r="AH16" t="s">
        <v>536</v>
      </c>
      <c r="AI16" s="141">
        <v>0.75</v>
      </c>
      <c r="AJ16" t="s">
        <v>536</v>
      </c>
      <c r="AK16" s="141">
        <v>0.8</v>
      </c>
      <c r="AL16" t="s">
        <v>536</v>
      </c>
      <c r="AM16" s="141">
        <v>0.85</v>
      </c>
      <c r="AN16" t="s">
        <v>536</v>
      </c>
      <c r="AO16" s="141">
        <v>0.9</v>
      </c>
      <c r="AP16" t="s">
        <v>536</v>
      </c>
      <c r="AQ16" s="141">
        <v>0.95</v>
      </c>
    </row>
    <row r="17" spans="1:43" x14ac:dyDescent="0.25">
      <c r="A17" s="121" t="s">
        <v>182</v>
      </c>
      <c r="B17" s="269" t="s">
        <v>534</v>
      </c>
      <c r="C17" s="269" t="s">
        <v>535</v>
      </c>
      <c r="D17" s="248" t="s">
        <v>1126</v>
      </c>
      <c r="E17" s="121" t="s">
        <v>421</v>
      </c>
      <c r="F17" s="14" t="s">
        <v>244</v>
      </c>
      <c r="G17" s="6" t="s">
        <v>245</v>
      </c>
      <c r="H17" s="14" t="s">
        <v>244</v>
      </c>
      <c r="I17" s="6" t="s">
        <v>245</v>
      </c>
      <c r="J17" s="14" t="s">
        <v>244</v>
      </c>
      <c r="K17" s="6" t="s">
        <v>245</v>
      </c>
      <c r="L17" s="14" t="s">
        <v>244</v>
      </c>
      <c r="M17" s="6" t="s">
        <v>245</v>
      </c>
      <c r="N17" t="s">
        <v>244</v>
      </c>
      <c r="O17" t="s">
        <v>245</v>
      </c>
      <c r="P17" t="s">
        <v>244</v>
      </c>
      <c r="Q17" t="s">
        <v>245</v>
      </c>
      <c r="R17" t="s">
        <v>244</v>
      </c>
      <c r="S17" t="s">
        <v>245</v>
      </c>
      <c r="T17" t="s">
        <v>244</v>
      </c>
      <c r="U17" t="s">
        <v>245</v>
      </c>
      <c r="V17" t="s">
        <v>244</v>
      </c>
      <c r="W17" t="s">
        <v>245</v>
      </c>
      <c r="X17" t="s">
        <v>244</v>
      </c>
      <c r="Y17" t="s">
        <v>245</v>
      </c>
      <c r="Z17" t="s">
        <v>244</v>
      </c>
      <c r="AA17" t="s">
        <v>245</v>
      </c>
      <c r="AB17" t="s">
        <v>244</v>
      </c>
      <c r="AC17" t="s">
        <v>245</v>
      </c>
      <c r="AD17" t="s">
        <v>244</v>
      </c>
      <c r="AE17" t="s">
        <v>245</v>
      </c>
      <c r="AF17" t="s">
        <v>244</v>
      </c>
      <c r="AG17" t="s">
        <v>245</v>
      </c>
      <c r="AH17" t="s">
        <v>244</v>
      </c>
      <c r="AI17" t="s">
        <v>245</v>
      </c>
      <c r="AJ17" t="s">
        <v>244</v>
      </c>
      <c r="AK17" t="s">
        <v>245</v>
      </c>
      <c r="AL17" t="s">
        <v>244</v>
      </c>
      <c r="AM17" t="s">
        <v>245</v>
      </c>
      <c r="AN17" t="s">
        <v>244</v>
      </c>
      <c r="AO17" t="s">
        <v>245</v>
      </c>
      <c r="AP17" t="s">
        <v>244</v>
      </c>
      <c r="AQ17" t="s">
        <v>245</v>
      </c>
    </row>
    <row r="18" spans="1:43" x14ac:dyDescent="0.25">
      <c r="A18" s="129">
        <v>0</v>
      </c>
      <c r="B18" s="270" t="e">
        <f>'Sub C_D_0'!AZ10+'Sub C_D_0'!V10</f>
        <v>#DIV/0!</v>
      </c>
      <c r="C18" s="270" t="e">
        <f>'C_L vs. α'!Y316</f>
        <v>#NUM!</v>
      </c>
      <c r="D18" s="247">
        <f>'C_L vs. α'!AC316+'C_L vs. α'!AE316</f>
        <v>0.7235553516634099</v>
      </c>
      <c r="E18" s="144">
        <v>-6</v>
      </c>
      <c r="F18" s="14">
        <f>$D$19+(E18-$B$12)*$C$19</f>
        <v>0.19346102406601906</v>
      </c>
      <c r="G18" s="6">
        <f>$B$19+$B$7*F18^2+$B$8*(F18-F$21)^2</f>
        <v>8.5809500122742716E-2</v>
      </c>
      <c r="H18" s="14">
        <f>$D$20+(E18-$B$12)*$C$20</f>
        <v>0.19158853722055569</v>
      </c>
      <c r="I18" s="6">
        <f>$B$20+$B$7*H18^2+$B$8*(H18-H$21)^2</f>
        <v>8.1650317268290182E-2</v>
      </c>
      <c r="J18" s="14">
        <f>$D$21+(E18-$B$12)*$C$21</f>
        <v>0.18935372934434302</v>
      </c>
      <c r="K18" s="6">
        <f>$B$21+$B$7*J18^2+$B$8*(J18-J$21)^2</f>
        <v>7.9595528506041749E-2</v>
      </c>
      <c r="L18" s="14">
        <f>$D$22+(E18-$B$12)*$C$22</f>
        <v>0.18649267511660694</v>
      </c>
      <c r="M18" s="6">
        <f>$B$22+$B$7*L18^2+$B$8*(L18-L$21)^2</f>
        <v>7.8347658238993936E-2</v>
      </c>
      <c r="N18" s="14">
        <f>$D$23+(E18-$B$12)*$C$23</f>
        <v>0.18283504641376858</v>
      </c>
      <c r="O18" s="6">
        <f>$B$23+$B$7*N18^2+$B$8*(N18-N$21)^2</f>
        <v>7.7548327524883054E-2</v>
      </c>
      <c r="P18" s="14">
        <f>$D$24+(E18-$B$12)*$C$24</f>
        <v>0.1787542188512854</v>
      </c>
      <c r="Q18" s="6">
        <f>$B$24+$B$7*P18^2+$B$8*(P18-P$21)^2</f>
        <v>7.7545235644594923E-2</v>
      </c>
      <c r="R18" s="14">
        <f>$D$25+(E18-$B$12)*$C$25</f>
        <v>0.17290638046434181</v>
      </c>
      <c r="S18" s="6">
        <f>$B$25+$B$7*R18^2+$B$8*(R18-R$21)^2</f>
        <v>7.7292019947412E-2</v>
      </c>
      <c r="T18" s="14">
        <f>$D$26+(E18-$B$12)*$C$26</f>
        <v>0.1655912058545842</v>
      </c>
      <c r="U18" s="6">
        <f>$B$26+$B$7*T18^2+$B$8*(T18-T$21)^2</f>
        <v>7.7272549209400423E-2</v>
      </c>
      <c r="V18" s="14">
        <f>$D$27+(E18-$B$12)*$C$27</f>
        <v>0.15643867515813725</v>
      </c>
      <c r="W18" s="6">
        <f>$B$27+$B$7*V18^2+$B$8*(V18-V$21)^2</f>
        <v>7.749772144291546E-2</v>
      </c>
      <c r="X18" s="14">
        <f>$D$28+(E18-$B$12)*$C$28</f>
        <v>0.14494709639914938</v>
      </c>
      <c r="Y18" s="6">
        <f>$B$28+$B$7*X18^2+$B$8*(X18-X$21)^2</f>
        <v>7.800687853760796E-2</v>
      </c>
      <c r="Z18" s="14">
        <f>$D$29+(E18-$B$12)*$C$29</f>
        <v>0.13042675586391261</v>
      </c>
      <c r="AA18" s="6">
        <f>$B$29+$B$7*Z18^2+$B$8*(Z18-Z$21)^2</f>
        <v>7.8875266607229072E-2</v>
      </c>
      <c r="AB18" s="14">
        <f>$D$30+(E18-$B$12)*$C$30</f>
        <v>0.11191727395813733</v>
      </c>
      <c r="AC18" s="6">
        <f>$B$30+$B$7*AB18^2+$B$8*(AB18-AB$21)^2</f>
        <v>8.0231468595956396E-2</v>
      </c>
      <c r="AD18" s="14">
        <f>$D$31+(E18-$B$12)*$C$31</f>
        <v>8.7859232487225714E-2</v>
      </c>
      <c r="AE18" s="6">
        <f>$B$31+$B$7*AD18^2+$B$8*(AD18-AD$21)^2</f>
        <v>8.2783258839482829E-2</v>
      </c>
      <c r="AF18" s="14">
        <f>$D$32+(E18-$B$12)*$C$32</f>
        <v>5.6359465274402942E-2</v>
      </c>
      <c r="AG18" s="6">
        <f>$B$32+$B$7*AF18^2+$B$8*(AF18-AF$21)^2</f>
        <v>8.5925692493154474E-2</v>
      </c>
      <c r="AH18" s="14">
        <f>$D$33+(E18-$B$12)*$C$33</f>
        <v>1.4807919541141024E-2</v>
      </c>
      <c r="AI18" s="6">
        <f>$B$33+$B$7*AH18^2+$B$8*(AH18-AH$21)^2</f>
        <v>9.0790388171054975E-2</v>
      </c>
      <c r="AJ18" s="14">
        <f>$D$34+(E18-$B$12)*$C$34</f>
        <v>-3.9812549166628131E-2</v>
      </c>
      <c r="AK18">
        <f>$B$34+$B$9*AJ18^2</f>
        <v>6.2095170469219543E-2</v>
      </c>
      <c r="AL18" s="14">
        <f>$D$35+(E18-$B$12)*$C$35</f>
        <v>-0.11243261942323723</v>
      </c>
      <c r="AM18">
        <f>$B$35+$B$9*AL18^2</f>
        <v>6.3452649784899035E-2</v>
      </c>
      <c r="AN18" s="14">
        <f>$D$36+(E18-$B$12)*$C$36</f>
        <v>-0.16676594374960296</v>
      </c>
      <c r="AO18">
        <f>$B$36+$B$9*AN18^2</f>
        <v>6.476971262753474E-2</v>
      </c>
      <c r="AP18" s="14">
        <f>$D$37+(E18-$B$12)*$C$37</f>
        <v>0.16664516131525198</v>
      </c>
      <c r="AQ18">
        <f>$B$37+$B$9*AP18^2</f>
        <v>6.4566247102850666E-2</v>
      </c>
    </row>
    <row r="19" spans="1:43" x14ac:dyDescent="0.25">
      <c r="A19" s="139">
        <v>0.05</v>
      </c>
      <c r="B19" s="275">
        <f>'Sub C_D_0'!AZ11+'Sub C_D_0'!V11</f>
        <v>7.4665782677709389E-2</v>
      </c>
      <c r="C19" s="275">
        <f>'C_L vs. α'!Y317</f>
        <v>0.10617629882976769</v>
      </c>
      <c r="D19" s="247">
        <f>'C_L vs. α'!AC317+'C_L vs. α'!AE317</f>
        <v>0.72434251821485751</v>
      </c>
      <c r="E19" s="144">
        <v>-4</v>
      </c>
      <c r="F19" s="14">
        <f t="shared" ref="F19:F29" si="0">$D$19+(E19-$B$12)*$C$19</f>
        <v>0.40581362172555446</v>
      </c>
      <c r="G19" s="6">
        <f t="shared" ref="G19:G29" si="1">$B$19+$B$7*F19^2+$B$8*(F19-F$21)^2</f>
        <v>9.1591894987844161E-2</v>
      </c>
      <c r="H19" s="14">
        <f t="shared" ref="H19:H29" si="2">$D$20+(E19-$B$12)*$C$20</f>
        <v>0.40564091993550261</v>
      </c>
      <c r="I19" s="6">
        <f t="shared" ref="I19:I29" si="3">$B$20+$B$7*H19^2+$B$8*(H19-H$21)^2</f>
        <v>8.740720866139659E-2</v>
      </c>
      <c r="J19" s="14">
        <f t="shared" ref="J19:J29" si="4">$D$21+(E19-$B$12)*$C$21</f>
        <v>0.40590566140931378</v>
      </c>
      <c r="K19" s="6">
        <f t="shared" ref="K19:K29" si="5">$B$21+$B$7*J19^2+$B$8*(J19-J$21)^2</f>
        <v>8.5331014126128063E-2</v>
      </c>
      <c r="L19" s="14">
        <f t="shared" ref="L19:L29" si="6">$D$22+(E19-$B$12)*$C$22</f>
        <v>0.40648218455642393</v>
      </c>
      <c r="M19" s="6">
        <f t="shared" ref="M19:M29" si="7">$B$22+$B$7*L19^2+$B$8*(L19-L$21)^2</f>
        <v>8.4057921899023613E-2</v>
      </c>
      <c r="N19" s="14">
        <f t="shared" ref="N19:N29" si="8">$D$23+(E19-$B$12)*$C$23</f>
        <v>0.40731666459206084</v>
      </c>
      <c r="O19" s="6">
        <f t="shared" ref="O19:O29" si="9">$B$23+$B$7*N19^2+$B$8*(N19-N$21)^2</f>
        <v>8.3223100031488209E-2</v>
      </c>
      <c r="P19" s="14">
        <f t="shared" ref="P19:P29" si="10">$D$24+(E19-$B$12)*$C$24</f>
        <v>0.40870013413799161</v>
      </c>
      <c r="Q19" s="6">
        <f t="shared" ref="Q19:Q29" si="11">$B$24+$B$7*P19^2+$B$8*(P19-P$21)^2</f>
        <v>8.3182331831606268E-2</v>
      </c>
      <c r="R19" s="14">
        <f t="shared" ref="R19:R29" si="12">$D$25+(E19-$B$12)*$C$25</f>
        <v>0.40991633512302189</v>
      </c>
      <c r="S19" s="6">
        <f t="shared" ref="S19:S29" si="13">$B$25+$B$7*R19^2+$B$8*(R19-R$21)^2</f>
        <v>8.2846087059915793E-2</v>
      </c>
      <c r="T19" s="14">
        <f t="shared" ref="T19:T29" si="14">$D$26+(E19-$B$12)*$C$26</f>
        <v>0.41126453896941118</v>
      </c>
      <c r="U19" s="6">
        <f t="shared" ref="U19:U29" si="15">$B$26+$B$7*T19^2+$B$8*(T19-T$21)^2</f>
        <v>8.269824245826847E-2</v>
      </c>
      <c r="V19" s="14">
        <f t="shared" ref="V19:V29" si="16">$D$27+(E19-$B$12)*$C$27</f>
        <v>0.41268105388461751</v>
      </c>
      <c r="W19" s="6">
        <f t="shared" ref="W19:W29" si="17">$B$27+$B$7*V19^2+$B$8*(V19-V$21)^2</f>
        <v>8.2725693150079757E-2</v>
      </c>
      <c r="X19" s="14">
        <f t="shared" ref="X19:X29" si="18">$D$28+(E19-$B$12)*$C$28</f>
        <v>0.41407605930247116</v>
      </c>
      <c r="Y19" s="6">
        <f t="shared" ref="Y19:Y29" si="19">$B$28+$B$7*X19^2+$B$8*(X19-X$21)^2</f>
        <v>8.2931196920842637E-2</v>
      </c>
      <c r="Z19" s="14">
        <f t="shared" ref="Z19:Z28" si="20">$D$29+(E19-$B$12)*$C$29</f>
        <v>0.41532115272349157</v>
      </c>
      <c r="AA19" s="6">
        <f t="shared" ref="AA19:AA29" si="21">$B$29+$B$7*Z19^2+$B$8*(Z19-Z$21)^2</f>
        <v>8.3333033636452919E-2</v>
      </c>
      <c r="AB19" s="14">
        <f t="shared" ref="AB19:AB29" si="22">$D$30+(E19-$B$12)*$C$30</f>
        <v>0.41623327629962437</v>
      </c>
      <c r="AC19" s="6">
        <f t="shared" ref="AC19:AC29" si="23">$B$30+$B$7*AB19^2+$B$8*(AB19-AB$21)^2</f>
        <v>8.3969006444410021E-2</v>
      </c>
      <c r="AD19" s="14">
        <f t="shared" ref="AD19:AD29" si="24">$D$31+(E19-$B$12)*$C$31</f>
        <v>0.41643226319596993</v>
      </c>
      <c r="AE19" s="6">
        <f t="shared" ref="AE19:AE29" si="25">$B$31+$B$7*AD19^2+$B$8*(AD19-AD$21)^2</f>
        <v>8.5387692453471789E-2</v>
      </c>
      <c r="AF19" s="14">
        <f t="shared" ref="AF19:AF29" si="26">$D$32+(E19-$B$12)*$C$32</f>
        <v>0.41559296363044174</v>
      </c>
      <c r="AG19" s="6">
        <f t="shared" ref="AG19:AG29" si="27">$B$32+$B$7*AF19^2+$B$8*(AF19-AF$21)^2</f>
        <v>8.6732200158834316E-2</v>
      </c>
      <c r="AH19" s="14">
        <f t="shared" ref="AH19:AH29" si="28">$D$33+(E19-$B$12)*$C$33</f>
        <v>0.41338257707231185</v>
      </c>
      <c r="AI19" s="6">
        <f t="shared" ref="AI19:AI29" si="29">$B$33+$B$7*AH19^2+$B$8*(AH19-AH$21)^2</f>
        <v>8.8706553823559423E-2</v>
      </c>
      <c r="AJ19" s="14">
        <f t="shared" ref="AJ19:AJ29" si="30">$D$34+(E19-$B$12)*$C$34</f>
        <v>0.40996781550009787</v>
      </c>
      <c r="AK19">
        <f t="shared" ref="AK19:AK29" si="31">$B$34+$B$9*AJ19^2</f>
        <v>7.8889449766883085E-2</v>
      </c>
      <c r="AL19" s="14">
        <f t="shared" ref="AL19:AL29" si="32">$D$35+(E19-$B$12)*$C$35</f>
        <v>0.40577749900819982</v>
      </c>
      <c r="AM19">
        <f t="shared" ref="AM19:AM29" si="33">$B$35+$B$9*AL19^2</f>
        <v>7.8786857686781425E-2</v>
      </c>
      <c r="AN19" s="14">
        <f t="shared" ref="AN19:AN29" si="34">$D$36+(E19-$B$12)*$C$36</f>
        <v>0.42886158379493799</v>
      </c>
      <c r="AO19">
        <f t="shared" ref="AO19:AO29" si="35">$B$36+$B$9*AN19^2</f>
        <v>8.0517208531088763E-2</v>
      </c>
      <c r="AP19" s="14">
        <f t="shared" ref="AP19:AP29" si="36">$D$37+(E19-$B$12)*$C$37</f>
        <v>0.71277254695621328</v>
      </c>
      <c r="AQ19">
        <f t="shared" ref="AQ19:AQ29" si="37">$B$37+$B$9*AP19^2</f>
        <v>0.11301315994363187</v>
      </c>
    </row>
    <row r="20" spans="1:43" x14ac:dyDescent="0.25">
      <c r="A20" s="129">
        <v>0.1</v>
      </c>
      <c r="B20" s="275">
        <f>'Sub C_D_0'!AZ12+'Sub C_D_0'!V12</f>
        <v>7.0434446185683397E-2</v>
      </c>
      <c r="C20" s="275">
        <f>'C_L vs. α'!Y318</f>
        <v>0.10702619135747343</v>
      </c>
      <c r="D20" s="247">
        <f>'C_L vs. α'!AC318+'C_L vs. α'!AE318</f>
        <v>0.72671949400792291</v>
      </c>
      <c r="E20" s="144">
        <v>-2</v>
      </c>
      <c r="F20" s="14">
        <f t="shared" si="0"/>
        <v>0.61816621938508987</v>
      </c>
      <c r="G20" s="6">
        <f t="shared" si="1"/>
        <v>0.10647179056462523</v>
      </c>
      <c r="H20" s="14">
        <f t="shared" si="2"/>
        <v>0.61969330265044942</v>
      </c>
      <c r="I20" s="6">
        <f t="shared" si="3"/>
        <v>0.10240782630065019</v>
      </c>
      <c r="J20" s="14">
        <f t="shared" si="4"/>
        <v>0.62245759347428453</v>
      </c>
      <c r="K20" s="6">
        <f t="shared" si="5"/>
        <v>0.10052736959314072</v>
      </c>
      <c r="L20" s="14">
        <f t="shared" si="6"/>
        <v>0.62647169399624092</v>
      </c>
      <c r="M20" s="6">
        <f t="shared" si="7"/>
        <v>9.9531805929461106E-2</v>
      </c>
      <c r="N20" s="14">
        <f t="shared" si="8"/>
        <v>0.63179828277035321</v>
      </c>
      <c r="O20" s="6">
        <f t="shared" si="9"/>
        <v>9.9064303385263577E-2</v>
      </c>
      <c r="P20" s="14">
        <f t="shared" si="10"/>
        <v>0.63864604942469771</v>
      </c>
      <c r="Q20" s="6">
        <f t="shared" si="11"/>
        <v>9.9486822135031405E-2</v>
      </c>
      <c r="R20" s="14">
        <f t="shared" si="12"/>
        <v>0.64692628978170186</v>
      </c>
      <c r="S20" s="6">
        <f t="shared" si="13"/>
        <v>9.9733029644362592E-2</v>
      </c>
      <c r="T20" s="14">
        <f t="shared" si="14"/>
        <v>0.65693787208423815</v>
      </c>
      <c r="U20" s="6">
        <f t="shared" si="15"/>
        <v>0.10030044987424841</v>
      </c>
      <c r="V20" s="14">
        <f t="shared" si="16"/>
        <v>0.66892343261109777</v>
      </c>
      <c r="W20" s="6">
        <f t="shared" si="17"/>
        <v>0.10120040011516494</v>
      </c>
      <c r="X20" s="14">
        <f t="shared" si="18"/>
        <v>0.68320502220579304</v>
      </c>
      <c r="Y20" s="6">
        <f t="shared" si="19"/>
        <v>0.10246812612814007</v>
      </c>
      <c r="Z20" s="14">
        <f t="shared" si="20"/>
        <v>0.70021554958307053</v>
      </c>
      <c r="AA20" s="6">
        <f t="shared" si="21"/>
        <v>0.1041655536760047</v>
      </c>
      <c r="AB20" s="14">
        <f t="shared" si="22"/>
        <v>0.72054927864111151</v>
      </c>
      <c r="AC20" s="6">
        <f t="shared" si="23"/>
        <v>0.10638997056657541</v>
      </c>
      <c r="AD20" s="14">
        <f t="shared" si="24"/>
        <v>0.74500529390471426</v>
      </c>
      <c r="AE20" s="6">
        <f t="shared" si="25"/>
        <v>0.1097727727223944</v>
      </c>
      <c r="AF20" s="14">
        <f t="shared" si="26"/>
        <v>0.77482646198648064</v>
      </c>
      <c r="AG20" s="6">
        <f t="shared" si="27"/>
        <v>0.11357388860011851</v>
      </c>
      <c r="AH20" s="14">
        <f t="shared" si="28"/>
        <v>0.81195723460348246</v>
      </c>
      <c r="AI20" s="6">
        <f t="shared" si="29"/>
        <v>0.11867259192649128</v>
      </c>
      <c r="AJ20" s="14">
        <f t="shared" si="30"/>
        <v>0.85974818016682397</v>
      </c>
      <c r="AK20">
        <f t="shared" si="31"/>
        <v>0.13649761314968006</v>
      </c>
      <c r="AL20" s="14">
        <f t="shared" si="32"/>
        <v>0.92398761743963698</v>
      </c>
      <c r="AM20">
        <f t="shared" si="33"/>
        <v>0.14829853549459565</v>
      </c>
      <c r="AN20" s="14">
        <f t="shared" si="34"/>
        <v>1.024489111339479</v>
      </c>
      <c r="AO20">
        <f t="shared" si="35"/>
        <v>0.16783889810249067</v>
      </c>
      <c r="AP20" s="14">
        <f t="shared" si="36"/>
        <v>1.2588999325971746</v>
      </c>
      <c r="AQ20">
        <f t="shared" si="37"/>
        <v>0.2216321289148635</v>
      </c>
    </row>
    <row r="21" spans="1:43" s="29" customFormat="1" x14ac:dyDescent="0.25">
      <c r="A21" s="139">
        <v>0.15</v>
      </c>
      <c r="B21" s="275">
        <f>'Sub C_D_0'!AZ13+'Sub C_D_0'!V13</f>
        <v>6.8254770644200158E-2</v>
      </c>
      <c r="C21" s="275">
        <f>'C_L vs. α'!Y319</f>
        <v>0.10827596603248536</v>
      </c>
      <c r="D21" s="247">
        <f>'C_L vs. α'!AC319+'C_L vs. α'!AE319</f>
        <v>0.73073355950676988</v>
      </c>
      <c r="E21" s="143">
        <v>0</v>
      </c>
      <c r="F21" s="14">
        <f t="shared" si="0"/>
        <v>0.83051881704462516</v>
      </c>
      <c r="G21" s="21">
        <f t="shared" si="1"/>
        <v>0.1304491868530859</v>
      </c>
      <c r="H21" s="83">
        <f t="shared" si="2"/>
        <v>0.83374568536539639</v>
      </c>
      <c r="I21" s="21">
        <f>$B$20+$B$7*H21^2+$B$8*(H21-H$21)^2</f>
        <v>0.12665217018605096</v>
      </c>
      <c r="J21" s="83">
        <f t="shared" si="4"/>
        <v>0.83900952553925523</v>
      </c>
      <c r="K21" s="21">
        <f t="shared" si="5"/>
        <v>0.12518459490707973</v>
      </c>
      <c r="L21" s="83">
        <f t="shared" si="6"/>
        <v>0.84646120343605791</v>
      </c>
      <c r="M21" s="21">
        <f t="shared" si="7"/>
        <v>0.12476931033030642</v>
      </c>
      <c r="N21" s="83">
        <f t="shared" si="8"/>
        <v>0.85627990094864548</v>
      </c>
      <c r="O21" s="21">
        <f t="shared" si="9"/>
        <v>0.12507193758620916</v>
      </c>
      <c r="P21" s="83">
        <f t="shared" si="10"/>
        <v>0.86859196471140399</v>
      </c>
      <c r="Q21" s="21">
        <f t="shared" si="11"/>
        <v>0.12645870655487032</v>
      </c>
      <c r="R21" s="83">
        <f t="shared" si="12"/>
        <v>0.88393624444038199</v>
      </c>
      <c r="S21" s="21">
        <f t="shared" si="13"/>
        <v>0.12795284770075244</v>
      </c>
      <c r="T21" s="83">
        <f t="shared" si="14"/>
        <v>0.90261120519906524</v>
      </c>
      <c r="U21" s="21">
        <f t="shared" si="15"/>
        <v>0.13007917145734027</v>
      </c>
      <c r="V21" s="83">
        <f t="shared" si="16"/>
        <v>0.92516581133757803</v>
      </c>
      <c r="W21" s="21">
        <f t="shared" si="17"/>
        <v>0.13292184233817106</v>
      </c>
      <c r="X21" s="83">
        <f t="shared" si="18"/>
        <v>0.95233398510911482</v>
      </c>
      <c r="Y21" s="21">
        <f t="shared" si="19"/>
        <v>0.13661766615950027</v>
      </c>
      <c r="Z21" s="83">
        <f t="shared" si="20"/>
        <v>0.98510994644264949</v>
      </c>
      <c r="AA21" s="21">
        <f t="shared" si="21"/>
        <v>0.14137282672588436</v>
      </c>
      <c r="AB21" s="83">
        <f t="shared" si="22"/>
        <v>1.0248652809825987</v>
      </c>
      <c r="AC21" s="21">
        <f t="shared" si="23"/>
        <v>0.14749436096245258</v>
      </c>
      <c r="AD21" s="83">
        <f t="shared" si="24"/>
        <v>1.0735783246134585</v>
      </c>
      <c r="AE21" s="21">
        <f t="shared" si="25"/>
        <v>0.15593849964625062</v>
      </c>
      <c r="AF21" s="83">
        <f t="shared" si="26"/>
        <v>1.1340599603425194</v>
      </c>
      <c r="AG21" s="21">
        <f t="shared" si="27"/>
        <v>0.16645075781700708</v>
      </c>
      <c r="AH21" s="83">
        <f t="shared" si="28"/>
        <v>1.2105318921346533</v>
      </c>
      <c r="AI21" s="21">
        <f t="shared" si="29"/>
        <v>0.18068850247985058</v>
      </c>
      <c r="AJ21" s="83">
        <f t="shared" si="30"/>
        <v>1.3095285448335501</v>
      </c>
      <c r="AK21" s="99">
        <f t="shared" si="31"/>
        <v>0.23491966061761044</v>
      </c>
      <c r="AL21" s="83">
        <f t="shared" si="32"/>
        <v>1.442197735871074</v>
      </c>
      <c r="AM21" s="99">
        <f t="shared" si="33"/>
        <v>0.2719876832083416</v>
      </c>
      <c r="AN21" s="83">
        <f t="shared" si="34"/>
        <v>1.6201166388840202</v>
      </c>
      <c r="AO21" s="99">
        <f t="shared" si="35"/>
        <v>0.32673478134174061</v>
      </c>
      <c r="AP21" s="83">
        <f t="shared" si="36"/>
        <v>1.8050273182381362</v>
      </c>
      <c r="AQ21" s="99">
        <f t="shared" si="37"/>
        <v>0.3904231540165457</v>
      </c>
    </row>
    <row r="22" spans="1:43" x14ac:dyDescent="0.25">
      <c r="A22" s="129">
        <v>0.2</v>
      </c>
      <c r="B22" s="275">
        <f>'Sub C_D_0'!AZ14+'Sub C_D_0'!V14</f>
        <v>6.6823748889452528E-2</v>
      </c>
      <c r="C22" s="275">
        <f>'C_L vs. α'!Y320</f>
        <v>0.10999475471990849</v>
      </c>
      <c r="D22" s="247">
        <f>'C_L vs. α'!AC320+'C_L vs. α'!AE320</f>
        <v>0.73646644871614941</v>
      </c>
      <c r="E22" s="144">
        <v>2</v>
      </c>
      <c r="F22" s="14">
        <f t="shared" si="0"/>
        <v>1.0428714147041607</v>
      </c>
      <c r="G22" s="6">
        <f t="shared" si="1"/>
        <v>0.16352408385322623</v>
      </c>
      <c r="H22" s="14">
        <f t="shared" si="2"/>
        <v>1.0477980680803431</v>
      </c>
      <c r="I22" s="6">
        <f t="shared" si="3"/>
        <v>0.16014024031759888</v>
      </c>
      <c r="J22" s="14">
        <f t="shared" si="4"/>
        <v>1.055561457604226</v>
      </c>
      <c r="K22" s="6">
        <f t="shared" si="5"/>
        <v>0.15930269006794504</v>
      </c>
      <c r="L22" s="14">
        <f t="shared" si="6"/>
        <v>1.0664507128758749</v>
      </c>
      <c r="M22" s="6">
        <f t="shared" si="7"/>
        <v>0.15977043510155955</v>
      </c>
      <c r="N22" s="14">
        <f t="shared" si="8"/>
        <v>1.0807615191269377</v>
      </c>
      <c r="O22" s="6">
        <f t="shared" si="9"/>
        <v>0.1612460026343249</v>
      </c>
      <c r="P22" s="14">
        <f t="shared" si="10"/>
        <v>1.09853787999811</v>
      </c>
      <c r="Q22" s="6">
        <f t="shared" si="11"/>
        <v>0.164097985091123</v>
      </c>
      <c r="R22" s="14">
        <f t="shared" si="12"/>
        <v>1.1209461990990619</v>
      </c>
      <c r="S22" s="6">
        <f t="shared" si="13"/>
        <v>0.16750554122908526</v>
      </c>
      <c r="T22" s="14">
        <f t="shared" si="14"/>
        <v>1.1482845383138922</v>
      </c>
      <c r="U22" s="6">
        <f t="shared" si="15"/>
        <v>0.17203440720754404</v>
      </c>
      <c r="V22" s="14">
        <f t="shared" si="16"/>
        <v>1.1814081900640583</v>
      </c>
      <c r="W22" s="6">
        <f t="shared" si="17"/>
        <v>0.17789001981909802</v>
      </c>
      <c r="X22" s="14">
        <f t="shared" si="18"/>
        <v>1.2214629480124368</v>
      </c>
      <c r="Y22" s="6">
        <f t="shared" si="19"/>
        <v>0.18537981701492331</v>
      </c>
      <c r="Z22" s="14">
        <f t="shared" si="20"/>
        <v>1.2700043433022286</v>
      </c>
      <c r="AA22" s="6">
        <f t="shared" si="21"/>
        <v>0.19495485278609201</v>
      </c>
      <c r="AB22" s="14">
        <f t="shared" si="22"/>
        <v>1.3291812833240857</v>
      </c>
      <c r="AC22" s="6">
        <f t="shared" si="23"/>
        <v>0.20728217763204146</v>
      </c>
      <c r="AD22" s="14">
        <f t="shared" si="24"/>
        <v>1.4021513553222027</v>
      </c>
      <c r="AE22" s="6">
        <f t="shared" si="25"/>
        <v>0.22388487322504041</v>
      </c>
      <c r="AF22" s="14">
        <f t="shared" si="26"/>
        <v>1.4932934586985582</v>
      </c>
      <c r="AG22" s="6">
        <f t="shared" si="27"/>
        <v>0.24536280780950001</v>
      </c>
      <c r="AH22" s="14">
        <f t="shared" si="28"/>
        <v>1.6091065496658239</v>
      </c>
      <c r="AI22" s="6">
        <f t="shared" si="29"/>
        <v>0.27475428548363723</v>
      </c>
      <c r="AJ22" s="14">
        <f t="shared" si="30"/>
        <v>1.7593089095002761</v>
      </c>
      <c r="AK22">
        <f t="shared" si="31"/>
        <v>0.37415559217067423</v>
      </c>
      <c r="AL22" s="14">
        <f t="shared" si="32"/>
        <v>1.9604078543025114</v>
      </c>
      <c r="AM22">
        <f t="shared" si="33"/>
        <v>0.44985430082801958</v>
      </c>
      <c r="AN22" s="14">
        <f t="shared" si="34"/>
        <v>2.2157441664285611</v>
      </c>
      <c r="AO22">
        <f t="shared" si="35"/>
        <v>0.55720485824883825</v>
      </c>
      <c r="AP22" s="14">
        <f t="shared" si="36"/>
        <v>2.3511547038790974</v>
      </c>
      <c r="AQ22">
        <f t="shared" si="37"/>
        <v>0.61938623524867831</v>
      </c>
    </row>
    <row r="23" spans="1:43" x14ac:dyDescent="0.25">
      <c r="A23" s="139">
        <v>0.25</v>
      </c>
      <c r="B23" s="275">
        <f>'Sub C_D_0'!AZ15+'Sub C_D_0'!V15</f>
        <v>6.5774276929295744E-2</v>
      </c>
      <c r="C23" s="275">
        <f>'C_L vs. α'!Y321</f>
        <v>0.11224080908914616</v>
      </c>
      <c r="D23" s="247">
        <f>'C_L vs. α'!AC321+'C_L vs. α'!AE321</f>
        <v>0.74403909185949935</v>
      </c>
      <c r="E23" s="144">
        <v>4</v>
      </c>
      <c r="F23" s="14">
        <f t="shared" si="0"/>
        <v>1.255224012363696</v>
      </c>
      <c r="G23" s="6">
        <f t="shared" si="1"/>
        <v>0.20569648156504616</v>
      </c>
      <c r="H23" s="14">
        <f t="shared" si="2"/>
        <v>1.2618504507952901</v>
      </c>
      <c r="I23" s="6">
        <f t="shared" si="3"/>
        <v>0.20287203669529402</v>
      </c>
      <c r="J23" s="14">
        <f t="shared" si="4"/>
        <v>1.2721133896691967</v>
      </c>
      <c r="K23" s="6">
        <f t="shared" si="5"/>
        <v>0.20288165507573674</v>
      </c>
      <c r="L23" s="14">
        <f t="shared" si="6"/>
        <v>1.2864402223156919</v>
      </c>
      <c r="M23" s="6">
        <f t="shared" si="7"/>
        <v>0.20453518024322054</v>
      </c>
      <c r="N23" s="14">
        <f t="shared" si="8"/>
        <v>1.3052431373052302</v>
      </c>
      <c r="O23" s="6">
        <f t="shared" si="9"/>
        <v>0.20758649852961095</v>
      </c>
      <c r="P23" s="14">
        <f t="shared" si="10"/>
        <v>1.3284837952848163</v>
      </c>
      <c r="Q23" s="6">
        <f t="shared" si="11"/>
        <v>0.21240465774378947</v>
      </c>
      <c r="R23" s="14">
        <f t="shared" si="12"/>
        <v>1.357956153757742</v>
      </c>
      <c r="S23" s="6">
        <f t="shared" si="13"/>
        <v>0.21839111022936114</v>
      </c>
      <c r="T23" s="14">
        <f t="shared" si="14"/>
        <v>1.3939578714287193</v>
      </c>
      <c r="U23" s="6">
        <f t="shared" si="15"/>
        <v>0.22616615712485974</v>
      </c>
      <c r="V23" s="14">
        <f t="shared" si="16"/>
        <v>1.4376505687905385</v>
      </c>
      <c r="W23" s="6">
        <f t="shared" si="17"/>
        <v>0.23610493255794593</v>
      </c>
      <c r="X23" s="14">
        <f t="shared" si="18"/>
        <v>1.4905919109157586</v>
      </c>
      <c r="Y23" s="6">
        <f t="shared" si="19"/>
        <v>0.24875457869440909</v>
      </c>
      <c r="Z23" s="14">
        <f t="shared" si="20"/>
        <v>1.5548987401618075</v>
      </c>
      <c r="AA23" s="6">
        <f t="shared" si="21"/>
        <v>0.26491163185662747</v>
      </c>
      <c r="AB23" s="14">
        <f t="shared" si="22"/>
        <v>1.6334972856655727</v>
      </c>
      <c r="AC23" s="6">
        <f t="shared" si="23"/>
        <v>0.28575342057534214</v>
      </c>
      <c r="AD23" s="14">
        <f t="shared" si="24"/>
        <v>1.7307243860309471</v>
      </c>
      <c r="AE23" s="6">
        <f t="shared" si="25"/>
        <v>0.313611893458764</v>
      </c>
      <c r="AF23" s="14">
        <f t="shared" si="26"/>
        <v>1.852526957054597</v>
      </c>
      <c r="AG23" s="6">
        <f t="shared" si="27"/>
        <v>0.35031003857759729</v>
      </c>
      <c r="AH23" s="14">
        <f t="shared" si="28"/>
        <v>2.0076812071969945</v>
      </c>
      <c r="AI23" s="6">
        <f t="shared" si="29"/>
        <v>0.40086994093785133</v>
      </c>
      <c r="AJ23" s="14">
        <f t="shared" si="30"/>
        <v>2.2090892741670021</v>
      </c>
      <c r="AK23">
        <f t="shared" si="31"/>
        <v>0.5542054078088714</v>
      </c>
      <c r="AL23" s="14">
        <f t="shared" si="32"/>
        <v>2.4786179727339483</v>
      </c>
      <c r="AM23">
        <f t="shared" si="33"/>
        <v>0.68189838835362926</v>
      </c>
      <c r="AN23" s="14">
        <f t="shared" si="34"/>
        <v>2.8113716939731024</v>
      </c>
      <c r="AO23">
        <f t="shared" si="35"/>
        <v>0.8592491288237839</v>
      </c>
      <c r="AP23" s="14">
        <f t="shared" si="36"/>
        <v>2.8972820895200586</v>
      </c>
      <c r="AQ23">
        <f t="shared" si="37"/>
        <v>0.90852137261126131</v>
      </c>
    </row>
    <row r="24" spans="1:43" x14ac:dyDescent="0.25">
      <c r="A24" s="129">
        <v>0.3</v>
      </c>
      <c r="B24" s="275">
        <f>'Sub C_D_0'!AZ16+'Sub C_D_0'!V16</f>
        <v>6.5443557726996365E-2</v>
      </c>
      <c r="C24" s="275">
        <f>'C_L vs. α'!Y322</f>
        <v>0.11497295764335308</v>
      </c>
      <c r="D24" s="247">
        <f>'C_L vs. α'!AC322+'C_L vs. α'!AE322</f>
        <v>0.75361900706805085</v>
      </c>
      <c r="E24" s="144">
        <v>6</v>
      </c>
      <c r="F24" s="14">
        <f t="shared" si="0"/>
        <v>1.4675766100232313</v>
      </c>
      <c r="G24" s="6">
        <f t="shared" si="1"/>
        <v>0.2569663799885456</v>
      </c>
      <c r="H24" s="14">
        <f t="shared" si="2"/>
        <v>1.4759028335102369</v>
      </c>
      <c r="I24" s="6">
        <f t="shared" si="3"/>
        <v>0.25484755931913633</v>
      </c>
      <c r="J24" s="14">
        <f t="shared" si="4"/>
        <v>1.4886653217341674</v>
      </c>
      <c r="K24" s="6">
        <f t="shared" si="5"/>
        <v>0.25592148993045477</v>
      </c>
      <c r="L24" s="14">
        <f t="shared" si="6"/>
        <v>1.5064297317555089</v>
      </c>
      <c r="M24" s="6">
        <f t="shared" si="7"/>
        <v>0.25906354575528934</v>
      </c>
      <c r="N24" s="14">
        <f t="shared" si="8"/>
        <v>1.5297247554835225</v>
      </c>
      <c r="O24" s="6">
        <f t="shared" si="9"/>
        <v>0.26409342527206719</v>
      </c>
      <c r="P24" s="14">
        <f t="shared" si="10"/>
        <v>1.5584297105715224</v>
      </c>
      <c r="Q24" s="6">
        <f t="shared" si="11"/>
        <v>0.27137872451286965</v>
      </c>
      <c r="R24" s="14">
        <f t="shared" si="12"/>
        <v>1.5949661084164219</v>
      </c>
      <c r="S24" s="6">
        <f t="shared" si="13"/>
        <v>0.28060955470158</v>
      </c>
      <c r="T24" s="14">
        <f t="shared" si="14"/>
        <v>1.6396312045435462</v>
      </c>
      <c r="U24" s="6">
        <f t="shared" si="15"/>
        <v>0.29247442120928729</v>
      </c>
      <c r="V24" s="14">
        <f t="shared" si="16"/>
        <v>1.6938929475170188</v>
      </c>
      <c r="W24" s="6">
        <f t="shared" si="17"/>
        <v>0.30756658055471475</v>
      </c>
      <c r="X24" s="14">
        <f t="shared" si="18"/>
        <v>1.7597208738190804</v>
      </c>
      <c r="Y24" s="6">
        <f t="shared" si="19"/>
        <v>0.32674195119795763</v>
      </c>
      <c r="Z24" s="14">
        <f t="shared" si="20"/>
        <v>1.8397931370213865</v>
      </c>
      <c r="AA24" s="6">
        <f t="shared" si="21"/>
        <v>0.35124316393749089</v>
      </c>
      <c r="AB24" s="14">
        <f t="shared" si="22"/>
        <v>1.9378132880070598</v>
      </c>
      <c r="AC24" s="6">
        <f t="shared" si="23"/>
        <v>0.38290808979235452</v>
      </c>
      <c r="AD24" s="14">
        <f t="shared" si="24"/>
        <v>2.0592974167396911</v>
      </c>
      <c r="AE24" s="6">
        <f t="shared" si="25"/>
        <v>0.42511956034742099</v>
      </c>
      <c r="AF24" s="14">
        <f t="shared" si="26"/>
        <v>2.2117604554106363</v>
      </c>
      <c r="AG24" s="6">
        <f t="shared" si="27"/>
        <v>0.48129245012129912</v>
      </c>
      <c r="AH24" s="14">
        <f t="shared" si="28"/>
        <v>2.4062558647281653</v>
      </c>
      <c r="AI24" s="6">
        <f t="shared" si="29"/>
        <v>0.55903546884249289</v>
      </c>
      <c r="AJ24" s="14">
        <f t="shared" si="30"/>
        <v>2.6588696388337283</v>
      </c>
      <c r="AK24">
        <f t="shared" si="31"/>
        <v>0.77506910753220215</v>
      </c>
      <c r="AL24" s="14">
        <f t="shared" si="32"/>
        <v>2.9968280911653857</v>
      </c>
      <c r="AM24">
        <f t="shared" si="33"/>
        <v>0.9681199457851708</v>
      </c>
      <c r="AN24" s="14">
        <f t="shared" si="34"/>
        <v>3.4069992215176432</v>
      </c>
      <c r="AO24">
        <f t="shared" si="35"/>
        <v>1.2328675930665773</v>
      </c>
      <c r="AP24" s="14">
        <f t="shared" si="36"/>
        <v>3.4434094751610207</v>
      </c>
      <c r="AQ24">
        <f t="shared" si="37"/>
        <v>1.2578285661042954</v>
      </c>
    </row>
    <row r="25" spans="1:43" x14ac:dyDescent="0.25">
      <c r="A25" s="139">
        <v>0.35</v>
      </c>
      <c r="B25" s="275">
        <f>'Sub C_D_0'!AZ17+'Sub C_D_0'!V17</f>
        <v>6.4762907585405802E-2</v>
      </c>
      <c r="C25" s="275">
        <f>'C_L vs. α'!Y323</f>
        <v>0.11850497732934001</v>
      </c>
      <c r="D25" s="247">
        <f>'C_L vs. α'!AC323+'C_L vs. α'!AE323</f>
        <v>0.76543126711104192</v>
      </c>
      <c r="E25" s="144">
        <v>8</v>
      </c>
      <c r="F25" s="14">
        <f t="shared" si="0"/>
        <v>1.6799292076827665</v>
      </c>
      <c r="G25" s="6">
        <f t="shared" si="1"/>
        <v>0.31733377912372479</v>
      </c>
      <c r="H25" s="14">
        <f t="shared" si="2"/>
        <v>1.6899552162251839</v>
      </c>
      <c r="I25" s="6">
        <f t="shared" si="3"/>
        <v>0.3160668081891258</v>
      </c>
      <c r="J25" s="14">
        <f t="shared" si="4"/>
        <v>1.7052172537991381</v>
      </c>
      <c r="K25" s="6">
        <f t="shared" si="5"/>
        <v>0.31842219463209914</v>
      </c>
      <c r="L25" s="14">
        <f t="shared" si="6"/>
        <v>1.7264192411953259</v>
      </c>
      <c r="M25" s="6">
        <f t="shared" si="7"/>
        <v>0.32335553163776598</v>
      </c>
      <c r="N25" s="14">
        <f t="shared" si="8"/>
        <v>1.7542063736618148</v>
      </c>
      <c r="O25" s="6">
        <f t="shared" si="9"/>
        <v>0.33076678286169353</v>
      </c>
      <c r="P25" s="14">
        <f t="shared" si="10"/>
        <v>1.7883756258582286</v>
      </c>
      <c r="Q25" s="6">
        <f t="shared" si="11"/>
        <v>0.34102018539836376</v>
      </c>
      <c r="R25" s="14">
        <f t="shared" si="12"/>
        <v>1.8319760630751021</v>
      </c>
      <c r="S25" s="6">
        <f t="shared" si="13"/>
        <v>0.35416087464574197</v>
      </c>
      <c r="T25" s="14">
        <f t="shared" si="14"/>
        <v>1.8853045376583732</v>
      </c>
      <c r="U25" s="6">
        <f t="shared" si="15"/>
        <v>0.37095919946082684</v>
      </c>
      <c r="V25" s="14">
        <f t="shared" si="16"/>
        <v>1.9501353262434991</v>
      </c>
      <c r="W25" s="6">
        <f t="shared" si="17"/>
        <v>0.39227496380940441</v>
      </c>
      <c r="X25" s="14">
        <f t="shared" si="18"/>
        <v>2.0288498367224022</v>
      </c>
      <c r="Y25" s="6">
        <f t="shared" si="19"/>
        <v>0.41934193452556895</v>
      </c>
      <c r="Z25" s="14">
        <f t="shared" si="20"/>
        <v>2.1246875338809654</v>
      </c>
      <c r="AA25" s="6">
        <f t="shared" si="21"/>
        <v>0.45394944902868217</v>
      </c>
      <c r="AB25" s="14">
        <f t="shared" si="22"/>
        <v>2.2421292903485468</v>
      </c>
      <c r="AC25" s="6">
        <f t="shared" si="23"/>
        <v>0.49874618528307874</v>
      </c>
      <c r="AD25" s="14">
        <f t="shared" si="24"/>
        <v>2.3878704474484356</v>
      </c>
      <c r="AE25" s="6">
        <f t="shared" si="25"/>
        <v>0.55840787389101176</v>
      </c>
      <c r="AF25" s="14">
        <f t="shared" si="26"/>
        <v>2.5709939537666751</v>
      </c>
      <c r="AG25" s="6">
        <f t="shared" si="27"/>
        <v>0.6383100424406053</v>
      </c>
      <c r="AH25" s="14">
        <f t="shared" si="28"/>
        <v>2.8048305222593362</v>
      </c>
      <c r="AI25" s="6">
        <f t="shared" si="29"/>
        <v>0.7492508691975619</v>
      </c>
      <c r="AJ25" s="14">
        <f t="shared" si="30"/>
        <v>3.1086500035004541</v>
      </c>
      <c r="AK25">
        <f t="shared" si="31"/>
        <v>1.036746691340666</v>
      </c>
      <c r="AL25" s="14">
        <f t="shared" si="32"/>
        <v>3.5150382095968227</v>
      </c>
      <c r="AM25">
        <f t="shared" si="33"/>
        <v>1.3085189731226441</v>
      </c>
      <c r="AN25" s="14">
        <f t="shared" si="34"/>
        <v>4.0026267490621841</v>
      </c>
      <c r="AO25">
        <f t="shared" si="35"/>
        <v>1.6780602509772187</v>
      </c>
      <c r="AP25" s="14">
        <f t="shared" si="36"/>
        <v>3.9895368608019819</v>
      </c>
      <c r="AQ25">
        <f t="shared" si="37"/>
        <v>1.667307815727779</v>
      </c>
    </row>
    <row r="26" spans="1:43" x14ac:dyDescent="0.25">
      <c r="A26" s="129">
        <v>0.4</v>
      </c>
      <c r="B26" s="275">
        <f>'Sub C_D_0'!AZ18+'Sub C_D_0'!V18</f>
        <v>6.4190992975183533E-2</v>
      </c>
      <c r="C26" s="275">
        <f>'C_L vs. α'!Y324</f>
        <v>0.1228366665574135</v>
      </c>
      <c r="D26" s="247">
        <f>'C_L vs. α'!AC324+'C_L vs. α'!AE324</f>
        <v>0.77977453864165169</v>
      </c>
      <c r="E26" s="144">
        <v>10</v>
      </c>
      <c r="F26" s="14">
        <f t="shared" si="0"/>
        <v>1.8922818053423021</v>
      </c>
      <c r="G26" s="6">
        <f t="shared" si="1"/>
        <v>0.38679867897058362</v>
      </c>
      <c r="H26" s="14">
        <f t="shared" si="2"/>
        <v>1.9040075989401306</v>
      </c>
      <c r="I26" s="6">
        <f t="shared" si="3"/>
        <v>0.38652978330526239</v>
      </c>
      <c r="J26" s="14">
        <f t="shared" si="4"/>
        <v>1.9217691858641088</v>
      </c>
      <c r="K26" s="6">
        <f t="shared" si="5"/>
        <v>0.3903837691806698</v>
      </c>
      <c r="L26" s="14">
        <f t="shared" si="6"/>
        <v>1.9464087506351428</v>
      </c>
      <c r="M26" s="6">
        <f t="shared" si="7"/>
        <v>0.39741113789065041</v>
      </c>
      <c r="N26" s="14">
        <f t="shared" si="8"/>
        <v>1.9786879918401072</v>
      </c>
      <c r="O26" s="6">
        <f t="shared" si="9"/>
        <v>0.40760657129849021</v>
      </c>
      <c r="P26" s="14">
        <f t="shared" si="10"/>
        <v>2.0183215411449345</v>
      </c>
      <c r="Q26" s="6">
        <f t="shared" si="11"/>
        <v>0.42132904040027136</v>
      </c>
      <c r="R26" s="14">
        <f t="shared" si="12"/>
        <v>2.0689860177337822</v>
      </c>
      <c r="S26" s="6">
        <f t="shared" si="13"/>
        <v>0.4390450700618469</v>
      </c>
      <c r="T26" s="14">
        <f t="shared" si="14"/>
        <v>2.1309778707731999</v>
      </c>
      <c r="U26" s="6">
        <f t="shared" si="15"/>
        <v>0.46162049187947812</v>
      </c>
      <c r="V26" s="14">
        <f t="shared" si="16"/>
        <v>2.2063777049699791</v>
      </c>
      <c r="W26" s="6">
        <f t="shared" si="17"/>
        <v>0.49023008232201493</v>
      </c>
      <c r="X26" s="14">
        <f t="shared" si="18"/>
        <v>2.2979787996257239</v>
      </c>
      <c r="Y26" s="6">
        <f t="shared" si="19"/>
        <v>0.52655452867724306</v>
      </c>
      <c r="Z26" s="14">
        <f t="shared" si="20"/>
        <v>2.4095819307405444</v>
      </c>
      <c r="AA26" s="6">
        <f t="shared" si="21"/>
        <v>0.57303048713020144</v>
      </c>
      <c r="AB26" s="14">
        <f t="shared" si="22"/>
        <v>2.5464452926900338</v>
      </c>
      <c r="AC26" s="6">
        <f t="shared" si="23"/>
        <v>0.63326770704751456</v>
      </c>
      <c r="AD26" s="14">
        <f t="shared" si="24"/>
        <v>2.71644347815718</v>
      </c>
      <c r="AE26" s="6">
        <f t="shared" si="25"/>
        <v>0.71347683408953622</v>
      </c>
      <c r="AF26" s="14">
        <f t="shared" si="26"/>
        <v>2.9302274521227138</v>
      </c>
      <c r="AG26" s="6">
        <f t="shared" si="27"/>
        <v>0.82136281553551571</v>
      </c>
      <c r="AH26" s="14">
        <f t="shared" si="28"/>
        <v>3.203405179790507</v>
      </c>
      <c r="AI26" s="6">
        <f t="shared" si="29"/>
        <v>0.97151614200305825</v>
      </c>
      <c r="AJ26" s="14">
        <f t="shared" si="30"/>
        <v>3.5584303681671798</v>
      </c>
      <c r="AK26">
        <f t="shared" si="31"/>
        <v>1.3392381592342633</v>
      </c>
      <c r="AL26" s="14">
        <f t="shared" si="32"/>
        <v>4.0332483280282601</v>
      </c>
      <c r="AM26">
        <f t="shared" si="33"/>
        <v>1.7030954703660495</v>
      </c>
      <c r="AN26" s="14">
        <f t="shared" si="34"/>
        <v>4.5982542766067258</v>
      </c>
      <c r="AO26">
        <f t="shared" si="35"/>
        <v>2.1948271025557089</v>
      </c>
      <c r="AP26" s="14">
        <f t="shared" si="36"/>
        <v>4.5356642464429431</v>
      </c>
      <c r="AQ26">
        <f t="shared" si="37"/>
        <v>2.1369591214817136</v>
      </c>
    </row>
    <row r="27" spans="1:43" x14ac:dyDescent="0.25">
      <c r="A27" s="139">
        <v>0.45</v>
      </c>
      <c r="B27" s="275">
        <f>'Sub C_D_0'!AZ19+'Sub C_D_0'!V19</f>
        <v>6.3699672114823552E-2</v>
      </c>
      <c r="C27" s="275">
        <f>'C_L vs. α'!Y325</f>
        <v>0.12812118936324013</v>
      </c>
      <c r="D27" s="247">
        <f>'C_L vs. α'!AC325+'C_L vs. α'!AE325</f>
        <v>0.7970446219743379</v>
      </c>
      <c r="E27" s="144">
        <v>12</v>
      </c>
      <c r="F27" s="14">
        <f t="shared" si="0"/>
        <v>2.1046344030018371</v>
      </c>
      <c r="G27" s="6">
        <f t="shared" si="1"/>
        <v>0.46536107952912192</v>
      </c>
      <c r="H27" s="14">
        <f t="shared" si="2"/>
        <v>2.1180599816550778</v>
      </c>
      <c r="I27" s="6">
        <f t="shared" si="3"/>
        <v>0.46623648466754636</v>
      </c>
      <c r="J27" s="14">
        <f t="shared" si="4"/>
        <v>2.1383211179290793</v>
      </c>
      <c r="K27" s="6">
        <f t="shared" si="5"/>
        <v>0.47180621357616681</v>
      </c>
      <c r="L27" s="14">
        <f t="shared" si="6"/>
        <v>2.1663982600749598</v>
      </c>
      <c r="M27" s="6">
        <f t="shared" si="7"/>
        <v>0.48123036451394263</v>
      </c>
      <c r="N27" s="14">
        <f t="shared" si="8"/>
        <v>2.2031696100183993</v>
      </c>
      <c r="O27" s="6">
        <f t="shared" si="9"/>
        <v>0.494612790582457</v>
      </c>
      <c r="P27" s="14">
        <f t="shared" si="10"/>
        <v>2.2482674564316412</v>
      </c>
      <c r="Q27" s="6">
        <f t="shared" si="11"/>
        <v>0.51230528951859311</v>
      </c>
      <c r="R27" s="14">
        <f t="shared" si="12"/>
        <v>2.3059959723924619</v>
      </c>
      <c r="S27" s="6">
        <f t="shared" si="13"/>
        <v>0.53526214094989466</v>
      </c>
      <c r="T27" s="14">
        <f t="shared" si="14"/>
        <v>2.3766512038880272</v>
      </c>
      <c r="U27" s="6">
        <f t="shared" si="15"/>
        <v>0.56445829846524154</v>
      </c>
      <c r="V27" s="14">
        <f t="shared" si="16"/>
        <v>2.4626200836964598</v>
      </c>
      <c r="W27" s="6">
        <f t="shared" si="17"/>
        <v>0.60143193609254664</v>
      </c>
      <c r="X27" s="14">
        <f t="shared" si="18"/>
        <v>2.5671077625290462</v>
      </c>
      <c r="Y27" s="6">
        <f t="shared" si="19"/>
        <v>0.64837973365297996</v>
      </c>
      <c r="Z27" s="14">
        <f t="shared" si="20"/>
        <v>2.6944763276001233</v>
      </c>
      <c r="AA27" s="6">
        <f t="shared" si="21"/>
        <v>0.70848627824204857</v>
      </c>
      <c r="AB27" s="14">
        <f t="shared" si="22"/>
        <v>2.8507612950315213</v>
      </c>
      <c r="AC27" s="6">
        <f t="shared" si="23"/>
        <v>0.78647265508566255</v>
      </c>
      <c r="AD27" s="14">
        <f t="shared" si="24"/>
        <v>3.0450165088659245</v>
      </c>
      <c r="AE27" s="6">
        <f t="shared" si="25"/>
        <v>0.89032644094299429</v>
      </c>
      <c r="AF27" s="14">
        <f t="shared" si="26"/>
        <v>3.2894609504787526</v>
      </c>
      <c r="AG27" s="6">
        <f t="shared" si="27"/>
        <v>1.0304507694060305</v>
      </c>
      <c r="AH27" s="14">
        <f t="shared" si="28"/>
        <v>3.6019798373216774</v>
      </c>
      <c r="AI27" s="6">
        <f t="shared" si="29"/>
        <v>1.2258312872589818</v>
      </c>
      <c r="AJ27" s="14">
        <f t="shared" si="30"/>
        <v>4.0082107328339065</v>
      </c>
      <c r="AK27">
        <f t="shared" si="31"/>
        <v>1.6825435112129947</v>
      </c>
      <c r="AL27" s="14">
        <f t="shared" si="32"/>
        <v>4.551458446459697</v>
      </c>
      <c r="AM27">
        <f t="shared" si="33"/>
        <v>2.151849437515386</v>
      </c>
      <c r="AN27" s="14">
        <f t="shared" si="34"/>
        <v>5.1938818041512667</v>
      </c>
      <c r="AO27">
        <f t="shared" si="35"/>
        <v>2.7831681478020456</v>
      </c>
      <c r="AP27" s="14">
        <f t="shared" si="36"/>
        <v>5.0817916320839043</v>
      </c>
      <c r="AQ27">
        <f t="shared" si="37"/>
        <v>2.6667824833660982</v>
      </c>
    </row>
    <row r="28" spans="1:43" x14ac:dyDescent="0.25">
      <c r="A28" s="129">
        <v>0.5</v>
      </c>
      <c r="B28" s="275">
        <f>'Sub C_D_0'!AZ20+'Sub C_D_0'!V20</f>
        <v>6.3270282676001252E-2</v>
      </c>
      <c r="C28" s="275">
        <f>'C_L vs. α'!Y326</f>
        <v>0.13456448145166092</v>
      </c>
      <c r="D28" s="247">
        <f>'C_L vs. α'!AC326+'C_L vs. α'!AE326</f>
        <v>0.81776950365745393</v>
      </c>
      <c r="E28" s="144">
        <v>14</v>
      </c>
      <c r="F28" s="14">
        <f t="shared" si="0"/>
        <v>2.3169870006613729</v>
      </c>
      <c r="G28" s="6">
        <f t="shared" si="1"/>
        <v>0.55302098079934003</v>
      </c>
      <c r="H28" s="14">
        <f t="shared" si="2"/>
        <v>2.3321123643700243</v>
      </c>
      <c r="I28" s="6">
        <f t="shared" si="3"/>
        <v>0.55518691227597716</v>
      </c>
      <c r="J28" s="14">
        <f t="shared" si="4"/>
        <v>2.3548730499940502</v>
      </c>
      <c r="K28" s="6">
        <f t="shared" si="5"/>
        <v>0.56268952781859016</v>
      </c>
      <c r="L28" s="14">
        <f t="shared" si="6"/>
        <v>2.3863877695147768</v>
      </c>
      <c r="M28" s="6">
        <f t="shared" si="7"/>
        <v>0.57481321150764286</v>
      </c>
      <c r="N28" s="14">
        <f t="shared" si="8"/>
        <v>2.4276512281966918</v>
      </c>
      <c r="O28" s="6">
        <f t="shared" si="9"/>
        <v>0.59178544071359407</v>
      </c>
      <c r="P28" s="14">
        <f t="shared" si="10"/>
        <v>2.478213371718347</v>
      </c>
      <c r="Q28" s="6">
        <f t="shared" si="11"/>
        <v>0.6139489327533284</v>
      </c>
      <c r="R28" s="14">
        <f t="shared" si="12"/>
        <v>2.543005927051142</v>
      </c>
      <c r="S28" s="6">
        <f t="shared" si="13"/>
        <v>0.6428120873098857</v>
      </c>
      <c r="T28" s="14">
        <f t="shared" si="14"/>
        <v>2.6223245370028545</v>
      </c>
      <c r="U28" s="6">
        <f t="shared" si="15"/>
        <v>0.67947261921811686</v>
      </c>
      <c r="V28" s="14">
        <f t="shared" si="16"/>
        <v>2.7188624624229396</v>
      </c>
      <c r="W28" s="6">
        <f t="shared" si="17"/>
        <v>0.72588052512099877</v>
      </c>
      <c r="X28" s="14">
        <f t="shared" si="18"/>
        <v>2.8362367254323679</v>
      </c>
      <c r="Y28" s="6">
        <f t="shared" si="19"/>
        <v>0.78481754945277971</v>
      </c>
      <c r="Z28" s="14">
        <f t="shared" si="20"/>
        <v>2.9793707244597019</v>
      </c>
      <c r="AA28" s="6">
        <f t="shared" si="21"/>
        <v>0.86031682236422335</v>
      </c>
      <c r="AB28" s="14">
        <f t="shared" si="22"/>
        <v>3.1550772973730083</v>
      </c>
      <c r="AC28" s="6">
        <f t="shared" si="23"/>
        <v>0.95836102939752188</v>
      </c>
      <c r="AD28" s="14">
        <f t="shared" si="24"/>
        <v>3.3735895395746684</v>
      </c>
      <c r="AE28" s="6">
        <f t="shared" si="25"/>
        <v>1.0889566944513858</v>
      </c>
      <c r="AF28" s="14">
        <f t="shared" si="26"/>
        <v>3.6486944488347914</v>
      </c>
      <c r="AG28" s="6">
        <f t="shared" si="27"/>
        <v>1.2655739040521496</v>
      </c>
      <c r="AH28" s="14">
        <f t="shared" si="28"/>
        <v>4.0005544948528478</v>
      </c>
      <c r="AI28" s="6">
        <f t="shared" si="29"/>
        <v>1.5121963049653329</v>
      </c>
      <c r="AJ28" s="14">
        <f t="shared" si="30"/>
        <v>4.4579910975006323</v>
      </c>
      <c r="AK28">
        <f t="shared" si="31"/>
        <v>2.0666627472768582</v>
      </c>
      <c r="AL28" s="14">
        <f t="shared" si="32"/>
        <v>5.0696685648911348</v>
      </c>
      <c r="AM28">
        <f t="shared" si="33"/>
        <v>2.6547808745706556</v>
      </c>
      <c r="AN28" s="14">
        <f t="shared" si="34"/>
        <v>5.7895093316958075</v>
      </c>
      <c r="AO28">
        <f t="shared" si="35"/>
        <v>3.4430833867162307</v>
      </c>
      <c r="AP28" s="14">
        <f t="shared" si="36"/>
        <v>5.6279190177248664</v>
      </c>
      <c r="AQ28">
        <f t="shared" si="37"/>
        <v>3.2567779013809344</v>
      </c>
    </row>
    <row r="29" spans="1:43" x14ac:dyDescent="0.25">
      <c r="A29" s="139">
        <v>0.55000000000000004</v>
      </c>
      <c r="B29" s="275">
        <f>'Sub C_D_0'!AZ21+'Sub C_D_0'!V21</f>
        <v>6.2889849726527669E-2</v>
      </c>
      <c r="C29" s="275">
        <f>'C_L vs. α'!Y327</f>
        <v>0.14244719842978948</v>
      </c>
      <c r="D29" s="247">
        <f>'C_L vs. α'!AC327+'C_L vs. α'!AE327</f>
        <v>0.84266274801286001</v>
      </c>
      <c r="E29" s="144">
        <v>16</v>
      </c>
      <c r="F29" s="14">
        <f t="shared" si="0"/>
        <v>2.5293395983209082</v>
      </c>
      <c r="G29" s="6">
        <f t="shared" si="1"/>
        <v>0.64977838278123767</v>
      </c>
      <c r="H29" s="14">
        <f t="shared" si="2"/>
        <v>2.5461647470849713</v>
      </c>
      <c r="I29" s="6">
        <f t="shared" si="3"/>
        <v>0.65338106613055547</v>
      </c>
      <c r="J29" s="14">
        <f t="shared" si="4"/>
        <v>2.5714249820590211</v>
      </c>
      <c r="K29" s="6">
        <f t="shared" si="5"/>
        <v>0.66303371190794014</v>
      </c>
      <c r="L29" s="14">
        <f t="shared" si="6"/>
        <v>2.6063772789545938</v>
      </c>
      <c r="M29" s="6">
        <f t="shared" si="7"/>
        <v>0.67815967887175066</v>
      </c>
      <c r="N29" s="14">
        <f t="shared" si="8"/>
        <v>2.6521328463749843</v>
      </c>
      <c r="O29" s="6">
        <f t="shared" si="9"/>
        <v>0.69912452169190131</v>
      </c>
      <c r="P29" s="14">
        <f t="shared" si="10"/>
        <v>2.7081592870050533</v>
      </c>
      <c r="Q29" s="6">
        <f t="shared" si="11"/>
        <v>0.72625997010447763</v>
      </c>
      <c r="R29" s="14">
        <f t="shared" si="12"/>
        <v>2.7800158817098222</v>
      </c>
      <c r="S29" s="6">
        <f t="shared" si="13"/>
        <v>0.76169490914181981</v>
      </c>
      <c r="T29" s="14">
        <f t="shared" si="14"/>
        <v>2.8679978701176809</v>
      </c>
      <c r="U29" s="6">
        <f t="shared" si="15"/>
        <v>0.80666345413810359</v>
      </c>
      <c r="V29" s="14">
        <f t="shared" si="16"/>
        <v>2.9751048411494199</v>
      </c>
      <c r="W29" s="6">
        <f t="shared" si="17"/>
        <v>0.86357584940737209</v>
      </c>
      <c r="X29" s="14">
        <f t="shared" si="18"/>
        <v>3.1053656883356897</v>
      </c>
      <c r="Y29" s="6">
        <f t="shared" si="19"/>
        <v>0.93586797607664207</v>
      </c>
      <c r="Z29" s="14">
        <f>$D$29+(E29-$B$12)*$C$29</f>
        <v>3.2642651213192813</v>
      </c>
      <c r="AA29" s="6">
        <f t="shared" si="21"/>
        <v>1.0285221194967267</v>
      </c>
      <c r="AB29" s="14">
        <f t="shared" si="22"/>
        <v>3.4593932997144954</v>
      </c>
      <c r="AC29" s="6">
        <f t="shared" si="23"/>
        <v>1.1489328299830932</v>
      </c>
      <c r="AD29" s="14">
        <f t="shared" si="24"/>
        <v>3.7021625702834129</v>
      </c>
      <c r="AE29" s="6">
        <f t="shared" si="25"/>
        <v>1.3093675946147112</v>
      </c>
      <c r="AF29" s="14">
        <f t="shared" si="26"/>
        <v>4.0079279471908302</v>
      </c>
      <c r="AG29" s="6">
        <f t="shared" si="27"/>
        <v>1.5267322194738735</v>
      </c>
      <c r="AH29" s="14">
        <f t="shared" si="28"/>
        <v>4.3991291523840186</v>
      </c>
      <c r="AI29" s="6">
        <f t="shared" si="29"/>
        <v>1.8306111951221116</v>
      </c>
      <c r="AJ29" s="14">
        <f t="shared" si="30"/>
        <v>4.907771462167358</v>
      </c>
      <c r="AK29">
        <f t="shared" si="31"/>
        <v>2.4915958674258558</v>
      </c>
      <c r="AL29" s="14">
        <f t="shared" si="32"/>
        <v>5.5878786833225718</v>
      </c>
      <c r="AM29">
        <f t="shared" si="33"/>
        <v>3.2118897815318563</v>
      </c>
      <c r="AN29" s="14">
        <f t="shared" si="34"/>
        <v>6.3851368592403492</v>
      </c>
      <c r="AO29">
        <f t="shared" si="35"/>
        <v>4.1745728192982643</v>
      </c>
      <c r="AP29" s="14">
        <f t="shared" si="36"/>
        <v>6.1740464033658276</v>
      </c>
      <c r="AQ29">
        <f t="shared" si="37"/>
        <v>3.9069453755262198</v>
      </c>
    </row>
    <row r="30" spans="1:43" x14ac:dyDescent="0.25">
      <c r="A30" s="129">
        <v>0.6</v>
      </c>
      <c r="B30" s="275">
        <f>'Sub C_D_0'!AZ22+'Sub C_D_0'!V22</f>
        <v>6.2549008641584122E-2</v>
      </c>
      <c r="C30" s="275">
        <f>'C_L vs. α'!Y328</f>
        <v>0.15215800117074355</v>
      </c>
      <c r="D30" s="247">
        <f>'C_L vs. α'!AC328+'C_L vs. α'!AE328</f>
        <v>0.87270727981185503</v>
      </c>
    </row>
    <row r="31" spans="1:43" x14ac:dyDescent="0.25">
      <c r="A31" s="139">
        <v>0.65</v>
      </c>
      <c r="B31" s="275">
        <f>'Sub C_D_0'!AZ23+'Sub C_D_0'!V23</f>
        <v>6.2726134185596055E-2</v>
      </c>
      <c r="C31" s="275">
        <f>'C_L vs. α'!Y329</f>
        <v>0.16428651535437214</v>
      </c>
      <c r="D31" s="247">
        <f>'C_L vs. α'!AC329+'C_L vs. α'!AE329</f>
        <v>0.90929180925908637</v>
      </c>
    </row>
    <row r="32" spans="1:43" x14ac:dyDescent="0.25">
      <c r="A32" s="129">
        <v>0.7</v>
      </c>
      <c r="B32" s="275">
        <f>'Sub C_D_0'!AZ24+'Sub C_D_0'!V24</f>
        <v>6.2440039735221116E-2</v>
      </c>
      <c r="C32" s="275">
        <f>'C_L vs. α'!Y330</f>
        <v>0.17961674917801942</v>
      </c>
      <c r="D32" s="247">
        <f>'C_L vs. α'!AC330+'C_L vs. α'!AE330</f>
        <v>0.95444321116450004</v>
      </c>
    </row>
    <row r="33" spans="1:43" x14ac:dyDescent="0.25">
      <c r="A33" s="139">
        <v>0.75</v>
      </c>
      <c r="B33" s="275">
        <f>'Sub C_D_0'!AZ25+'Sub C_D_0'!V25</f>
        <v>6.2177538310900143E-2</v>
      </c>
      <c r="C33" s="275">
        <f>'C_L vs. α'!Y331</f>
        <v>0.19928732876558536</v>
      </c>
      <c r="D33" s="247">
        <f>'C_L vs. α'!AC331+'C_L vs. α'!AE331</f>
        <v>1.0112445633690679</v>
      </c>
    </row>
    <row r="34" spans="1:43" x14ac:dyDescent="0.25">
      <c r="A34" s="129">
        <v>0.8</v>
      </c>
      <c r="B34" s="275">
        <f>'Sub C_D_0'!AZ26+'Sub C_D_0'!V26</f>
        <v>6.1935282083184197E-2</v>
      </c>
      <c r="C34" s="275">
        <f>'C_L vs. α'!Y332</f>
        <v>0.22489018233336303</v>
      </c>
      <c r="D34" s="247">
        <f>'C_L vs. α'!AC332+'C_L vs. α'!AE332</f>
        <v>1.084638362500187</v>
      </c>
    </row>
    <row r="35" spans="1:43" x14ac:dyDescent="0.25">
      <c r="A35" s="139">
        <v>0.85</v>
      </c>
      <c r="B35" s="275">
        <f>'Sub C_D_0'!AZ27+'Sub C_D_0'!V27</f>
        <v>6.2177498818689683E-2</v>
      </c>
      <c r="C35" s="275">
        <f>'C_L vs. α'!Y333</f>
        <v>0.25910505921571858</v>
      </c>
      <c r="D35" s="247">
        <f>'C_L vs. α'!AC333+'C_L vs. α'!AE333</f>
        <v>1.1830926766553556</v>
      </c>
    </row>
    <row r="36" spans="1:43" x14ac:dyDescent="0.25">
      <c r="A36" s="129">
        <v>0.9</v>
      </c>
      <c r="B36" s="275">
        <f>'Sub C_D_0'!AZ28+'Sub C_D_0'!V28</f>
        <v>6.196433274919403E-2</v>
      </c>
      <c r="C36" s="275">
        <f>'C_L vs. α'!Y334</f>
        <v>0.29781376377227053</v>
      </c>
      <c r="D36" s="247">
        <f>'C_L vs. α'!AC334+'C_L vs. α'!AE334</f>
        <v>1.3223028751117496</v>
      </c>
    </row>
    <row r="37" spans="1:43" x14ac:dyDescent="0.25">
      <c r="A37" s="139">
        <v>0.95</v>
      </c>
      <c r="B37" s="275">
        <f>'Sub C_D_0'!AZ29+'Sub C_D_0'!V29</f>
        <v>6.1764929419685775E-2</v>
      </c>
      <c r="C37" s="275">
        <f>'C_L vs. α'!Y335</f>
        <v>0.27306369282048071</v>
      </c>
      <c r="D37" s="247">
        <f>'C_L vs. α'!AC335+'C_L vs. α'!AE335</f>
        <v>1.5319636254176554</v>
      </c>
    </row>
    <row r="38" spans="1:43" x14ac:dyDescent="0.25">
      <c r="B38" s="271"/>
    </row>
    <row r="39" spans="1:43" x14ac:dyDescent="0.25">
      <c r="A39" s="122" t="s">
        <v>537</v>
      </c>
      <c r="B39" s="267" t="s">
        <v>636</v>
      </c>
    </row>
    <row r="40" spans="1:43" x14ac:dyDescent="0.25">
      <c r="A40" s="122" t="s">
        <v>202</v>
      </c>
      <c r="B40" s="268" t="s">
        <v>533</v>
      </c>
      <c r="C40" s="267" t="s">
        <v>538</v>
      </c>
      <c r="D40" s="122" t="s">
        <v>540</v>
      </c>
      <c r="F40" s="1" t="s">
        <v>536</v>
      </c>
      <c r="G40" s="140">
        <v>0.05</v>
      </c>
      <c r="H40" s="1" t="s">
        <v>536</v>
      </c>
      <c r="I40" s="140">
        <v>0.1</v>
      </c>
      <c r="J40" s="1" t="s">
        <v>536</v>
      </c>
      <c r="K40" s="140">
        <v>0.15</v>
      </c>
      <c r="L40" s="1" t="s">
        <v>536</v>
      </c>
      <c r="M40" s="140">
        <v>0.2</v>
      </c>
      <c r="N40" t="s">
        <v>536</v>
      </c>
      <c r="O40" s="141">
        <v>0.25</v>
      </c>
      <c r="P40" t="s">
        <v>536</v>
      </c>
      <c r="Q40" s="141">
        <v>0.3</v>
      </c>
      <c r="R40" t="s">
        <v>536</v>
      </c>
      <c r="S40" s="141">
        <v>0.35</v>
      </c>
      <c r="T40" t="s">
        <v>536</v>
      </c>
      <c r="U40" s="141">
        <v>0.4</v>
      </c>
      <c r="V40" t="s">
        <v>536</v>
      </c>
      <c r="W40" s="141">
        <v>0.45</v>
      </c>
      <c r="X40" t="s">
        <v>536</v>
      </c>
      <c r="Y40" s="141">
        <v>0.5</v>
      </c>
      <c r="Z40" t="s">
        <v>536</v>
      </c>
      <c r="AA40" s="141">
        <v>0.55000000000000004</v>
      </c>
      <c r="AB40" t="s">
        <v>536</v>
      </c>
      <c r="AC40" s="141">
        <v>0.6</v>
      </c>
      <c r="AD40" t="s">
        <v>536</v>
      </c>
      <c r="AE40" s="141">
        <v>0.65</v>
      </c>
      <c r="AF40" t="s">
        <v>536</v>
      </c>
      <c r="AG40" s="141">
        <v>0.7</v>
      </c>
      <c r="AH40" t="s">
        <v>536</v>
      </c>
      <c r="AI40" s="141">
        <v>0.75</v>
      </c>
      <c r="AJ40" t="s">
        <v>536</v>
      </c>
      <c r="AK40" s="141">
        <v>0.8</v>
      </c>
      <c r="AL40" t="s">
        <v>536</v>
      </c>
      <c r="AM40" s="141">
        <v>0.85</v>
      </c>
      <c r="AN40" t="s">
        <v>536</v>
      </c>
      <c r="AO40" s="141">
        <v>0.9</v>
      </c>
      <c r="AP40" t="s">
        <v>536</v>
      </c>
      <c r="AQ40" s="141">
        <v>0.95</v>
      </c>
    </row>
    <row r="41" spans="1:43" x14ac:dyDescent="0.25">
      <c r="A41" s="121" t="s">
        <v>182</v>
      </c>
      <c r="B41" s="269" t="s">
        <v>534</v>
      </c>
      <c r="C41" s="269" t="s">
        <v>535</v>
      </c>
      <c r="D41" s="248" t="s">
        <v>1126</v>
      </c>
      <c r="E41" s="121" t="s">
        <v>421</v>
      </c>
      <c r="F41" s="14" t="s">
        <v>244</v>
      </c>
      <c r="G41" s="6" t="s">
        <v>245</v>
      </c>
      <c r="H41" s="14" t="s">
        <v>244</v>
      </c>
      <c r="I41" s="6" t="s">
        <v>245</v>
      </c>
      <c r="J41" s="14" t="s">
        <v>244</v>
      </c>
      <c r="K41" s="6" t="s">
        <v>245</v>
      </c>
      <c r="L41" s="14" t="s">
        <v>244</v>
      </c>
      <c r="M41" s="6" t="s">
        <v>245</v>
      </c>
      <c r="N41" t="s">
        <v>244</v>
      </c>
      <c r="O41" t="s">
        <v>245</v>
      </c>
      <c r="P41" t="s">
        <v>244</v>
      </c>
      <c r="Q41" t="s">
        <v>245</v>
      </c>
      <c r="R41" t="s">
        <v>244</v>
      </c>
      <c r="S41" t="s">
        <v>245</v>
      </c>
      <c r="T41" t="s">
        <v>244</v>
      </c>
      <c r="U41" t="s">
        <v>245</v>
      </c>
      <c r="V41" t="s">
        <v>244</v>
      </c>
      <c r="W41" t="s">
        <v>245</v>
      </c>
      <c r="X41" t="s">
        <v>244</v>
      </c>
      <c r="Y41" t="s">
        <v>245</v>
      </c>
      <c r="Z41" t="s">
        <v>244</v>
      </c>
      <c r="AA41" t="s">
        <v>245</v>
      </c>
      <c r="AB41" t="s">
        <v>244</v>
      </c>
      <c r="AC41" t="s">
        <v>245</v>
      </c>
      <c r="AD41" t="s">
        <v>244</v>
      </c>
      <c r="AE41" t="s">
        <v>245</v>
      </c>
      <c r="AF41" t="s">
        <v>244</v>
      </c>
      <c r="AG41" t="s">
        <v>245</v>
      </c>
      <c r="AH41" t="s">
        <v>244</v>
      </c>
      <c r="AI41" t="s">
        <v>245</v>
      </c>
      <c r="AJ41" t="s">
        <v>244</v>
      </c>
      <c r="AK41" t="s">
        <v>245</v>
      </c>
      <c r="AL41" t="s">
        <v>244</v>
      </c>
      <c r="AM41" t="s">
        <v>245</v>
      </c>
      <c r="AN41" t="s">
        <v>244</v>
      </c>
      <c r="AO41" t="s">
        <v>245</v>
      </c>
      <c r="AP41" t="s">
        <v>244</v>
      </c>
      <c r="AQ41" t="s">
        <v>245</v>
      </c>
    </row>
    <row r="42" spans="1:43" x14ac:dyDescent="0.25">
      <c r="A42" s="129">
        <v>0</v>
      </c>
      <c r="B42" s="270" t="e">
        <f>B18-'Sub C_D_0'!V10</f>
        <v>#DIV/0!</v>
      </c>
      <c r="C42" s="270" t="e">
        <f>'C_L vs. α'!Y316</f>
        <v>#NUM!</v>
      </c>
      <c r="D42" s="247">
        <f>'C_L vs. α'!AC316</f>
        <v>0.55396232552297364</v>
      </c>
      <c r="E42" s="144">
        <v>-6</v>
      </c>
      <c r="F42" s="14">
        <f>$D$19+(E42-$B$12)*$C$43</f>
        <v>0.19346102406601906</v>
      </c>
      <c r="G42" s="6">
        <f>$B$43+$B$7*F42^2+$B$8*(F42-F$45)^2</f>
        <v>7.1809500122742717E-2</v>
      </c>
      <c r="H42" s="14">
        <f>$D$20+(E18-$B$12)*$C$44</f>
        <v>0.19158853722055569</v>
      </c>
      <c r="I42" s="6">
        <f>$B$44+$B$7*H42^2+$B$8*(H42-H$45)^2</f>
        <v>6.7650317268290183E-2</v>
      </c>
      <c r="J42" s="14">
        <f>$D$21+(E18-$B$12)*$C$45</f>
        <v>0.18935372934434302</v>
      </c>
      <c r="K42" s="6">
        <f>$B$45+$B$7*J42^2+$B$8*(J42-J$45)^2</f>
        <v>6.559552850604175E-2</v>
      </c>
      <c r="L42" s="14">
        <f>$D$22+(E18-$B$12)*$C$46</f>
        <v>0.18649267511660694</v>
      </c>
      <c r="M42" s="6">
        <f>$B$46+$B$7*L42^2+$B$8*(L42-L$45)^2</f>
        <v>6.4347658238993938E-2</v>
      </c>
      <c r="N42" s="14">
        <f>$D$23+(E18-$B$12)*$C$47</f>
        <v>0.18283504641376858</v>
      </c>
      <c r="O42" s="6">
        <f>$B$47+$B$7*N42^2+$B$8*(N42-N$45)^2</f>
        <v>6.3548327524883055E-2</v>
      </c>
      <c r="P42" s="14">
        <f>$D$24+(E18-$B$12)*$C$48</f>
        <v>0.1787542188512854</v>
      </c>
      <c r="Q42" s="6">
        <f>$B$48+$B$7*P42^2+$B$8*(P42-P$45)^2</f>
        <v>6.3545235644594925E-2</v>
      </c>
      <c r="R42" s="14">
        <f>$D$25+(E18-$B$12)*$C$49</f>
        <v>0.17290638046434181</v>
      </c>
      <c r="S42" s="6">
        <f>$B$49+$B$7*R42^2+$B$8*(R42-R$45)^2</f>
        <v>6.3292019947412015E-2</v>
      </c>
      <c r="T42" s="14">
        <f>$D$26+(E18-$B$12)*$C$50</f>
        <v>0.1655912058545842</v>
      </c>
      <c r="U42" s="6">
        <f>$B$50+$B$7*T42^2+$B$8*(T42-T$45)^2</f>
        <v>6.3272549209400425E-2</v>
      </c>
      <c r="V42" s="14">
        <f>$D$27+(E18-$B$12)*$C$51</f>
        <v>0.15643867515813725</v>
      </c>
      <c r="W42" s="6">
        <f>$B$51+$B$7*V42^2+$B$8*(V42-V$45)^2</f>
        <v>6.3497721442915461E-2</v>
      </c>
      <c r="X42" s="14">
        <f>$D$28+(E18-$B$12)*$C$52</f>
        <v>0.14494709639914938</v>
      </c>
      <c r="Y42" s="6">
        <f>$B$52+$B$7*X42^2+$B$8*(X42-X$45)^2</f>
        <v>6.4006878537607975E-2</v>
      </c>
      <c r="Z42" s="14">
        <f>$D$29+(E18-$B$12)*$C$53</f>
        <v>0.13042675586391261</v>
      </c>
      <c r="AA42" s="6">
        <f>$B$53+$B$7*Z42^2+$B$8*(Z42-Z$45)^2</f>
        <v>6.4875266607229073E-2</v>
      </c>
      <c r="AB42" s="14">
        <f>$D$30+(E18-$B$12)*$C$54</f>
        <v>0.11191727395813733</v>
      </c>
      <c r="AC42" s="6">
        <f>$B$54+$B$7*AB42^2+$B$8*(AB42-AB$45)^2</f>
        <v>6.6231468595956397E-2</v>
      </c>
      <c r="AD42" s="14">
        <f>$D$31+(E18-$B$12)*$C$55</f>
        <v>8.7859232487225714E-2</v>
      </c>
      <c r="AE42" s="6">
        <f>$B$55+$B$7*AD42^2+$B$8*(AD42-AD$45)^2</f>
        <v>6.878325883948283E-2</v>
      </c>
      <c r="AF42" s="14">
        <f>$D$32+(E18-$B$12)*$C$56</f>
        <v>5.6359465274402942E-2</v>
      </c>
      <c r="AG42" s="6">
        <f>$B$56+$B$7*AF42^2+$B$8*(AF42-AF$45)^2</f>
        <v>7.1925692493154475E-2</v>
      </c>
      <c r="AH42" s="14">
        <f>$D$33+(E18-$B$12)*$C$57</f>
        <v>1.4807919541141024E-2</v>
      </c>
      <c r="AI42" s="6">
        <f>$B$57+$B$7*AH42^2+$B$8*(AH42-AH$45)^2</f>
        <v>7.6790388171054977E-2</v>
      </c>
      <c r="AJ42" s="14">
        <f>$D$34+(E18-$B$12)*$C$58</f>
        <v>-3.9812549166628131E-2</v>
      </c>
      <c r="AK42">
        <f>$B$58+$B$9*AJ42^2</f>
        <v>4.8095170469219545E-2</v>
      </c>
      <c r="AL42" s="14">
        <f>$D$35+(E18-$B$12)*$C$59</f>
        <v>-0.11243261942323723</v>
      </c>
      <c r="AM42">
        <f>$B$59+$B$9*AL42^2</f>
        <v>4.9452649784899036E-2</v>
      </c>
      <c r="AN42" s="14">
        <f>$D$36+(E18-$B$12)*$C$60</f>
        <v>-0.16676594374960296</v>
      </c>
      <c r="AO42">
        <f>$B$60+$B$9*AN42^2</f>
        <v>5.0769712627534734E-2</v>
      </c>
      <c r="AP42" s="14">
        <f>$D$37+(E18-$B$12)*$C$61</f>
        <v>0.16664516131525198</v>
      </c>
      <c r="AQ42">
        <f>$B$61+$B$9*AP42^2</f>
        <v>5.0566247102850674E-2</v>
      </c>
    </row>
    <row r="43" spans="1:43" x14ac:dyDescent="0.25">
      <c r="A43" s="139">
        <v>0.05</v>
      </c>
      <c r="B43" s="329">
        <f>B19-'Sub C_D_0'!V11</f>
        <v>6.066578267770939E-2</v>
      </c>
      <c r="C43" s="275">
        <f>'C_L vs. α'!Y317</f>
        <v>0.10617629882976769</v>
      </c>
      <c r="D43" s="247">
        <f>'C_L vs. α'!AC317</f>
        <v>0.55456498931698928</v>
      </c>
      <c r="E43" s="144">
        <v>-4</v>
      </c>
      <c r="F43" s="14">
        <f t="shared" ref="F43:F53" si="38">$D$19+(E43-$B$12)*$C$43</f>
        <v>0.40581362172555446</v>
      </c>
      <c r="G43" s="6">
        <f t="shared" ref="G43:G53" si="39">$B$43+$B$7*F43^2+$B$8*(F43-F$45)^2</f>
        <v>7.7591894987844162E-2</v>
      </c>
      <c r="H43" s="14">
        <f t="shared" ref="H43:H53" si="40">$D$20+(E19-$B$12)*$C$44</f>
        <v>0.40564091993550261</v>
      </c>
      <c r="I43" s="6">
        <f t="shared" ref="I43:I53" si="41">$B$44+$B$7*H43^2+$B$8*(H43-H$45)^2</f>
        <v>7.3407208661396592E-2</v>
      </c>
      <c r="J43" s="14">
        <f t="shared" ref="J43:J53" si="42">$D$21+(E19-$B$12)*$C$45</f>
        <v>0.40590566140931378</v>
      </c>
      <c r="K43" s="6">
        <f t="shared" ref="K43:K53" si="43">$B$45+$B$7*J43^2+$B$8*(J43-J$45)^2</f>
        <v>7.1331014126128064E-2</v>
      </c>
      <c r="L43" s="14">
        <f t="shared" ref="L43:L53" si="44">$D$22+(E19-$B$12)*$C$46</f>
        <v>0.40648218455642393</v>
      </c>
      <c r="M43" s="6">
        <f t="shared" ref="M43:M53" si="45">$B$46+$B$7*L43^2+$B$8*(L43-L$45)^2</f>
        <v>7.0057921899023601E-2</v>
      </c>
      <c r="N43" s="14">
        <f t="shared" ref="N43:N53" si="46">$D$23+(E19-$B$12)*$C$47</f>
        <v>0.40731666459206084</v>
      </c>
      <c r="O43" s="6">
        <f t="shared" ref="O43:O53" si="47">$B$47+$B$7*N43^2+$B$8*(N43-N$45)^2</f>
        <v>6.9223100031488211E-2</v>
      </c>
      <c r="P43" s="14">
        <f t="shared" ref="P43:P53" si="48">$D$24+(E19-$B$12)*$C$48</f>
        <v>0.40870013413799161</v>
      </c>
      <c r="Q43" s="6">
        <f t="shared" ref="Q43:Q53" si="49">$B$48+$B$7*P43^2+$B$8*(P43-P$45)^2</f>
        <v>6.9182331831606284E-2</v>
      </c>
      <c r="R43" s="14">
        <f t="shared" ref="R43:R53" si="50">$D$25+(E19-$B$12)*$C$49</f>
        <v>0.40991633512302189</v>
      </c>
      <c r="S43" s="6">
        <f t="shared" ref="S43:S53" si="51">$B$49+$B$7*R43^2+$B$8*(R43-R$45)^2</f>
        <v>6.8846087059915795E-2</v>
      </c>
      <c r="T43" s="14">
        <f t="shared" ref="T43:T53" si="52">$D$26+(E19-$B$12)*$C$50</f>
        <v>0.41126453896941118</v>
      </c>
      <c r="U43" s="6">
        <f t="shared" ref="U43:U53" si="53">$B$50+$B$7*T43^2+$B$8*(T43-T$45)^2</f>
        <v>6.8698242458268471E-2</v>
      </c>
      <c r="V43" s="14">
        <f t="shared" ref="V43:V53" si="54">$D$27+(E19-$B$12)*$C$51</f>
        <v>0.41268105388461751</v>
      </c>
      <c r="W43" s="6">
        <f t="shared" ref="W43:W53" si="55">$B$51+$B$7*V43^2+$B$8*(V43-V$45)^2</f>
        <v>6.8725693150079759E-2</v>
      </c>
      <c r="X43" s="14">
        <f t="shared" ref="X43:X53" si="56">$D$28+(E19-$B$12)*$C$52</f>
        <v>0.41407605930247116</v>
      </c>
      <c r="Y43" s="6">
        <f t="shared" ref="Y43:Y53" si="57">$B$52+$B$7*X43^2+$B$8*(X43-X$45)^2</f>
        <v>6.8931196920842638E-2</v>
      </c>
      <c r="Z43" s="14">
        <f t="shared" ref="Z43:Z53" si="58">$D$29+(E19-$B$12)*$C$53</f>
        <v>0.41532115272349157</v>
      </c>
      <c r="AA43" s="6">
        <f t="shared" ref="AA43:AA53" si="59">$B$53+$B$7*Z43^2+$B$8*(Z43-Z$45)^2</f>
        <v>6.9333033636452934E-2</v>
      </c>
      <c r="AB43" s="14">
        <f t="shared" ref="AB43:AB53" si="60">$D$30+(E19-$B$12)*$C$54</f>
        <v>0.41623327629962437</v>
      </c>
      <c r="AC43" s="6">
        <f t="shared" ref="AC43:AC53" si="61">$B$54+$B$7*AB43^2+$B$8*(AB43-AB$45)^2</f>
        <v>6.9969006444410037E-2</v>
      </c>
      <c r="AD43" s="14">
        <f t="shared" ref="AD43:AD53" si="62">$D$31+(E19-$B$12)*$C$55</f>
        <v>0.41643226319596993</v>
      </c>
      <c r="AE43" s="6">
        <f t="shared" ref="AE43:AE53" si="63">$B$55+$B$7*AD43^2+$B$8*(AD43-AD$45)^2</f>
        <v>7.138769245347179E-2</v>
      </c>
      <c r="AF43" s="14">
        <f t="shared" ref="AF43:AF53" si="64">$D$32+(E19-$B$12)*$C$56</f>
        <v>0.41559296363044174</v>
      </c>
      <c r="AG43" s="6">
        <f t="shared" ref="AG43:AG52" si="65">$B$56+$B$7*AF43^2+$B$8*(AF43-AF$45)^2</f>
        <v>7.2732200158834304E-2</v>
      </c>
      <c r="AH43" s="14">
        <f t="shared" ref="AH43:AH53" si="66">$D$33+(E19-$B$12)*$C$57</f>
        <v>0.41338257707231185</v>
      </c>
      <c r="AI43" s="6">
        <f t="shared" ref="AI43:AI53" si="67">$B$57+$B$7*AH43^2+$B$8*(AH43-AH$45)^2</f>
        <v>7.4706553823559424E-2</v>
      </c>
      <c r="AJ43" s="14">
        <f t="shared" ref="AJ43:AJ53" si="68">$D$34+(E19-$B$12)*$C$58</f>
        <v>0.40996781550009787</v>
      </c>
      <c r="AK43">
        <f t="shared" ref="AK43:AK53" si="69">$B$58+$B$9*AJ43^2</f>
        <v>6.4889449766883087E-2</v>
      </c>
      <c r="AL43" s="14">
        <f t="shared" ref="AL43:AL53" si="70">$D$35+(E19-$B$12)*$C$59</f>
        <v>0.40577749900819982</v>
      </c>
      <c r="AM43">
        <f t="shared" ref="AM43:AM53" si="71">$B$59+$B$9*AL43^2</f>
        <v>6.4786857686781427E-2</v>
      </c>
      <c r="AN43" s="14">
        <f t="shared" ref="AN43:AN53" si="72">$D$36+(E19-$B$12)*$C$60</f>
        <v>0.42886158379493799</v>
      </c>
      <c r="AO43">
        <f t="shared" ref="AO43:AO53" si="73">$B$60+$B$9*AN43^2</f>
        <v>6.6517208531088778E-2</v>
      </c>
      <c r="AP43" s="14">
        <f t="shared" ref="AP43:AP53" si="74">$D$37+(E19-$B$12)*$C$61</f>
        <v>0.71277254695621328</v>
      </c>
      <c r="AQ43">
        <f t="shared" ref="AQ43:AQ53" si="75">$B$61+$B$9*AP43^2</f>
        <v>9.9013159943631884E-2</v>
      </c>
    </row>
    <row r="44" spans="1:43" x14ac:dyDescent="0.25">
      <c r="A44" s="129">
        <v>0.1</v>
      </c>
      <c r="B44" s="329">
        <f>B20-'Sub C_D_0'!V12</f>
        <v>5.6434446185683398E-2</v>
      </c>
      <c r="C44" s="275">
        <f>'C_L vs. α'!Y318</f>
        <v>0.10702619135747343</v>
      </c>
      <c r="D44" s="247">
        <f>'C_L vs. α'!AC318</f>
        <v>0.55638482940940404</v>
      </c>
      <c r="E44" s="144">
        <v>-2</v>
      </c>
      <c r="F44" s="14">
        <f t="shared" si="38"/>
        <v>0.61816621938508987</v>
      </c>
      <c r="G44" s="6">
        <f t="shared" si="39"/>
        <v>9.247179056462522E-2</v>
      </c>
      <c r="H44" s="14">
        <f t="shared" si="40"/>
        <v>0.61969330265044942</v>
      </c>
      <c r="I44" s="6">
        <f t="shared" si="41"/>
        <v>8.840782630065018E-2</v>
      </c>
      <c r="J44" s="14">
        <f t="shared" si="42"/>
        <v>0.62245759347428453</v>
      </c>
      <c r="K44" s="6">
        <f t="shared" si="43"/>
        <v>8.6527369593140724E-2</v>
      </c>
      <c r="L44" s="14">
        <f t="shared" si="44"/>
        <v>0.62647169399624092</v>
      </c>
      <c r="M44" s="6">
        <f t="shared" si="45"/>
        <v>8.5531805929461094E-2</v>
      </c>
      <c r="N44" s="14">
        <f t="shared" si="46"/>
        <v>0.63179828277035321</v>
      </c>
      <c r="O44" s="6">
        <f t="shared" si="47"/>
        <v>8.5064303385263593E-2</v>
      </c>
      <c r="P44" s="14">
        <f t="shared" si="48"/>
        <v>0.63864604942469771</v>
      </c>
      <c r="Q44" s="6">
        <f t="shared" si="49"/>
        <v>8.5486822135031393E-2</v>
      </c>
      <c r="R44" s="14">
        <f t="shared" si="50"/>
        <v>0.64692628978170186</v>
      </c>
      <c r="S44" s="6">
        <f t="shared" si="51"/>
        <v>8.5733029644362593E-2</v>
      </c>
      <c r="T44" s="14">
        <f t="shared" si="52"/>
        <v>0.65693787208423815</v>
      </c>
      <c r="U44" s="6">
        <f t="shared" si="53"/>
        <v>8.6300449874248425E-2</v>
      </c>
      <c r="V44" s="14">
        <f t="shared" si="54"/>
        <v>0.66892343261109777</v>
      </c>
      <c r="W44" s="6">
        <f t="shared" si="55"/>
        <v>8.7200400115164944E-2</v>
      </c>
      <c r="X44" s="14">
        <f t="shared" si="56"/>
        <v>0.68320502220579304</v>
      </c>
      <c r="Y44" s="6">
        <f t="shared" si="57"/>
        <v>8.846812612814009E-2</v>
      </c>
      <c r="Z44" s="14">
        <f t="shared" si="58"/>
        <v>0.70021554958307053</v>
      </c>
      <c r="AA44" s="6">
        <f t="shared" si="59"/>
        <v>9.0165553676004692E-2</v>
      </c>
      <c r="AB44" s="14">
        <f t="shared" si="60"/>
        <v>0.72054927864111151</v>
      </c>
      <c r="AC44" s="6">
        <f t="shared" si="61"/>
        <v>9.2389970566575427E-2</v>
      </c>
      <c r="AD44" s="14">
        <f t="shared" si="62"/>
        <v>0.74500529390471426</v>
      </c>
      <c r="AE44" s="6">
        <f t="shared" si="63"/>
        <v>9.5772772722394386E-2</v>
      </c>
      <c r="AF44" s="14">
        <f t="shared" si="64"/>
        <v>0.77482646198648064</v>
      </c>
      <c r="AG44" s="6">
        <f t="shared" si="65"/>
        <v>9.9573888600118496E-2</v>
      </c>
      <c r="AH44" s="14">
        <f t="shared" si="66"/>
        <v>0.81195723460348246</v>
      </c>
      <c r="AI44" s="6">
        <f t="shared" si="67"/>
        <v>0.10467259192649128</v>
      </c>
      <c r="AJ44" s="14">
        <f t="shared" si="68"/>
        <v>0.85974818016682397</v>
      </c>
      <c r="AK44">
        <f t="shared" si="69"/>
        <v>0.12249761314968005</v>
      </c>
      <c r="AL44" s="14">
        <f t="shared" si="70"/>
        <v>0.92398761743963698</v>
      </c>
      <c r="AM44">
        <f t="shared" si="71"/>
        <v>0.13429853549459564</v>
      </c>
      <c r="AN44" s="14">
        <f t="shared" si="72"/>
        <v>1.024489111339479</v>
      </c>
      <c r="AO44">
        <f t="shared" si="73"/>
        <v>0.15383889810249068</v>
      </c>
      <c r="AP44" s="14">
        <f t="shared" si="74"/>
        <v>1.2588999325971746</v>
      </c>
      <c r="AQ44">
        <f t="shared" si="75"/>
        <v>0.20763212891486349</v>
      </c>
    </row>
    <row r="45" spans="1:43" s="29" customFormat="1" x14ac:dyDescent="0.25">
      <c r="A45" s="139">
        <v>0.15</v>
      </c>
      <c r="B45" s="329">
        <f>B21-'Sub C_D_0'!V13</f>
        <v>5.4254770644200159E-2</v>
      </c>
      <c r="C45" s="275">
        <f>'C_L vs. α'!Y319</f>
        <v>0.10827596603248536</v>
      </c>
      <c r="D45" s="247">
        <f>'C_L vs. α'!AC319</f>
        <v>0.55945804426909762</v>
      </c>
      <c r="E45" s="143">
        <v>0</v>
      </c>
      <c r="F45" s="83">
        <f t="shared" si="38"/>
        <v>0.83051881704462516</v>
      </c>
      <c r="G45" s="21">
        <f t="shared" si="39"/>
        <v>0.11644918685308589</v>
      </c>
      <c r="H45" s="83">
        <f t="shared" si="40"/>
        <v>0.83374568536539639</v>
      </c>
      <c r="I45" s="21">
        <f t="shared" si="41"/>
        <v>0.11265217018605096</v>
      </c>
      <c r="J45" s="83">
        <f t="shared" si="42"/>
        <v>0.83900952553925523</v>
      </c>
      <c r="K45" s="21">
        <f t="shared" si="43"/>
        <v>0.11118459490707971</v>
      </c>
      <c r="L45" s="83">
        <f t="shared" si="44"/>
        <v>0.84646120343605791</v>
      </c>
      <c r="M45" s="21">
        <f t="shared" si="45"/>
        <v>0.11076931033030643</v>
      </c>
      <c r="N45" s="83">
        <f t="shared" si="46"/>
        <v>0.85627990094864548</v>
      </c>
      <c r="O45" s="21">
        <f t="shared" si="47"/>
        <v>0.11107193758620915</v>
      </c>
      <c r="P45" s="83">
        <f t="shared" si="48"/>
        <v>0.86859196471140399</v>
      </c>
      <c r="Q45" s="21">
        <f t="shared" si="49"/>
        <v>0.11245870655487032</v>
      </c>
      <c r="R45" s="83">
        <f t="shared" si="50"/>
        <v>0.88393624444038199</v>
      </c>
      <c r="S45" s="21">
        <f t="shared" si="51"/>
        <v>0.11395284770075242</v>
      </c>
      <c r="T45" s="83">
        <f t="shared" si="52"/>
        <v>0.90261120519906524</v>
      </c>
      <c r="U45" s="21">
        <f t="shared" si="53"/>
        <v>0.11607917145734029</v>
      </c>
      <c r="V45" s="83">
        <f t="shared" si="54"/>
        <v>0.92516581133757803</v>
      </c>
      <c r="W45" s="21">
        <f t="shared" si="55"/>
        <v>0.11892184233817105</v>
      </c>
      <c r="X45" s="83">
        <f t="shared" si="56"/>
        <v>0.95233398510911482</v>
      </c>
      <c r="Y45" s="21">
        <f t="shared" si="57"/>
        <v>0.12261766615950029</v>
      </c>
      <c r="Z45" s="83">
        <f t="shared" si="58"/>
        <v>0.98510994644264949</v>
      </c>
      <c r="AA45" s="21">
        <f t="shared" si="59"/>
        <v>0.12737282672588437</v>
      </c>
      <c r="AB45" s="83">
        <f t="shared" si="60"/>
        <v>1.0248652809825987</v>
      </c>
      <c r="AC45" s="21">
        <f t="shared" si="61"/>
        <v>0.1334943609624526</v>
      </c>
      <c r="AD45" s="83">
        <f t="shared" si="62"/>
        <v>1.0735783246134585</v>
      </c>
      <c r="AE45" s="21">
        <f t="shared" si="63"/>
        <v>0.1419384996462506</v>
      </c>
      <c r="AF45" s="83">
        <f t="shared" si="64"/>
        <v>1.1340599603425194</v>
      </c>
      <c r="AG45" s="21">
        <f t="shared" si="65"/>
        <v>0.15245075781700707</v>
      </c>
      <c r="AH45" s="83">
        <f t="shared" si="66"/>
        <v>1.2105318921346533</v>
      </c>
      <c r="AI45" s="21">
        <f t="shared" si="67"/>
        <v>0.16668850247985056</v>
      </c>
      <c r="AJ45" s="83">
        <f t="shared" si="68"/>
        <v>1.3095285448335501</v>
      </c>
      <c r="AK45" s="99">
        <f t="shared" si="69"/>
        <v>0.22091966061761045</v>
      </c>
      <c r="AL45" s="83">
        <f t="shared" si="70"/>
        <v>1.442197735871074</v>
      </c>
      <c r="AM45" s="99">
        <f t="shared" si="71"/>
        <v>0.25798768320834164</v>
      </c>
      <c r="AN45" s="83">
        <f t="shared" si="72"/>
        <v>1.6201166388840202</v>
      </c>
      <c r="AO45" s="99">
        <f t="shared" si="73"/>
        <v>0.3127347813417406</v>
      </c>
      <c r="AP45" s="83">
        <f t="shared" si="74"/>
        <v>1.8050273182381362</v>
      </c>
      <c r="AQ45" s="99">
        <f t="shared" si="75"/>
        <v>0.37642315401654575</v>
      </c>
    </row>
    <row r="46" spans="1:43" x14ac:dyDescent="0.25">
      <c r="A46" s="129">
        <v>0.2</v>
      </c>
      <c r="B46" s="329">
        <f>B22-'Sub C_D_0'!V14</f>
        <v>5.2823748889452529E-2</v>
      </c>
      <c r="C46" s="275">
        <f>'C_L vs. α'!Y320</f>
        <v>0.10999475471990849</v>
      </c>
      <c r="D46" s="247">
        <f>'C_L vs. α'!AC320</f>
        <v>0.56384721039314389</v>
      </c>
      <c r="E46" s="144">
        <v>2</v>
      </c>
      <c r="F46" s="14">
        <f t="shared" si="38"/>
        <v>1.0428714147041607</v>
      </c>
      <c r="G46" s="6">
        <f t="shared" si="39"/>
        <v>0.14952408385322621</v>
      </c>
      <c r="H46" s="14">
        <f t="shared" si="40"/>
        <v>1.0477980680803431</v>
      </c>
      <c r="I46" s="6">
        <f t="shared" si="41"/>
        <v>0.14614024031759887</v>
      </c>
      <c r="J46" s="14">
        <f t="shared" si="42"/>
        <v>1.055561457604226</v>
      </c>
      <c r="K46" s="6">
        <f t="shared" si="43"/>
        <v>0.14530269006794505</v>
      </c>
      <c r="L46" s="14">
        <f t="shared" si="44"/>
        <v>1.0664507128758749</v>
      </c>
      <c r="M46" s="6">
        <f t="shared" si="45"/>
        <v>0.14577043510155954</v>
      </c>
      <c r="N46" s="14">
        <f t="shared" si="46"/>
        <v>1.0807615191269377</v>
      </c>
      <c r="O46" s="6">
        <f t="shared" si="47"/>
        <v>0.14724600263432491</v>
      </c>
      <c r="P46" s="14">
        <f t="shared" si="48"/>
        <v>1.09853787999811</v>
      </c>
      <c r="Q46" s="6">
        <f t="shared" si="49"/>
        <v>0.15009798509112299</v>
      </c>
      <c r="R46" s="14">
        <f t="shared" si="50"/>
        <v>1.1209461990990619</v>
      </c>
      <c r="S46" s="6">
        <f t="shared" si="51"/>
        <v>0.15350554122908525</v>
      </c>
      <c r="T46" s="14">
        <f t="shared" si="52"/>
        <v>1.1482845383138922</v>
      </c>
      <c r="U46" s="6">
        <f t="shared" si="53"/>
        <v>0.15803440720754405</v>
      </c>
      <c r="V46" s="14">
        <f t="shared" si="54"/>
        <v>1.1814081900640583</v>
      </c>
      <c r="W46" s="6">
        <f t="shared" si="55"/>
        <v>0.16389001981909804</v>
      </c>
      <c r="X46" s="14">
        <f t="shared" si="56"/>
        <v>1.2214629480124368</v>
      </c>
      <c r="Y46" s="6">
        <f t="shared" si="57"/>
        <v>0.17137981701492333</v>
      </c>
      <c r="Z46" s="14">
        <f t="shared" si="58"/>
        <v>1.2700043433022286</v>
      </c>
      <c r="AA46" s="6">
        <f t="shared" si="59"/>
        <v>0.18095485278609202</v>
      </c>
      <c r="AB46" s="14">
        <f t="shared" si="60"/>
        <v>1.3291812833240857</v>
      </c>
      <c r="AC46" s="6">
        <f t="shared" si="61"/>
        <v>0.19328217763204147</v>
      </c>
      <c r="AD46" s="14">
        <f t="shared" si="62"/>
        <v>1.4021513553222027</v>
      </c>
      <c r="AE46" s="6">
        <f t="shared" si="63"/>
        <v>0.20988487322504043</v>
      </c>
      <c r="AF46" s="14">
        <f t="shared" si="64"/>
        <v>1.4932934586985582</v>
      </c>
      <c r="AG46" s="6">
        <f t="shared" si="65"/>
        <v>0.23136280780950003</v>
      </c>
      <c r="AH46" s="14">
        <f t="shared" si="66"/>
        <v>1.6091065496658239</v>
      </c>
      <c r="AI46" s="6">
        <f t="shared" si="67"/>
        <v>0.26075428548363722</v>
      </c>
      <c r="AJ46" s="14">
        <f t="shared" si="68"/>
        <v>1.7593089095002761</v>
      </c>
      <c r="AK46">
        <f t="shared" si="69"/>
        <v>0.36015559217067422</v>
      </c>
      <c r="AL46" s="14">
        <f t="shared" si="70"/>
        <v>1.9604078543025114</v>
      </c>
      <c r="AM46">
        <f t="shared" si="71"/>
        <v>0.43585430082801957</v>
      </c>
      <c r="AN46" s="14">
        <f t="shared" si="72"/>
        <v>2.2157441664285611</v>
      </c>
      <c r="AO46">
        <f t="shared" si="73"/>
        <v>0.54320485824883824</v>
      </c>
      <c r="AP46" s="14">
        <f t="shared" si="74"/>
        <v>2.3511547038790974</v>
      </c>
      <c r="AQ46">
        <f t="shared" si="75"/>
        <v>0.60538623524867829</v>
      </c>
    </row>
    <row r="47" spans="1:43" x14ac:dyDescent="0.25">
      <c r="A47" s="139">
        <v>0.25</v>
      </c>
      <c r="B47" s="329">
        <f>B23-'Sub C_D_0'!V15</f>
        <v>5.1774276929295746E-2</v>
      </c>
      <c r="C47" s="275">
        <f>'C_L vs. α'!Y321</f>
        <v>0.11224080908914616</v>
      </c>
      <c r="D47" s="247">
        <f>'C_L vs. α'!AC321</f>
        <v>0.56964491335588441</v>
      </c>
      <c r="E47" s="144">
        <v>4</v>
      </c>
      <c r="F47" s="14">
        <f t="shared" si="38"/>
        <v>1.255224012363696</v>
      </c>
      <c r="G47" s="6">
        <f t="shared" si="39"/>
        <v>0.19169648156504615</v>
      </c>
      <c r="H47" s="14">
        <f t="shared" si="40"/>
        <v>1.2618504507952901</v>
      </c>
      <c r="I47" s="6">
        <f t="shared" si="41"/>
        <v>0.18887203669529404</v>
      </c>
      <c r="J47" s="14">
        <f t="shared" si="42"/>
        <v>1.2721133896691967</v>
      </c>
      <c r="K47" s="6">
        <f t="shared" si="43"/>
        <v>0.18888165507573673</v>
      </c>
      <c r="L47" s="14">
        <f t="shared" si="44"/>
        <v>1.2864402223156919</v>
      </c>
      <c r="M47" s="6">
        <f t="shared" si="45"/>
        <v>0.19053518024322053</v>
      </c>
      <c r="N47" s="14">
        <f t="shared" si="46"/>
        <v>1.3052431373052302</v>
      </c>
      <c r="O47" s="6">
        <f t="shared" si="47"/>
        <v>0.19358649852961093</v>
      </c>
      <c r="P47" s="14">
        <f t="shared" si="48"/>
        <v>1.3284837952848163</v>
      </c>
      <c r="Q47" s="6">
        <f t="shared" si="49"/>
        <v>0.19840465774378949</v>
      </c>
      <c r="R47" s="14">
        <f t="shared" si="50"/>
        <v>1.357956153757742</v>
      </c>
      <c r="S47" s="6">
        <f t="shared" si="51"/>
        <v>0.20439111022936113</v>
      </c>
      <c r="T47" s="14">
        <f t="shared" si="52"/>
        <v>1.3939578714287193</v>
      </c>
      <c r="U47" s="6">
        <f t="shared" si="53"/>
        <v>0.21216615712485976</v>
      </c>
      <c r="V47" s="14">
        <f t="shared" si="54"/>
        <v>1.4376505687905385</v>
      </c>
      <c r="W47" s="6">
        <f t="shared" si="55"/>
        <v>0.22210493255794592</v>
      </c>
      <c r="X47" s="14">
        <f t="shared" si="56"/>
        <v>1.4905919109157586</v>
      </c>
      <c r="Y47" s="6">
        <f t="shared" si="57"/>
        <v>0.23475457869440911</v>
      </c>
      <c r="Z47" s="14">
        <f t="shared" si="58"/>
        <v>1.5548987401618075</v>
      </c>
      <c r="AA47" s="6">
        <f t="shared" si="59"/>
        <v>0.25091163185662746</v>
      </c>
      <c r="AB47" s="14">
        <f t="shared" si="60"/>
        <v>1.6334972856655727</v>
      </c>
      <c r="AC47" s="6">
        <f t="shared" si="61"/>
        <v>0.27175342057534219</v>
      </c>
      <c r="AD47" s="14">
        <f t="shared" si="62"/>
        <v>1.7307243860309471</v>
      </c>
      <c r="AE47" s="6">
        <f t="shared" si="63"/>
        <v>0.29961189345876399</v>
      </c>
      <c r="AF47" s="14">
        <f t="shared" si="64"/>
        <v>1.852526957054597</v>
      </c>
      <c r="AG47" s="6">
        <f t="shared" si="65"/>
        <v>0.33631003857759728</v>
      </c>
      <c r="AH47" s="14">
        <f t="shared" si="66"/>
        <v>2.0076812071969945</v>
      </c>
      <c r="AI47" s="6">
        <f t="shared" si="67"/>
        <v>0.38686994093785138</v>
      </c>
      <c r="AJ47" s="14">
        <f t="shared" si="68"/>
        <v>2.2090892741670021</v>
      </c>
      <c r="AK47">
        <f t="shared" si="69"/>
        <v>0.54020540780887139</v>
      </c>
      <c r="AL47" s="14">
        <f t="shared" si="70"/>
        <v>2.4786179727339483</v>
      </c>
      <c r="AM47">
        <f t="shared" si="71"/>
        <v>0.66789838835362925</v>
      </c>
      <c r="AN47" s="14">
        <f t="shared" si="72"/>
        <v>2.8113716939731024</v>
      </c>
      <c r="AO47">
        <f t="shared" si="73"/>
        <v>0.84524912882378389</v>
      </c>
      <c r="AP47" s="14">
        <f t="shared" si="74"/>
        <v>2.8972820895200586</v>
      </c>
      <c r="AQ47">
        <f t="shared" si="75"/>
        <v>0.8945213726112613</v>
      </c>
    </row>
    <row r="48" spans="1:43" x14ac:dyDescent="0.25">
      <c r="A48" s="129">
        <v>0.3</v>
      </c>
      <c r="B48" s="329">
        <f>B24-'Sub C_D_0'!V16</f>
        <v>5.1443557726996367E-2</v>
      </c>
      <c r="C48" s="275">
        <f>'C_L vs. α'!Y322</f>
        <v>0.11497295764335308</v>
      </c>
      <c r="D48" s="247">
        <f>'C_L vs. α'!AC322</f>
        <v>0.57697940697139272</v>
      </c>
      <c r="E48" s="144">
        <v>6</v>
      </c>
      <c r="F48" s="14">
        <f t="shared" si="38"/>
        <v>1.4675766100232313</v>
      </c>
      <c r="G48" s="6">
        <f t="shared" si="39"/>
        <v>0.24296637998854564</v>
      </c>
      <c r="H48" s="14">
        <f t="shared" si="40"/>
        <v>1.4759028335102369</v>
      </c>
      <c r="I48" s="6">
        <f t="shared" si="41"/>
        <v>0.24084755931913632</v>
      </c>
      <c r="J48" s="14">
        <f t="shared" si="42"/>
        <v>1.4886653217341674</v>
      </c>
      <c r="K48" s="6">
        <f t="shared" si="43"/>
        <v>0.24192148993045476</v>
      </c>
      <c r="L48" s="14">
        <f t="shared" si="44"/>
        <v>1.5064297317555089</v>
      </c>
      <c r="M48" s="6">
        <f t="shared" si="45"/>
        <v>0.24506354575528935</v>
      </c>
      <c r="N48" s="14">
        <f t="shared" si="46"/>
        <v>1.5297247554835225</v>
      </c>
      <c r="O48" s="6">
        <f t="shared" si="47"/>
        <v>0.25009342527206718</v>
      </c>
      <c r="P48" s="14">
        <f t="shared" si="48"/>
        <v>1.5584297105715224</v>
      </c>
      <c r="Q48" s="6">
        <f t="shared" si="49"/>
        <v>0.25737872451286969</v>
      </c>
      <c r="R48" s="14">
        <f t="shared" si="50"/>
        <v>1.5949661084164219</v>
      </c>
      <c r="S48" s="6">
        <f t="shared" si="51"/>
        <v>0.26660955470157999</v>
      </c>
      <c r="T48" s="14">
        <f t="shared" si="52"/>
        <v>1.6396312045435462</v>
      </c>
      <c r="U48" s="6">
        <f t="shared" si="53"/>
        <v>0.27847442120928728</v>
      </c>
      <c r="V48" s="14">
        <f t="shared" si="54"/>
        <v>1.6938929475170188</v>
      </c>
      <c r="W48" s="6">
        <f t="shared" si="55"/>
        <v>0.29356658055471474</v>
      </c>
      <c r="X48" s="14">
        <f t="shared" si="56"/>
        <v>1.7597208738190804</v>
      </c>
      <c r="Y48" s="6">
        <f t="shared" si="57"/>
        <v>0.31274195119795761</v>
      </c>
      <c r="Z48" s="14">
        <f t="shared" si="58"/>
        <v>1.8397931370213865</v>
      </c>
      <c r="AA48" s="6">
        <f t="shared" si="59"/>
        <v>0.33724316393749088</v>
      </c>
      <c r="AB48" s="14">
        <f t="shared" si="60"/>
        <v>1.9378132880070598</v>
      </c>
      <c r="AC48" s="6">
        <f t="shared" si="61"/>
        <v>0.36890808979235451</v>
      </c>
      <c r="AD48" s="14">
        <f t="shared" si="62"/>
        <v>2.0592974167396911</v>
      </c>
      <c r="AE48" s="6">
        <f t="shared" si="63"/>
        <v>0.41111956034742098</v>
      </c>
      <c r="AF48" s="14">
        <f t="shared" si="64"/>
        <v>2.2117604554106363</v>
      </c>
      <c r="AG48" s="6">
        <f t="shared" si="65"/>
        <v>0.46729245012129911</v>
      </c>
      <c r="AH48" s="14">
        <f t="shared" si="66"/>
        <v>2.4062558647281653</v>
      </c>
      <c r="AI48" s="6">
        <f t="shared" si="67"/>
        <v>0.54503546884249288</v>
      </c>
      <c r="AJ48" s="14">
        <f t="shared" si="68"/>
        <v>2.6588696388337283</v>
      </c>
      <c r="AK48">
        <f t="shared" si="69"/>
        <v>0.76106910753220214</v>
      </c>
      <c r="AL48" s="14">
        <f t="shared" si="70"/>
        <v>2.9968280911653857</v>
      </c>
      <c r="AM48">
        <f t="shared" si="71"/>
        <v>0.95411994578517079</v>
      </c>
      <c r="AN48" s="14">
        <f t="shared" si="72"/>
        <v>3.4069992215176432</v>
      </c>
      <c r="AO48">
        <f t="shared" si="73"/>
        <v>1.2188675930665773</v>
      </c>
      <c r="AP48" s="14">
        <f t="shared" si="74"/>
        <v>3.4434094751610207</v>
      </c>
      <c r="AQ48">
        <f t="shared" si="75"/>
        <v>1.2438285661042954</v>
      </c>
    </row>
    <row r="49" spans="1:43" x14ac:dyDescent="0.25">
      <c r="A49" s="139">
        <v>0.35</v>
      </c>
      <c r="B49" s="329">
        <f>B25-'Sub C_D_0'!V17</f>
        <v>5.0762907585405803E-2</v>
      </c>
      <c r="C49" s="275">
        <f>'C_L vs. α'!Y323</f>
        <v>0.11850497732934001</v>
      </c>
      <c r="D49" s="247">
        <f>'C_L vs. α'!AC323</f>
        <v>0.58602300954865816</v>
      </c>
      <c r="E49" s="144">
        <v>8</v>
      </c>
      <c r="F49" s="14">
        <f t="shared" si="38"/>
        <v>1.6799292076827665</v>
      </c>
      <c r="G49" s="6">
        <f t="shared" si="39"/>
        <v>0.30333377912372478</v>
      </c>
      <c r="H49" s="14">
        <f t="shared" si="40"/>
        <v>1.6899552162251839</v>
      </c>
      <c r="I49" s="6">
        <f t="shared" si="41"/>
        <v>0.30206680818912579</v>
      </c>
      <c r="J49" s="14">
        <f t="shared" si="42"/>
        <v>1.7052172537991381</v>
      </c>
      <c r="K49" s="6">
        <f t="shared" si="43"/>
        <v>0.30442219463209913</v>
      </c>
      <c r="L49" s="14">
        <f t="shared" si="44"/>
        <v>1.7264192411953259</v>
      </c>
      <c r="M49" s="6">
        <f t="shared" si="45"/>
        <v>0.30935553163776597</v>
      </c>
      <c r="N49" s="14">
        <f t="shared" si="46"/>
        <v>1.7542063736618148</v>
      </c>
      <c r="O49" s="6">
        <f t="shared" si="47"/>
        <v>0.31676678286169357</v>
      </c>
      <c r="P49" s="14">
        <f t="shared" si="48"/>
        <v>1.7883756258582286</v>
      </c>
      <c r="Q49" s="6">
        <f t="shared" si="49"/>
        <v>0.32702018539836375</v>
      </c>
      <c r="R49" s="14">
        <f t="shared" si="50"/>
        <v>1.8319760630751021</v>
      </c>
      <c r="S49" s="6">
        <f t="shared" si="51"/>
        <v>0.34016087464574196</v>
      </c>
      <c r="T49" s="14">
        <f t="shared" si="52"/>
        <v>1.8853045376583732</v>
      </c>
      <c r="U49" s="6">
        <f t="shared" si="53"/>
        <v>0.35695919946082683</v>
      </c>
      <c r="V49" s="14">
        <f t="shared" si="54"/>
        <v>1.9501353262434991</v>
      </c>
      <c r="W49" s="6">
        <f t="shared" si="55"/>
        <v>0.37827496380940445</v>
      </c>
      <c r="X49" s="14">
        <f t="shared" si="56"/>
        <v>2.0288498367224022</v>
      </c>
      <c r="Y49" s="6">
        <f t="shared" si="57"/>
        <v>0.40534193452556894</v>
      </c>
      <c r="Z49" s="14">
        <f t="shared" si="58"/>
        <v>2.1246875338809654</v>
      </c>
      <c r="AA49" s="6">
        <f t="shared" si="59"/>
        <v>0.43994944902868216</v>
      </c>
      <c r="AB49" s="14">
        <f t="shared" si="60"/>
        <v>2.2421292903485468</v>
      </c>
      <c r="AC49" s="6">
        <f t="shared" si="61"/>
        <v>0.48474618528307872</v>
      </c>
      <c r="AD49" s="14">
        <f t="shared" si="62"/>
        <v>2.3878704474484356</v>
      </c>
      <c r="AE49" s="6">
        <f t="shared" si="63"/>
        <v>0.54440787389101175</v>
      </c>
      <c r="AF49" s="14">
        <f t="shared" si="64"/>
        <v>2.5709939537666751</v>
      </c>
      <c r="AG49" s="6">
        <f t="shared" si="65"/>
        <v>0.62431004244060528</v>
      </c>
      <c r="AH49" s="14">
        <f t="shared" si="66"/>
        <v>2.8048305222593362</v>
      </c>
      <c r="AI49" s="6">
        <f t="shared" si="67"/>
        <v>0.73525086919756188</v>
      </c>
      <c r="AJ49" s="14">
        <f t="shared" si="68"/>
        <v>3.1086500035004541</v>
      </c>
      <c r="AK49">
        <f t="shared" si="69"/>
        <v>1.022746691340666</v>
      </c>
      <c r="AL49" s="14">
        <f t="shared" si="70"/>
        <v>3.5150382095968227</v>
      </c>
      <c r="AM49">
        <f t="shared" si="71"/>
        <v>1.2945189731226441</v>
      </c>
      <c r="AN49" s="14">
        <f t="shared" si="72"/>
        <v>4.0026267490621841</v>
      </c>
      <c r="AO49">
        <f t="shared" si="73"/>
        <v>1.6640602509772187</v>
      </c>
      <c r="AP49" s="14">
        <f t="shared" si="74"/>
        <v>3.9895368608019819</v>
      </c>
      <c r="AQ49">
        <f t="shared" si="75"/>
        <v>1.653307815727779</v>
      </c>
    </row>
    <row r="50" spans="1:43" x14ac:dyDescent="0.25">
      <c r="A50" s="129">
        <v>0.4</v>
      </c>
      <c r="B50" s="329">
        <f>B26-'Sub C_D_0'!V18</f>
        <v>5.0190992975183535E-2</v>
      </c>
      <c r="C50" s="275">
        <f>'C_L vs. α'!Y324</f>
        <v>0.1228366665574135</v>
      </c>
      <c r="D50" s="247">
        <f>'C_L vs. α'!AC324</f>
        <v>0.59700438372333264</v>
      </c>
      <c r="E50" s="144">
        <v>10</v>
      </c>
      <c r="F50" s="14">
        <f t="shared" si="38"/>
        <v>1.8922818053423021</v>
      </c>
      <c r="G50" s="6">
        <f t="shared" si="39"/>
        <v>0.37279867897058361</v>
      </c>
      <c r="H50" s="14">
        <f t="shared" si="40"/>
        <v>1.9040075989401306</v>
      </c>
      <c r="I50" s="6">
        <f t="shared" si="41"/>
        <v>0.37252978330526237</v>
      </c>
      <c r="J50" s="14">
        <f t="shared" si="42"/>
        <v>1.9217691858641088</v>
      </c>
      <c r="K50" s="6">
        <f t="shared" si="43"/>
        <v>0.37638376918066979</v>
      </c>
      <c r="L50" s="14">
        <f t="shared" si="44"/>
        <v>1.9464087506351428</v>
      </c>
      <c r="M50" s="6">
        <f t="shared" si="45"/>
        <v>0.3834111378906504</v>
      </c>
      <c r="N50" s="14">
        <f t="shared" si="46"/>
        <v>1.9786879918401072</v>
      </c>
      <c r="O50" s="6">
        <f t="shared" si="47"/>
        <v>0.39360657129849025</v>
      </c>
      <c r="P50" s="14">
        <f t="shared" si="48"/>
        <v>2.0183215411449345</v>
      </c>
      <c r="Q50" s="6">
        <f t="shared" si="49"/>
        <v>0.4073290404002714</v>
      </c>
      <c r="R50" s="14">
        <f t="shared" si="50"/>
        <v>2.0689860177337822</v>
      </c>
      <c r="S50" s="6">
        <f t="shared" si="51"/>
        <v>0.42504507006184689</v>
      </c>
      <c r="T50" s="14">
        <f t="shared" si="52"/>
        <v>2.1309778707731999</v>
      </c>
      <c r="U50" s="6">
        <f t="shared" si="53"/>
        <v>0.44762049187947811</v>
      </c>
      <c r="V50" s="14">
        <f t="shared" si="54"/>
        <v>2.2063777049699791</v>
      </c>
      <c r="W50" s="6">
        <f t="shared" si="55"/>
        <v>0.47623008232201497</v>
      </c>
      <c r="X50" s="14">
        <f t="shared" si="56"/>
        <v>2.2979787996257239</v>
      </c>
      <c r="Y50" s="6">
        <f t="shared" si="57"/>
        <v>0.51255452867724305</v>
      </c>
      <c r="Z50" s="14">
        <f t="shared" si="58"/>
        <v>2.4095819307405444</v>
      </c>
      <c r="AA50" s="6">
        <f t="shared" si="59"/>
        <v>0.55903048713020143</v>
      </c>
      <c r="AB50" s="14">
        <f t="shared" si="60"/>
        <v>2.5464452926900338</v>
      </c>
      <c r="AC50" s="6">
        <f t="shared" si="61"/>
        <v>0.61926770704751466</v>
      </c>
      <c r="AD50" s="14">
        <f t="shared" si="62"/>
        <v>2.71644347815718</v>
      </c>
      <c r="AE50" s="6">
        <f>$B$55+$B$7*AD50^2+$B$8*(AD50-AD$45)^2</f>
        <v>0.6994768340895362</v>
      </c>
      <c r="AF50" s="14">
        <f t="shared" si="64"/>
        <v>2.9302274521227138</v>
      </c>
      <c r="AG50" s="6">
        <f t="shared" si="65"/>
        <v>0.8073628155355157</v>
      </c>
      <c r="AH50" s="14">
        <f t="shared" si="66"/>
        <v>3.203405179790507</v>
      </c>
      <c r="AI50" s="6">
        <f t="shared" si="67"/>
        <v>0.95751614200305823</v>
      </c>
      <c r="AJ50" s="14">
        <f t="shared" si="68"/>
        <v>3.5584303681671798</v>
      </c>
      <c r="AK50">
        <f t="shared" si="69"/>
        <v>1.3252381592342632</v>
      </c>
      <c r="AL50" s="14">
        <f t="shared" si="70"/>
        <v>4.0332483280282601</v>
      </c>
      <c r="AM50">
        <f t="shared" si="71"/>
        <v>1.6890954703660495</v>
      </c>
      <c r="AN50" s="14">
        <f t="shared" si="72"/>
        <v>4.5982542766067258</v>
      </c>
      <c r="AO50">
        <f t="shared" si="73"/>
        <v>2.1808271025557087</v>
      </c>
      <c r="AP50" s="14">
        <f t="shared" si="74"/>
        <v>4.5356642464429431</v>
      </c>
      <c r="AQ50">
        <f t="shared" si="75"/>
        <v>2.1229591214817134</v>
      </c>
    </row>
    <row r="51" spans="1:43" x14ac:dyDescent="0.25">
      <c r="A51" s="139">
        <v>0.45</v>
      </c>
      <c r="B51" s="329">
        <f>B27-'Sub C_D_0'!V19</f>
        <v>4.9699672114823554E-2</v>
      </c>
      <c r="C51" s="275">
        <f>'C_L vs. α'!Y325</f>
        <v>0.12812118936324013</v>
      </c>
      <c r="D51" s="247">
        <f>'C_L vs. α'!AC325</f>
        <v>0.61022655878285847</v>
      </c>
      <c r="E51" s="144">
        <v>12</v>
      </c>
      <c r="F51" s="14">
        <f t="shared" si="38"/>
        <v>2.1046344030018371</v>
      </c>
      <c r="G51" s="6">
        <f t="shared" si="39"/>
        <v>0.45136107952912191</v>
      </c>
      <c r="H51" s="14">
        <f t="shared" si="40"/>
        <v>2.1180599816550778</v>
      </c>
      <c r="I51" s="6">
        <f t="shared" si="41"/>
        <v>0.45223648466754635</v>
      </c>
      <c r="J51" s="14">
        <f t="shared" si="42"/>
        <v>2.1383211179290793</v>
      </c>
      <c r="K51" s="6">
        <f t="shared" si="43"/>
        <v>0.4578062135761668</v>
      </c>
      <c r="L51" s="14">
        <f t="shared" si="44"/>
        <v>2.1663982600749598</v>
      </c>
      <c r="M51" s="6">
        <f t="shared" si="45"/>
        <v>0.46723036451394262</v>
      </c>
      <c r="N51" s="14">
        <f t="shared" si="46"/>
        <v>2.2031696100183993</v>
      </c>
      <c r="O51" s="6">
        <f t="shared" si="47"/>
        <v>0.48061279058245698</v>
      </c>
      <c r="P51" s="14">
        <f t="shared" si="48"/>
        <v>2.2482674564316412</v>
      </c>
      <c r="Q51" s="6">
        <f t="shared" si="49"/>
        <v>0.49830528951859321</v>
      </c>
      <c r="R51" s="14">
        <f t="shared" si="50"/>
        <v>2.3059959723924619</v>
      </c>
      <c r="S51" s="6">
        <f t="shared" si="51"/>
        <v>0.52126214094989465</v>
      </c>
      <c r="T51" s="14">
        <f t="shared" si="52"/>
        <v>2.3766512038880272</v>
      </c>
      <c r="U51" s="6">
        <f t="shared" si="53"/>
        <v>0.55045829846524152</v>
      </c>
      <c r="V51" s="14">
        <f t="shared" si="54"/>
        <v>2.4626200836964598</v>
      </c>
      <c r="W51" s="6">
        <f t="shared" si="55"/>
        <v>0.58743193609254662</v>
      </c>
      <c r="X51" s="14">
        <f t="shared" si="56"/>
        <v>2.5671077625290462</v>
      </c>
      <c r="Y51" s="6">
        <f t="shared" si="57"/>
        <v>0.63437973365297995</v>
      </c>
      <c r="Z51" s="14">
        <f t="shared" si="58"/>
        <v>2.6944763276001233</v>
      </c>
      <c r="AA51" s="6">
        <f t="shared" si="59"/>
        <v>0.69448627824204856</v>
      </c>
      <c r="AB51" s="14">
        <f t="shared" si="60"/>
        <v>2.8507612950315213</v>
      </c>
      <c r="AC51" s="6">
        <f t="shared" si="61"/>
        <v>0.77247265508566254</v>
      </c>
      <c r="AD51" s="14">
        <f t="shared" si="62"/>
        <v>3.0450165088659245</v>
      </c>
      <c r="AE51" s="6">
        <f t="shared" si="63"/>
        <v>0.87632644094299428</v>
      </c>
      <c r="AF51" s="14">
        <f t="shared" si="64"/>
        <v>3.2894609504787526</v>
      </c>
      <c r="AG51" s="6">
        <f t="shared" si="65"/>
        <v>1.0164507694060305</v>
      </c>
      <c r="AH51" s="14">
        <f t="shared" si="66"/>
        <v>3.6019798373216774</v>
      </c>
      <c r="AI51" s="6">
        <f t="shared" si="67"/>
        <v>1.2118312872589818</v>
      </c>
      <c r="AJ51" s="14">
        <f t="shared" si="68"/>
        <v>4.0082107328339065</v>
      </c>
      <c r="AK51">
        <f t="shared" si="69"/>
        <v>1.6685435112129947</v>
      </c>
      <c r="AL51" s="14">
        <f t="shared" si="70"/>
        <v>4.551458446459697</v>
      </c>
      <c r="AM51">
        <f t="shared" si="71"/>
        <v>2.1378494375153863</v>
      </c>
      <c r="AN51" s="14">
        <f t="shared" si="72"/>
        <v>5.1938818041512667</v>
      </c>
      <c r="AO51">
        <f t="shared" si="73"/>
        <v>2.7691681478020453</v>
      </c>
      <c r="AP51" s="14">
        <f t="shared" si="74"/>
        <v>5.0817916320839043</v>
      </c>
      <c r="AQ51">
        <f t="shared" si="75"/>
        <v>2.652782483366098</v>
      </c>
    </row>
    <row r="52" spans="1:43" x14ac:dyDescent="0.25">
      <c r="A52" s="129">
        <v>0.5</v>
      </c>
      <c r="B52" s="329">
        <f>B28-'Sub C_D_0'!V20</f>
        <v>4.9270282676001254E-2</v>
      </c>
      <c r="C52" s="275">
        <f>'C_L vs. α'!Y326</f>
        <v>0.13456448145166092</v>
      </c>
      <c r="D52" s="247">
        <f>'C_L vs. α'!AC326</f>
        <v>0.6260937673204966</v>
      </c>
      <c r="E52" s="144">
        <v>14</v>
      </c>
      <c r="F52" s="14">
        <f t="shared" si="38"/>
        <v>2.3169870006613729</v>
      </c>
      <c r="G52" s="6">
        <f t="shared" si="39"/>
        <v>0.53902098079934013</v>
      </c>
      <c r="H52" s="14">
        <f t="shared" si="40"/>
        <v>2.3321123643700243</v>
      </c>
      <c r="I52" s="6">
        <f t="shared" si="41"/>
        <v>0.54118691227597726</v>
      </c>
      <c r="J52" s="14">
        <f t="shared" si="42"/>
        <v>2.3548730499940502</v>
      </c>
      <c r="K52" s="6">
        <f t="shared" si="43"/>
        <v>0.54868952781859015</v>
      </c>
      <c r="L52" s="14">
        <f t="shared" si="44"/>
        <v>2.3863877695147768</v>
      </c>
      <c r="M52" s="6">
        <f t="shared" si="45"/>
        <v>0.56081321150764285</v>
      </c>
      <c r="N52" s="14">
        <f t="shared" si="46"/>
        <v>2.4276512281966918</v>
      </c>
      <c r="O52" s="6">
        <f t="shared" si="47"/>
        <v>0.57778544071359406</v>
      </c>
      <c r="P52" s="14">
        <f t="shared" si="48"/>
        <v>2.478213371718347</v>
      </c>
      <c r="Q52" s="6">
        <f t="shared" si="49"/>
        <v>0.59994893275332839</v>
      </c>
      <c r="R52" s="14">
        <f t="shared" si="50"/>
        <v>2.543005927051142</v>
      </c>
      <c r="S52" s="6">
        <f t="shared" si="51"/>
        <v>0.62881208730988569</v>
      </c>
      <c r="T52" s="14">
        <f t="shared" si="52"/>
        <v>2.6223245370028545</v>
      </c>
      <c r="U52" s="6">
        <f t="shared" si="53"/>
        <v>0.66547261921811696</v>
      </c>
      <c r="V52" s="14">
        <f t="shared" si="54"/>
        <v>2.7188624624229396</v>
      </c>
      <c r="W52" s="6">
        <f t="shared" si="55"/>
        <v>0.71188052512099875</v>
      </c>
      <c r="X52" s="14">
        <f t="shared" si="56"/>
        <v>2.8362367254323679</v>
      </c>
      <c r="Y52" s="6">
        <f t="shared" si="57"/>
        <v>0.7708175494527798</v>
      </c>
      <c r="Z52" s="14">
        <f t="shared" si="58"/>
        <v>2.9793707244597019</v>
      </c>
      <c r="AA52" s="6">
        <f t="shared" si="59"/>
        <v>0.84631682236422334</v>
      </c>
      <c r="AB52" s="14">
        <f t="shared" si="60"/>
        <v>3.1550772973730083</v>
      </c>
      <c r="AC52" s="6">
        <f t="shared" si="61"/>
        <v>0.94436102939752198</v>
      </c>
      <c r="AD52" s="14">
        <f t="shared" si="62"/>
        <v>3.3735895395746684</v>
      </c>
      <c r="AE52" s="6">
        <f t="shared" si="63"/>
        <v>1.0749566944513858</v>
      </c>
      <c r="AF52" s="14">
        <f t="shared" si="64"/>
        <v>3.6486944488347914</v>
      </c>
      <c r="AG52" s="6">
        <f t="shared" si="65"/>
        <v>1.2515739040521496</v>
      </c>
      <c r="AH52" s="14">
        <f t="shared" si="66"/>
        <v>4.0005544948528478</v>
      </c>
      <c r="AI52" s="6">
        <f t="shared" si="67"/>
        <v>1.4981963049653328</v>
      </c>
      <c r="AJ52" s="14">
        <f t="shared" si="68"/>
        <v>4.4579910975006323</v>
      </c>
      <c r="AK52">
        <f t="shared" si="69"/>
        <v>2.0526627472768584</v>
      </c>
      <c r="AL52" s="14">
        <f t="shared" si="70"/>
        <v>5.0696685648911348</v>
      </c>
      <c r="AM52">
        <f t="shared" si="71"/>
        <v>2.6407808745706558</v>
      </c>
      <c r="AN52" s="14">
        <f t="shared" si="72"/>
        <v>5.7895093316958075</v>
      </c>
      <c r="AO52">
        <f t="shared" si="73"/>
        <v>3.4290833867162305</v>
      </c>
      <c r="AP52" s="14">
        <f t="shared" si="74"/>
        <v>5.6279190177248664</v>
      </c>
      <c r="AQ52">
        <f t="shared" si="75"/>
        <v>3.2427779013809341</v>
      </c>
    </row>
    <row r="53" spans="1:43" x14ac:dyDescent="0.25">
      <c r="A53" s="139">
        <v>0.55000000000000004</v>
      </c>
      <c r="B53" s="329">
        <f>B29-'Sub C_D_0'!V21</f>
        <v>4.888984972652767E-2</v>
      </c>
      <c r="C53" s="275">
        <f>'C_L vs. α'!Y327</f>
        <v>0.14244719842978948</v>
      </c>
      <c r="D53" s="247">
        <f>'C_L vs. α'!AC327</f>
        <v>0.64515232241407749</v>
      </c>
      <c r="E53" s="144">
        <v>16</v>
      </c>
      <c r="F53" s="14">
        <f t="shared" si="38"/>
        <v>2.5293395983209082</v>
      </c>
      <c r="G53" s="6">
        <f t="shared" si="39"/>
        <v>0.63577838278123766</v>
      </c>
      <c r="H53" s="14">
        <f t="shared" si="40"/>
        <v>2.5461647470849713</v>
      </c>
      <c r="I53" s="6">
        <f t="shared" si="41"/>
        <v>0.63938106613055545</v>
      </c>
      <c r="J53" s="14">
        <f t="shared" si="42"/>
        <v>2.5714249820590211</v>
      </c>
      <c r="K53" s="6">
        <f t="shared" si="43"/>
        <v>0.64903371190794013</v>
      </c>
      <c r="L53" s="14">
        <f t="shared" si="44"/>
        <v>2.6063772789545938</v>
      </c>
      <c r="M53" s="6">
        <f t="shared" si="45"/>
        <v>0.66415967887175065</v>
      </c>
      <c r="N53" s="14">
        <f t="shared" si="46"/>
        <v>2.6521328463749843</v>
      </c>
      <c r="O53" s="6">
        <f t="shared" si="47"/>
        <v>0.6851245216919013</v>
      </c>
      <c r="P53" s="14">
        <f t="shared" si="48"/>
        <v>2.7081592870050533</v>
      </c>
      <c r="Q53" s="6">
        <f t="shared" si="49"/>
        <v>0.71225997010447761</v>
      </c>
      <c r="R53" s="14">
        <f t="shared" si="50"/>
        <v>2.7800158817098222</v>
      </c>
      <c r="S53" s="6">
        <f t="shared" si="51"/>
        <v>0.7476949091418198</v>
      </c>
      <c r="T53" s="14">
        <f t="shared" si="52"/>
        <v>2.8679978701176809</v>
      </c>
      <c r="U53" s="6">
        <f t="shared" si="53"/>
        <v>0.79266345413810357</v>
      </c>
      <c r="V53" s="14">
        <f t="shared" si="54"/>
        <v>2.9751048411494199</v>
      </c>
      <c r="W53" s="6">
        <f t="shared" si="55"/>
        <v>0.84957584940737207</v>
      </c>
      <c r="X53" s="14">
        <f t="shared" si="56"/>
        <v>3.1053656883356897</v>
      </c>
      <c r="Y53" s="6">
        <f t="shared" si="57"/>
        <v>0.92186797607664217</v>
      </c>
      <c r="Z53" s="14">
        <f t="shared" si="58"/>
        <v>3.2642651213192813</v>
      </c>
      <c r="AA53" s="6">
        <f t="shared" si="59"/>
        <v>1.0145221194967267</v>
      </c>
      <c r="AB53" s="14">
        <f t="shared" si="60"/>
        <v>3.4593932997144954</v>
      </c>
      <c r="AC53" s="6">
        <f t="shared" si="61"/>
        <v>1.1349328299830932</v>
      </c>
      <c r="AD53" s="14">
        <f t="shared" si="62"/>
        <v>3.7021625702834129</v>
      </c>
      <c r="AE53" s="6">
        <f t="shared" si="63"/>
        <v>1.2953675946147112</v>
      </c>
      <c r="AF53" s="14">
        <f t="shared" si="64"/>
        <v>4.0079279471908302</v>
      </c>
      <c r="AG53" s="6">
        <f>$B$56+$B$7*AF53^2+$B$8*(AF53-AF$45)^2</f>
        <v>1.5127322194738735</v>
      </c>
      <c r="AH53" s="14">
        <f t="shared" si="66"/>
        <v>4.3991291523840186</v>
      </c>
      <c r="AI53" s="6">
        <f t="shared" si="67"/>
        <v>1.8166111951221113</v>
      </c>
      <c r="AJ53" s="14">
        <f t="shared" si="68"/>
        <v>4.907771462167358</v>
      </c>
      <c r="AK53">
        <f t="shared" si="69"/>
        <v>2.477595867425856</v>
      </c>
      <c r="AL53" s="14">
        <f t="shared" si="70"/>
        <v>5.5878786833225718</v>
      </c>
      <c r="AM53">
        <f t="shared" si="71"/>
        <v>3.1978897815318565</v>
      </c>
      <c r="AN53" s="14">
        <f t="shared" si="72"/>
        <v>6.3851368592403492</v>
      </c>
      <c r="AO53">
        <f t="shared" si="73"/>
        <v>4.1605728192982641</v>
      </c>
      <c r="AP53" s="14">
        <f t="shared" si="74"/>
        <v>6.1740464033658276</v>
      </c>
      <c r="AQ53">
        <f t="shared" si="75"/>
        <v>3.8929453755262196</v>
      </c>
    </row>
    <row r="54" spans="1:43" x14ac:dyDescent="0.25">
      <c r="A54" s="129">
        <v>0.6</v>
      </c>
      <c r="B54" s="329">
        <f>B30-'Sub C_D_0'!V22</f>
        <v>4.8549008641584124E-2</v>
      </c>
      <c r="C54" s="275">
        <f>'C_L vs. α'!Y328</f>
        <v>0.15215800117074355</v>
      </c>
      <c r="D54" s="247">
        <f>'C_L vs. α'!AC328</f>
        <v>0.66815476260936835</v>
      </c>
      <c r="G54" s="6"/>
      <c r="AE54" s="6"/>
    </row>
    <row r="55" spans="1:43" x14ac:dyDescent="0.25">
      <c r="A55" s="139">
        <v>0.65</v>
      </c>
      <c r="B55" s="329">
        <f>B31-'Sub C_D_0'!V23</f>
        <v>4.8726134185596057E-2</v>
      </c>
      <c r="C55" s="275">
        <f>'C_L vs. α'!Y329</f>
        <v>0.16428651535437214</v>
      </c>
      <c r="D55" s="247">
        <f>'C_L vs. α'!AC329</f>
        <v>0.69616430046180855</v>
      </c>
    </row>
    <row r="56" spans="1:43" x14ac:dyDescent="0.25">
      <c r="A56" s="129">
        <v>0.7</v>
      </c>
      <c r="B56" s="329">
        <f>B32-'Sub C_D_0'!V24</f>
        <v>4.8440039735221117E-2</v>
      </c>
      <c r="C56" s="275">
        <f>'C_L vs. α'!Y330</f>
        <v>0.17961674917801942</v>
      </c>
      <c r="D56" s="247">
        <f>'C_L vs. α'!AC330</f>
        <v>0.73073273471171618</v>
      </c>
    </row>
    <row r="57" spans="1:43" x14ac:dyDescent="0.25">
      <c r="A57" s="139">
        <v>0.75</v>
      </c>
      <c r="B57" s="329">
        <f>B33-'Sub C_D_0'!V25</f>
        <v>4.8177538310900145E-2</v>
      </c>
      <c r="C57" s="275">
        <f>'C_L vs. α'!Y331</f>
        <v>0.19928732876558536</v>
      </c>
      <c r="D57" s="247">
        <f>'C_L vs. α'!AC331</f>
        <v>0.7742205053262986</v>
      </c>
    </row>
    <row r="58" spans="1:43" x14ac:dyDescent="0.25">
      <c r="A58" s="129">
        <v>0.8</v>
      </c>
      <c r="B58" s="329">
        <f>B34-'Sub C_D_0'!V26</f>
        <v>4.7935282083184198E-2</v>
      </c>
      <c r="C58" s="275">
        <f>'C_L vs. α'!Y332</f>
        <v>0.22489018233336303</v>
      </c>
      <c r="D58" s="247">
        <f>'C_L vs. α'!AC332</f>
        <v>0.83041164474938745</v>
      </c>
    </row>
    <row r="59" spans="1:43" x14ac:dyDescent="0.25">
      <c r="A59" s="139">
        <v>0.85</v>
      </c>
      <c r="B59" s="329">
        <f>B35-'Sub C_D_0'!V27</f>
        <v>4.8177498818689685E-2</v>
      </c>
      <c r="C59" s="275">
        <f>'C_L vs. α'!Y333</f>
        <v>0.25910505921571858</v>
      </c>
      <c r="D59" s="247">
        <f>'C_L vs. α'!AC333</f>
        <v>0.90578940361991822</v>
      </c>
    </row>
    <row r="60" spans="1:43" x14ac:dyDescent="0.25">
      <c r="A60" s="129">
        <v>0.9</v>
      </c>
      <c r="B60" s="329">
        <f>B36-'Sub C_D_0'!V28</f>
        <v>4.7964332749194032E-2</v>
      </c>
      <c r="C60" s="275">
        <f>'C_L vs. α'!Y334</f>
        <v>0.29781376377227053</v>
      </c>
      <c r="D60" s="247">
        <f>'C_L vs. α'!AC334</f>
        <v>1.012370337747668</v>
      </c>
    </row>
    <row r="61" spans="1:43" x14ac:dyDescent="0.25">
      <c r="A61" s="139">
        <v>0.95</v>
      </c>
      <c r="B61" s="329">
        <f>B37-'Sub C_D_0'!V29</f>
        <v>4.7764929419685777E-2</v>
      </c>
      <c r="C61" s="275">
        <f>'C_L vs. α'!Y335</f>
        <v>0.27306369282048071</v>
      </c>
      <c r="D61" s="247">
        <f>'C_L vs. α'!AC335</f>
        <v>1.1728890272208958</v>
      </c>
    </row>
    <row r="62" spans="1:43" x14ac:dyDescent="0.25">
      <c r="A62" s="142"/>
      <c r="B62" s="272"/>
      <c r="C62" s="273"/>
    </row>
    <row r="63" spans="1:43" x14ac:dyDescent="0.25">
      <c r="A63" s="122" t="s">
        <v>537</v>
      </c>
      <c r="B63" s="267" t="s">
        <v>635</v>
      </c>
    </row>
    <row r="64" spans="1:43" x14ac:dyDescent="0.25">
      <c r="A64" s="122" t="s">
        <v>202</v>
      </c>
      <c r="B64" s="268" t="s">
        <v>533</v>
      </c>
      <c r="C64" s="267" t="s">
        <v>538</v>
      </c>
      <c r="D64" s="122" t="s">
        <v>539</v>
      </c>
      <c r="F64" s="1" t="s">
        <v>536</v>
      </c>
      <c r="G64" s="140">
        <v>0.05</v>
      </c>
      <c r="H64" s="1" t="s">
        <v>536</v>
      </c>
      <c r="I64" s="140">
        <v>0.1</v>
      </c>
      <c r="J64" s="1" t="s">
        <v>536</v>
      </c>
      <c r="K64" s="140">
        <v>0.15</v>
      </c>
      <c r="L64" s="1" t="s">
        <v>536</v>
      </c>
      <c r="M64" s="140">
        <v>0.2</v>
      </c>
      <c r="N64" t="s">
        <v>536</v>
      </c>
      <c r="O64" s="141">
        <v>0.25</v>
      </c>
      <c r="P64" t="s">
        <v>536</v>
      </c>
      <c r="Q64" s="141">
        <v>0.3</v>
      </c>
      <c r="R64" t="s">
        <v>536</v>
      </c>
      <c r="S64" s="141">
        <v>0.35</v>
      </c>
      <c r="T64" t="s">
        <v>536</v>
      </c>
      <c r="U64" s="141">
        <v>0.4</v>
      </c>
      <c r="V64" t="s">
        <v>536</v>
      </c>
      <c r="W64" s="141">
        <v>0.45</v>
      </c>
      <c r="X64" t="s">
        <v>536</v>
      </c>
      <c r="Y64" s="141">
        <v>0.5</v>
      </c>
      <c r="Z64" t="s">
        <v>536</v>
      </c>
      <c r="AA64" s="141">
        <v>0.55000000000000004</v>
      </c>
      <c r="AB64" t="s">
        <v>536</v>
      </c>
      <c r="AC64" s="141">
        <v>0.6</v>
      </c>
      <c r="AD64" t="s">
        <v>536</v>
      </c>
      <c r="AE64" s="141">
        <v>0.65</v>
      </c>
      <c r="AF64" t="s">
        <v>536</v>
      </c>
      <c r="AG64" s="141">
        <v>0.7</v>
      </c>
      <c r="AH64" t="s">
        <v>536</v>
      </c>
      <c r="AI64" s="141">
        <v>0.75</v>
      </c>
      <c r="AJ64" t="s">
        <v>536</v>
      </c>
      <c r="AK64" s="141">
        <v>0.8</v>
      </c>
      <c r="AL64" t="s">
        <v>536</v>
      </c>
      <c r="AM64" s="141">
        <v>0.85</v>
      </c>
      <c r="AN64" t="s">
        <v>536</v>
      </c>
      <c r="AO64" s="141">
        <v>0.9</v>
      </c>
      <c r="AP64" t="s">
        <v>536</v>
      </c>
      <c r="AQ64" s="141">
        <v>0.95</v>
      </c>
    </row>
    <row r="65" spans="1:43" x14ac:dyDescent="0.25">
      <c r="A65" s="121" t="s">
        <v>182</v>
      </c>
      <c r="B65" s="269" t="s">
        <v>534</v>
      </c>
      <c r="C65" s="269" t="s">
        <v>535</v>
      </c>
      <c r="D65" s="248" t="s">
        <v>1126</v>
      </c>
      <c r="E65" s="121" t="s">
        <v>421</v>
      </c>
      <c r="F65" s="14" t="s">
        <v>244</v>
      </c>
      <c r="G65" s="6" t="s">
        <v>245</v>
      </c>
      <c r="H65" s="14" t="s">
        <v>244</v>
      </c>
      <c r="I65" s="6" t="s">
        <v>245</v>
      </c>
      <c r="J65" s="14" t="s">
        <v>244</v>
      </c>
      <c r="K65" s="6" t="s">
        <v>245</v>
      </c>
      <c r="L65" s="14" t="s">
        <v>244</v>
      </c>
      <c r="M65" s="6" t="s">
        <v>245</v>
      </c>
      <c r="N65" t="s">
        <v>244</v>
      </c>
      <c r="O65" t="s">
        <v>245</v>
      </c>
      <c r="P65" t="s">
        <v>244</v>
      </c>
      <c r="Q65" t="s">
        <v>245</v>
      </c>
      <c r="R65" t="s">
        <v>244</v>
      </c>
      <c r="S65" t="s">
        <v>245</v>
      </c>
      <c r="T65" t="s">
        <v>244</v>
      </c>
      <c r="U65" t="s">
        <v>245</v>
      </c>
      <c r="V65" t="s">
        <v>244</v>
      </c>
      <c r="W65" t="s">
        <v>245</v>
      </c>
      <c r="X65" t="s">
        <v>244</v>
      </c>
      <c r="Y65" t="s">
        <v>245</v>
      </c>
      <c r="Z65" t="s">
        <v>244</v>
      </c>
      <c r="AA65" t="s">
        <v>245</v>
      </c>
      <c r="AB65" t="s">
        <v>244</v>
      </c>
      <c r="AC65" t="s">
        <v>245</v>
      </c>
      <c r="AD65" t="s">
        <v>244</v>
      </c>
      <c r="AE65" t="s">
        <v>245</v>
      </c>
      <c r="AF65" t="s">
        <v>244</v>
      </c>
      <c r="AG65" t="s">
        <v>245</v>
      </c>
      <c r="AH65" t="s">
        <v>244</v>
      </c>
      <c r="AI65" t="s">
        <v>245</v>
      </c>
      <c r="AJ65" t="s">
        <v>244</v>
      </c>
      <c r="AK65" t="s">
        <v>245</v>
      </c>
      <c r="AL65" t="s">
        <v>244</v>
      </c>
      <c r="AM65" t="s">
        <v>245</v>
      </c>
      <c r="AN65" t="s">
        <v>244</v>
      </c>
      <c r="AO65" t="s">
        <v>245</v>
      </c>
      <c r="AP65" t="s">
        <v>244</v>
      </c>
      <c r="AQ65" t="s">
        <v>245</v>
      </c>
    </row>
    <row r="66" spans="1:43" x14ac:dyDescent="0.25">
      <c r="A66" s="129">
        <v>0</v>
      </c>
      <c r="B66" s="270" t="e">
        <f>'Sub C_D_0'!AZ40</f>
        <v>#DIV/0!</v>
      </c>
      <c r="C66" s="270" t="e">
        <f>'C_L vs. α'!X341</f>
        <v>#NUM!</v>
      </c>
      <c r="D66" s="247">
        <f>'C_L vs. α'!AB341</f>
        <v>0.55396232552297364</v>
      </c>
      <c r="E66" s="144">
        <v>-6</v>
      </c>
      <c r="F66" s="14">
        <f>$D$19+(E66-$B$12)*$C$67</f>
        <v>0.19333917336949047</v>
      </c>
      <c r="G66" s="6">
        <f>$B$67+$B$7*F66^2+$B$8*(F66-F$69)^2</f>
        <v>6.5288412509914587E-2</v>
      </c>
      <c r="H66" s="14">
        <f>$D$20+(E66-$B$12)*$C$68</f>
        <v>0.1914631364228131</v>
      </c>
      <c r="I66" s="6">
        <f>$B$68+$B$7*H66^2+$B$8*(H66-H$69)^2</f>
        <v>6.1880068880749678E-2</v>
      </c>
      <c r="J66" s="14">
        <f>$D$21+(E66-$B$12)*$C$69</f>
        <v>0.18923345746524112</v>
      </c>
      <c r="K66" s="6">
        <f>$B$69+$B$7*J66^2+$B$8*(J66-J$69)^2</f>
        <v>6.0293727901330085E-2</v>
      </c>
      <c r="L66" s="14">
        <f>$D$22+(E66-$B$12)*$C$70</f>
        <v>0.18637884427790241</v>
      </c>
      <c r="M66" s="6">
        <f>$B$70+$B$7*L66^2+$B$8*(L66-L$69)^2</f>
        <v>5.9213397187490656E-2</v>
      </c>
      <c r="N66" s="14">
        <f>$D$23+(E66-$B$12)*$C$71</f>
        <v>0.18272807957638426</v>
      </c>
      <c r="O66" s="6">
        <f>$B$71+$B$7*N66^2+$B$8*(N66-N$69)^2</f>
        <v>5.8598095798818667E-2</v>
      </c>
      <c r="P66" s="14">
        <f>$D$24+(E66-$B$12)*$C$72</f>
        <v>0.17864854317023882</v>
      </c>
      <c r="Q66" s="6">
        <f>$B$72+$B$7*P66^2+$B$8*(P66-P$69)^2</f>
        <v>5.8731185796018812E-2</v>
      </c>
      <c r="R66" s="14">
        <f>$D$25+(E66-$B$12)*$C$73</f>
        <v>0.17280829285442434</v>
      </c>
      <c r="S66" s="6">
        <f>$B$73+$B$7*R66^2+$B$8*(R66-R$69)^2</f>
        <v>5.8595236345830463E-2</v>
      </c>
      <c r="T66" s="14">
        <f>$D$26+(E66-$B$12)*$C$74</f>
        <v>0.16550245911656303</v>
      </c>
      <c r="U66" s="6">
        <f>$B$74+$B$7*T66^2+$B$8*(T66-T$69)^2</f>
        <v>5.8674183218438952E-2</v>
      </c>
      <c r="V66" s="14">
        <f>$D$27+(E66-$B$12)*$C$75</f>
        <v>0.15636178788054911</v>
      </c>
      <c r="W66" s="6">
        <f>$B$75+$B$7*V66^2+$B$8*(V66-V$69)^2</f>
        <v>5.8983795002581475E-2</v>
      </c>
      <c r="X66" s="14">
        <f>$D$28+(E66-$B$12)*$C$76</f>
        <v>0.14488581040220772</v>
      </c>
      <c r="Y66" s="6">
        <f>$B$76+$B$7*X66^2+$B$8*(X66-X$69)^2</f>
        <v>5.9566603745928023E-2</v>
      </c>
      <c r="Z66" s="14">
        <f>$D$29+(E66-$B$12)*$C$77</f>
        <v>0.13038678256428504</v>
      </c>
      <c r="AA66" s="6">
        <f>$B$77+$B$7*Z66^2+$B$8*(Z66-Z$69)^2</f>
        <v>6.0500001415301263E-2</v>
      </c>
      <c r="AB66" s="14">
        <f>$D$30+(E66-$B$12)*$C$78</f>
        <v>0.11190760956483725</v>
      </c>
      <c r="AC66" s="6">
        <f>$B$78+$B$7*AB66^2+$B$8*(AB66-AB$69)^2</f>
        <v>6.1913976691918698E-2</v>
      </c>
      <c r="AD66" s="14">
        <f>$D$31+(E66-$B$12)*$C$79</f>
        <v>8.7897395343464968E-2</v>
      </c>
      <c r="AE66" s="6">
        <f>$B$79+$B$7*AD66^2+$B$8*(AD66-AD$69)^2</f>
        <v>6.4509851513238348E-2</v>
      </c>
      <c r="AF66" s="14">
        <f>$D$32+(E66-$B$12)*$C$80</f>
        <v>5.6474286658464989E-2</v>
      </c>
      <c r="AG66" s="6">
        <f>$B$80+$B$7*AF66^2+$B$8*(AF66-AF$69)^2</f>
        <v>6.7696756790673385E-2</v>
      </c>
      <c r="AH66" s="14">
        <f>$D$33+(E66-$B$12)*$C$81</f>
        <v>1.5051721264458862E-2</v>
      </c>
      <c r="AI66" s="6">
        <f>$B$81+$B$7*AH66^2+$B$8*(AH66-AH$69)^2</f>
        <v>7.2597045642243563E-2</v>
      </c>
      <c r="AJ66" s="14">
        <f>$D$34+(E66-$B$12)*$C$82</f>
        <v>-3.933214339598079E-2</v>
      </c>
      <c r="AK66">
        <f t="shared" ref="AK66:AK77" si="76">$B$82+$B$9*AJ66^2</f>
        <v>4.3952072722577819E-2</v>
      </c>
      <c r="AL66" s="14">
        <f>$D$35+(E66-$B$12)*$C$83</f>
        <v>-0.11140766931364876</v>
      </c>
      <c r="AM66">
        <f t="shared" ref="AM66:AM77" si="77">$B$83+$B$9*AL66^2</f>
        <v>4.532122239768796E-2</v>
      </c>
      <c r="AN66" s="14">
        <f>$D$36+(E66-$B$12)*$C$84</f>
        <v>-0.16439486149208471</v>
      </c>
      <c r="AO66">
        <f t="shared" ref="AO66:AO77" si="78">$B$84+$B$9*AN66^2</f>
        <v>4.6617413438367991E-2</v>
      </c>
      <c r="AP66" s="14">
        <f>$D$37+(E66-$B$12)*$C$85</f>
        <v>0.17440559103553754</v>
      </c>
      <c r="AQ66">
        <f t="shared" ref="AQ66:AQ77" si="79">$B$85+$B$9*AP66^2</f>
        <v>4.6793039746348533E-2</v>
      </c>
    </row>
    <row r="67" spans="1:43" x14ac:dyDescent="0.25">
      <c r="A67" s="139">
        <v>0.05</v>
      </c>
      <c r="B67" s="275">
        <f>'Sub C_D_0'!AZ41</f>
        <v>5.4144780310354211E-2</v>
      </c>
      <c r="C67" s="275">
        <f>'C_L vs. α'!X342</f>
        <v>0.10620066896907342</v>
      </c>
      <c r="D67" s="247">
        <f>'C_L vs. α'!AB342</f>
        <v>0.55456498931698928</v>
      </c>
      <c r="E67" s="144">
        <v>-4</v>
      </c>
      <c r="F67" s="14">
        <f t="shared" ref="F67:F77" si="80">$D$19+(E67-$B$12)*$C$67</f>
        <v>0.40574051130763727</v>
      </c>
      <c r="G67" s="6">
        <f t="shared" ref="G67:G77" si="81">$B$67+$B$7*F67^2+$B$8*(F67-F$69)^2</f>
        <v>7.1067750360099213E-2</v>
      </c>
      <c r="H67" s="14">
        <f t="shared" ref="H67:H77" si="82">$D$20+(E67-$B$12)*$C$68</f>
        <v>0.40556567945685701</v>
      </c>
      <c r="I67" s="6">
        <f t="shared" ref="I67:I77" si="83">$B$68+$B$7*H67^2+$B$8*(H67-H$69)^2</f>
        <v>6.7633761232516104E-2</v>
      </c>
      <c r="J67" s="14">
        <f t="shared" ref="J67:J77" si="84">$D$21+(E67-$B$12)*$C$69</f>
        <v>0.40583349828185261</v>
      </c>
      <c r="K67" s="6">
        <f t="shared" ref="K67:K77" si="85">$B$69+$B$7*J67^2+$B$8*(J67-J$69)^2</f>
        <v>6.602607474810758E-2</v>
      </c>
      <c r="L67" s="14">
        <f t="shared" ref="L67:L77" si="86">$D$22+(E67-$B$12)*$C$70</f>
        <v>0.40641388605320117</v>
      </c>
      <c r="M67" s="6">
        <f t="shared" ref="M67:M77" si="87">$B$70+$B$7*L67^2+$B$8*(L67-L$69)^2</f>
        <v>6.4920599867556411E-2</v>
      </c>
      <c r="N67" s="14">
        <f t="shared" ref="N67:N77" si="88">$D$23+(E67-$B$12)*$C$71</f>
        <v>0.40725248448963031</v>
      </c>
      <c r="O67" s="6">
        <f t="shared" ref="O67:O77" si="89">$B$71+$B$7*N67^2+$B$8*(N67-N$69)^2</f>
        <v>6.4269881566457854E-2</v>
      </c>
      <c r="P67" s="14">
        <f t="shared" ref="P67:P77" si="90">$D$24+(E67-$B$12)*$C$72</f>
        <v>0.40863672872936363</v>
      </c>
      <c r="Q67" s="6">
        <f t="shared" ref="Q67:Q77" si="91">$B$72+$B$7*P67^2+$B$8*(P67-P$69)^2</f>
        <v>6.4365201168858799E-2</v>
      </c>
      <c r="R67" s="14">
        <f t="shared" ref="R67:R77" si="92">$D$25+(E67-$B$12)*$C$73</f>
        <v>0.40985748255707133</v>
      </c>
      <c r="S67" s="6">
        <f t="shared" ref="S67:S77" si="93">$B$73+$B$7*R67^2+$B$8*(R67-R$69)^2</f>
        <v>6.4146284126311612E-2</v>
      </c>
      <c r="T67" s="14">
        <f t="shared" ref="T67:T77" si="94">$D$26+(E67-$B$12)*$C$74</f>
        <v>0.41121129092659853</v>
      </c>
      <c r="U67" s="6">
        <f t="shared" ref="U67:U77" si="95">$B$74+$B$7*T67^2+$B$8*(T67-T$69)^2</f>
        <v>6.4096966596919672E-2</v>
      </c>
      <c r="V67" s="14">
        <f t="shared" ref="V67:V77" si="96">$D$27+(E67-$B$12)*$C$75</f>
        <v>0.41263492151806458</v>
      </c>
      <c r="W67" s="6">
        <f t="shared" ref="W67:W77" si="97">$B$75+$B$7*V67^2+$B$8*(V67-V$69)^2</f>
        <v>6.4209056351625396E-2</v>
      </c>
      <c r="X67" s="14">
        <f t="shared" ref="X67:X77" si="98">$D$28+(E67-$B$12)*$C$76</f>
        <v>0.4140392877043062</v>
      </c>
      <c r="Y67" s="6">
        <f t="shared" ref="Y67:Y77" si="99">$B$76+$B$7*X67^2+$B$8*(X67-X$69)^2</f>
        <v>6.4488576405114253E-2</v>
      </c>
      <c r="Z67" s="14">
        <f t="shared" ref="Z67:Z77" si="100">$D$29+(E67-$B$12)*$C$77</f>
        <v>0.41529716874371503</v>
      </c>
      <c r="AA67" s="6">
        <f t="shared" ref="AA67:AA77" si="101">$B$77+$B$7*Z67^2+$B$8*(Z67-Z$69)^2</f>
        <v>6.495608939460662E-2</v>
      </c>
      <c r="AB67" s="14">
        <f t="shared" ref="AB67:AB77" si="102">$D$30+(E67-$B$12)*$C$78</f>
        <v>0.41622747766364432</v>
      </c>
      <c r="AC67" s="6">
        <f t="shared" ref="AC67:AC77" si="103">$B$78+$B$7*AB67^2+$B$8*(AB67-AB$69)^2</f>
        <v>6.5651063809181245E-2</v>
      </c>
      <c r="AD67" s="14">
        <f t="shared" ref="AD67:AD77" si="104">$D$31+(E67-$B$12)*$C$79</f>
        <v>0.41645516090971357</v>
      </c>
      <c r="AE67" s="6">
        <f t="shared" ref="AE67:AE77" si="105">$B$79+$B$7*AD67^2+$B$8*(AD67-AD$69)^2</f>
        <v>6.7116288153589027E-2</v>
      </c>
      <c r="AF67" s="14">
        <f t="shared" ref="AF67:AF77" si="106">$D$32+(E67-$B$12)*$C$80</f>
        <v>0.41566185646087905</v>
      </c>
      <c r="AG67" s="6">
        <f t="shared" ref="AG67:AG77" si="107">$B$80+$B$7*AF67^2+$B$8*(AF67-AF$69)^2</f>
        <v>6.8510147706850419E-2</v>
      </c>
      <c r="AH67" s="14">
        <f t="shared" ref="AH67:AH77" si="108">$D$33+(E67-$B$12)*$C$81</f>
        <v>0.41352885810630247</v>
      </c>
      <c r="AI67" s="6">
        <f t="shared" ref="AI67:AI77" si="109">$B$81+$B$7*AH67^2+$B$8*(AH67-AH$69)^2</f>
        <v>7.0530178026140991E-2</v>
      </c>
      <c r="AJ67" s="14">
        <f t="shared" ref="AJ67:AJ77" si="110">$D$34+(E67-$B$12)*$C$82</f>
        <v>0.4102560589624864</v>
      </c>
      <c r="AK67">
        <f t="shared" si="76"/>
        <v>6.0774036313119201E-2</v>
      </c>
      <c r="AL67" s="14">
        <f t="shared" ref="AL67:AL77" si="111">$D$35+(E67-$B$12)*$C$83</f>
        <v>0.40639246907395288</v>
      </c>
      <c r="AM67">
        <f t="shared" si="77"/>
        <v>6.072895549139775E-2</v>
      </c>
      <c r="AN67" s="14">
        <f t="shared" ref="AN67:AN77" si="112">$D$36+(E67-$B$12)*$C$84</f>
        <v>0.43028423314944908</v>
      </c>
      <c r="AO67">
        <f t="shared" si="78"/>
        <v>6.2567410077775484E-2</v>
      </c>
      <c r="AP67" s="14">
        <f t="shared" ref="AP67:AP77" si="113">$D$37+(E67-$B$12)*$C$85</f>
        <v>0.71742880478838478</v>
      </c>
      <c r="AQ67">
        <f t="shared" si="79"/>
        <v>9.5644726119882825E-2</v>
      </c>
    </row>
    <row r="68" spans="1:43" x14ac:dyDescent="0.25">
      <c r="A68" s="129">
        <v>0.1</v>
      </c>
      <c r="B68" s="275">
        <f>'Sub C_D_0'!AZ42</f>
        <v>5.0664216804155747E-2</v>
      </c>
      <c r="C68" s="275">
        <f>'C_L vs. α'!X343</f>
        <v>0.10705127151702197</v>
      </c>
      <c r="D68" s="247">
        <f>'C_L vs. α'!AB343</f>
        <v>0.55638482940940404</v>
      </c>
      <c r="E68" s="144">
        <v>-2</v>
      </c>
      <c r="F68" s="14">
        <f t="shared" si="80"/>
        <v>0.61814184924578408</v>
      </c>
      <c r="G68" s="6">
        <f t="shared" si="81"/>
        <v>8.5948765613105216E-2</v>
      </c>
      <c r="H68" s="14">
        <f t="shared" si="82"/>
        <v>0.61966822249090092</v>
      </c>
      <c r="I68" s="6">
        <f t="shared" si="83"/>
        <v>8.2635512625790414E-2</v>
      </c>
      <c r="J68" s="14">
        <f t="shared" si="84"/>
        <v>0.62243353909846411</v>
      </c>
      <c r="K68" s="6">
        <f t="shared" si="85"/>
        <v>8.122349552524874E-2</v>
      </c>
      <c r="L68" s="14">
        <f t="shared" si="86"/>
        <v>0.62644892782850004</v>
      </c>
      <c r="M68" s="6">
        <f t="shared" si="87"/>
        <v>8.0395464987543325E-2</v>
      </c>
      <c r="N68" s="14">
        <f t="shared" si="88"/>
        <v>0.63177688940287635</v>
      </c>
      <c r="O68" s="6">
        <f t="shared" si="89"/>
        <v>8.011197404282358E-2</v>
      </c>
      <c r="P68" s="14">
        <f t="shared" si="90"/>
        <v>0.63862491428848844</v>
      </c>
      <c r="Q68" s="6">
        <f t="shared" si="91"/>
        <v>8.0670532929136993E-2</v>
      </c>
      <c r="R68" s="14">
        <f t="shared" si="92"/>
        <v>0.64690667225971843</v>
      </c>
      <c r="S68" s="6">
        <f t="shared" si="93"/>
        <v>8.1033959817503873E-2</v>
      </c>
      <c r="T68" s="14">
        <f t="shared" si="94"/>
        <v>0.65692012273663392</v>
      </c>
      <c r="U68" s="6">
        <f t="shared" si="95"/>
        <v>8.1699783300157591E-2</v>
      </c>
      <c r="V68" s="14">
        <f t="shared" si="96"/>
        <v>0.66890805515558016</v>
      </c>
      <c r="W68" s="6">
        <f t="shared" si="97"/>
        <v>8.2684232968197921E-2</v>
      </c>
      <c r="X68" s="14">
        <f t="shared" si="98"/>
        <v>0.68319276500640469</v>
      </c>
      <c r="Y68" s="6">
        <f t="shared" si="99"/>
        <v>8.4025822074400583E-2</v>
      </c>
      <c r="Z68" s="14">
        <f t="shared" si="100"/>
        <v>0.70020755492314501</v>
      </c>
      <c r="AA68" s="6">
        <f t="shared" si="101"/>
        <v>8.5788768458371439E-2</v>
      </c>
      <c r="AB68" s="14">
        <f t="shared" si="102"/>
        <v>0.7205473457624515</v>
      </c>
      <c r="AC68" s="6">
        <f t="shared" si="103"/>
        <v>8.8072051878122323E-2</v>
      </c>
      <c r="AD68" s="14">
        <f t="shared" si="104"/>
        <v>0.74501292647596207</v>
      </c>
      <c r="AE68" s="6">
        <f t="shared" si="105"/>
        <v>9.1501347685993675E-2</v>
      </c>
      <c r="AF68" s="14">
        <f t="shared" si="106"/>
        <v>0.77484942626329301</v>
      </c>
      <c r="AG68" s="6">
        <f t="shared" si="107"/>
        <v>9.5352062548632599E-2</v>
      </c>
      <c r="AH68" s="14">
        <f t="shared" si="108"/>
        <v>0.81200599494814607</v>
      </c>
      <c r="AI68" s="6">
        <f t="shared" si="109"/>
        <v>0.10049750126491838</v>
      </c>
      <c r="AJ68" s="14">
        <f t="shared" si="110"/>
        <v>0.85984426132095337</v>
      </c>
      <c r="AK68">
        <f t="shared" si="76"/>
        <v>0.11837501712750448</v>
      </c>
      <c r="AL68" s="14">
        <f t="shared" si="111"/>
        <v>0.92419260746155474</v>
      </c>
      <c r="AM68">
        <f t="shared" si="77"/>
        <v>0.13022846778623895</v>
      </c>
      <c r="AN68" s="14">
        <f t="shared" si="112"/>
        <v>1.0249633277909829</v>
      </c>
      <c r="AO68">
        <f t="shared" si="78"/>
        <v>0.1498638430334211</v>
      </c>
      <c r="AP68" s="14">
        <f t="shared" si="113"/>
        <v>1.2604520185412318</v>
      </c>
      <c r="AQ68">
        <f t="shared" si="79"/>
        <v>0.20398638026326343</v>
      </c>
    </row>
    <row r="69" spans="1:43" s="29" customFormat="1" x14ac:dyDescent="0.25">
      <c r="A69" s="139">
        <v>0.15</v>
      </c>
      <c r="B69" s="275">
        <f>'Sub C_D_0'!AZ43</f>
        <v>4.8952901570658007E-2</v>
      </c>
      <c r="C69" s="275">
        <f>'C_L vs. α'!X344</f>
        <v>0.10830002040830576</v>
      </c>
      <c r="D69" s="247">
        <f>'C_L vs. α'!AB344</f>
        <v>0.55945804426909762</v>
      </c>
      <c r="E69" s="143">
        <v>0</v>
      </c>
      <c r="F69" s="83">
        <f t="shared" si="80"/>
        <v>0.83054318718393094</v>
      </c>
      <c r="G69" s="21">
        <f t="shared" si="81"/>
        <v>0.10993145826893261</v>
      </c>
      <c r="H69" s="83">
        <f t="shared" si="82"/>
        <v>0.83377076552494489</v>
      </c>
      <c r="I69" s="21">
        <f t="shared" si="83"/>
        <v>0.10688532306057259</v>
      </c>
      <c r="J69" s="83">
        <f t="shared" si="84"/>
        <v>0.83903357991507566</v>
      </c>
      <c r="K69" s="21">
        <f t="shared" si="85"/>
        <v>0.10588599023275358</v>
      </c>
      <c r="L69" s="83">
        <f t="shared" si="86"/>
        <v>0.84648396960379879</v>
      </c>
      <c r="M69" s="21">
        <f t="shared" si="87"/>
        <v>0.10563799254745135</v>
      </c>
      <c r="N69" s="83">
        <f t="shared" si="88"/>
        <v>0.85630129431612234</v>
      </c>
      <c r="O69" s="21">
        <f t="shared" si="89"/>
        <v>0.10612437322791581</v>
      </c>
      <c r="P69" s="83">
        <f t="shared" si="90"/>
        <v>0.86861309984761326</v>
      </c>
      <c r="Q69" s="21">
        <f t="shared" si="91"/>
        <v>0.10764718107685334</v>
      </c>
      <c r="R69" s="83">
        <f t="shared" si="92"/>
        <v>0.88395586196236542</v>
      </c>
      <c r="S69" s="21">
        <f t="shared" si="93"/>
        <v>0.10925826341940725</v>
      </c>
      <c r="T69" s="83">
        <f t="shared" si="94"/>
        <v>0.90262895454666947</v>
      </c>
      <c r="U69" s="21">
        <f t="shared" si="95"/>
        <v>0.11148263332815275</v>
      </c>
      <c r="V69" s="83">
        <f t="shared" si="96"/>
        <v>0.92518118879309563</v>
      </c>
      <c r="W69" s="21">
        <f t="shared" si="97"/>
        <v>0.11440932485229904</v>
      </c>
      <c r="X69" s="83">
        <f t="shared" si="98"/>
        <v>0.95234624230850318</v>
      </c>
      <c r="Y69" s="21">
        <f t="shared" si="99"/>
        <v>0.118178340753787</v>
      </c>
      <c r="Z69" s="83">
        <f t="shared" si="100"/>
        <v>0.985117941102575</v>
      </c>
      <c r="AA69" s="21">
        <f t="shared" si="101"/>
        <v>0.12299803860659574</v>
      </c>
      <c r="AB69" s="83">
        <f t="shared" si="102"/>
        <v>1.0248672138612587</v>
      </c>
      <c r="AC69" s="21">
        <f t="shared" si="103"/>
        <v>0.12917694089874196</v>
      </c>
      <c r="AD69" s="83">
        <f t="shared" si="104"/>
        <v>1.0735706920422106</v>
      </c>
      <c r="AE69" s="21">
        <f t="shared" si="105"/>
        <v>0.13766503011045234</v>
      </c>
      <c r="AF69" s="83">
        <f t="shared" si="106"/>
        <v>1.1340369960657071</v>
      </c>
      <c r="AG69" s="21">
        <f t="shared" si="107"/>
        <v>0.14822250131601997</v>
      </c>
      <c r="AH69" s="83">
        <f t="shared" si="108"/>
        <v>1.2104831317899896</v>
      </c>
      <c r="AI69" s="21">
        <f t="shared" si="109"/>
        <v>0.16249901535857572</v>
      </c>
      <c r="AJ69" s="83">
        <f t="shared" si="110"/>
        <v>1.3094324636794206</v>
      </c>
      <c r="AK69" s="99">
        <f t="shared" si="76"/>
        <v>0.21675501516573376</v>
      </c>
      <c r="AL69" s="83">
        <f t="shared" si="111"/>
        <v>1.4419927458491564</v>
      </c>
      <c r="AM69" s="99">
        <f t="shared" si="77"/>
        <v>0.25381975928221151</v>
      </c>
      <c r="AN69" s="83">
        <f t="shared" si="112"/>
        <v>1.6196424224325163</v>
      </c>
      <c r="AO69" s="99">
        <f t="shared" si="78"/>
        <v>0.3085067123053048</v>
      </c>
      <c r="AP69" s="83">
        <f t="shared" si="113"/>
        <v>1.803475232294079</v>
      </c>
      <c r="AQ69" s="99">
        <f t="shared" si="79"/>
        <v>0.37181800217649041</v>
      </c>
    </row>
    <row r="70" spans="1:43" x14ac:dyDescent="0.25">
      <c r="A70" s="129">
        <v>0.2</v>
      </c>
      <c r="B70" s="275">
        <f>'Sub C_D_0'!AZ44</f>
        <v>4.7689314091649504E-2</v>
      </c>
      <c r="C70" s="275">
        <f>'C_L vs. α'!X345</f>
        <v>0.11001752088764941</v>
      </c>
      <c r="D70" s="247">
        <f>'C_L vs. α'!AB345</f>
        <v>0.56384721039314389</v>
      </c>
      <c r="E70" s="144">
        <v>2</v>
      </c>
      <c r="F70" s="14">
        <f t="shared" si="80"/>
        <v>1.0429445251220777</v>
      </c>
      <c r="G70" s="6">
        <f t="shared" si="81"/>
        <v>0.14301582832758139</v>
      </c>
      <c r="H70" s="14">
        <f t="shared" si="82"/>
        <v>1.0478733085589889</v>
      </c>
      <c r="I70" s="6">
        <f t="shared" si="83"/>
        <v>0.14038319253686266</v>
      </c>
      <c r="J70" s="14">
        <f t="shared" si="84"/>
        <v>1.0556336207316872</v>
      </c>
      <c r="K70" s="6">
        <f t="shared" si="85"/>
        <v>0.14001355887062208</v>
      </c>
      <c r="L70" s="14">
        <f t="shared" si="86"/>
        <v>1.0665190113790977</v>
      </c>
      <c r="M70" s="6">
        <f t="shared" si="87"/>
        <v>0.14064818254728054</v>
      </c>
      <c r="N70" s="14">
        <f t="shared" si="88"/>
        <v>1.0808256992293683</v>
      </c>
      <c r="O70" s="6">
        <f t="shared" si="89"/>
        <v>0.14230707912173454</v>
      </c>
      <c r="P70" s="14">
        <f t="shared" si="90"/>
        <v>1.0986012854067382</v>
      </c>
      <c r="Q70" s="6">
        <f t="shared" si="91"/>
        <v>0.14529514561200793</v>
      </c>
      <c r="R70" s="14">
        <f t="shared" si="92"/>
        <v>1.1210050516650125</v>
      </c>
      <c r="S70" s="6">
        <f t="shared" si="93"/>
        <v>0.14881919493202175</v>
      </c>
      <c r="T70" s="14">
        <f t="shared" si="94"/>
        <v>1.1483377863567048</v>
      </c>
      <c r="U70" s="6">
        <f t="shared" si="95"/>
        <v>0.15344551668090509</v>
      </c>
      <c r="V70" s="14">
        <f t="shared" si="96"/>
        <v>1.1814543224306111</v>
      </c>
      <c r="W70" s="6">
        <f t="shared" si="97"/>
        <v>0.15938433200392879</v>
      </c>
      <c r="X70" s="14">
        <f t="shared" si="98"/>
        <v>1.2214997196106017</v>
      </c>
      <c r="Y70" s="6">
        <f t="shared" si="99"/>
        <v>0.1669461324432735</v>
      </c>
      <c r="Z70" s="14">
        <f t="shared" si="100"/>
        <v>1.270028327282005</v>
      </c>
      <c r="AA70" s="6">
        <f t="shared" si="101"/>
        <v>0.1765838998392795</v>
      </c>
      <c r="AB70" s="14">
        <f t="shared" si="102"/>
        <v>1.3291870819600657</v>
      </c>
      <c r="AC70" s="6">
        <f t="shared" si="103"/>
        <v>0.18896573087104016</v>
      </c>
      <c r="AD70" s="14">
        <f t="shared" si="104"/>
        <v>1.4021284576084592</v>
      </c>
      <c r="AE70" s="6">
        <f t="shared" si="105"/>
        <v>0.20560733542696499</v>
      </c>
      <c r="AF70" s="14">
        <f t="shared" si="106"/>
        <v>1.4932245658681209</v>
      </c>
      <c r="AG70" s="6">
        <f t="shared" si="107"/>
        <v>0.22712146400901242</v>
      </c>
      <c r="AH70" s="14">
        <f t="shared" si="108"/>
        <v>1.6089602686318334</v>
      </c>
      <c r="AI70" s="6">
        <f t="shared" si="109"/>
        <v>0.25653472030711311</v>
      </c>
      <c r="AJ70" s="14">
        <f t="shared" si="110"/>
        <v>1.7590206660378875</v>
      </c>
      <c r="AK70">
        <f t="shared" si="76"/>
        <v>0.35591403042780684</v>
      </c>
      <c r="AL70" s="14">
        <f t="shared" si="111"/>
        <v>1.9597928842367582</v>
      </c>
      <c r="AM70">
        <f t="shared" si="77"/>
        <v>0.43150282997931549</v>
      </c>
      <c r="AN70" s="14">
        <f t="shared" si="112"/>
        <v>2.2143215170740502</v>
      </c>
      <c r="AO70">
        <f t="shared" si="78"/>
        <v>0.5384960178934266</v>
      </c>
      <c r="AP70" s="14">
        <f t="shared" si="113"/>
        <v>2.346498446046926</v>
      </c>
      <c r="AQ70">
        <f t="shared" si="79"/>
        <v>0.59913959185956367</v>
      </c>
    </row>
    <row r="71" spans="1:43" x14ac:dyDescent="0.25">
      <c r="A71" s="139">
        <v>0.25</v>
      </c>
      <c r="B71" s="275">
        <f>'Sub C_D_0'!AZ45</f>
        <v>4.682374953872602E-2</v>
      </c>
      <c r="C71" s="275">
        <f>'C_L vs. α'!X346</f>
        <v>0.11226220245662301</v>
      </c>
      <c r="D71" s="247">
        <f>'C_L vs. α'!AB346</f>
        <v>0.56964491335588441</v>
      </c>
      <c r="E71" s="144">
        <v>4</v>
      </c>
      <c r="F71" s="14">
        <f t="shared" si="80"/>
        <v>1.2553458630602246</v>
      </c>
      <c r="G71" s="6">
        <f t="shared" si="81"/>
        <v>0.18520187578905153</v>
      </c>
      <c r="H71" s="14">
        <f t="shared" si="82"/>
        <v>1.2619758515930326</v>
      </c>
      <c r="I71" s="6">
        <f t="shared" si="83"/>
        <v>0.18312912105466053</v>
      </c>
      <c r="J71" s="14">
        <f t="shared" si="84"/>
        <v>1.2722336615482988</v>
      </c>
      <c r="K71" s="6">
        <f t="shared" si="85"/>
        <v>0.18360620143885426</v>
      </c>
      <c r="L71" s="14">
        <f t="shared" si="86"/>
        <v>1.2865540531543964</v>
      </c>
      <c r="M71" s="6">
        <f t="shared" si="87"/>
        <v>0.18542603498703084</v>
      </c>
      <c r="N71" s="14">
        <f t="shared" si="88"/>
        <v>1.3053501041426143</v>
      </c>
      <c r="O71" s="6">
        <f t="shared" si="89"/>
        <v>0.1886600917242798</v>
      </c>
      <c r="P71" s="14">
        <f t="shared" si="90"/>
        <v>1.3285894709658628</v>
      </c>
      <c r="Q71" s="6">
        <f t="shared" si="91"/>
        <v>0.19361442653460059</v>
      </c>
      <c r="R71" s="14">
        <f t="shared" si="92"/>
        <v>1.3580542413676595</v>
      </c>
      <c r="S71" s="6">
        <f t="shared" si="93"/>
        <v>0.19971675435534736</v>
      </c>
      <c r="T71" s="14">
        <f t="shared" si="94"/>
        <v>1.3940466181667404</v>
      </c>
      <c r="U71" s="6">
        <f t="shared" si="95"/>
        <v>0.20758843335841465</v>
      </c>
      <c r="V71" s="14">
        <f t="shared" si="96"/>
        <v>1.4377274560681266</v>
      </c>
      <c r="W71" s="6">
        <f t="shared" si="97"/>
        <v>0.2176092544230871</v>
      </c>
      <c r="X71" s="14">
        <f t="shared" si="98"/>
        <v>1.4906531969127002</v>
      </c>
      <c r="Y71" s="6">
        <f t="shared" si="99"/>
        <v>0.2303291971428601</v>
      </c>
      <c r="Z71" s="14">
        <f t="shared" si="100"/>
        <v>1.554938713461435</v>
      </c>
      <c r="AA71" s="6">
        <f t="shared" si="101"/>
        <v>0.2465463521564227</v>
      </c>
      <c r="AB71" s="14">
        <f t="shared" si="102"/>
        <v>1.6335069500588728</v>
      </c>
      <c r="AC71" s="6">
        <f t="shared" si="103"/>
        <v>0.26743842179501681</v>
      </c>
      <c r="AD71" s="14">
        <f t="shared" si="104"/>
        <v>1.7306862231747078</v>
      </c>
      <c r="AE71" s="6">
        <f t="shared" si="105"/>
        <v>0.29532826363553161</v>
      </c>
      <c r="AF71" s="14">
        <f t="shared" si="106"/>
        <v>1.852412135670535</v>
      </c>
      <c r="AG71" s="6">
        <f t="shared" si="107"/>
        <v>0.33204895062761008</v>
      </c>
      <c r="AH71" s="14">
        <f t="shared" si="108"/>
        <v>2.0074374054736768</v>
      </c>
      <c r="AI71" s="6">
        <f t="shared" si="109"/>
        <v>0.38260461611053037</v>
      </c>
      <c r="AJ71" s="14">
        <f t="shared" si="110"/>
        <v>2.2086088683963547</v>
      </c>
      <c r="AK71">
        <f t="shared" si="76"/>
        <v>0.535852062913724</v>
      </c>
      <c r="AL71" s="14">
        <f t="shared" si="111"/>
        <v>2.4775930226243599</v>
      </c>
      <c r="AM71">
        <f t="shared" si="77"/>
        <v>0.66327767987755071</v>
      </c>
      <c r="AN71" s="14">
        <f t="shared" si="112"/>
        <v>2.8090006117155841</v>
      </c>
      <c r="AO71">
        <f t="shared" si="78"/>
        <v>0.83983175979778679</v>
      </c>
      <c r="AP71" s="14">
        <f t="shared" si="113"/>
        <v>2.8895216597997733</v>
      </c>
      <c r="AQ71">
        <f t="shared" si="79"/>
        <v>0.88595114931248331</v>
      </c>
    </row>
    <row r="72" spans="1:43" x14ac:dyDescent="0.25">
      <c r="A72" s="129">
        <v>0.3</v>
      </c>
      <c r="B72" s="275">
        <f>'Sub C_D_0'!AZ46</f>
        <v>4.6629062893463941E-2</v>
      </c>
      <c r="C72" s="275">
        <f>'C_L vs. α'!X347</f>
        <v>0.11499409277956241</v>
      </c>
      <c r="D72" s="247">
        <f>'C_L vs. α'!AB347</f>
        <v>0.57697940697139272</v>
      </c>
      <c r="E72" s="144">
        <v>6</v>
      </c>
      <c r="F72" s="14">
        <f t="shared" si="80"/>
        <v>1.4677472009983714</v>
      </c>
      <c r="G72" s="6">
        <f t="shared" si="81"/>
        <v>0.23648960065334312</v>
      </c>
      <c r="H72" s="14">
        <f t="shared" si="82"/>
        <v>1.4760783946270766</v>
      </c>
      <c r="I72" s="6">
        <f t="shared" si="83"/>
        <v>0.23512310861396632</v>
      </c>
      <c r="J72" s="14">
        <f t="shared" si="84"/>
        <v>1.4888337023649103</v>
      </c>
      <c r="K72" s="6">
        <f t="shared" si="85"/>
        <v>0.23666391793745009</v>
      </c>
      <c r="L72" s="14">
        <f t="shared" si="86"/>
        <v>1.5065890949296952</v>
      </c>
      <c r="M72" s="6">
        <f t="shared" si="87"/>
        <v>0.23997154986670227</v>
      </c>
      <c r="N72" s="14">
        <f t="shared" si="88"/>
        <v>1.5298745090558605</v>
      </c>
      <c r="O72" s="6">
        <f t="shared" si="89"/>
        <v>0.24518341103555166</v>
      </c>
      <c r="P72" s="14">
        <f t="shared" si="90"/>
        <v>1.5585776565249878</v>
      </c>
      <c r="Q72" s="6">
        <f t="shared" si="91"/>
        <v>0.25260502384463157</v>
      </c>
      <c r="R72" s="14">
        <f t="shared" si="92"/>
        <v>1.5951034310703065</v>
      </c>
      <c r="S72" s="6">
        <f t="shared" si="93"/>
        <v>0.2619509416893841</v>
      </c>
      <c r="T72" s="14">
        <f t="shared" si="94"/>
        <v>1.6397554499767757</v>
      </c>
      <c r="U72" s="6">
        <f t="shared" si="95"/>
        <v>0.27391138336068144</v>
      </c>
      <c r="V72" s="14">
        <f t="shared" si="96"/>
        <v>1.6940005897056423</v>
      </c>
      <c r="W72" s="6">
        <f t="shared" si="97"/>
        <v>0.28908409210977415</v>
      </c>
      <c r="X72" s="14">
        <f t="shared" si="98"/>
        <v>1.7598066742147986</v>
      </c>
      <c r="Y72" s="6">
        <f t="shared" si="99"/>
        <v>0.30832753485254677</v>
      </c>
      <c r="Z72" s="14">
        <f t="shared" si="100"/>
        <v>1.839849099640865</v>
      </c>
      <c r="AA72" s="6">
        <f t="shared" si="101"/>
        <v>0.33288539555802538</v>
      </c>
      <c r="AB72" s="14">
        <f t="shared" si="102"/>
        <v>1.9378268181576801</v>
      </c>
      <c r="AC72" s="6">
        <f t="shared" si="103"/>
        <v>0.36459501367067215</v>
      </c>
      <c r="AD72" s="14">
        <f t="shared" si="104"/>
        <v>2.0592439887409562</v>
      </c>
      <c r="AE72" s="6">
        <f t="shared" si="105"/>
        <v>0.4068278147361522</v>
      </c>
      <c r="AF72" s="14">
        <f t="shared" si="106"/>
        <v>2.211599705472949</v>
      </c>
      <c r="AG72" s="6">
        <f t="shared" si="107"/>
        <v>0.46300496117181289</v>
      </c>
      <c r="AH72" s="14">
        <f t="shared" si="108"/>
        <v>2.4059145423155206</v>
      </c>
      <c r="AI72" s="6">
        <f t="shared" si="109"/>
        <v>0.54070870276882765</v>
      </c>
      <c r="AJ72" s="14">
        <f t="shared" si="110"/>
        <v>2.6581970707548219</v>
      </c>
      <c r="AK72">
        <f t="shared" si="76"/>
        <v>0.75656911262348503</v>
      </c>
      <c r="AL72" s="14">
        <f t="shared" si="111"/>
        <v>2.995393161011962</v>
      </c>
      <c r="AM72">
        <f t="shared" si="77"/>
        <v>0.94914430897691759</v>
      </c>
      <c r="AN72" s="14">
        <f t="shared" si="112"/>
        <v>3.4036797063571171</v>
      </c>
      <c r="AO72">
        <f t="shared" si="78"/>
        <v>1.2125139380183843</v>
      </c>
      <c r="AP72" s="14">
        <f t="shared" si="113"/>
        <v>3.4325448735526205</v>
      </c>
      <c r="AQ72">
        <f t="shared" si="79"/>
        <v>1.2322526745352493</v>
      </c>
    </row>
    <row r="73" spans="1:43" x14ac:dyDescent="0.25">
      <c r="A73" s="139">
        <v>0.35</v>
      </c>
      <c r="B73" s="275">
        <f>'Sub C_D_0'!AZ47</f>
        <v>4.6065518477800986E-2</v>
      </c>
      <c r="C73" s="275">
        <f>'C_L vs. α'!X348</f>
        <v>0.11852459485132352</v>
      </c>
      <c r="D73" s="247">
        <f>'C_L vs. α'!AB348</f>
        <v>0.58602300954865816</v>
      </c>
      <c r="E73" s="144">
        <v>8</v>
      </c>
      <c r="F73" s="14">
        <f t="shared" si="80"/>
        <v>1.6801485389365183</v>
      </c>
      <c r="G73" s="6">
        <f t="shared" si="81"/>
        <v>0.29687900292045605</v>
      </c>
      <c r="H73" s="14">
        <f t="shared" si="82"/>
        <v>1.6901809376611205</v>
      </c>
      <c r="I73" s="6">
        <f t="shared" si="83"/>
        <v>0.29636515521478002</v>
      </c>
      <c r="J73" s="14">
        <f t="shared" si="84"/>
        <v>1.7054337431815219</v>
      </c>
      <c r="K73" s="6">
        <f t="shared" si="85"/>
        <v>0.29918670836640959</v>
      </c>
      <c r="L73" s="14">
        <f t="shared" si="86"/>
        <v>1.7266241367049942</v>
      </c>
      <c r="M73" s="6">
        <f t="shared" si="87"/>
        <v>0.3042847271862949</v>
      </c>
      <c r="N73" s="14">
        <f t="shared" si="88"/>
        <v>1.7543989139691063</v>
      </c>
      <c r="O73" s="6">
        <f t="shared" si="89"/>
        <v>0.31187703705554987</v>
      </c>
      <c r="P73" s="14">
        <f t="shared" si="90"/>
        <v>1.7885658420841126</v>
      </c>
      <c r="Q73" s="6">
        <f t="shared" si="91"/>
        <v>0.32226693754210067</v>
      </c>
      <c r="R73" s="14">
        <f t="shared" si="92"/>
        <v>1.8321526207729537</v>
      </c>
      <c r="S73" s="6">
        <f t="shared" si="93"/>
        <v>0.335521756934132</v>
      </c>
      <c r="T73" s="14">
        <f t="shared" si="94"/>
        <v>1.8854642817868112</v>
      </c>
      <c r="U73" s="6">
        <f t="shared" si="95"/>
        <v>0.35241436668770543</v>
      </c>
      <c r="V73" s="14">
        <f t="shared" si="96"/>
        <v>1.9502737233431577</v>
      </c>
      <c r="W73" s="6">
        <f t="shared" si="97"/>
        <v>0.37380884506398965</v>
      </c>
      <c r="X73" s="14">
        <f t="shared" si="98"/>
        <v>2.0289601515168973</v>
      </c>
      <c r="Y73" s="6">
        <f t="shared" si="99"/>
        <v>0.40094114557233362</v>
      </c>
      <c r="Z73" s="14">
        <f t="shared" si="100"/>
        <v>2.1247594858202947</v>
      </c>
      <c r="AA73" s="6">
        <f t="shared" si="101"/>
        <v>0.43560103004408746</v>
      </c>
      <c r="AB73" s="14">
        <f t="shared" si="102"/>
        <v>2.2421466862564872</v>
      </c>
      <c r="AC73" s="6">
        <f t="shared" si="103"/>
        <v>0.48043550649800587</v>
      </c>
      <c r="AD73" s="14">
        <f t="shared" si="104"/>
        <v>2.3878017543072048</v>
      </c>
      <c r="AE73" s="6">
        <f t="shared" si="105"/>
        <v>0.54010598872882687</v>
      </c>
      <c r="AF73" s="14">
        <f t="shared" si="106"/>
        <v>2.5707872752753631</v>
      </c>
      <c r="AG73" s="6">
        <f t="shared" si="107"/>
        <v>0.61998949564162098</v>
      </c>
      <c r="AH73" s="14">
        <f t="shared" si="108"/>
        <v>2.804391679157364</v>
      </c>
      <c r="AI73" s="6">
        <f t="shared" si="109"/>
        <v>0.73084698028200479</v>
      </c>
      <c r="AJ73" s="14">
        <f t="shared" si="110"/>
        <v>3.1077852731132891</v>
      </c>
      <c r="AK73">
        <f t="shared" si="76"/>
        <v>1.0180651795570901</v>
      </c>
      <c r="AL73" s="14">
        <f t="shared" si="111"/>
        <v>3.5131932993995636</v>
      </c>
      <c r="AM73">
        <f t="shared" si="77"/>
        <v>1.2891027172774157</v>
      </c>
      <c r="AN73" s="14">
        <f t="shared" si="112"/>
        <v>3.998358800998651</v>
      </c>
      <c r="AO73">
        <f t="shared" si="78"/>
        <v>1.6565425525552206</v>
      </c>
      <c r="AP73" s="14">
        <f t="shared" si="113"/>
        <v>3.9755680873054677</v>
      </c>
      <c r="AQ73">
        <f t="shared" si="79"/>
        <v>1.6380441675278619</v>
      </c>
    </row>
    <row r="74" spans="1:43" x14ac:dyDescent="0.25">
      <c r="A74" s="129">
        <v>0.4</v>
      </c>
      <c r="B74" s="275">
        <f>'Sub C_D_0'!AZ48</f>
        <v>4.5591863511710164E-2</v>
      </c>
      <c r="C74" s="275">
        <f>'C_L vs. α'!X349</f>
        <v>0.12285441590501772</v>
      </c>
      <c r="D74" s="247">
        <f>'C_L vs. α'!AB349</f>
        <v>0.59700438372333264</v>
      </c>
      <c r="E74" s="144">
        <v>10</v>
      </c>
      <c r="F74" s="14">
        <f t="shared" si="80"/>
        <v>1.8925498768746651</v>
      </c>
      <c r="G74" s="6">
        <f t="shared" si="81"/>
        <v>0.36637008259039039</v>
      </c>
      <c r="H74" s="14">
        <f t="shared" si="82"/>
        <v>1.9042834806951645</v>
      </c>
      <c r="I74" s="6">
        <f t="shared" si="83"/>
        <v>0.36685526085710152</v>
      </c>
      <c r="J74" s="14">
        <f t="shared" si="84"/>
        <v>1.9220337839981332</v>
      </c>
      <c r="K74" s="6">
        <f t="shared" si="85"/>
        <v>0.37117457272573268</v>
      </c>
      <c r="L74" s="14">
        <f t="shared" si="86"/>
        <v>1.9466591784802929</v>
      </c>
      <c r="M74" s="6">
        <f t="shared" si="87"/>
        <v>0.37836556694580864</v>
      </c>
      <c r="N74" s="14">
        <f t="shared" si="88"/>
        <v>1.9789233188823525</v>
      </c>
      <c r="O74" s="6">
        <f t="shared" si="89"/>
        <v>0.38874096978427475</v>
      </c>
      <c r="P74" s="14">
        <f t="shared" si="90"/>
        <v>2.018554027643237</v>
      </c>
      <c r="Q74" s="6">
        <f t="shared" si="91"/>
        <v>0.40260016762700773</v>
      </c>
      <c r="R74" s="14">
        <f t="shared" si="92"/>
        <v>2.0692018104756009</v>
      </c>
      <c r="S74" s="6">
        <f t="shared" si="93"/>
        <v>0.42042920008959106</v>
      </c>
      <c r="T74" s="14">
        <f t="shared" si="94"/>
        <v>2.1311731135968466</v>
      </c>
      <c r="U74" s="6">
        <f t="shared" si="95"/>
        <v>0.44309738333948656</v>
      </c>
      <c r="V74" s="14">
        <f t="shared" si="96"/>
        <v>2.2065468569806734</v>
      </c>
      <c r="W74" s="6">
        <f t="shared" si="97"/>
        <v>0.47178351328573392</v>
      </c>
      <c r="X74" s="14">
        <f t="shared" si="98"/>
        <v>2.2981136288189958</v>
      </c>
      <c r="Y74" s="6">
        <f t="shared" si="99"/>
        <v>0.50817002930222044</v>
      </c>
      <c r="Z74" s="14">
        <f t="shared" si="100"/>
        <v>2.4096698719997249</v>
      </c>
      <c r="AA74" s="6">
        <f t="shared" si="101"/>
        <v>0.55469325561460925</v>
      </c>
      <c r="AB74" s="14">
        <f t="shared" si="102"/>
        <v>2.5464665543552942</v>
      </c>
      <c r="AC74" s="6">
        <f t="shared" si="103"/>
        <v>0.61495990027701819</v>
      </c>
      <c r="AD74" s="14">
        <f t="shared" si="104"/>
        <v>2.7163595198734534</v>
      </c>
      <c r="AE74" s="6">
        <f t="shared" si="105"/>
        <v>0.69516278561355538</v>
      </c>
      <c r="AF74" s="14">
        <f t="shared" si="106"/>
        <v>2.9299748450777772</v>
      </c>
      <c r="AG74" s="6">
        <f t="shared" si="107"/>
        <v>0.80300255403703413</v>
      </c>
      <c r="AH74" s="14">
        <f t="shared" si="108"/>
        <v>3.2028688159992078</v>
      </c>
      <c r="AI74" s="6">
        <f t="shared" si="109"/>
        <v>0.95301944865006216</v>
      </c>
      <c r="AJ74" s="14">
        <f t="shared" si="110"/>
        <v>3.5573734754717563</v>
      </c>
      <c r="AK74">
        <f t="shared" si="76"/>
        <v>1.3203402637145392</v>
      </c>
      <c r="AL74" s="14">
        <f t="shared" si="111"/>
        <v>4.0309934377871652</v>
      </c>
      <c r="AM74">
        <f t="shared" si="77"/>
        <v>1.683152904779045</v>
      </c>
      <c r="AN74" s="14">
        <f t="shared" si="112"/>
        <v>4.5930378956401849</v>
      </c>
      <c r="AO74">
        <f t="shared" si="78"/>
        <v>2.171917603408295</v>
      </c>
      <c r="AP74" s="14">
        <f t="shared" si="113"/>
        <v>4.518591301058315</v>
      </c>
      <c r="AQ74">
        <f t="shared" si="79"/>
        <v>2.1033256282903205</v>
      </c>
    </row>
    <row r="75" spans="1:43" x14ac:dyDescent="0.25">
      <c r="A75" s="139">
        <v>0.45</v>
      </c>
      <c r="B75" s="275">
        <f>'Sub C_D_0'!AZ49</f>
        <v>4.518485348535814E-2</v>
      </c>
      <c r="C75" s="275">
        <f>'C_L vs. α'!X350</f>
        <v>0.12813656681875776</v>
      </c>
      <c r="D75" s="247">
        <f>'C_L vs. α'!AB350</f>
        <v>0.61022655878285847</v>
      </c>
      <c r="E75" s="144">
        <v>12</v>
      </c>
      <c r="F75" s="14">
        <f t="shared" si="80"/>
        <v>2.1049512148128118</v>
      </c>
      <c r="G75" s="6">
        <f t="shared" si="81"/>
        <v>0.44496283966314598</v>
      </c>
      <c r="H75" s="14">
        <f t="shared" si="82"/>
        <v>2.1183860237292085</v>
      </c>
      <c r="I75" s="6">
        <f t="shared" si="83"/>
        <v>0.44659342554093096</v>
      </c>
      <c r="J75" s="14">
        <f t="shared" si="84"/>
        <v>2.138633824814745</v>
      </c>
      <c r="K75" s="6">
        <f t="shared" si="85"/>
        <v>0.45262751101541965</v>
      </c>
      <c r="L75" s="14">
        <f t="shared" si="86"/>
        <v>2.1666942202555917</v>
      </c>
      <c r="M75" s="6">
        <f t="shared" si="87"/>
        <v>0.46221406914524349</v>
      </c>
      <c r="N75" s="14">
        <f t="shared" si="88"/>
        <v>2.2034477237955983</v>
      </c>
      <c r="O75" s="6">
        <f t="shared" si="89"/>
        <v>0.47577520922172595</v>
      </c>
      <c r="P75" s="14">
        <f t="shared" si="90"/>
        <v>2.248542213202362</v>
      </c>
      <c r="Q75" s="6">
        <f t="shared" si="91"/>
        <v>0.4936047140993533</v>
      </c>
      <c r="R75" s="14">
        <f t="shared" si="92"/>
        <v>2.3062510001782477</v>
      </c>
      <c r="S75" s="6">
        <f t="shared" si="93"/>
        <v>0.516673271155761</v>
      </c>
      <c r="T75" s="14">
        <f t="shared" si="94"/>
        <v>2.3768819454068821</v>
      </c>
      <c r="U75" s="6">
        <f t="shared" si="95"/>
        <v>0.54596043331602506</v>
      </c>
      <c r="V75" s="14">
        <f t="shared" si="96"/>
        <v>2.4628199906181889</v>
      </c>
      <c r="W75" s="6">
        <f t="shared" si="97"/>
        <v>0.58300809677500665</v>
      </c>
      <c r="X75" s="14">
        <f t="shared" si="98"/>
        <v>2.5672671061210943</v>
      </c>
      <c r="Y75" s="6">
        <f t="shared" si="99"/>
        <v>0.63001418604220749</v>
      </c>
      <c r="Z75" s="14">
        <f t="shared" si="100"/>
        <v>2.6945802581791547</v>
      </c>
      <c r="AA75" s="6">
        <f t="shared" si="101"/>
        <v>0.69016207226959014</v>
      </c>
      <c r="AB75" s="14">
        <f t="shared" si="102"/>
        <v>2.8507864224541013</v>
      </c>
      <c r="AC75" s="6">
        <f t="shared" si="103"/>
        <v>0.76816819500770916</v>
      </c>
      <c r="AD75" s="14">
        <f t="shared" si="104"/>
        <v>3.044917285439702</v>
      </c>
      <c r="AE75" s="6">
        <f t="shared" si="105"/>
        <v>0.87199820539033801</v>
      </c>
      <c r="AF75" s="14">
        <f t="shared" si="106"/>
        <v>3.2891624148801912</v>
      </c>
      <c r="AG75" s="6">
        <f t="shared" si="107"/>
        <v>1.0120441363580526</v>
      </c>
      <c r="AH75" s="14">
        <f t="shared" si="108"/>
        <v>3.6013459528410512</v>
      </c>
      <c r="AI75" s="6">
        <f t="shared" si="109"/>
        <v>1.2072261078729993</v>
      </c>
      <c r="AJ75" s="14">
        <f t="shared" si="110"/>
        <v>4.0069616778302226</v>
      </c>
      <c r="AK75">
        <f t="shared" si="76"/>
        <v>1.6633943650958312</v>
      </c>
      <c r="AL75" s="14">
        <f t="shared" si="111"/>
        <v>4.5487935761747664</v>
      </c>
      <c r="AM75">
        <f t="shared" si="77"/>
        <v>2.1312948714818059</v>
      </c>
      <c r="AN75" s="14">
        <f t="shared" si="112"/>
        <v>5.1877169902817188</v>
      </c>
      <c r="AO75">
        <f t="shared" si="78"/>
        <v>2.7586390905776073</v>
      </c>
      <c r="AP75" s="14">
        <f t="shared" si="113"/>
        <v>5.0616145148111613</v>
      </c>
      <c r="AQ75">
        <f t="shared" si="79"/>
        <v>2.6280970568226252</v>
      </c>
    </row>
    <row r="76" spans="1:43" x14ac:dyDescent="0.25">
      <c r="A76" s="129">
        <v>0.5</v>
      </c>
      <c r="B76" s="275">
        <f>'Sub C_D_0'!AZ50</f>
        <v>4.4829069194668218E-2</v>
      </c>
      <c r="C76" s="275">
        <f>'C_L vs. α'!X351</f>
        <v>0.13457673865104924</v>
      </c>
      <c r="D76" s="247">
        <f>'C_L vs. α'!AB351</f>
        <v>0.6260937673204966</v>
      </c>
      <c r="E76" s="144">
        <v>14</v>
      </c>
      <c r="F76" s="14">
        <f t="shared" si="80"/>
        <v>2.3173525527509589</v>
      </c>
      <c r="G76" s="6">
        <f t="shared" si="81"/>
        <v>0.53265727413872321</v>
      </c>
      <c r="H76" s="14">
        <f t="shared" si="82"/>
        <v>2.3324885667632524</v>
      </c>
      <c r="I76" s="6">
        <f t="shared" si="83"/>
        <v>0.53557964926626833</v>
      </c>
      <c r="J76" s="14">
        <f t="shared" si="84"/>
        <v>2.3552338656313561</v>
      </c>
      <c r="K76" s="6">
        <f t="shared" si="85"/>
        <v>0.5435455232354699</v>
      </c>
      <c r="L76" s="14">
        <f t="shared" si="86"/>
        <v>2.3867292620308902</v>
      </c>
      <c r="M76" s="6">
        <f t="shared" si="87"/>
        <v>0.55583023378459939</v>
      </c>
      <c r="N76" s="14">
        <f t="shared" si="88"/>
        <v>2.4279721287088445</v>
      </c>
      <c r="O76" s="6">
        <f t="shared" si="89"/>
        <v>0.57297975536790391</v>
      </c>
      <c r="P76" s="14">
        <f t="shared" si="90"/>
        <v>2.4785303987614871</v>
      </c>
      <c r="Q76" s="6">
        <f t="shared" si="91"/>
        <v>0.59528057695913716</v>
      </c>
      <c r="R76" s="14">
        <f t="shared" si="92"/>
        <v>2.5433001898808945</v>
      </c>
      <c r="S76" s="6">
        <f t="shared" si="93"/>
        <v>0.62425397013264206</v>
      </c>
      <c r="T76" s="14">
        <f t="shared" si="94"/>
        <v>2.6225907772169172</v>
      </c>
      <c r="U76" s="6">
        <f t="shared" si="95"/>
        <v>0.66100351661732049</v>
      </c>
      <c r="V76" s="14">
        <f t="shared" si="96"/>
        <v>2.7190931242557044</v>
      </c>
      <c r="W76" s="6">
        <f t="shared" si="97"/>
        <v>0.70748259553180803</v>
      </c>
      <c r="X76" s="14">
        <f t="shared" si="98"/>
        <v>2.8364205834231928</v>
      </c>
      <c r="Y76" s="6">
        <f t="shared" si="99"/>
        <v>0.76647361579229445</v>
      </c>
      <c r="Z76" s="14">
        <f t="shared" si="100"/>
        <v>2.9794906443585849</v>
      </c>
      <c r="AA76" s="6">
        <f t="shared" si="101"/>
        <v>0.84200748000903081</v>
      </c>
      <c r="AB76" s="14">
        <f t="shared" si="102"/>
        <v>3.1551062905529084</v>
      </c>
      <c r="AC76" s="6">
        <f t="shared" si="103"/>
        <v>0.94006039069007852</v>
      </c>
      <c r="AD76" s="14">
        <f t="shared" si="104"/>
        <v>3.3734750510059506</v>
      </c>
      <c r="AE76" s="6">
        <f t="shared" si="105"/>
        <v>1.0706122480591747</v>
      </c>
      <c r="AF76" s="14">
        <f t="shared" si="106"/>
        <v>3.6483499846826053</v>
      </c>
      <c r="AG76" s="6">
        <f t="shared" si="107"/>
        <v>1.247114242604676</v>
      </c>
      <c r="AH76" s="14">
        <f t="shared" si="108"/>
        <v>3.999823089682895</v>
      </c>
      <c r="AI76" s="6">
        <f t="shared" si="109"/>
        <v>1.4934669579508166</v>
      </c>
      <c r="AJ76" s="14">
        <f t="shared" si="110"/>
        <v>4.4565498801886898</v>
      </c>
      <c r="AK76">
        <f t="shared" si="76"/>
        <v>2.0472274837009681</v>
      </c>
      <c r="AL76" s="14">
        <f t="shared" si="111"/>
        <v>5.0665937145623685</v>
      </c>
      <c r="AM76">
        <f t="shared" si="77"/>
        <v>2.6335286173856982</v>
      </c>
      <c r="AN76" s="14">
        <f t="shared" si="112"/>
        <v>5.7823960849232527</v>
      </c>
      <c r="AO76">
        <f t="shared" si="78"/>
        <v>3.4167070140631579</v>
      </c>
      <c r="AP76" s="14">
        <f t="shared" si="113"/>
        <v>5.6046377285640094</v>
      </c>
      <c r="AQ76">
        <f t="shared" si="79"/>
        <v>3.2123584531247773</v>
      </c>
    </row>
    <row r="77" spans="1:43" x14ac:dyDescent="0.25">
      <c r="A77" s="139">
        <v>0.55000000000000004</v>
      </c>
      <c r="B77" s="275">
        <f>'Sub C_D_0'!AZ51</f>
        <v>4.4513787744845629E-2</v>
      </c>
      <c r="C77" s="275">
        <f>'C_L vs. α'!X352</f>
        <v>0.14245519308971499</v>
      </c>
      <c r="D77" s="247">
        <f>'C_L vs. α'!AB352</f>
        <v>0.64515232241407749</v>
      </c>
      <c r="E77" s="144">
        <v>16</v>
      </c>
      <c r="F77" s="14">
        <f t="shared" si="80"/>
        <v>2.5297538906891055</v>
      </c>
      <c r="G77" s="6">
        <f t="shared" si="81"/>
        <v>0.62945338601712164</v>
      </c>
      <c r="H77" s="14">
        <f t="shared" si="82"/>
        <v>2.5465911097972964</v>
      </c>
      <c r="I77" s="6">
        <f t="shared" si="83"/>
        <v>0.63381393203311354</v>
      </c>
      <c r="J77" s="14">
        <f t="shared" si="84"/>
        <v>2.5718339064479681</v>
      </c>
      <c r="K77" s="6">
        <f t="shared" si="85"/>
        <v>0.64392860938588425</v>
      </c>
      <c r="L77" s="14">
        <f t="shared" si="86"/>
        <v>2.6067643038061892</v>
      </c>
      <c r="M77" s="6">
        <f t="shared" si="87"/>
        <v>0.65921406086387657</v>
      </c>
      <c r="N77" s="14">
        <f t="shared" si="88"/>
        <v>2.6524965336220907</v>
      </c>
      <c r="O77" s="6">
        <f t="shared" si="89"/>
        <v>0.68035460822280835</v>
      </c>
      <c r="P77" s="14">
        <f t="shared" si="90"/>
        <v>2.7085185843206121</v>
      </c>
      <c r="Q77" s="6">
        <f t="shared" si="91"/>
        <v>0.70762775620635898</v>
      </c>
      <c r="R77" s="14">
        <f t="shared" si="92"/>
        <v>2.7803493795835417</v>
      </c>
      <c r="S77" s="6">
        <f t="shared" si="93"/>
        <v>0.74317129702023443</v>
      </c>
      <c r="T77" s="14">
        <f t="shared" si="94"/>
        <v>2.8682996090269528</v>
      </c>
      <c r="U77" s="6">
        <f t="shared" si="95"/>
        <v>0.78822663324337339</v>
      </c>
      <c r="V77" s="14">
        <f t="shared" si="96"/>
        <v>2.9753662578932198</v>
      </c>
      <c r="W77" s="6">
        <f t="shared" si="97"/>
        <v>0.84520700955613792</v>
      </c>
      <c r="X77" s="14">
        <f t="shared" si="98"/>
        <v>3.1055740607252913</v>
      </c>
      <c r="Y77" s="6">
        <f t="shared" si="99"/>
        <v>0.91754831855248153</v>
      </c>
      <c r="Z77" s="14">
        <f t="shared" si="100"/>
        <v>3.2644010305380147</v>
      </c>
      <c r="AA77" s="6">
        <f t="shared" si="101"/>
        <v>1.0102294788329307</v>
      </c>
      <c r="AB77" s="14">
        <f t="shared" si="102"/>
        <v>3.4594261586517159</v>
      </c>
      <c r="AC77" s="6">
        <f t="shared" si="103"/>
        <v>1.1306364873241268</v>
      </c>
      <c r="AD77" s="14">
        <f t="shared" si="104"/>
        <v>3.7020328165721992</v>
      </c>
      <c r="AE77" s="6">
        <f t="shared" si="105"/>
        <v>1.2910049136200652</v>
      </c>
      <c r="AF77" s="14">
        <f t="shared" si="106"/>
        <v>4.0075375544850189</v>
      </c>
      <c r="AG77" s="6">
        <f t="shared" si="107"/>
        <v>1.5082128727769044</v>
      </c>
      <c r="AH77" s="14">
        <f t="shared" si="108"/>
        <v>4.3983002265247384</v>
      </c>
      <c r="AI77" s="6">
        <f t="shared" si="109"/>
        <v>1.8117419988835135</v>
      </c>
      <c r="AJ77" s="14">
        <f t="shared" si="110"/>
        <v>4.906138082547157</v>
      </c>
      <c r="AK77">
        <f t="shared" si="76"/>
        <v>2.4718396195299488</v>
      </c>
      <c r="AL77" s="14">
        <f t="shared" si="111"/>
        <v>5.5843938529499706</v>
      </c>
      <c r="AM77">
        <f t="shared" si="77"/>
        <v>3.1898541424907223</v>
      </c>
      <c r="AN77" s="14">
        <f t="shared" si="112"/>
        <v>6.3770751795647858</v>
      </c>
      <c r="AO77">
        <f t="shared" si="78"/>
        <v>4.1461213738649461</v>
      </c>
      <c r="AP77" s="14">
        <f t="shared" si="113"/>
        <v>6.1476609423168558</v>
      </c>
      <c r="AQ77">
        <f t="shared" si="79"/>
        <v>3.8561098171967743</v>
      </c>
    </row>
    <row r="78" spans="1:43" x14ac:dyDescent="0.25">
      <c r="A78" s="129">
        <v>0.6</v>
      </c>
      <c r="B78" s="275">
        <f>'Sub C_D_0'!AZ52</f>
        <v>4.4231268166563566E-2</v>
      </c>
      <c r="C78" s="275">
        <f>'C_L vs. α'!X353</f>
        <v>0.15215993404940356</v>
      </c>
      <c r="D78" s="247">
        <f>'C_L vs. α'!AB353</f>
        <v>0.66815476260936835</v>
      </c>
      <c r="Y78" s="6"/>
    </row>
    <row r="79" spans="1:43" x14ac:dyDescent="0.25">
      <c r="A79" s="139">
        <v>0.65</v>
      </c>
      <c r="B79" s="275">
        <f>'Sub C_D_0'!AZ53</f>
        <v>4.4453990025832758E-2</v>
      </c>
      <c r="C79" s="275">
        <f>'C_L vs. α'!X354</f>
        <v>0.16427888278312427</v>
      </c>
      <c r="D79" s="247">
        <f>'C_L vs. α'!AB354</f>
        <v>0.69616430046180855</v>
      </c>
    </row>
    <row r="80" spans="1:43" x14ac:dyDescent="0.25">
      <c r="A80" s="129">
        <v>0.7</v>
      </c>
      <c r="B80" s="275">
        <f>'Sub C_D_0'!AZ54</f>
        <v>4.421599554543728E-2</v>
      </c>
      <c r="C80" s="275">
        <f>'C_L vs. α'!X355</f>
        <v>0.179593784901207</v>
      </c>
      <c r="D80" s="247">
        <f>'C_L vs. α'!AB355</f>
        <v>0.73073273471171618</v>
      </c>
    </row>
    <row r="81" spans="1:43" x14ac:dyDescent="0.25">
      <c r="A81" s="139">
        <v>0.75</v>
      </c>
      <c r="B81" s="275">
        <f>'Sub C_D_0'!AZ55</f>
        <v>4.39975982641218E-2</v>
      </c>
      <c r="C81" s="275">
        <f>'C_L vs. α'!X356</f>
        <v>0.1992385684209218</v>
      </c>
      <c r="D81" s="247">
        <f>'C_L vs. α'!AB356</f>
        <v>0.7742205053262986</v>
      </c>
    </row>
    <row r="82" spans="1:43" x14ac:dyDescent="0.25">
      <c r="A82" s="129">
        <v>0.8</v>
      </c>
      <c r="B82" s="275">
        <f>'Sub C_D_0'!AZ56</f>
        <v>4.3796019703819244E-2</v>
      </c>
      <c r="C82" s="275">
        <f>'C_L vs. α'!X357</f>
        <v>0.22479410117923354</v>
      </c>
      <c r="D82" s="247">
        <f>'C_L vs. α'!AB357</f>
        <v>0.83041164474938745</v>
      </c>
    </row>
    <row r="83" spans="1:43" x14ac:dyDescent="0.25">
      <c r="A83" s="139">
        <v>0.85</v>
      </c>
      <c r="B83" s="275">
        <f>'Sub C_D_0'!AZ57</f>
        <v>4.4069214339546296E-2</v>
      </c>
      <c r="C83" s="275">
        <f>'C_L vs. α'!X358</f>
        <v>0.25890006919380087</v>
      </c>
      <c r="D83" s="247">
        <f>'C_L vs. α'!AB358</f>
        <v>0.90578940361991822</v>
      </c>
    </row>
    <row r="84" spans="1:43" x14ac:dyDescent="0.25">
      <c r="A84" s="129">
        <v>0.9</v>
      </c>
      <c r="B84" s="275">
        <f>'Sub C_D_0'!AZ58</f>
        <v>4.3891240365392575E-2</v>
      </c>
      <c r="C84" s="275">
        <f>'C_L vs. α'!X359</f>
        <v>0.29733954732076684</v>
      </c>
      <c r="D84" s="247">
        <f>'C_L vs. α'!AB359</f>
        <v>1.012370337747668</v>
      </c>
    </row>
    <row r="85" spans="1:43" x14ac:dyDescent="0.25">
      <c r="A85" s="139">
        <v>0.95</v>
      </c>
      <c r="B85" s="275">
        <f>'Sub C_D_0'!AZ59</f>
        <v>4.3724740218933598E-2</v>
      </c>
      <c r="C85" s="275">
        <f>'C_L vs. α'!X360</f>
        <v>0.27151160687642356</v>
      </c>
      <c r="D85" s="247">
        <f>'C_L vs. α'!AB360</f>
        <v>1.1728890272208958</v>
      </c>
    </row>
    <row r="87" spans="1:43" x14ac:dyDescent="0.25">
      <c r="A87" s="122" t="s">
        <v>537</v>
      </c>
      <c r="B87" s="267" t="s">
        <v>636</v>
      </c>
    </row>
    <row r="88" spans="1:43" x14ac:dyDescent="0.25">
      <c r="A88" s="122" t="s">
        <v>202</v>
      </c>
      <c r="B88" s="268" t="s">
        <v>533</v>
      </c>
      <c r="C88" s="267" t="s">
        <v>538</v>
      </c>
      <c r="D88" s="122" t="s">
        <v>539</v>
      </c>
      <c r="F88" s="1" t="s">
        <v>536</v>
      </c>
      <c r="G88" s="140">
        <v>0.05</v>
      </c>
      <c r="H88" s="1" t="s">
        <v>536</v>
      </c>
      <c r="I88" s="140">
        <v>0.1</v>
      </c>
      <c r="J88" s="1" t="s">
        <v>536</v>
      </c>
      <c r="K88" s="140">
        <v>0.15</v>
      </c>
      <c r="L88" s="1" t="s">
        <v>536</v>
      </c>
      <c r="M88" s="140">
        <v>0.2</v>
      </c>
      <c r="N88" t="s">
        <v>536</v>
      </c>
      <c r="O88" s="141">
        <v>0.25</v>
      </c>
      <c r="P88" t="s">
        <v>536</v>
      </c>
      <c r="Q88" s="141">
        <v>0.3</v>
      </c>
      <c r="R88" t="s">
        <v>536</v>
      </c>
      <c r="S88" s="141">
        <v>0.35</v>
      </c>
      <c r="T88" t="s">
        <v>536</v>
      </c>
      <c r="U88" s="141">
        <v>0.4</v>
      </c>
      <c r="V88" t="s">
        <v>536</v>
      </c>
      <c r="W88" s="141">
        <v>0.45</v>
      </c>
      <c r="X88" t="s">
        <v>536</v>
      </c>
      <c r="Y88" s="141">
        <v>0.5</v>
      </c>
      <c r="Z88" t="s">
        <v>536</v>
      </c>
      <c r="AA88" s="141">
        <v>0.55000000000000004</v>
      </c>
      <c r="AB88" t="s">
        <v>536</v>
      </c>
      <c r="AC88" s="141">
        <v>0.6</v>
      </c>
      <c r="AD88" t="s">
        <v>536</v>
      </c>
      <c r="AE88" s="141">
        <v>0.65</v>
      </c>
      <c r="AF88" t="s">
        <v>536</v>
      </c>
      <c r="AG88" s="141">
        <v>0.7</v>
      </c>
      <c r="AH88" t="s">
        <v>536</v>
      </c>
      <c r="AI88" s="141">
        <v>0.75</v>
      </c>
      <c r="AJ88" t="s">
        <v>536</v>
      </c>
      <c r="AK88" s="141">
        <v>0.8</v>
      </c>
      <c r="AL88" t="s">
        <v>536</v>
      </c>
      <c r="AM88" s="141">
        <v>0.85</v>
      </c>
      <c r="AN88" t="s">
        <v>536</v>
      </c>
      <c r="AO88" s="141">
        <v>0.9</v>
      </c>
      <c r="AP88" t="s">
        <v>536</v>
      </c>
      <c r="AQ88" s="141">
        <v>0.95</v>
      </c>
    </row>
    <row r="89" spans="1:43" x14ac:dyDescent="0.25">
      <c r="A89" s="121" t="s">
        <v>182</v>
      </c>
      <c r="B89" s="269" t="s">
        <v>534</v>
      </c>
      <c r="C89" s="269" t="s">
        <v>535</v>
      </c>
      <c r="D89" s="248" t="s">
        <v>1126</v>
      </c>
      <c r="E89" s="121" t="s">
        <v>421</v>
      </c>
      <c r="F89" s="14" t="s">
        <v>244</v>
      </c>
      <c r="G89" s="6" t="s">
        <v>245</v>
      </c>
      <c r="H89" s="14" t="s">
        <v>244</v>
      </c>
      <c r="I89" s="6" t="s">
        <v>245</v>
      </c>
      <c r="J89" s="14" t="s">
        <v>244</v>
      </c>
      <c r="K89" s="6" t="s">
        <v>245</v>
      </c>
      <c r="L89" s="14" t="s">
        <v>244</v>
      </c>
      <c r="M89" s="6" t="s">
        <v>245</v>
      </c>
      <c r="N89" t="s">
        <v>244</v>
      </c>
      <c r="O89" t="s">
        <v>245</v>
      </c>
      <c r="P89" t="s">
        <v>244</v>
      </c>
      <c r="Q89" t="s">
        <v>245</v>
      </c>
      <c r="R89" t="s">
        <v>244</v>
      </c>
      <c r="S89" t="s">
        <v>245</v>
      </c>
      <c r="T89" t="s">
        <v>244</v>
      </c>
      <c r="U89" t="s">
        <v>245</v>
      </c>
      <c r="V89" t="s">
        <v>244</v>
      </c>
      <c r="W89" t="s">
        <v>245</v>
      </c>
      <c r="X89" t="s">
        <v>244</v>
      </c>
      <c r="Y89" t="s">
        <v>245</v>
      </c>
      <c r="Z89" t="s">
        <v>244</v>
      </c>
      <c r="AA89" t="s">
        <v>245</v>
      </c>
      <c r="AB89" t="s">
        <v>244</v>
      </c>
      <c r="AC89" t="s">
        <v>245</v>
      </c>
      <c r="AD89" t="s">
        <v>244</v>
      </c>
      <c r="AE89" t="s">
        <v>245</v>
      </c>
      <c r="AF89" t="s">
        <v>244</v>
      </c>
      <c r="AG89" t="s">
        <v>245</v>
      </c>
      <c r="AH89" t="s">
        <v>244</v>
      </c>
      <c r="AI89" t="s">
        <v>245</v>
      </c>
      <c r="AJ89" t="s">
        <v>244</v>
      </c>
      <c r="AK89" t="s">
        <v>245</v>
      </c>
      <c r="AL89" t="s">
        <v>244</v>
      </c>
      <c r="AM89" t="s">
        <v>245</v>
      </c>
      <c r="AN89" t="s">
        <v>244</v>
      </c>
      <c r="AO89" t="s">
        <v>245</v>
      </c>
      <c r="AP89" t="s">
        <v>244</v>
      </c>
      <c r="AQ89" t="s">
        <v>245</v>
      </c>
    </row>
    <row r="90" spans="1:43" x14ac:dyDescent="0.25">
      <c r="A90" s="129">
        <v>0</v>
      </c>
      <c r="B90" s="270" t="e">
        <f>'Sub C_D_0'!AZ40-'Sub C_D_0'!V40</f>
        <v>#DIV/0!</v>
      </c>
      <c r="C90" s="270" t="e">
        <f>'C_L vs. α'!X341</f>
        <v>#NUM!</v>
      </c>
      <c r="D90" s="247">
        <f>'C_L vs. α'!AB341</f>
        <v>0.55396232552297364</v>
      </c>
      <c r="E90" s="144">
        <v>-6</v>
      </c>
      <c r="F90" s="14">
        <f>$D$19+(E90-$B$12)*$C$91</f>
        <v>0.19333917336949047</v>
      </c>
      <c r="G90" s="6">
        <f t="shared" ref="G90:G101" si="114">$B$67+$B$7*F90^2+$B$8*(F90-F$69)^2</f>
        <v>6.5288412509914587E-2</v>
      </c>
      <c r="H90" s="14">
        <f>$D$20+(E90-$B$12)*$C$92</f>
        <v>0.1914631364228131</v>
      </c>
      <c r="I90" s="6">
        <f t="shared" ref="I90:I101" si="115">$B$68+$B$7*H90^2+$B$8*(H90-H$69)^2</f>
        <v>6.1880068880749678E-2</v>
      </c>
      <c r="J90" s="14">
        <f>$D$21+(E90-$B$12)*$C$93</f>
        <v>0.18923345746524112</v>
      </c>
      <c r="K90" s="6">
        <f t="shared" ref="K90:K101" si="116">$B$69+$B$7*J90^2+$B$8*(J90-J$69)^2</f>
        <v>6.0293727901330085E-2</v>
      </c>
      <c r="L90" s="14">
        <f>$D$22+(E90-$B$12)*$C$94</f>
        <v>0.18637884427790241</v>
      </c>
      <c r="M90" s="6">
        <f t="shared" ref="M90:M101" si="117">$B$70+$B$7*L90^2+$B$8*(L90-L$69)^2</f>
        <v>5.9213397187490656E-2</v>
      </c>
      <c r="N90" s="14">
        <f>$D$23+(E90-$B$12)*$C$95</f>
        <v>0.18272807957638426</v>
      </c>
      <c r="O90" s="6">
        <f t="shared" ref="O90:O101" si="118">$B$71+$B$7*N90^2+$B$8*(N90-N$69)^2</f>
        <v>5.8598095798818667E-2</v>
      </c>
      <c r="P90" s="14">
        <f>$D$24+(E90-$B$12)*$C$96</f>
        <v>0.17864854317023882</v>
      </c>
      <c r="Q90" s="6">
        <f t="shared" ref="Q90:Q101" si="119">$B$72+$B$7*P90^2+$B$8*(P90-P$69)^2</f>
        <v>5.8731185796018812E-2</v>
      </c>
      <c r="R90" s="14">
        <f>$D$25+(E90-$B$12)*$C$97</f>
        <v>0.17280829285442434</v>
      </c>
      <c r="S90" s="6">
        <f t="shared" ref="S90:S101" si="120">$B$73+$B$7*R90^2+$B$8*(R90-R$69)^2</f>
        <v>5.8595236345830463E-2</v>
      </c>
      <c r="T90" s="14">
        <f>$D$26+(E90-$B$12)*$C$98</f>
        <v>0.16550245911656303</v>
      </c>
      <c r="U90" s="6">
        <f t="shared" ref="U90:U101" si="121">$B$74+$B$7*T90^2+$B$8*(T90-T$69)^2</f>
        <v>5.8674183218438952E-2</v>
      </c>
      <c r="V90" s="14">
        <f>$D$27+(E90-$B$12)*$C$99</f>
        <v>0.15636178788054911</v>
      </c>
      <c r="W90" s="6">
        <f t="shared" ref="W90:W101" si="122">$B$75+$B$7*V90^2+$B$8*(V90-V$69)^2</f>
        <v>5.8983795002581475E-2</v>
      </c>
      <c r="X90" s="14">
        <f>$D$28+(E90-$B$12)*$C$100</f>
        <v>0.14488581040220772</v>
      </c>
      <c r="Y90" s="6">
        <f t="shared" ref="Y90:Y101" si="123">$B$76+$B$7*X90^2+$B$8*(X90-X$69)^2</f>
        <v>5.9566603745928023E-2</v>
      </c>
      <c r="Z90" s="14">
        <f>$D$29+(E90-$B$12)*$C$101</f>
        <v>0.13038678256428504</v>
      </c>
      <c r="AA90" s="6">
        <f t="shared" ref="AA90:AA101" si="124">$B$77+$B$7*Z90^2+$B$8*(Z90-Z$69)^2</f>
        <v>6.0500001415301263E-2</v>
      </c>
      <c r="AB90" s="14">
        <f>$D$30+(E90-$B$12)*$C$102</f>
        <v>0.11190760956483725</v>
      </c>
      <c r="AC90" s="6">
        <f t="shared" ref="AC90:AC101" si="125">$B$78+$B$7*AB90^2+$B$8*(AB90-AB$69)^2</f>
        <v>6.1913976691918698E-2</v>
      </c>
      <c r="AD90" s="14">
        <f>$D$31+(E90-$B$12)*$C$103</f>
        <v>8.7897395343464968E-2</v>
      </c>
      <c r="AE90" s="6">
        <f t="shared" ref="AE90:AE101" si="126">$B$79+$B$7*AD90^2+$B$8*(AD90-AD$69)^2</f>
        <v>6.4509851513238348E-2</v>
      </c>
      <c r="AF90" s="14">
        <f>$D$32+(E90-$B$12)*$C$104</f>
        <v>5.6474286658464989E-2</v>
      </c>
      <c r="AG90" s="6">
        <f t="shared" ref="AG90:AG101" si="127">$B$80+$B$7*AF90^2+$B$8*(AF90-AF$69)^2</f>
        <v>6.7696756790673385E-2</v>
      </c>
      <c r="AH90" s="14">
        <f>$D$33+(E90-$B$12)*$C$105</f>
        <v>1.5051721264458862E-2</v>
      </c>
      <c r="AI90" s="6">
        <f t="shared" ref="AI90:AI101" si="128">$B$81+$B$7*AH90^2+$B$8*(AH90-AH$69)^2</f>
        <v>7.2597045642243563E-2</v>
      </c>
      <c r="AJ90" s="14">
        <f>$D$34+(E90-$B$12)*$C$106</f>
        <v>-3.933214339598079E-2</v>
      </c>
      <c r="AK90">
        <f t="shared" ref="AK90:AK101" si="129">$B$82+$B$9*AJ90^2</f>
        <v>4.3952072722577819E-2</v>
      </c>
      <c r="AL90" s="14">
        <f>$D$35+(E90-$B$12)*$C$107</f>
        <v>-0.11140766931364876</v>
      </c>
      <c r="AM90">
        <f t="shared" ref="AM90:AM101" si="130">$B$83+$B$9*AL90^2</f>
        <v>4.532122239768796E-2</v>
      </c>
      <c r="AN90" s="14">
        <f>$D$36+(E90-$B$12)*$C$108</f>
        <v>-0.16439486149208471</v>
      </c>
      <c r="AO90">
        <f t="shared" ref="AO90:AO101" si="131">$B$84+$B$9*AN90^2</f>
        <v>4.6617413438367991E-2</v>
      </c>
      <c r="AP90" s="14">
        <f>$D$37+(E90-$B$12)*$C$109</f>
        <v>0.17440559103553754</v>
      </c>
      <c r="AQ90">
        <f t="shared" ref="AQ90:AQ101" si="132">$B$85+$B$9*AP90^2</f>
        <v>4.6793039746348533E-2</v>
      </c>
    </row>
    <row r="91" spans="1:43" x14ac:dyDescent="0.25">
      <c r="A91" s="139">
        <v>0.05</v>
      </c>
      <c r="B91" s="275">
        <f>'Sub C_D_0'!AZ41-'Sub C_D_0'!V41</f>
        <v>4.0144780310354213E-2</v>
      </c>
      <c r="C91" s="275">
        <f>'C_L vs. α'!X342</f>
        <v>0.10620066896907342</v>
      </c>
      <c r="D91" s="247">
        <f>'C_L vs. α'!AB342</f>
        <v>0.55456498931698928</v>
      </c>
      <c r="E91" s="144">
        <v>-4</v>
      </c>
      <c r="F91" s="14">
        <f t="shared" ref="F91:F101" si="133">$D$19+(E91-$B$12)*$C$91</f>
        <v>0.40574051130763727</v>
      </c>
      <c r="G91" s="6">
        <f t="shared" si="114"/>
        <v>7.1067750360099213E-2</v>
      </c>
      <c r="H91" s="14">
        <f t="shared" ref="H91:H101" si="134">$D$20+(E91-$B$12)*$C$92</f>
        <v>0.40556567945685701</v>
      </c>
      <c r="I91" s="6">
        <f t="shared" si="115"/>
        <v>6.7633761232516104E-2</v>
      </c>
      <c r="J91" s="14">
        <f t="shared" ref="J91:J101" si="135">$D$21+(E91-$B$12)*$C$93</f>
        <v>0.40583349828185261</v>
      </c>
      <c r="K91" s="6">
        <f t="shared" si="116"/>
        <v>6.602607474810758E-2</v>
      </c>
      <c r="L91" s="14">
        <f t="shared" ref="L91:L101" si="136">$D$22+(E91-$B$12)*$C$94</f>
        <v>0.40641388605320117</v>
      </c>
      <c r="M91" s="6">
        <f t="shared" si="117"/>
        <v>6.4920599867556411E-2</v>
      </c>
      <c r="N91" s="14">
        <f t="shared" ref="N91:N101" si="137">$D$23+(E91-$B$12)*$C$95</f>
        <v>0.40725248448963031</v>
      </c>
      <c r="O91" s="6">
        <f t="shared" si="118"/>
        <v>6.4269881566457854E-2</v>
      </c>
      <c r="P91" s="14">
        <f t="shared" ref="P91:P101" si="138">$D$24+(E91-$B$12)*$C$96</f>
        <v>0.40863672872936363</v>
      </c>
      <c r="Q91" s="6">
        <f t="shared" si="119"/>
        <v>6.4365201168858799E-2</v>
      </c>
      <c r="R91" s="14">
        <f t="shared" ref="R91:R101" si="139">$D$25+(E91-$B$12)*$C$97</f>
        <v>0.40985748255707133</v>
      </c>
      <c r="S91" s="6">
        <f t="shared" si="120"/>
        <v>6.4146284126311612E-2</v>
      </c>
      <c r="T91" s="14">
        <f t="shared" ref="T91:T101" si="140">$D$26+(E91-$B$12)*$C$98</f>
        <v>0.41121129092659853</v>
      </c>
      <c r="U91" s="6">
        <f t="shared" si="121"/>
        <v>6.4096966596919672E-2</v>
      </c>
      <c r="V91" s="14">
        <f t="shared" ref="V91:V101" si="141">$D$27+(E91-$B$12)*$C$99</f>
        <v>0.41263492151806458</v>
      </c>
      <c r="W91" s="6">
        <f t="shared" si="122"/>
        <v>6.4209056351625396E-2</v>
      </c>
      <c r="X91" s="14">
        <f t="shared" ref="X91:X101" si="142">$D$28+(E91-$B$12)*$C$100</f>
        <v>0.4140392877043062</v>
      </c>
      <c r="Y91" s="6">
        <f t="shared" si="123"/>
        <v>6.4488576405114253E-2</v>
      </c>
      <c r="Z91" s="14">
        <f t="shared" ref="Z91:Z101" si="143">$D$29+(E91-$B$12)*$C$101</f>
        <v>0.41529716874371503</v>
      </c>
      <c r="AA91" s="6">
        <f t="shared" si="124"/>
        <v>6.495608939460662E-2</v>
      </c>
      <c r="AB91" s="14">
        <f t="shared" ref="AB91:AB101" si="144">$D$30+(E91-$B$12)*$C$102</f>
        <v>0.41622747766364432</v>
      </c>
      <c r="AC91" s="6">
        <f t="shared" si="125"/>
        <v>6.5651063809181245E-2</v>
      </c>
      <c r="AD91" s="14">
        <f t="shared" ref="AD91:AD101" si="145">$D$31+(E91-$B$12)*$C$103</f>
        <v>0.41645516090971357</v>
      </c>
      <c r="AE91" s="6">
        <f t="shared" si="126"/>
        <v>6.7116288153589027E-2</v>
      </c>
      <c r="AF91" s="14">
        <f t="shared" ref="AF91:AF101" si="146">$D$32+(E91-$B$12)*$C$104</f>
        <v>0.41566185646087905</v>
      </c>
      <c r="AG91" s="6">
        <f t="shared" si="127"/>
        <v>6.8510147706850419E-2</v>
      </c>
      <c r="AH91" s="14">
        <f t="shared" ref="AH91:AH101" si="147">$D$33+(E91-$B$12)*$C$105</f>
        <v>0.41352885810630247</v>
      </c>
      <c r="AI91" s="6">
        <f t="shared" si="128"/>
        <v>7.0530178026140991E-2</v>
      </c>
      <c r="AJ91" s="14">
        <f t="shared" ref="AJ91:AJ101" si="148">$D$34+(E91-$B$12)*$C$106</f>
        <v>0.4102560589624864</v>
      </c>
      <c r="AK91">
        <f t="shared" si="129"/>
        <v>6.0774036313119201E-2</v>
      </c>
      <c r="AL91" s="14">
        <f t="shared" ref="AL91:AL101" si="149">$D$35+(E91-$B$12)*$C$107</f>
        <v>0.40639246907395288</v>
      </c>
      <c r="AM91">
        <f t="shared" si="130"/>
        <v>6.072895549139775E-2</v>
      </c>
      <c r="AN91" s="14">
        <f t="shared" ref="AN91:AN101" si="150">$D$36+(E91-$B$12)*$C$108</f>
        <v>0.43028423314944908</v>
      </c>
      <c r="AO91">
        <f t="shared" si="131"/>
        <v>6.2567410077775484E-2</v>
      </c>
      <c r="AP91" s="14">
        <f t="shared" ref="AP91:AP101" si="151">$D$37+(E91-$B$12)*$C$109</f>
        <v>0.71742880478838478</v>
      </c>
      <c r="AQ91">
        <f t="shared" si="132"/>
        <v>9.5644726119882825E-2</v>
      </c>
    </row>
    <row r="92" spans="1:43" x14ac:dyDescent="0.25">
      <c r="A92" s="129">
        <v>0.1</v>
      </c>
      <c r="B92" s="275">
        <f>'Sub C_D_0'!AZ42-'Sub C_D_0'!V42</f>
        <v>3.6664216804155748E-2</v>
      </c>
      <c r="C92" s="275">
        <f>'C_L vs. α'!X343</f>
        <v>0.10705127151702197</v>
      </c>
      <c r="D92" s="247">
        <f>'C_L vs. α'!AB343</f>
        <v>0.55638482940940404</v>
      </c>
      <c r="E92" s="144">
        <v>-2</v>
      </c>
      <c r="F92" s="14">
        <f t="shared" si="133"/>
        <v>0.61814184924578408</v>
      </c>
      <c r="G92" s="6">
        <f t="shared" si="114"/>
        <v>8.5948765613105216E-2</v>
      </c>
      <c r="H92" s="14">
        <f t="shared" si="134"/>
        <v>0.61966822249090092</v>
      </c>
      <c r="I92" s="6">
        <f t="shared" si="115"/>
        <v>8.2635512625790414E-2</v>
      </c>
      <c r="J92" s="14">
        <f t="shared" si="135"/>
        <v>0.62243353909846411</v>
      </c>
      <c r="K92" s="6">
        <f t="shared" si="116"/>
        <v>8.122349552524874E-2</v>
      </c>
      <c r="L92" s="14">
        <f t="shared" si="136"/>
        <v>0.62644892782850004</v>
      </c>
      <c r="M92" s="6">
        <f t="shared" si="117"/>
        <v>8.0395464987543325E-2</v>
      </c>
      <c r="N92" s="14">
        <f t="shared" si="137"/>
        <v>0.63177688940287635</v>
      </c>
      <c r="O92" s="6">
        <f t="shared" si="118"/>
        <v>8.011197404282358E-2</v>
      </c>
      <c r="P92" s="14">
        <f t="shared" si="138"/>
        <v>0.63862491428848844</v>
      </c>
      <c r="Q92" s="6">
        <f t="shared" si="119"/>
        <v>8.0670532929136993E-2</v>
      </c>
      <c r="R92" s="14">
        <f t="shared" si="139"/>
        <v>0.64690667225971843</v>
      </c>
      <c r="S92" s="6">
        <f t="shared" si="120"/>
        <v>8.1033959817503873E-2</v>
      </c>
      <c r="T92" s="14">
        <f t="shared" si="140"/>
        <v>0.65692012273663392</v>
      </c>
      <c r="U92" s="6">
        <f t="shared" si="121"/>
        <v>8.1699783300157591E-2</v>
      </c>
      <c r="V92" s="14">
        <f t="shared" si="141"/>
        <v>0.66890805515558016</v>
      </c>
      <c r="W92" s="6">
        <f t="shared" si="122"/>
        <v>8.2684232968197921E-2</v>
      </c>
      <c r="X92" s="14">
        <f t="shared" si="142"/>
        <v>0.68319276500640469</v>
      </c>
      <c r="Y92" s="6">
        <f t="shared" si="123"/>
        <v>8.4025822074400583E-2</v>
      </c>
      <c r="Z92" s="14">
        <f t="shared" si="143"/>
        <v>0.70020755492314501</v>
      </c>
      <c r="AA92" s="6">
        <f t="shared" si="124"/>
        <v>8.5788768458371439E-2</v>
      </c>
      <c r="AB92" s="14">
        <f t="shared" si="144"/>
        <v>0.7205473457624515</v>
      </c>
      <c r="AC92" s="6">
        <f t="shared" si="125"/>
        <v>8.8072051878122323E-2</v>
      </c>
      <c r="AD92" s="14">
        <f t="shared" si="145"/>
        <v>0.74501292647596207</v>
      </c>
      <c r="AE92" s="6">
        <f t="shared" si="126"/>
        <v>9.1501347685993675E-2</v>
      </c>
      <c r="AF92" s="14">
        <f t="shared" si="146"/>
        <v>0.77484942626329301</v>
      </c>
      <c r="AG92" s="6">
        <f t="shared" si="127"/>
        <v>9.5352062548632599E-2</v>
      </c>
      <c r="AH92" s="14">
        <f t="shared" si="147"/>
        <v>0.81200599494814607</v>
      </c>
      <c r="AI92" s="6">
        <f t="shared" si="128"/>
        <v>0.10049750126491838</v>
      </c>
      <c r="AJ92" s="14">
        <f t="shared" si="148"/>
        <v>0.85984426132095337</v>
      </c>
      <c r="AK92">
        <f t="shared" si="129"/>
        <v>0.11837501712750448</v>
      </c>
      <c r="AL92" s="14">
        <f t="shared" si="149"/>
        <v>0.92419260746155474</v>
      </c>
      <c r="AM92">
        <f t="shared" si="130"/>
        <v>0.13022846778623895</v>
      </c>
      <c r="AN92" s="14">
        <f t="shared" si="150"/>
        <v>1.0249633277909829</v>
      </c>
      <c r="AO92">
        <f t="shared" si="131"/>
        <v>0.1498638430334211</v>
      </c>
      <c r="AP92" s="14">
        <f t="shared" si="151"/>
        <v>1.2604520185412318</v>
      </c>
      <c r="AQ92">
        <f t="shared" si="132"/>
        <v>0.20398638026326343</v>
      </c>
    </row>
    <row r="93" spans="1:43" x14ac:dyDescent="0.25">
      <c r="A93" s="139">
        <v>0.15</v>
      </c>
      <c r="B93" s="275">
        <f>'Sub C_D_0'!AZ43-'Sub C_D_0'!V43</f>
        <v>3.4952901570658008E-2</v>
      </c>
      <c r="C93" s="275">
        <f>'C_L vs. α'!X344</f>
        <v>0.10830002040830576</v>
      </c>
      <c r="D93" s="247">
        <f>'C_L vs. α'!AB344</f>
        <v>0.55945804426909762</v>
      </c>
      <c r="E93" s="143">
        <v>0</v>
      </c>
      <c r="F93" s="83">
        <f t="shared" si="133"/>
        <v>0.83054318718393094</v>
      </c>
      <c r="G93" s="21">
        <f t="shared" si="114"/>
        <v>0.10993145826893261</v>
      </c>
      <c r="H93" s="83">
        <f t="shared" si="134"/>
        <v>0.83377076552494489</v>
      </c>
      <c r="I93" s="21">
        <f t="shared" si="115"/>
        <v>0.10688532306057259</v>
      </c>
      <c r="J93" s="83">
        <f t="shared" si="135"/>
        <v>0.83903357991507566</v>
      </c>
      <c r="K93" s="21">
        <f t="shared" si="116"/>
        <v>0.10588599023275358</v>
      </c>
      <c r="L93" s="83">
        <f t="shared" si="136"/>
        <v>0.84648396960379879</v>
      </c>
      <c r="M93" s="21">
        <f t="shared" si="117"/>
        <v>0.10563799254745135</v>
      </c>
      <c r="N93" s="83">
        <f t="shared" si="137"/>
        <v>0.85630129431612234</v>
      </c>
      <c r="O93" s="21">
        <f t="shared" si="118"/>
        <v>0.10612437322791581</v>
      </c>
      <c r="P93" s="83">
        <f t="shared" si="138"/>
        <v>0.86861309984761326</v>
      </c>
      <c r="Q93" s="21">
        <f t="shared" si="119"/>
        <v>0.10764718107685334</v>
      </c>
      <c r="R93" s="83">
        <f t="shared" si="139"/>
        <v>0.88395586196236542</v>
      </c>
      <c r="S93" s="21">
        <f t="shared" si="120"/>
        <v>0.10925826341940725</v>
      </c>
      <c r="T93" s="83">
        <f t="shared" si="140"/>
        <v>0.90262895454666947</v>
      </c>
      <c r="U93" s="21">
        <f t="shared" si="121"/>
        <v>0.11148263332815275</v>
      </c>
      <c r="V93" s="83">
        <f t="shared" si="141"/>
        <v>0.92518118879309563</v>
      </c>
      <c r="W93" s="21">
        <f t="shared" si="122"/>
        <v>0.11440932485229904</v>
      </c>
      <c r="X93" s="83">
        <f t="shared" si="142"/>
        <v>0.95234624230850318</v>
      </c>
      <c r="Y93" s="21">
        <f t="shared" si="123"/>
        <v>0.118178340753787</v>
      </c>
      <c r="Z93" s="83">
        <f t="shared" si="143"/>
        <v>0.985117941102575</v>
      </c>
      <c r="AA93" s="21">
        <f t="shared" si="124"/>
        <v>0.12299803860659574</v>
      </c>
      <c r="AB93" s="83">
        <f t="shared" si="144"/>
        <v>1.0248672138612587</v>
      </c>
      <c r="AC93" s="21">
        <f t="shared" si="125"/>
        <v>0.12917694089874196</v>
      </c>
      <c r="AD93" s="83">
        <f t="shared" si="145"/>
        <v>1.0735706920422106</v>
      </c>
      <c r="AE93" s="21">
        <f t="shared" si="126"/>
        <v>0.13766503011045234</v>
      </c>
      <c r="AF93" s="83">
        <f t="shared" si="146"/>
        <v>1.1340369960657071</v>
      </c>
      <c r="AG93" s="21">
        <f t="shared" si="127"/>
        <v>0.14822250131601997</v>
      </c>
      <c r="AH93" s="83">
        <f t="shared" si="147"/>
        <v>1.2104831317899896</v>
      </c>
      <c r="AI93" s="21">
        <f t="shared" si="128"/>
        <v>0.16249901535857572</v>
      </c>
      <c r="AJ93" s="83">
        <f t="shared" si="148"/>
        <v>1.3094324636794206</v>
      </c>
      <c r="AK93" s="99">
        <f t="shared" si="129"/>
        <v>0.21675501516573376</v>
      </c>
      <c r="AL93" s="83">
        <f t="shared" si="149"/>
        <v>1.4419927458491564</v>
      </c>
      <c r="AM93" s="99">
        <f t="shared" si="130"/>
        <v>0.25381975928221151</v>
      </c>
      <c r="AN93" s="83">
        <f t="shared" si="150"/>
        <v>1.6196424224325163</v>
      </c>
      <c r="AO93" s="99">
        <f t="shared" si="131"/>
        <v>0.3085067123053048</v>
      </c>
      <c r="AP93" s="83">
        <f t="shared" si="151"/>
        <v>1.803475232294079</v>
      </c>
      <c r="AQ93" s="99">
        <f t="shared" si="132"/>
        <v>0.37181800217649041</v>
      </c>
    </row>
    <row r="94" spans="1:43" x14ac:dyDescent="0.25">
      <c r="A94" s="129">
        <v>0.2</v>
      </c>
      <c r="B94" s="275">
        <f>'Sub C_D_0'!AZ44-'Sub C_D_0'!V44</f>
        <v>3.3689314091649505E-2</v>
      </c>
      <c r="C94" s="275">
        <f>'C_L vs. α'!X345</f>
        <v>0.11001752088764941</v>
      </c>
      <c r="D94" s="247">
        <f>'C_L vs. α'!AB345</f>
        <v>0.56384721039314389</v>
      </c>
      <c r="E94" s="144">
        <v>2</v>
      </c>
      <c r="F94" s="14">
        <f t="shared" si="133"/>
        <v>1.0429445251220777</v>
      </c>
      <c r="G94" s="6">
        <f t="shared" si="114"/>
        <v>0.14301582832758139</v>
      </c>
      <c r="H94" s="14">
        <f t="shared" si="134"/>
        <v>1.0478733085589889</v>
      </c>
      <c r="I94" s="6">
        <f t="shared" si="115"/>
        <v>0.14038319253686266</v>
      </c>
      <c r="J94" s="14">
        <f t="shared" si="135"/>
        <v>1.0556336207316872</v>
      </c>
      <c r="K94" s="6">
        <f t="shared" si="116"/>
        <v>0.14001355887062208</v>
      </c>
      <c r="L94" s="14">
        <f t="shared" si="136"/>
        <v>1.0665190113790977</v>
      </c>
      <c r="M94" s="6">
        <f t="shared" si="117"/>
        <v>0.14064818254728054</v>
      </c>
      <c r="N94" s="14">
        <f t="shared" si="137"/>
        <v>1.0808256992293683</v>
      </c>
      <c r="O94" s="6">
        <f t="shared" si="118"/>
        <v>0.14230707912173454</v>
      </c>
      <c r="P94" s="14">
        <f t="shared" si="138"/>
        <v>1.0986012854067382</v>
      </c>
      <c r="Q94" s="6">
        <f t="shared" si="119"/>
        <v>0.14529514561200793</v>
      </c>
      <c r="R94" s="14">
        <f t="shared" si="139"/>
        <v>1.1210050516650125</v>
      </c>
      <c r="S94" s="6">
        <f t="shared" si="120"/>
        <v>0.14881919493202175</v>
      </c>
      <c r="T94" s="14">
        <f t="shared" si="140"/>
        <v>1.1483377863567048</v>
      </c>
      <c r="U94" s="6">
        <f t="shared" si="121"/>
        <v>0.15344551668090509</v>
      </c>
      <c r="V94" s="14">
        <f t="shared" si="141"/>
        <v>1.1814543224306111</v>
      </c>
      <c r="W94" s="6">
        <f t="shared" si="122"/>
        <v>0.15938433200392879</v>
      </c>
      <c r="X94" s="14">
        <f t="shared" si="142"/>
        <v>1.2214997196106017</v>
      </c>
      <c r="Y94" s="6">
        <f t="shared" si="123"/>
        <v>0.1669461324432735</v>
      </c>
      <c r="Z94" s="14">
        <f t="shared" si="143"/>
        <v>1.270028327282005</v>
      </c>
      <c r="AA94" s="6">
        <f t="shared" si="124"/>
        <v>0.1765838998392795</v>
      </c>
      <c r="AB94" s="14">
        <f t="shared" si="144"/>
        <v>1.3291870819600657</v>
      </c>
      <c r="AC94" s="6">
        <f t="shared" si="125"/>
        <v>0.18896573087104016</v>
      </c>
      <c r="AD94" s="14">
        <f t="shared" si="145"/>
        <v>1.4021284576084592</v>
      </c>
      <c r="AE94" s="6">
        <f t="shared" si="126"/>
        <v>0.20560733542696499</v>
      </c>
      <c r="AF94" s="14">
        <f t="shared" si="146"/>
        <v>1.4932245658681209</v>
      </c>
      <c r="AG94" s="6">
        <f t="shared" si="127"/>
        <v>0.22712146400901242</v>
      </c>
      <c r="AH94" s="14">
        <f t="shared" si="147"/>
        <v>1.6089602686318334</v>
      </c>
      <c r="AI94" s="6">
        <f t="shared" si="128"/>
        <v>0.25653472030711311</v>
      </c>
      <c r="AJ94" s="14">
        <f t="shared" si="148"/>
        <v>1.7590206660378875</v>
      </c>
      <c r="AK94">
        <f t="shared" si="129"/>
        <v>0.35591403042780684</v>
      </c>
      <c r="AL94" s="14">
        <f t="shared" si="149"/>
        <v>1.9597928842367582</v>
      </c>
      <c r="AM94">
        <f t="shared" si="130"/>
        <v>0.43150282997931549</v>
      </c>
      <c r="AN94" s="14">
        <f t="shared" si="150"/>
        <v>2.2143215170740502</v>
      </c>
      <c r="AO94">
        <f t="shared" si="131"/>
        <v>0.5384960178934266</v>
      </c>
      <c r="AP94" s="14">
        <f t="shared" si="151"/>
        <v>2.346498446046926</v>
      </c>
      <c r="AQ94">
        <f t="shared" si="132"/>
        <v>0.59913959185956367</v>
      </c>
    </row>
    <row r="95" spans="1:43" x14ac:dyDescent="0.25">
      <c r="A95" s="139">
        <v>0.25</v>
      </c>
      <c r="B95" s="275">
        <f>'Sub C_D_0'!AZ45-'Sub C_D_0'!V45</f>
        <v>3.2823749538726021E-2</v>
      </c>
      <c r="C95" s="275">
        <f>'C_L vs. α'!X346</f>
        <v>0.11226220245662301</v>
      </c>
      <c r="D95" s="247">
        <f>'C_L vs. α'!AB346</f>
        <v>0.56964491335588441</v>
      </c>
      <c r="E95" s="144">
        <v>4</v>
      </c>
      <c r="F95" s="14">
        <f t="shared" si="133"/>
        <v>1.2553458630602246</v>
      </c>
      <c r="G95" s="6">
        <f t="shared" si="114"/>
        <v>0.18520187578905153</v>
      </c>
      <c r="H95" s="14">
        <f t="shared" si="134"/>
        <v>1.2619758515930326</v>
      </c>
      <c r="I95" s="6">
        <f t="shared" si="115"/>
        <v>0.18312912105466053</v>
      </c>
      <c r="J95" s="14">
        <f t="shared" si="135"/>
        <v>1.2722336615482988</v>
      </c>
      <c r="K95" s="6">
        <f t="shared" si="116"/>
        <v>0.18360620143885426</v>
      </c>
      <c r="L95" s="14">
        <f t="shared" si="136"/>
        <v>1.2865540531543964</v>
      </c>
      <c r="M95" s="6">
        <f t="shared" si="117"/>
        <v>0.18542603498703084</v>
      </c>
      <c r="N95" s="14">
        <f t="shared" si="137"/>
        <v>1.3053501041426143</v>
      </c>
      <c r="O95" s="6">
        <f t="shared" si="118"/>
        <v>0.1886600917242798</v>
      </c>
      <c r="P95" s="14">
        <f t="shared" si="138"/>
        <v>1.3285894709658628</v>
      </c>
      <c r="Q95" s="6">
        <f t="shared" si="119"/>
        <v>0.19361442653460059</v>
      </c>
      <c r="R95" s="14">
        <f t="shared" si="139"/>
        <v>1.3580542413676595</v>
      </c>
      <c r="S95" s="6">
        <f t="shared" si="120"/>
        <v>0.19971675435534736</v>
      </c>
      <c r="T95" s="14">
        <f t="shared" si="140"/>
        <v>1.3940466181667404</v>
      </c>
      <c r="U95" s="6">
        <f t="shared" si="121"/>
        <v>0.20758843335841465</v>
      </c>
      <c r="V95" s="14">
        <f t="shared" si="141"/>
        <v>1.4377274560681266</v>
      </c>
      <c r="W95" s="6">
        <f t="shared" si="122"/>
        <v>0.2176092544230871</v>
      </c>
      <c r="X95" s="14">
        <f t="shared" si="142"/>
        <v>1.4906531969127002</v>
      </c>
      <c r="Y95" s="6">
        <f t="shared" si="123"/>
        <v>0.2303291971428601</v>
      </c>
      <c r="Z95" s="14">
        <f t="shared" si="143"/>
        <v>1.554938713461435</v>
      </c>
      <c r="AA95" s="6">
        <f t="shared" si="124"/>
        <v>0.2465463521564227</v>
      </c>
      <c r="AB95" s="14">
        <f t="shared" si="144"/>
        <v>1.6335069500588728</v>
      </c>
      <c r="AC95" s="6">
        <f t="shared" si="125"/>
        <v>0.26743842179501681</v>
      </c>
      <c r="AD95" s="14">
        <f t="shared" si="145"/>
        <v>1.7306862231747078</v>
      </c>
      <c r="AE95" s="6">
        <f t="shared" si="126"/>
        <v>0.29532826363553161</v>
      </c>
      <c r="AF95" s="14">
        <f t="shared" si="146"/>
        <v>1.852412135670535</v>
      </c>
      <c r="AG95" s="6">
        <f t="shared" si="127"/>
        <v>0.33204895062761008</v>
      </c>
      <c r="AH95" s="14">
        <f t="shared" si="147"/>
        <v>2.0074374054736768</v>
      </c>
      <c r="AI95" s="6">
        <f t="shared" si="128"/>
        <v>0.38260461611053037</v>
      </c>
      <c r="AJ95" s="14">
        <f t="shared" si="148"/>
        <v>2.2086088683963547</v>
      </c>
      <c r="AK95">
        <f t="shared" si="129"/>
        <v>0.535852062913724</v>
      </c>
      <c r="AL95" s="14">
        <f t="shared" si="149"/>
        <v>2.4775930226243599</v>
      </c>
      <c r="AM95">
        <f t="shared" si="130"/>
        <v>0.66327767987755071</v>
      </c>
      <c r="AN95" s="14">
        <f t="shared" si="150"/>
        <v>2.8090006117155841</v>
      </c>
      <c r="AO95">
        <f t="shared" si="131"/>
        <v>0.83983175979778679</v>
      </c>
      <c r="AP95" s="14">
        <f t="shared" si="151"/>
        <v>2.8895216597997733</v>
      </c>
      <c r="AQ95">
        <f t="shared" si="132"/>
        <v>0.88595114931248331</v>
      </c>
    </row>
    <row r="96" spans="1:43" x14ac:dyDescent="0.25">
      <c r="A96" s="129">
        <v>0.3</v>
      </c>
      <c r="B96" s="275">
        <f>'Sub C_D_0'!AZ46-'Sub C_D_0'!V46</f>
        <v>3.2629062893463942E-2</v>
      </c>
      <c r="C96" s="275">
        <f>'C_L vs. α'!X347</f>
        <v>0.11499409277956241</v>
      </c>
      <c r="D96" s="247">
        <f>'C_L vs. α'!AB347</f>
        <v>0.57697940697139272</v>
      </c>
      <c r="E96" s="144">
        <v>6</v>
      </c>
      <c r="F96" s="14">
        <f t="shared" si="133"/>
        <v>1.4677472009983714</v>
      </c>
      <c r="G96" s="6">
        <f t="shared" si="114"/>
        <v>0.23648960065334312</v>
      </c>
      <c r="H96" s="14">
        <f t="shared" si="134"/>
        <v>1.4760783946270766</v>
      </c>
      <c r="I96" s="6">
        <f t="shared" si="115"/>
        <v>0.23512310861396632</v>
      </c>
      <c r="J96" s="14">
        <f t="shared" si="135"/>
        <v>1.4888337023649103</v>
      </c>
      <c r="K96" s="6">
        <f t="shared" si="116"/>
        <v>0.23666391793745009</v>
      </c>
      <c r="L96" s="14">
        <f t="shared" si="136"/>
        <v>1.5065890949296952</v>
      </c>
      <c r="M96" s="6">
        <f t="shared" si="117"/>
        <v>0.23997154986670227</v>
      </c>
      <c r="N96" s="14">
        <f t="shared" si="137"/>
        <v>1.5298745090558605</v>
      </c>
      <c r="O96" s="6">
        <f t="shared" si="118"/>
        <v>0.24518341103555166</v>
      </c>
      <c r="P96" s="14">
        <f t="shared" si="138"/>
        <v>1.5585776565249878</v>
      </c>
      <c r="Q96" s="6">
        <f t="shared" si="119"/>
        <v>0.25260502384463157</v>
      </c>
      <c r="R96" s="14">
        <f t="shared" si="139"/>
        <v>1.5951034310703065</v>
      </c>
      <c r="S96" s="6">
        <f t="shared" si="120"/>
        <v>0.2619509416893841</v>
      </c>
      <c r="T96" s="14">
        <f t="shared" si="140"/>
        <v>1.6397554499767757</v>
      </c>
      <c r="U96" s="6">
        <f t="shared" si="121"/>
        <v>0.27391138336068144</v>
      </c>
      <c r="V96" s="14">
        <f t="shared" si="141"/>
        <v>1.6940005897056423</v>
      </c>
      <c r="W96" s="6">
        <f t="shared" si="122"/>
        <v>0.28908409210977415</v>
      </c>
      <c r="X96" s="14">
        <f t="shared" si="142"/>
        <v>1.7598066742147986</v>
      </c>
      <c r="Y96" s="6">
        <f t="shared" si="123"/>
        <v>0.30832753485254677</v>
      </c>
      <c r="Z96" s="14">
        <f t="shared" si="143"/>
        <v>1.839849099640865</v>
      </c>
      <c r="AA96" s="6">
        <f t="shared" si="124"/>
        <v>0.33288539555802538</v>
      </c>
      <c r="AB96" s="14">
        <f t="shared" si="144"/>
        <v>1.9378268181576801</v>
      </c>
      <c r="AC96" s="6">
        <f t="shared" si="125"/>
        <v>0.36459501367067215</v>
      </c>
      <c r="AD96" s="14">
        <f t="shared" si="145"/>
        <v>2.0592439887409562</v>
      </c>
      <c r="AE96" s="6">
        <f t="shared" si="126"/>
        <v>0.4068278147361522</v>
      </c>
      <c r="AF96" s="14">
        <f t="shared" si="146"/>
        <v>2.211599705472949</v>
      </c>
      <c r="AG96" s="6">
        <f t="shared" si="127"/>
        <v>0.46300496117181289</v>
      </c>
      <c r="AH96" s="14">
        <f t="shared" si="147"/>
        <v>2.4059145423155206</v>
      </c>
      <c r="AI96" s="6">
        <f t="shared" si="128"/>
        <v>0.54070870276882765</v>
      </c>
      <c r="AJ96" s="14">
        <f t="shared" si="148"/>
        <v>2.6581970707548219</v>
      </c>
      <c r="AK96">
        <f t="shared" si="129"/>
        <v>0.75656911262348503</v>
      </c>
      <c r="AL96" s="14">
        <f t="shared" si="149"/>
        <v>2.995393161011962</v>
      </c>
      <c r="AM96">
        <f t="shared" si="130"/>
        <v>0.94914430897691759</v>
      </c>
      <c r="AN96" s="14">
        <f t="shared" si="150"/>
        <v>3.4036797063571171</v>
      </c>
      <c r="AO96">
        <f t="shared" si="131"/>
        <v>1.2125139380183843</v>
      </c>
      <c r="AP96" s="14">
        <f t="shared" si="151"/>
        <v>3.4325448735526205</v>
      </c>
      <c r="AQ96">
        <f t="shared" si="132"/>
        <v>1.2322526745352493</v>
      </c>
    </row>
    <row r="97" spans="1:43" x14ac:dyDescent="0.25">
      <c r="A97" s="139">
        <v>0.35</v>
      </c>
      <c r="B97" s="275">
        <f>'Sub C_D_0'!AZ47-'Sub C_D_0'!V47</f>
        <v>3.2065518477800987E-2</v>
      </c>
      <c r="C97" s="275">
        <f>'C_L vs. α'!X348</f>
        <v>0.11852459485132352</v>
      </c>
      <c r="D97" s="247">
        <f>'C_L vs. α'!AB348</f>
        <v>0.58602300954865816</v>
      </c>
      <c r="E97" s="144">
        <v>8</v>
      </c>
      <c r="F97" s="14">
        <f t="shared" si="133"/>
        <v>1.6801485389365183</v>
      </c>
      <c r="G97" s="6">
        <f t="shared" si="114"/>
        <v>0.29687900292045605</v>
      </c>
      <c r="H97" s="14">
        <f t="shared" si="134"/>
        <v>1.6901809376611205</v>
      </c>
      <c r="I97" s="6">
        <f t="shared" si="115"/>
        <v>0.29636515521478002</v>
      </c>
      <c r="J97" s="14">
        <f t="shared" si="135"/>
        <v>1.7054337431815219</v>
      </c>
      <c r="K97" s="6">
        <f t="shared" si="116"/>
        <v>0.29918670836640959</v>
      </c>
      <c r="L97" s="14">
        <f t="shared" si="136"/>
        <v>1.7266241367049942</v>
      </c>
      <c r="M97" s="6">
        <f t="shared" si="117"/>
        <v>0.3042847271862949</v>
      </c>
      <c r="N97" s="14">
        <f t="shared" si="137"/>
        <v>1.7543989139691063</v>
      </c>
      <c r="O97" s="6">
        <f t="shared" si="118"/>
        <v>0.31187703705554987</v>
      </c>
      <c r="P97" s="14">
        <f t="shared" si="138"/>
        <v>1.7885658420841126</v>
      </c>
      <c r="Q97" s="6">
        <f t="shared" si="119"/>
        <v>0.32226693754210067</v>
      </c>
      <c r="R97" s="14">
        <f t="shared" si="139"/>
        <v>1.8321526207729537</v>
      </c>
      <c r="S97" s="6">
        <f t="shared" si="120"/>
        <v>0.335521756934132</v>
      </c>
      <c r="T97" s="14">
        <f t="shared" si="140"/>
        <v>1.8854642817868112</v>
      </c>
      <c r="U97" s="6">
        <f t="shared" si="121"/>
        <v>0.35241436668770543</v>
      </c>
      <c r="V97" s="14">
        <f t="shared" si="141"/>
        <v>1.9502737233431577</v>
      </c>
      <c r="W97" s="6">
        <f t="shared" si="122"/>
        <v>0.37380884506398965</v>
      </c>
      <c r="X97" s="14">
        <f t="shared" si="142"/>
        <v>2.0289601515168973</v>
      </c>
      <c r="Y97" s="6">
        <f t="shared" si="123"/>
        <v>0.40094114557233362</v>
      </c>
      <c r="Z97" s="14">
        <f t="shared" si="143"/>
        <v>2.1247594858202947</v>
      </c>
      <c r="AA97" s="6">
        <f t="shared" si="124"/>
        <v>0.43560103004408746</v>
      </c>
      <c r="AB97" s="14">
        <f t="shared" si="144"/>
        <v>2.2421466862564872</v>
      </c>
      <c r="AC97" s="6">
        <f t="shared" si="125"/>
        <v>0.48043550649800587</v>
      </c>
      <c r="AD97" s="14">
        <f t="shared" si="145"/>
        <v>2.3878017543072048</v>
      </c>
      <c r="AE97" s="6">
        <f t="shared" si="126"/>
        <v>0.54010598872882687</v>
      </c>
      <c r="AF97" s="14">
        <f t="shared" si="146"/>
        <v>2.5707872752753631</v>
      </c>
      <c r="AG97" s="6">
        <f t="shared" si="127"/>
        <v>0.61998949564162098</v>
      </c>
      <c r="AH97" s="14">
        <f t="shared" si="147"/>
        <v>2.804391679157364</v>
      </c>
      <c r="AI97" s="6">
        <f t="shared" si="128"/>
        <v>0.73084698028200479</v>
      </c>
      <c r="AJ97" s="14">
        <f t="shared" si="148"/>
        <v>3.1077852731132891</v>
      </c>
      <c r="AK97">
        <f t="shared" si="129"/>
        <v>1.0180651795570901</v>
      </c>
      <c r="AL97" s="14">
        <f t="shared" si="149"/>
        <v>3.5131932993995636</v>
      </c>
      <c r="AM97">
        <f t="shared" si="130"/>
        <v>1.2891027172774157</v>
      </c>
      <c r="AN97" s="14">
        <f t="shared" si="150"/>
        <v>3.998358800998651</v>
      </c>
      <c r="AO97">
        <f t="shared" si="131"/>
        <v>1.6565425525552206</v>
      </c>
      <c r="AP97" s="14">
        <f t="shared" si="151"/>
        <v>3.9755680873054677</v>
      </c>
      <c r="AQ97">
        <f t="shared" si="132"/>
        <v>1.6380441675278619</v>
      </c>
    </row>
    <row r="98" spans="1:43" x14ac:dyDescent="0.25">
      <c r="A98" s="129">
        <v>0.4</v>
      </c>
      <c r="B98" s="275">
        <f>'Sub C_D_0'!AZ48-'Sub C_D_0'!V48</f>
        <v>3.1591863511710165E-2</v>
      </c>
      <c r="C98" s="275">
        <f>'C_L vs. α'!X349</f>
        <v>0.12285441590501772</v>
      </c>
      <c r="D98" s="247">
        <f>'C_L vs. α'!AB349</f>
        <v>0.59700438372333264</v>
      </c>
      <c r="E98" s="144">
        <v>10</v>
      </c>
      <c r="F98" s="14">
        <f t="shared" si="133"/>
        <v>1.8925498768746651</v>
      </c>
      <c r="G98" s="6">
        <f t="shared" si="114"/>
        <v>0.36637008259039039</v>
      </c>
      <c r="H98" s="14">
        <f t="shared" si="134"/>
        <v>1.9042834806951645</v>
      </c>
      <c r="I98" s="6">
        <f t="shared" si="115"/>
        <v>0.36685526085710152</v>
      </c>
      <c r="J98" s="14">
        <f t="shared" si="135"/>
        <v>1.9220337839981332</v>
      </c>
      <c r="K98" s="6">
        <f t="shared" si="116"/>
        <v>0.37117457272573268</v>
      </c>
      <c r="L98" s="14">
        <f t="shared" si="136"/>
        <v>1.9466591784802929</v>
      </c>
      <c r="M98" s="6">
        <f t="shared" si="117"/>
        <v>0.37836556694580864</v>
      </c>
      <c r="N98" s="14">
        <f t="shared" si="137"/>
        <v>1.9789233188823525</v>
      </c>
      <c r="O98" s="6">
        <f t="shared" si="118"/>
        <v>0.38874096978427475</v>
      </c>
      <c r="P98" s="14">
        <f t="shared" si="138"/>
        <v>2.018554027643237</v>
      </c>
      <c r="Q98" s="6">
        <f t="shared" si="119"/>
        <v>0.40260016762700773</v>
      </c>
      <c r="R98" s="14">
        <f t="shared" si="139"/>
        <v>2.0692018104756009</v>
      </c>
      <c r="S98" s="6">
        <f t="shared" si="120"/>
        <v>0.42042920008959106</v>
      </c>
      <c r="T98" s="14">
        <f t="shared" si="140"/>
        <v>2.1311731135968466</v>
      </c>
      <c r="U98" s="6">
        <f t="shared" si="121"/>
        <v>0.44309738333948656</v>
      </c>
      <c r="V98" s="14">
        <f t="shared" si="141"/>
        <v>2.2065468569806734</v>
      </c>
      <c r="W98" s="6">
        <f t="shared" si="122"/>
        <v>0.47178351328573392</v>
      </c>
      <c r="X98" s="14">
        <f t="shared" si="142"/>
        <v>2.2981136288189958</v>
      </c>
      <c r="Y98" s="6">
        <f t="shared" si="123"/>
        <v>0.50817002930222044</v>
      </c>
      <c r="Z98" s="14">
        <f t="shared" si="143"/>
        <v>2.4096698719997249</v>
      </c>
      <c r="AA98" s="6">
        <f t="shared" si="124"/>
        <v>0.55469325561460925</v>
      </c>
      <c r="AB98" s="14">
        <f t="shared" si="144"/>
        <v>2.5464665543552942</v>
      </c>
      <c r="AC98" s="6">
        <f t="shared" si="125"/>
        <v>0.61495990027701819</v>
      </c>
      <c r="AD98" s="14">
        <f t="shared" si="145"/>
        <v>2.7163595198734534</v>
      </c>
      <c r="AE98" s="6">
        <f t="shared" si="126"/>
        <v>0.69516278561355538</v>
      </c>
      <c r="AF98" s="14">
        <f t="shared" si="146"/>
        <v>2.9299748450777772</v>
      </c>
      <c r="AG98" s="6">
        <f t="shared" si="127"/>
        <v>0.80300255403703413</v>
      </c>
      <c r="AH98" s="14">
        <f t="shared" si="147"/>
        <v>3.2028688159992078</v>
      </c>
      <c r="AI98" s="6">
        <f t="shared" si="128"/>
        <v>0.95301944865006216</v>
      </c>
      <c r="AJ98" s="14">
        <f t="shared" si="148"/>
        <v>3.5573734754717563</v>
      </c>
      <c r="AK98">
        <f t="shared" si="129"/>
        <v>1.3203402637145392</v>
      </c>
      <c r="AL98" s="14">
        <f t="shared" si="149"/>
        <v>4.0309934377871652</v>
      </c>
      <c r="AM98">
        <f t="shared" si="130"/>
        <v>1.683152904779045</v>
      </c>
      <c r="AN98" s="14">
        <f t="shared" si="150"/>
        <v>4.5930378956401849</v>
      </c>
      <c r="AO98">
        <f t="shared" si="131"/>
        <v>2.171917603408295</v>
      </c>
      <c r="AP98" s="14">
        <f t="shared" si="151"/>
        <v>4.518591301058315</v>
      </c>
      <c r="AQ98">
        <f t="shared" si="132"/>
        <v>2.1033256282903205</v>
      </c>
    </row>
    <row r="99" spans="1:43" x14ac:dyDescent="0.25">
      <c r="A99" s="139">
        <v>0.45</v>
      </c>
      <c r="B99" s="275">
        <f>'Sub C_D_0'!AZ49-'Sub C_D_0'!V49</f>
        <v>3.1184853485358141E-2</v>
      </c>
      <c r="C99" s="275">
        <f>'C_L vs. α'!X350</f>
        <v>0.12813656681875776</v>
      </c>
      <c r="D99" s="247">
        <f>'C_L vs. α'!AB350</f>
        <v>0.61022655878285847</v>
      </c>
      <c r="E99" s="144">
        <v>12</v>
      </c>
      <c r="F99" s="14">
        <f t="shared" si="133"/>
        <v>2.1049512148128118</v>
      </c>
      <c r="G99" s="6">
        <f t="shared" si="114"/>
        <v>0.44496283966314598</v>
      </c>
      <c r="H99" s="14">
        <f t="shared" si="134"/>
        <v>2.1183860237292085</v>
      </c>
      <c r="I99" s="6">
        <f t="shared" si="115"/>
        <v>0.44659342554093096</v>
      </c>
      <c r="J99" s="14">
        <f t="shared" si="135"/>
        <v>2.138633824814745</v>
      </c>
      <c r="K99" s="6">
        <f t="shared" si="116"/>
        <v>0.45262751101541965</v>
      </c>
      <c r="L99" s="14">
        <f t="shared" si="136"/>
        <v>2.1666942202555917</v>
      </c>
      <c r="M99" s="6">
        <f t="shared" si="117"/>
        <v>0.46221406914524349</v>
      </c>
      <c r="N99" s="14">
        <f t="shared" si="137"/>
        <v>2.2034477237955983</v>
      </c>
      <c r="O99" s="6">
        <f t="shared" si="118"/>
        <v>0.47577520922172595</v>
      </c>
      <c r="P99" s="14">
        <f t="shared" si="138"/>
        <v>2.248542213202362</v>
      </c>
      <c r="Q99" s="6">
        <f t="shared" si="119"/>
        <v>0.4936047140993533</v>
      </c>
      <c r="R99" s="14">
        <f t="shared" si="139"/>
        <v>2.3062510001782477</v>
      </c>
      <c r="S99" s="6">
        <f t="shared" si="120"/>
        <v>0.516673271155761</v>
      </c>
      <c r="T99" s="14">
        <f t="shared" si="140"/>
        <v>2.3768819454068821</v>
      </c>
      <c r="U99" s="6">
        <f t="shared" si="121"/>
        <v>0.54596043331602506</v>
      </c>
      <c r="V99" s="14">
        <f t="shared" si="141"/>
        <v>2.4628199906181889</v>
      </c>
      <c r="W99" s="6">
        <f t="shared" si="122"/>
        <v>0.58300809677500665</v>
      </c>
      <c r="X99" s="14">
        <f t="shared" si="142"/>
        <v>2.5672671061210943</v>
      </c>
      <c r="Y99" s="6">
        <f t="shared" si="123"/>
        <v>0.63001418604220749</v>
      </c>
      <c r="Z99" s="14">
        <f t="shared" si="143"/>
        <v>2.6945802581791547</v>
      </c>
      <c r="AA99" s="6">
        <f t="shared" si="124"/>
        <v>0.69016207226959014</v>
      </c>
      <c r="AB99" s="14">
        <f t="shared" si="144"/>
        <v>2.8507864224541013</v>
      </c>
      <c r="AC99" s="6">
        <f t="shared" si="125"/>
        <v>0.76816819500770916</v>
      </c>
      <c r="AD99" s="14">
        <f t="shared" si="145"/>
        <v>3.044917285439702</v>
      </c>
      <c r="AE99" s="6">
        <f t="shared" si="126"/>
        <v>0.87199820539033801</v>
      </c>
      <c r="AF99" s="14">
        <f t="shared" si="146"/>
        <v>3.2891624148801912</v>
      </c>
      <c r="AG99" s="6">
        <f t="shared" si="127"/>
        <v>1.0120441363580526</v>
      </c>
      <c r="AH99" s="14">
        <f t="shared" si="147"/>
        <v>3.6013459528410512</v>
      </c>
      <c r="AI99" s="6">
        <f t="shared" si="128"/>
        <v>1.2072261078729993</v>
      </c>
      <c r="AJ99" s="14">
        <f t="shared" si="148"/>
        <v>4.0069616778302226</v>
      </c>
      <c r="AK99">
        <f t="shared" si="129"/>
        <v>1.6633943650958312</v>
      </c>
      <c r="AL99" s="14">
        <f t="shared" si="149"/>
        <v>4.5487935761747664</v>
      </c>
      <c r="AM99">
        <f t="shared" si="130"/>
        <v>2.1312948714818059</v>
      </c>
      <c r="AN99" s="14">
        <f t="shared" si="150"/>
        <v>5.1877169902817188</v>
      </c>
      <c r="AO99">
        <f t="shared" si="131"/>
        <v>2.7586390905776073</v>
      </c>
      <c r="AP99" s="14">
        <f t="shared" si="151"/>
        <v>5.0616145148111613</v>
      </c>
      <c r="AQ99">
        <f t="shared" si="132"/>
        <v>2.6280970568226252</v>
      </c>
    </row>
    <row r="100" spans="1:43" x14ac:dyDescent="0.25">
      <c r="A100" s="129">
        <v>0.5</v>
      </c>
      <c r="B100" s="275">
        <f>'Sub C_D_0'!AZ50-'Sub C_D_0'!V50</f>
        <v>3.082906919466822E-2</v>
      </c>
      <c r="C100" s="275">
        <f>'C_L vs. α'!X351</f>
        <v>0.13457673865104924</v>
      </c>
      <c r="D100" s="247">
        <f>'C_L vs. α'!AB351</f>
        <v>0.6260937673204966</v>
      </c>
      <c r="E100" s="144">
        <v>14</v>
      </c>
      <c r="F100" s="14">
        <f t="shared" si="133"/>
        <v>2.3173525527509589</v>
      </c>
      <c r="G100" s="6">
        <f t="shared" si="114"/>
        <v>0.53265727413872321</v>
      </c>
      <c r="H100" s="14">
        <f t="shared" si="134"/>
        <v>2.3324885667632524</v>
      </c>
      <c r="I100" s="6">
        <f t="shared" si="115"/>
        <v>0.53557964926626833</v>
      </c>
      <c r="J100" s="14">
        <f t="shared" si="135"/>
        <v>2.3552338656313561</v>
      </c>
      <c r="K100" s="6">
        <f t="shared" si="116"/>
        <v>0.5435455232354699</v>
      </c>
      <c r="L100" s="14">
        <f t="shared" si="136"/>
        <v>2.3867292620308902</v>
      </c>
      <c r="M100" s="6">
        <f t="shared" si="117"/>
        <v>0.55583023378459939</v>
      </c>
      <c r="N100" s="14">
        <f t="shared" si="137"/>
        <v>2.4279721287088445</v>
      </c>
      <c r="O100" s="6">
        <f t="shared" si="118"/>
        <v>0.57297975536790391</v>
      </c>
      <c r="P100" s="14">
        <f t="shared" si="138"/>
        <v>2.4785303987614871</v>
      </c>
      <c r="Q100" s="6">
        <f t="shared" si="119"/>
        <v>0.59528057695913716</v>
      </c>
      <c r="R100" s="14">
        <f t="shared" si="139"/>
        <v>2.5433001898808945</v>
      </c>
      <c r="S100" s="6">
        <f t="shared" si="120"/>
        <v>0.62425397013264206</v>
      </c>
      <c r="T100" s="14">
        <f t="shared" si="140"/>
        <v>2.6225907772169172</v>
      </c>
      <c r="U100" s="6">
        <f t="shared" si="121"/>
        <v>0.66100351661732049</v>
      </c>
      <c r="V100" s="14">
        <f t="shared" si="141"/>
        <v>2.7190931242557044</v>
      </c>
      <c r="W100" s="6">
        <f t="shared" si="122"/>
        <v>0.70748259553180803</v>
      </c>
      <c r="X100" s="14">
        <f t="shared" si="142"/>
        <v>2.8364205834231928</v>
      </c>
      <c r="Y100" s="6">
        <f t="shared" si="123"/>
        <v>0.76647361579229445</v>
      </c>
      <c r="Z100" s="14">
        <f t="shared" si="143"/>
        <v>2.9794906443585849</v>
      </c>
      <c r="AA100" s="6">
        <f t="shared" si="124"/>
        <v>0.84200748000903081</v>
      </c>
      <c r="AB100" s="14">
        <f t="shared" si="144"/>
        <v>3.1551062905529084</v>
      </c>
      <c r="AC100" s="6">
        <f t="shared" si="125"/>
        <v>0.94006039069007852</v>
      </c>
      <c r="AD100" s="14">
        <f t="shared" si="145"/>
        <v>3.3734750510059506</v>
      </c>
      <c r="AE100" s="6">
        <f t="shared" si="126"/>
        <v>1.0706122480591747</v>
      </c>
      <c r="AF100" s="14">
        <f t="shared" si="146"/>
        <v>3.6483499846826053</v>
      </c>
      <c r="AG100" s="6">
        <f t="shared" si="127"/>
        <v>1.247114242604676</v>
      </c>
      <c r="AH100" s="14">
        <f t="shared" si="147"/>
        <v>3.999823089682895</v>
      </c>
      <c r="AI100" s="6">
        <f t="shared" si="128"/>
        <v>1.4934669579508166</v>
      </c>
      <c r="AJ100" s="14">
        <f t="shared" si="148"/>
        <v>4.4565498801886898</v>
      </c>
      <c r="AK100">
        <f t="shared" si="129"/>
        <v>2.0472274837009681</v>
      </c>
      <c r="AL100" s="14">
        <f t="shared" si="149"/>
        <v>5.0665937145623685</v>
      </c>
      <c r="AM100">
        <f t="shared" si="130"/>
        <v>2.6335286173856982</v>
      </c>
      <c r="AN100" s="14">
        <f t="shared" si="150"/>
        <v>5.7823960849232527</v>
      </c>
      <c r="AO100">
        <f t="shared" si="131"/>
        <v>3.4167070140631579</v>
      </c>
      <c r="AP100" s="14">
        <f t="shared" si="151"/>
        <v>5.6046377285640094</v>
      </c>
      <c r="AQ100">
        <f t="shared" si="132"/>
        <v>3.2123584531247773</v>
      </c>
    </row>
    <row r="101" spans="1:43" x14ac:dyDescent="0.25">
      <c r="A101" s="139">
        <v>0.55000000000000004</v>
      </c>
      <c r="B101" s="275">
        <f>'Sub C_D_0'!AZ51-'Sub C_D_0'!V51</f>
        <v>3.051378774484563E-2</v>
      </c>
      <c r="C101" s="275">
        <f>'C_L vs. α'!X352</f>
        <v>0.14245519308971499</v>
      </c>
      <c r="D101" s="247">
        <f>'C_L vs. α'!AB352</f>
        <v>0.64515232241407749</v>
      </c>
      <c r="E101" s="144">
        <v>16</v>
      </c>
      <c r="F101" s="14">
        <f t="shared" si="133"/>
        <v>2.5297538906891055</v>
      </c>
      <c r="G101" s="6">
        <f t="shared" si="114"/>
        <v>0.62945338601712164</v>
      </c>
      <c r="H101" s="14">
        <f t="shared" si="134"/>
        <v>2.5465911097972964</v>
      </c>
      <c r="I101" s="6">
        <f t="shared" si="115"/>
        <v>0.63381393203311354</v>
      </c>
      <c r="J101" s="14">
        <f t="shared" si="135"/>
        <v>2.5718339064479681</v>
      </c>
      <c r="K101" s="6">
        <f t="shared" si="116"/>
        <v>0.64392860938588425</v>
      </c>
      <c r="L101" s="14">
        <f t="shared" si="136"/>
        <v>2.6067643038061892</v>
      </c>
      <c r="M101" s="6">
        <f t="shared" si="117"/>
        <v>0.65921406086387657</v>
      </c>
      <c r="N101" s="14">
        <f t="shared" si="137"/>
        <v>2.6524965336220907</v>
      </c>
      <c r="O101" s="6">
        <f t="shared" si="118"/>
        <v>0.68035460822280835</v>
      </c>
      <c r="P101" s="14">
        <f t="shared" si="138"/>
        <v>2.7085185843206121</v>
      </c>
      <c r="Q101" s="6">
        <f t="shared" si="119"/>
        <v>0.70762775620635898</v>
      </c>
      <c r="R101" s="14">
        <f t="shared" si="139"/>
        <v>2.7803493795835417</v>
      </c>
      <c r="S101" s="6">
        <f t="shared" si="120"/>
        <v>0.74317129702023443</v>
      </c>
      <c r="T101" s="14">
        <f t="shared" si="140"/>
        <v>2.8682996090269528</v>
      </c>
      <c r="U101" s="6">
        <f t="shared" si="121"/>
        <v>0.78822663324337339</v>
      </c>
      <c r="V101" s="14">
        <f t="shared" si="141"/>
        <v>2.9753662578932198</v>
      </c>
      <c r="W101" s="6">
        <f t="shared" si="122"/>
        <v>0.84520700955613792</v>
      </c>
      <c r="X101" s="14">
        <f t="shared" si="142"/>
        <v>3.1055740607252913</v>
      </c>
      <c r="Y101" s="6">
        <f t="shared" si="123"/>
        <v>0.91754831855248153</v>
      </c>
      <c r="Z101" s="14">
        <f t="shared" si="143"/>
        <v>3.2644010305380147</v>
      </c>
      <c r="AA101" s="6">
        <f t="shared" si="124"/>
        <v>1.0102294788329307</v>
      </c>
      <c r="AB101" s="14">
        <f t="shared" si="144"/>
        <v>3.4594261586517159</v>
      </c>
      <c r="AC101" s="6">
        <f t="shared" si="125"/>
        <v>1.1306364873241268</v>
      </c>
      <c r="AD101" s="14">
        <f t="shared" si="145"/>
        <v>3.7020328165721992</v>
      </c>
      <c r="AE101" s="6">
        <f t="shared" si="126"/>
        <v>1.2910049136200652</v>
      </c>
      <c r="AF101" s="14">
        <f t="shared" si="146"/>
        <v>4.0075375544850189</v>
      </c>
      <c r="AG101" s="6">
        <f t="shared" si="127"/>
        <v>1.5082128727769044</v>
      </c>
      <c r="AH101" s="14">
        <f t="shared" si="147"/>
        <v>4.3983002265247384</v>
      </c>
      <c r="AI101" s="6">
        <f t="shared" si="128"/>
        <v>1.8117419988835135</v>
      </c>
      <c r="AJ101" s="14">
        <f t="shared" si="148"/>
        <v>4.906138082547157</v>
      </c>
      <c r="AK101">
        <f t="shared" si="129"/>
        <v>2.4718396195299488</v>
      </c>
      <c r="AL101" s="14">
        <f t="shared" si="149"/>
        <v>5.5843938529499706</v>
      </c>
      <c r="AM101">
        <f t="shared" si="130"/>
        <v>3.1898541424907223</v>
      </c>
      <c r="AN101" s="14">
        <f t="shared" si="150"/>
        <v>6.3770751795647858</v>
      </c>
      <c r="AO101">
        <f t="shared" si="131"/>
        <v>4.1461213738649461</v>
      </c>
      <c r="AP101" s="14">
        <f t="shared" si="151"/>
        <v>6.1476609423168558</v>
      </c>
      <c r="AQ101">
        <f t="shared" si="132"/>
        <v>3.8561098171967743</v>
      </c>
    </row>
    <row r="102" spans="1:43" x14ac:dyDescent="0.25">
      <c r="A102" s="129">
        <v>0.6</v>
      </c>
      <c r="B102" s="275">
        <f>'Sub C_D_0'!AZ52-'Sub C_D_0'!V52</f>
        <v>3.0231268166563567E-2</v>
      </c>
      <c r="C102" s="275">
        <f>'C_L vs. α'!X353</f>
        <v>0.15215993404940356</v>
      </c>
      <c r="D102" s="247">
        <f>'C_L vs. α'!AB353</f>
        <v>0.66815476260936835</v>
      </c>
      <c r="Y102" s="6"/>
      <c r="AP102" s="14"/>
    </row>
    <row r="103" spans="1:43" x14ac:dyDescent="0.25">
      <c r="A103" s="139">
        <v>0.65</v>
      </c>
      <c r="B103" s="275">
        <f>'Sub C_D_0'!AZ53-'Sub C_D_0'!V53</f>
        <v>3.045399002583276E-2</v>
      </c>
      <c r="C103" s="275">
        <f>'C_L vs. α'!X354</f>
        <v>0.16427888278312427</v>
      </c>
      <c r="D103" s="247">
        <f>'C_L vs. α'!AB354</f>
        <v>0.69616430046180855</v>
      </c>
    </row>
    <row r="104" spans="1:43" x14ac:dyDescent="0.25">
      <c r="A104" s="129">
        <v>0.7</v>
      </c>
      <c r="B104" s="275">
        <f>'Sub C_D_0'!AZ54-'Sub C_D_0'!V54</f>
        <v>3.0215995545437281E-2</v>
      </c>
      <c r="C104" s="275">
        <f>'C_L vs. α'!X355</f>
        <v>0.179593784901207</v>
      </c>
      <c r="D104" s="247">
        <f>'C_L vs. α'!AB355</f>
        <v>0.73073273471171618</v>
      </c>
    </row>
    <row r="105" spans="1:43" x14ac:dyDescent="0.25">
      <c r="A105" s="139">
        <v>0.75</v>
      </c>
      <c r="B105" s="275">
        <f>'Sub C_D_0'!AZ55-'Sub C_D_0'!V55</f>
        <v>2.9997598264121801E-2</v>
      </c>
      <c r="C105" s="275">
        <f>'C_L vs. α'!X356</f>
        <v>0.1992385684209218</v>
      </c>
      <c r="D105" s="247">
        <f>'C_L vs. α'!AB356</f>
        <v>0.7742205053262986</v>
      </c>
    </row>
    <row r="106" spans="1:43" x14ac:dyDescent="0.25">
      <c r="A106" s="129">
        <v>0.8</v>
      </c>
      <c r="B106" s="275">
        <f>'Sub C_D_0'!AZ56-'Sub C_D_0'!V56</f>
        <v>2.9796019703819246E-2</v>
      </c>
      <c r="C106" s="275">
        <f>'C_L vs. α'!X357</f>
        <v>0.22479410117923354</v>
      </c>
      <c r="D106" s="247">
        <f>'C_L vs. α'!AB357</f>
        <v>0.83041164474938745</v>
      </c>
    </row>
    <row r="107" spans="1:43" x14ac:dyDescent="0.25">
      <c r="A107" s="139">
        <v>0.85</v>
      </c>
      <c r="B107" s="275">
        <f>'Sub C_D_0'!AZ57-'Sub C_D_0'!V57</f>
        <v>3.0069214339546298E-2</v>
      </c>
      <c r="C107" s="275">
        <f>'C_L vs. α'!X358</f>
        <v>0.25890006919380087</v>
      </c>
      <c r="D107" s="247">
        <f>'C_L vs. α'!AB358</f>
        <v>0.90578940361991822</v>
      </c>
    </row>
    <row r="108" spans="1:43" x14ac:dyDescent="0.25">
      <c r="A108" s="129">
        <v>0.9</v>
      </c>
      <c r="B108" s="275">
        <f>'Sub C_D_0'!AZ58-'Sub C_D_0'!V58</f>
        <v>2.9891240365392577E-2</v>
      </c>
      <c r="C108" s="275">
        <f>'C_L vs. α'!X359</f>
        <v>0.29733954732076684</v>
      </c>
      <c r="D108" s="247">
        <f>'C_L vs. α'!AB359</f>
        <v>1.012370337747668</v>
      </c>
    </row>
    <row r="109" spans="1:43" x14ac:dyDescent="0.25">
      <c r="A109" s="139">
        <v>0.95</v>
      </c>
      <c r="B109" s="275">
        <f>'Sub C_D_0'!AZ59-'Sub C_D_0'!V59</f>
        <v>2.97247402189336E-2</v>
      </c>
      <c r="C109" s="275">
        <f>'C_L vs. α'!X360</f>
        <v>0.27151160687642356</v>
      </c>
      <c r="D109" s="247">
        <f>'C_L vs. α'!AB360</f>
        <v>1.1728890272208958</v>
      </c>
    </row>
    <row r="110" spans="1:43" s="29" customFormat="1" x14ac:dyDescent="0.25">
      <c r="A110" s="11"/>
      <c r="B110" s="271"/>
      <c r="C110" s="271"/>
      <c r="D110" s="11"/>
    </row>
    <row r="111" spans="1:43" s="29" customFormat="1" x14ac:dyDescent="0.25">
      <c r="A111" s="122" t="s">
        <v>537</v>
      </c>
      <c r="B111" s="267" t="s">
        <v>636</v>
      </c>
      <c r="C111" s="264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</row>
    <row r="112" spans="1:43" s="29" customFormat="1" x14ac:dyDescent="0.25">
      <c r="A112" s="122" t="s">
        <v>202</v>
      </c>
      <c r="B112" s="274">
        <v>5000</v>
      </c>
      <c r="C112" s="267" t="s">
        <v>538</v>
      </c>
      <c r="D112" s="122" t="s">
        <v>539</v>
      </c>
      <c r="E112"/>
      <c r="F112" s="1" t="s">
        <v>536</v>
      </c>
      <c r="G112" s="140">
        <v>0.05</v>
      </c>
      <c r="H112" s="1" t="s">
        <v>536</v>
      </c>
      <c r="I112" s="140">
        <v>0.1</v>
      </c>
      <c r="J112" s="1" t="s">
        <v>536</v>
      </c>
      <c r="K112" s="140">
        <v>0.15</v>
      </c>
      <c r="L112" s="1" t="s">
        <v>536</v>
      </c>
      <c r="M112" s="140">
        <v>0.2</v>
      </c>
      <c r="N112" t="s">
        <v>536</v>
      </c>
      <c r="O112" s="141">
        <v>0.25</v>
      </c>
      <c r="P112" t="s">
        <v>536</v>
      </c>
      <c r="Q112" s="141">
        <v>0.3</v>
      </c>
      <c r="R112" t="s">
        <v>536</v>
      </c>
      <c r="S112" s="141">
        <v>0.35</v>
      </c>
      <c r="T112" t="s">
        <v>536</v>
      </c>
      <c r="U112" s="141">
        <v>0.4</v>
      </c>
      <c r="V112" t="s">
        <v>536</v>
      </c>
      <c r="W112" s="141">
        <v>0.45</v>
      </c>
      <c r="X112" t="s">
        <v>536</v>
      </c>
      <c r="Y112" s="141">
        <v>0.5</v>
      </c>
      <c r="Z112" t="s">
        <v>536</v>
      </c>
      <c r="AA112" s="141">
        <v>0.55000000000000004</v>
      </c>
      <c r="AB112" t="s">
        <v>536</v>
      </c>
      <c r="AC112" s="141">
        <v>0.6</v>
      </c>
      <c r="AD112" t="s">
        <v>536</v>
      </c>
      <c r="AE112" s="141">
        <v>0.65</v>
      </c>
      <c r="AF112" t="s">
        <v>536</v>
      </c>
      <c r="AG112" s="141">
        <v>0.7</v>
      </c>
      <c r="AH112" t="s">
        <v>536</v>
      </c>
      <c r="AI112" s="141">
        <v>0.75</v>
      </c>
      <c r="AJ112" t="s">
        <v>536</v>
      </c>
      <c r="AK112" s="141">
        <v>0.8</v>
      </c>
      <c r="AL112" t="s">
        <v>536</v>
      </c>
      <c r="AM112" s="141">
        <v>0.85</v>
      </c>
      <c r="AN112" t="s">
        <v>536</v>
      </c>
      <c r="AO112" s="141">
        <v>0.9</v>
      </c>
      <c r="AP112" t="s">
        <v>536</v>
      </c>
      <c r="AQ112" s="141">
        <v>0.95</v>
      </c>
    </row>
    <row r="113" spans="1:43" s="29" customFormat="1" x14ac:dyDescent="0.25">
      <c r="A113" s="121" t="s">
        <v>182</v>
      </c>
      <c r="B113" s="269" t="s">
        <v>534</v>
      </c>
      <c r="C113" s="269" t="s">
        <v>535</v>
      </c>
      <c r="D113" s="248" t="s">
        <v>1126</v>
      </c>
      <c r="E113" s="121" t="s">
        <v>421</v>
      </c>
      <c r="F113" s="14" t="s">
        <v>244</v>
      </c>
      <c r="G113" s="6" t="s">
        <v>245</v>
      </c>
      <c r="H113" s="14" t="s">
        <v>244</v>
      </c>
      <c r="I113" s="6" t="s">
        <v>245</v>
      </c>
      <c r="J113" s="14" t="s">
        <v>244</v>
      </c>
      <c r="K113" s="6" t="s">
        <v>245</v>
      </c>
      <c r="L113" s="14" t="s">
        <v>244</v>
      </c>
      <c r="M113" s="6" t="s">
        <v>245</v>
      </c>
      <c r="N113" t="s">
        <v>244</v>
      </c>
      <c r="O113" t="s">
        <v>245</v>
      </c>
      <c r="P113" t="s">
        <v>244</v>
      </c>
      <c r="Q113" t="s">
        <v>245</v>
      </c>
      <c r="R113" t="s">
        <v>244</v>
      </c>
      <c r="S113" t="s">
        <v>245</v>
      </c>
      <c r="T113" t="s">
        <v>244</v>
      </c>
      <c r="U113" t="s">
        <v>245</v>
      </c>
      <c r="V113" t="s">
        <v>244</v>
      </c>
      <c r="W113" t="s">
        <v>245</v>
      </c>
      <c r="X113" t="s">
        <v>244</v>
      </c>
      <c r="Y113" t="s">
        <v>245</v>
      </c>
      <c r="Z113" t="s">
        <v>244</v>
      </c>
      <c r="AA113" t="s">
        <v>245</v>
      </c>
      <c r="AB113" t="s">
        <v>244</v>
      </c>
      <c r="AC113" t="s">
        <v>245</v>
      </c>
      <c r="AD113" t="s">
        <v>244</v>
      </c>
      <c r="AE113" t="s">
        <v>245</v>
      </c>
      <c r="AF113" t="s">
        <v>244</v>
      </c>
      <c r="AG113" t="s">
        <v>245</v>
      </c>
      <c r="AH113" t="s">
        <v>244</v>
      </c>
      <c r="AI113" t="s">
        <v>245</v>
      </c>
      <c r="AJ113" t="s">
        <v>244</v>
      </c>
      <c r="AK113" t="s">
        <v>245</v>
      </c>
      <c r="AL113" t="s">
        <v>244</v>
      </c>
      <c r="AM113" t="s">
        <v>245</v>
      </c>
      <c r="AN113" t="s">
        <v>244</v>
      </c>
      <c r="AO113" t="s">
        <v>245</v>
      </c>
      <c r="AP113" t="s">
        <v>244</v>
      </c>
      <c r="AQ113" t="s">
        <v>245</v>
      </c>
    </row>
    <row r="114" spans="1:43" s="29" customFormat="1" x14ac:dyDescent="0.25">
      <c r="A114" s="129">
        <v>0</v>
      </c>
      <c r="B114" s="270" t="e">
        <f>'Sub C_D_0'!AZ70</f>
        <v>#DIV/0!</v>
      </c>
      <c r="C114" s="270" t="e">
        <f>'C_L vs. α'!X366</f>
        <v>#NUM!</v>
      </c>
      <c r="D114" s="247">
        <f>'C_L vs. α'!AB366</f>
        <v>0.55396232552297364</v>
      </c>
      <c r="E114" s="144">
        <v>-6</v>
      </c>
      <c r="F114" s="14">
        <f>$D$19+(E90-$B$12)*$C$115</f>
        <v>0.19324907257702284</v>
      </c>
      <c r="G114" s="6">
        <f t="shared" ref="G114:G125" si="152">$B$67+$B$7*F114^2+$B$8*(F114-F$69)^2</f>
        <v>6.5287892198643727E-2</v>
      </c>
      <c r="H114" s="14">
        <f>$D$20+(E90-$B$12)*$C$116</f>
        <v>0.19137194007248748</v>
      </c>
      <c r="I114" s="6">
        <f t="shared" ref="I114:I125" si="153">$B$68+$B$7*H114^2+$B$8*(H114-H$69)^2</f>
        <v>6.1879588543121526E-2</v>
      </c>
      <c r="J114" s="14">
        <f>$D$21+(E90-$B$12)*$C$117</f>
        <v>0.18914654073087767</v>
      </c>
      <c r="K114" s="6">
        <f t="shared" ref="K114:K125" si="154">$B$69+$B$7*J114^2+$B$8*(J114-J$69)^2</f>
        <v>6.0293327462117796E-2</v>
      </c>
      <c r="L114" s="14">
        <f>$D$22+(E90-$B$12)*$C$118</f>
        <v>0.18629687842756026</v>
      </c>
      <c r="M114" s="6">
        <f t="shared" ref="M114:M125" si="155">$B$70+$B$7*L114^2+$B$8*(L114-L$69)^2</f>
        <v>5.9213091148862695E-2</v>
      </c>
      <c r="N114" s="14">
        <f>$D$119+(E90-$B$12)*$C$119</f>
        <v>8.2570653624947088E-3</v>
      </c>
      <c r="O114" s="6">
        <f t="shared" ref="O114:O125" si="156">$B$71+$B$7*N114^2+$B$8*(N114-N$69)^2</f>
        <v>6.1212843706430597E-2</v>
      </c>
      <c r="P114" s="14">
        <f>$D$24+(E90-$B$12)*$C$120</f>
        <v>0.17857230561424098</v>
      </c>
      <c r="Q114" s="6">
        <f t="shared" ref="Q114:Q125" si="157">$B$72+$B$7*P114^2+$B$8*(P114-P$69)^2</f>
        <v>5.8731087481483313E-2</v>
      </c>
      <c r="R114" s="14">
        <f>$D$25+(E90-$B$12)*$C$121</f>
        <v>0.17273765120200213</v>
      </c>
      <c r="S114" s="6">
        <f t="shared" ref="S114:S125" si="158">$B$73+$B$7*R114^2+$B$8*(R114-R$69)^2</f>
        <v>5.8595271795025362E-2</v>
      </c>
      <c r="T114" s="14">
        <f>$D$26+(E90-$B$12)*$C$122</f>
        <v>0.16543863312118434</v>
      </c>
      <c r="U114" s="6">
        <f t="shared" ref="U114:U125" si="159">$B$74+$B$7*T114^2+$B$8*(T114-T$69)^2</f>
        <v>5.8674356951708161E-2</v>
      </c>
      <c r="V114" s="14">
        <f>$D$27+(E90-$B$12)*$C$123</f>
        <v>0.15630655469066368</v>
      </c>
      <c r="W114" s="6">
        <f t="shared" ref="W114:W125" si="160">$B$75+$B$7*V114^2+$B$8*(V114-V$69)^2</f>
        <v>5.898409697943658E-2</v>
      </c>
      <c r="X114" s="14">
        <f>$D$28+(E90-$B$12)*$C$124</f>
        <v>0.14484182768466025</v>
      </c>
      <c r="Y114" s="6">
        <f t="shared" ref="Y114:Y125" si="161">$B$76+$B$7*X114^2+$B$8*(X114-X$69)^2</f>
        <v>5.9566993785477668E-2</v>
      </c>
      <c r="Z114" s="14">
        <f>$D$29+(E90-$B$12)*$C$125</f>
        <v>0.13035811949256737</v>
      </c>
      <c r="AA114" s="6">
        <f t="shared" ref="AA114:AA125" si="162">$B$77+$B$7*Z114^2+$B$8*(Z114-Z$69)^2</f>
        <v>6.0500376972494399E-2</v>
      </c>
      <c r="AB114" s="14">
        <f>$D$30+(E90-$B$12)*$C$126</f>
        <v>0.11190068482231397</v>
      </c>
      <c r="AC114" s="6">
        <f t="shared" ref="AC114:AC125" si="163">$B$78+$B$7*AB114^2+$B$8*(AB114-AB$69)^2</f>
        <v>6.1914104234388735E-2</v>
      </c>
      <c r="AD114" s="14">
        <f>$D$31+(E90-$B$12)*$C$127</f>
        <v>8.792487744620836E-2</v>
      </c>
      <c r="AE114" s="6">
        <f t="shared" ref="AE114:AE125" si="164">$B$79+$B$7*AD114^2+$B$8*(AD114-AD$69)^2</f>
        <v>6.4509158771173858E-2</v>
      </c>
      <c r="AF114" s="14">
        <f>$D$32+(E90-$B$12)*$C$128</f>
        <v>5.6556913689266297E-2</v>
      </c>
      <c r="AG114" s="6">
        <f t="shared" ref="AG114:AG125" si="165">$B$80+$B$7*AF114^2+$B$8*(AF114-AF$69)^2</f>
        <v>6.7693950807212189E-2</v>
      </c>
      <c r="AH114" s="14">
        <f>$D$33+(E90-$B$12)*$C$129</f>
        <v>1.5227051669789216E-2</v>
      </c>
      <c r="AI114" s="6">
        <f t="shared" ref="AI114:AI125" si="166">$B$81+$B$7*AH114^2+$B$8*(AH114-AH$69)^2</f>
        <v>7.2589091778322151E-2</v>
      </c>
      <c r="AJ114" s="14">
        <f>$D$34+(E90-$B$12)*$C$130</f>
        <v>-3.8986860138374491E-2</v>
      </c>
      <c r="AK114">
        <f t="shared" ref="AK114:AK125" si="167">$B$82+$B$9*AJ114^2</f>
        <v>4.3949344878012553E-2</v>
      </c>
      <c r="AL114" s="14">
        <f>$D$35+(E90-$B$12)*$C$131</f>
        <v>-0.1106672880929227</v>
      </c>
      <c r="AM114">
        <f t="shared" ref="AM114:AM125" si="168">$B$83+$B$9*AL114^2</f>
        <v>4.5304636769367877E-2</v>
      </c>
      <c r="AN114" s="14">
        <f>$D$36+(E90-$B$12)*$C$132</f>
        <v>-0.16268310824239052</v>
      </c>
      <c r="AO114">
        <f t="shared" ref="AO114:AO125" si="169">$B$84+$B$9*AN114^2</f>
        <v>4.6560936726860888E-2</v>
      </c>
      <c r="AP114" s="14">
        <f>$D$37+(E90-$B$12)*$C$133</f>
        <v>0.18000501013112036</v>
      </c>
      <c r="AQ114">
        <f t="shared" ref="AQ114:AQ125" si="170">$B$85+$B$9*AP114^2</f>
        <v>4.6993222484204115E-2</v>
      </c>
    </row>
    <row r="115" spans="1:43" s="29" customFormat="1" x14ac:dyDescent="0.25">
      <c r="A115" s="139">
        <v>0.05</v>
      </c>
      <c r="B115" s="275">
        <f>'Sub C_D_0'!AZ71</f>
        <v>5.3744234322321699E-2</v>
      </c>
      <c r="C115" s="275">
        <f>'C_L vs. α'!X367</f>
        <v>0.10621868912756693</v>
      </c>
      <c r="D115" s="247">
        <f>'C_L vs. α'!AB367</f>
        <v>0.55456498931698928</v>
      </c>
      <c r="E115" s="144">
        <v>-4</v>
      </c>
      <c r="F115" s="14">
        <f t="shared" ref="F115:F125" si="171">$D$19+(E91-$B$12)*$C$115</f>
        <v>0.40568645083215671</v>
      </c>
      <c r="G115" s="6">
        <f t="shared" si="152"/>
        <v>7.1065121414140772E-2</v>
      </c>
      <c r="H115" s="14">
        <f t="shared" ref="H115:H125" si="172">$D$20+(E91-$B$12)*$C$116</f>
        <v>0.40551096164666167</v>
      </c>
      <c r="I115" s="6">
        <f t="shared" si="153"/>
        <v>6.7631109318416524E-2</v>
      </c>
      <c r="J115" s="14">
        <f t="shared" ref="J115:J125" si="173">$D$21+(E91-$B$12)*$C$117</f>
        <v>0.40578134824123457</v>
      </c>
      <c r="K115" s="6">
        <f t="shared" si="154"/>
        <v>6.6023555428664518E-2</v>
      </c>
      <c r="L115" s="14">
        <f t="shared" ref="L115:L125" si="174">$D$22+(E91-$B$12)*$C$118</f>
        <v>0.40636470654299589</v>
      </c>
      <c r="M115" s="6">
        <f t="shared" si="155"/>
        <v>6.4918232934669196E-2</v>
      </c>
      <c r="N115" s="14">
        <f t="shared" ref="N115:N125" si="175">$D$119+(E91-$B$12)*$C$119</f>
        <v>0.23281220455985063</v>
      </c>
      <c r="O115" s="6">
        <f t="shared" si="156"/>
        <v>5.8981987474592795E-2</v>
      </c>
      <c r="P115" s="14">
        <f t="shared" ref="P115:P125" si="176">$D$24+(E91-$B$12)*$C$120</f>
        <v>0.40859098619576489</v>
      </c>
      <c r="Q115" s="6">
        <f t="shared" si="157"/>
        <v>6.4363019612802441E-2</v>
      </c>
      <c r="R115" s="14">
        <f t="shared" ref="R115:R125" si="177">$D$25+(E91-$B$12)*$C$121</f>
        <v>0.40981509756561807</v>
      </c>
      <c r="S115" s="6">
        <f t="shared" si="158"/>
        <v>6.4144278257427093E-2</v>
      </c>
      <c r="T115" s="14">
        <f t="shared" ref="T115:T125" si="178">$D$26+(E91-$B$12)*$C$122</f>
        <v>0.41117299532937124</v>
      </c>
      <c r="U115" s="6">
        <f t="shared" si="159"/>
        <v>6.4095172387078569E-2</v>
      </c>
      <c r="V115" s="14">
        <f t="shared" ref="V115:V125" si="179">$D$27+(E91-$B$12)*$C$123</f>
        <v>0.41260178160413341</v>
      </c>
      <c r="W115" s="6">
        <f t="shared" si="160"/>
        <v>6.4207524053485329E-2</v>
      </c>
      <c r="X115" s="14">
        <f t="shared" ref="X115:X125" si="180">$D$28+(E91-$B$12)*$C$124</f>
        <v>0.41401289807377772</v>
      </c>
      <c r="Y115" s="6">
        <f t="shared" si="161"/>
        <v>6.4487377401621249E-2</v>
      </c>
      <c r="Z115" s="14">
        <f t="shared" ref="Z115:Z125" si="181">$D$29+(E91-$B$12)*$C$125</f>
        <v>0.41527997090068447</v>
      </c>
      <c r="AA115" s="6">
        <f t="shared" si="162"/>
        <v>6.4955326180510919E-2</v>
      </c>
      <c r="AB115" s="14">
        <f t="shared" ref="AB115:AB125" si="182">$D$30+(E91-$B$12)*$C$126</f>
        <v>0.41622332281813035</v>
      </c>
      <c r="AC115" s="6">
        <f t="shared" si="163"/>
        <v>6.5650885244268334E-2</v>
      </c>
      <c r="AD115" s="14">
        <f t="shared" ref="AD115:AD125" si="183">$D$31+(E91-$B$12)*$C$127</f>
        <v>0.41647165017135956</v>
      </c>
      <c r="AE115" s="6">
        <f t="shared" si="164"/>
        <v>6.7116965489375915E-2</v>
      </c>
      <c r="AF115" s="14">
        <f t="shared" ref="AF115:AF125" si="184">$D$32+(E91-$B$12)*$C$128</f>
        <v>0.41571143267935984</v>
      </c>
      <c r="AG115" s="6">
        <f t="shared" si="165"/>
        <v>6.8512056491703027E-2</v>
      </c>
      <c r="AH115" s="14">
        <f t="shared" ref="AH115:AH125" si="185">$D$33+(E91-$B$12)*$C$129</f>
        <v>0.41363405634950068</v>
      </c>
      <c r="AI115" s="6">
        <f t="shared" si="166"/>
        <v>7.0533862012386581E-2</v>
      </c>
      <c r="AJ115" s="14">
        <f t="shared" ref="AJ115:AJ125" si="186">$D$34+(E91-$B$12)*$C$130</f>
        <v>0.41046322891705</v>
      </c>
      <c r="AK115">
        <f t="shared" si="167"/>
        <v>6.0791187665010953E-2</v>
      </c>
      <c r="AL115" s="14">
        <f t="shared" ref="AL115:AL125" si="187">$D$35+(E91-$B$12)*$C$131</f>
        <v>0.40683669780638854</v>
      </c>
      <c r="AM115">
        <f t="shared" si="168"/>
        <v>6.0765397015985045E-2</v>
      </c>
      <c r="AN115" s="14">
        <f t="shared" ref="AN115:AN125" si="188">$D$36+(E91-$B$12)*$C$132</f>
        <v>0.43131128509926553</v>
      </c>
      <c r="AO115">
        <f t="shared" si="169"/>
        <v>6.2656673347128877E-2</v>
      </c>
      <c r="AP115" s="14">
        <f t="shared" ref="AP115:AP125" si="189">$D$37+(E91-$B$12)*$C$133</f>
        <v>0.72078845624573429</v>
      </c>
      <c r="AQ115">
        <f t="shared" si="170"/>
        <v>9.6132137503171969E-2</v>
      </c>
    </row>
    <row r="116" spans="1:43" s="29" customFormat="1" x14ac:dyDescent="0.25">
      <c r="A116" s="129">
        <v>0.1</v>
      </c>
      <c r="B116" s="275">
        <f>'Sub C_D_0'!AZ72</f>
        <v>5.0322897323258994E-2</v>
      </c>
      <c r="C116" s="275">
        <f>'C_L vs. α'!X368</f>
        <v>0.10706951078708708</v>
      </c>
      <c r="D116" s="247">
        <f>'C_L vs. α'!AB368</f>
        <v>0.55638482940940404</v>
      </c>
      <c r="E116" s="144">
        <v>-2</v>
      </c>
      <c r="F116" s="14">
        <f t="shared" si="171"/>
        <v>0.61812382908729058</v>
      </c>
      <c r="G116" s="6">
        <f t="shared" si="152"/>
        <v>8.5947117044720425E-2</v>
      </c>
      <c r="H116" s="14">
        <f t="shared" si="172"/>
        <v>0.61964998322083586</v>
      </c>
      <c r="I116" s="6">
        <f t="shared" si="153"/>
        <v>8.2633840750582985E-2</v>
      </c>
      <c r="J116" s="14">
        <f t="shared" si="173"/>
        <v>0.62241615575159148</v>
      </c>
      <c r="K116" s="6">
        <f t="shared" si="154"/>
        <v>8.1221896066795835E-2</v>
      </c>
      <c r="L116" s="14">
        <f t="shared" si="174"/>
        <v>0.62643253465843163</v>
      </c>
      <c r="M116" s="6">
        <f t="shared" si="155"/>
        <v>8.0393948240010754E-2</v>
      </c>
      <c r="N116" s="14">
        <f t="shared" si="175"/>
        <v>0.45736734375720645</v>
      </c>
      <c r="O116" s="6">
        <f t="shared" si="156"/>
        <v>6.6924222490558502E-2</v>
      </c>
      <c r="P116" s="14">
        <f t="shared" si="176"/>
        <v>0.63860966677728892</v>
      </c>
      <c r="Q116" s="6">
        <f t="shared" si="157"/>
        <v>8.0669098221339844E-2</v>
      </c>
      <c r="R116" s="14">
        <f t="shared" si="177"/>
        <v>0.64689254392923401</v>
      </c>
      <c r="S116" s="6">
        <f t="shared" si="158"/>
        <v>8.1032615481741899E-2</v>
      </c>
      <c r="T116" s="14">
        <f t="shared" si="178"/>
        <v>0.65690735753755825</v>
      </c>
      <c r="U116" s="6">
        <f t="shared" si="159"/>
        <v>8.1698552413609696E-2</v>
      </c>
      <c r="V116" s="14">
        <f t="shared" si="179"/>
        <v>0.66889700851760303</v>
      </c>
      <c r="W116" s="6">
        <f t="shared" si="160"/>
        <v>8.2683151040733524E-2</v>
      </c>
      <c r="X116" s="14">
        <f t="shared" si="180"/>
        <v>0.6831839684628952</v>
      </c>
      <c r="Y116" s="6">
        <f t="shared" si="161"/>
        <v>8.4024944730828638E-2</v>
      </c>
      <c r="Z116" s="14">
        <f t="shared" si="181"/>
        <v>0.70020182230880146</v>
      </c>
      <c r="AA116" s="6">
        <f t="shared" si="162"/>
        <v>8.5788184537535686E-2</v>
      </c>
      <c r="AB116" s="14">
        <f t="shared" si="182"/>
        <v>0.72054596081394684</v>
      </c>
      <c r="AC116" s="6">
        <f t="shared" si="163"/>
        <v>8.8071907326353047E-2</v>
      </c>
      <c r="AD116" s="14">
        <f t="shared" si="183"/>
        <v>0.74501842289651077</v>
      </c>
      <c r="AE116" s="6">
        <f t="shared" si="164"/>
        <v>9.1501937791597848E-2</v>
      </c>
      <c r="AF116" s="14">
        <f t="shared" si="184"/>
        <v>0.77486595166945327</v>
      </c>
      <c r="AG116" s="6">
        <f t="shared" si="165"/>
        <v>9.5353896268559918E-2</v>
      </c>
      <c r="AH116" s="14">
        <f t="shared" si="185"/>
        <v>0.81204106102921214</v>
      </c>
      <c r="AI116" s="6">
        <f t="shared" si="166"/>
        <v>0.10050154802853307</v>
      </c>
      <c r="AJ116" s="14">
        <f t="shared" si="186"/>
        <v>0.85991331797247472</v>
      </c>
      <c r="AK116">
        <f t="shared" si="167"/>
        <v>0.11838699693101207</v>
      </c>
      <c r="AL116" s="14">
        <f t="shared" si="187"/>
        <v>0.92434068370569988</v>
      </c>
      <c r="AM116">
        <f t="shared" si="168"/>
        <v>0.13025607926162783</v>
      </c>
      <c r="AN116" s="14">
        <f t="shared" si="188"/>
        <v>1.0253056784409216</v>
      </c>
      <c r="AO116">
        <f t="shared" si="169"/>
        <v>0.1499346472219581</v>
      </c>
      <c r="AP116" s="14">
        <f t="shared" si="189"/>
        <v>1.2615719023603484</v>
      </c>
      <c r="AQ116">
        <f t="shared" si="170"/>
        <v>0.20427128463788513</v>
      </c>
    </row>
    <row r="117" spans="1:43" s="29" customFormat="1" x14ac:dyDescent="0.25">
      <c r="A117" s="139">
        <v>0.15</v>
      </c>
      <c r="B117" s="275">
        <f>'Sub C_D_0'!AZ73</f>
        <v>4.8557085600677959E-2</v>
      </c>
      <c r="C117" s="275">
        <f>'C_L vs. α'!X369</f>
        <v>0.10831740375517844</v>
      </c>
      <c r="D117" s="247">
        <f>'C_L vs. α'!AB369</f>
        <v>0.55945804426909762</v>
      </c>
      <c r="E117" s="143">
        <v>0</v>
      </c>
      <c r="F117" s="83">
        <f t="shared" si="171"/>
        <v>0.83056120734242445</v>
      </c>
      <c r="G117" s="21">
        <f t="shared" si="152"/>
        <v>0.1099338790903827</v>
      </c>
      <c r="H117" s="83">
        <f t="shared" si="172"/>
        <v>0.83378900479500995</v>
      </c>
      <c r="I117" s="21">
        <f t="shared" si="153"/>
        <v>0.1068877828396209</v>
      </c>
      <c r="J117" s="83">
        <f t="shared" si="173"/>
        <v>0.83905096326194828</v>
      </c>
      <c r="K117" s="21">
        <f t="shared" si="154"/>
        <v>0.1058883493765117</v>
      </c>
      <c r="L117" s="83">
        <f t="shared" si="174"/>
        <v>0.8465003627738672</v>
      </c>
      <c r="M117" s="21">
        <f t="shared" si="155"/>
        <v>0.10564023706488739</v>
      </c>
      <c r="N117" s="83">
        <f t="shared" si="175"/>
        <v>0.68192248295456237</v>
      </c>
      <c r="O117" s="21">
        <f t="shared" si="156"/>
        <v>8.5039548754327746E-2</v>
      </c>
      <c r="P117" s="83">
        <f t="shared" si="176"/>
        <v>0.86862834735881278</v>
      </c>
      <c r="Q117" s="21">
        <f t="shared" si="157"/>
        <v>0.10764932330709549</v>
      </c>
      <c r="R117" s="83">
        <f t="shared" si="177"/>
        <v>0.88396999029284984</v>
      </c>
      <c r="S117" s="21">
        <f t="shared" si="158"/>
        <v>0.10926028346796973</v>
      </c>
      <c r="T117" s="83">
        <f t="shared" si="178"/>
        <v>0.90264171974574514</v>
      </c>
      <c r="U117" s="21">
        <f t="shared" si="159"/>
        <v>0.1114844970313015</v>
      </c>
      <c r="V117" s="83">
        <f t="shared" si="179"/>
        <v>0.92519223543107276</v>
      </c>
      <c r="W117" s="21">
        <f t="shared" si="160"/>
        <v>0.11441097794118114</v>
      </c>
      <c r="X117" s="83">
        <f t="shared" si="180"/>
        <v>0.95235503885201267</v>
      </c>
      <c r="Y117" s="21">
        <f t="shared" si="161"/>
        <v>0.11817969577309985</v>
      </c>
      <c r="Z117" s="83">
        <f t="shared" si="181"/>
        <v>0.98512367371691856</v>
      </c>
      <c r="AA117" s="21">
        <f t="shared" si="162"/>
        <v>0.12299895204356869</v>
      </c>
      <c r="AB117" s="83">
        <f t="shared" si="182"/>
        <v>1.0248685988097632</v>
      </c>
      <c r="AC117" s="21">
        <f t="shared" si="163"/>
        <v>0.12917717048064287</v>
      </c>
      <c r="AD117" s="83">
        <f t="shared" si="183"/>
        <v>1.0735651956216619</v>
      </c>
      <c r="AE117" s="21">
        <f t="shared" si="164"/>
        <v>0.13766407567783964</v>
      </c>
      <c r="AF117" s="83">
        <f t="shared" si="184"/>
        <v>1.1340204706595467</v>
      </c>
      <c r="AG117" s="21">
        <f t="shared" si="165"/>
        <v>0.14821947013778286</v>
      </c>
      <c r="AH117" s="83">
        <f t="shared" si="185"/>
        <v>1.2104480657089236</v>
      </c>
      <c r="AI117" s="21">
        <f t="shared" si="166"/>
        <v>0.16249214982676158</v>
      </c>
      <c r="AJ117" s="83">
        <f t="shared" si="186"/>
        <v>1.3093634070278992</v>
      </c>
      <c r="AK117" s="99">
        <f t="shared" si="167"/>
        <v>0.21673677267601585</v>
      </c>
      <c r="AL117" s="83">
        <f t="shared" si="187"/>
        <v>1.4418446696050111</v>
      </c>
      <c r="AM117" s="99">
        <f t="shared" si="168"/>
        <v>0.25377668350629612</v>
      </c>
      <c r="AN117" s="83">
        <f t="shared" si="188"/>
        <v>1.6193000717825776</v>
      </c>
      <c r="AO117" s="99">
        <f t="shared" si="169"/>
        <v>0.30839485835134861</v>
      </c>
      <c r="AP117" s="83">
        <f t="shared" si="189"/>
        <v>1.8023553484749624</v>
      </c>
      <c r="AQ117" s="99">
        <f t="shared" si="170"/>
        <v>0.37141066388834343</v>
      </c>
    </row>
    <row r="118" spans="1:43" s="29" customFormat="1" x14ac:dyDescent="0.25">
      <c r="A118" s="129">
        <v>0.2</v>
      </c>
      <c r="B118" s="275">
        <f>'Sub C_D_0'!AZ74</f>
        <v>4.7396459309335476E-2</v>
      </c>
      <c r="C118" s="275">
        <f>'C_L vs. α'!X370</f>
        <v>0.11003391405771784</v>
      </c>
      <c r="D118" s="247">
        <f>'C_L vs. α'!AB370</f>
        <v>0.56384721039314389</v>
      </c>
      <c r="E118" s="144">
        <v>2</v>
      </c>
      <c r="F118" s="14">
        <f t="shared" si="171"/>
        <v>1.0429985855975583</v>
      </c>
      <c r="G118" s="6">
        <f t="shared" si="152"/>
        <v>0.14302540755112755</v>
      </c>
      <c r="H118" s="14">
        <f t="shared" si="172"/>
        <v>1.0479280263691841</v>
      </c>
      <c r="I118" s="6">
        <f t="shared" si="153"/>
        <v>0.14039293558553034</v>
      </c>
      <c r="J118" s="14">
        <f t="shared" si="173"/>
        <v>1.0556857707723051</v>
      </c>
      <c r="K118" s="6">
        <f t="shared" si="154"/>
        <v>0.14002291535781217</v>
      </c>
      <c r="L118" s="14">
        <f t="shared" si="174"/>
        <v>1.066568190889303</v>
      </c>
      <c r="M118" s="6">
        <f t="shared" si="155"/>
        <v>0.1406570994092991</v>
      </c>
      <c r="N118" s="14">
        <f t="shared" si="175"/>
        <v>0.90647762215191818</v>
      </c>
      <c r="O118" s="6">
        <f t="shared" si="156"/>
        <v>0.11332796626590047</v>
      </c>
      <c r="P118" s="14">
        <f t="shared" si="176"/>
        <v>1.0986470279403369</v>
      </c>
      <c r="Q118" s="6">
        <f t="shared" si="157"/>
        <v>0.14530369487006947</v>
      </c>
      <c r="R118" s="14">
        <f t="shared" si="177"/>
        <v>1.1210474366564658</v>
      </c>
      <c r="S118" s="6">
        <f t="shared" si="158"/>
        <v>0.14882728221611061</v>
      </c>
      <c r="T118" s="14">
        <f t="shared" si="178"/>
        <v>1.1483760819539321</v>
      </c>
      <c r="U118" s="6">
        <f t="shared" si="159"/>
        <v>0.15345300624015404</v>
      </c>
      <c r="V118" s="14">
        <f t="shared" si="179"/>
        <v>1.1814874623445424</v>
      </c>
      <c r="W118" s="6">
        <f t="shared" si="160"/>
        <v>0.15939100475482823</v>
      </c>
      <c r="X118" s="14">
        <f t="shared" si="180"/>
        <v>1.2215261092411303</v>
      </c>
      <c r="Y118" s="6">
        <f t="shared" si="161"/>
        <v>0.1669516305284349</v>
      </c>
      <c r="Z118" s="14">
        <f t="shared" si="181"/>
        <v>1.2700455251250355</v>
      </c>
      <c r="AA118" s="6">
        <f t="shared" si="162"/>
        <v>0.17658762869860989</v>
      </c>
      <c r="AB118" s="14">
        <f t="shared" si="182"/>
        <v>1.3291912368055798</v>
      </c>
      <c r="AC118" s="6">
        <f t="shared" si="163"/>
        <v>0.18896667470713785</v>
      </c>
      <c r="AD118" s="14">
        <f t="shared" si="183"/>
        <v>1.4021119683468131</v>
      </c>
      <c r="AE118" s="6">
        <f t="shared" si="164"/>
        <v>0.20560337914810131</v>
      </c>
      <c r="AF118" s="14">
        <f t="shared" si="184"/>
        <v>1.4931749896496402</v>
      </c>
      <c r="AG118" s="6">
        <f t="shared" si="165"/>
        <v>0.22710877809937188</v>
      </c>
      <c r="AH118" s="14">
        <f t="shared" si="185"/>
        <v>1.6088550703886351</v>
      </c>
      <c r="AI118" s="6">
        <f t="shared" si="166"/>
        <v>0.2565056674070722</v>
      </c>
      <c r="AJ118" s="14">
        <f t="shared" si="186"/>
        <v>1.7588134960833239</v>
      </c>
      <c r="AK118">
        <f t="shared" si="167"/>
        <v>0.35584051490002233</v>
      </c>
      <c r="AL118" s="14">
        <f t="shared" si="187"/>
        <v>1.9593486555043227</v>
      </c>
      <c r="AM118">
        <f t="shared" si="168"/>
        <v>0.43132720974999017</v>
      </c>
      <c r="AN118" s="14">
        <f t="shared" si="188"/>
        <v>2.2132944651242337</v>
      </c>
      <c r="AO118">
        <f t="shared" si="169"/>
        <v>0.53803730673530026</v>
      </c>
      <c r="AP118" s="14">
        <f t="shared" si="189"/>
        <v>2.3431387945895765</v>
      </c>
      <c r="AQ118">
        <f t="shared" si="170"/>
        <v>0.59755027525454707</v>
      </c>
    </row>
    <row r="119" spans="1:43" s="29" customFormat="1" x14ac:dyDescent="0.25">
      <c r="A119" s="139">
        <v>0.25</v>
      </c>
      <c r="B119" s="275">
        <f>'Sub C_D_0'!AZ75</f>
        <v>4.6544601801948277E-2</v>
      </c>
      <c r="C119" s="275">
        <f>'C_L vs. α'!X371</f>
        <v>0.11227756959867793</v>
      </c>
      <c r="D119" s="247">
        <f>'C_L vs. α'!AB371</f>
        <v>0.56964491335588441</v>
      </c>
      <c r="E119" s="144">
        <v>4</v>
      </c>
      <c r="F119" s="14">
        <f t="shared" si="171"/>
        <v>1.2554359638526922</v>
      </c>
      <c r="G119" s="6">
        <f t="shared" si="152"/>
        <v>0.18522170242695507</v>
      </c>
      <c r="H119" s="14">
        <f t="shared" si="172"/>
        <v>1.2620670479433582</v>
      </c>
      <c r="I119" s="6">
        <f t="shared" si="153"/>
        <v>0.1831492989883112</v>
      </c>
      <c r="J119" s="14">
        <f t="shared" si="173"/>
        <v>1.2723205782826621</v>
      </c>
      <c r="K119" s="6">
        <f t="shared" si="154"/>
        <v>0.18362559401069725</v>
      </c>
      <c r="L119" s="14">
        <f t="shared" si="174"/>
        <v>1.2866360190047386</v>
      </c>
      <c r="M119" s="6">
        <f t="shared" si="155"/>
        <v>0.18544453527324586</v>
      </c>
      <c r="N119" s="14">
        <f t="shared" si="175"/>
        <v>1.1310327613492741</v>
      </c>
      <c r="O119" s="6">
        <f t="shared" si="156"/>
        <v>0.15178947502527673</v>
      </c>
      <c r="P119" s="14">
        <f t="shared" si="176"/>
        <v>1.3286657085218607</v>
      </c>
      <c r="Q119" s="6">
        <f t="shared" si="157"/>
        <v>0.19363221291026167</v>
      </c>
      <c r="R119" s="14">
        <f t="shared" si="177"/>
        <v>1.3581248830200816</v>
      </c>
      <c r="S119" s="6">
        <f t="shared" si="158"/>
        <v>0.19973361172616458</v>
      </c>
      <c r="T119" s="14">
        <f t="shared" si="178"/>
        <v>1.394110444162119</v>
      </c>
      <c r="U119" s="6">
        <f t="shared" si="159"/>
        <v>0.20760408004016723</v>
      </c>
      <c r="V119" s="14">
        <f t="shared" si="179"/>
        <v>1.4377826892580121</v>
      </c>
      <c r="W119" s="6">
        <f t="shared" si="160"/>
        <v>0.21762323148167473</v>
      </c>
      <c r="X119" s="14">
        <f t="shared" si="180"/>
        <v>1.4906971796302475</v>
      </c>
      <c r="Y119" s="6">
        <f t="shared" si="161"/>
        <v>0.23034074899683371</v>
      </c>
      <c r="Z119" s="14">
        <f t="shared" si="181"/>
        <v>1.5549673765331526</v>
      </c>
      <c r="AA119" s="6">
        <f t="shared" si="162"/>
        <v>0.24655421450265941</v>
      </c>
      <c r="AB119" s="14">
        <f t="shared" si="182"/>
        <v>1.633513874801396</v>
      </c>
      <c r="AC119" s="6">
        <f t="shared" si="163"/>
        <v>0.26744042000583784</v>
      </c>
      <c r="AD119" s="14">
        <f t="shared" si="183"/>
        <v>1.7306587410719643</v>
      </c>
      <c r="AE119" s="6">
        <f t="shared" si="164"/>
        <v>0.29531984820238288</v>
      </c>
      <c r="AF119" s="14">
        <f t="shared" si="184"/>
        <v>1.8523295086397338</v>
      </c>
      <c r="AG119" s="6">
        <f t="shared" si="165"/>
        <v>0.33202182015332699</v>
      </c>
      <c r="AH119" s="14">
        <f t="shared" si="185"/>
        <v>2.0072620750683465</v>
      </c>
      <c r="AI119" s="6">
        <f t="shared" si="166"/>
        <v>0.38254210076946482</v>
      </c>
      <c r="AJ119" s="14">
        <f t="shared" si="186"/>
        <v>2.2082635851387487</v>
      </c>
      <c r="AK119">
        <f t="shared" si="167"/>
        <v>0.53569822360303165</v>
      </c>
      <c r="AL119" s="14">
        <f t="shared" si="187"/>
        <v>2.4768526414036338</v>
      </c>
      <c r="AM119">
        <f t="shared" si="168"/>
        <v>0.66290765799270956</v>
      </c>
      <c r="AN119" s="14">
        <f t="shared" si="188"/>
        <v>2.8072888584658897</v>
      </c>
      <c r="AO119">
        <f t="shared" si="169"/>
        <v>0.83886199237381331</v>
      </c>
      <c r="AP119" s="14">
        <f t="shared" si="189"/>
        <v>2.8839222407041905</v>
      </c>
      <c r="AQ119">
        <f t="shared" si="170"/>
        <v>0.88269011873649594</v>
      </c>
    </row>
    <row r="120" spans="1:43" s="29" customFormat="1" x14ac:dyDescent="0.25">
      <c r="A120" s="129">
        <v>0.3</v>
      </c>
      <c r="B120" s="275">
        <f>'Sub C_D_0'!AZ76</f>
        <v>4.6355139214205449E-2</v>
      </c>
      <c r="C120" s="275">
        <f>'C_L vs. α'!X372</f>
        <v>0.11500934029076199</v>
      </c>
      <c r="D120" s="247">
        <f>'C_L vs. α'!AB372</f>
        <v>0.57697940697139272</v>
      </c>
      <c r="E120" s="144">
        <v>6</v>
      </c>
      <c r="F120" s="14">
        <f t="shared" si="171"/>
        <v>1.4678733421078261</v>
      </c>
      <c r="G120" s="6">
        <f t="shared" si="152"/>
        <v>0.23652276371786515</v>
      </c>
      <c r="H120" s="14">
        <f t="shared" si="172"/>
        <v>1.4762060695175325</v>
      </c>
      <c r="I120" s="6">
        <f t="shared" si="153"/>
        <v>0.23515687304796359</v>
      </c>
      <c r="J120" s="14">
        <f t="shared" si="173"/>
        <v>1.4889553857930191</v>
      </c>
      <c r="K120" s="6">
        <f t="shared" si="154"/>
        <v>0.2366963853351669</v>
      </c>
      <c r="L120" s="14">
        <f t="shared" si="174"/>
        <v>1.5067038471201744</v>
      </c>
      <c r="M120" s="6">
        <f t="shared" si="155"/>
        <v>0.24000254465672774</v>
      </c>
      <c r="N120" s="14">
        <f t="shared" si="175"/>
        <v>1.35558790054663</v>
      </c>
      <c r="O120" s="6">
        <f t="shared" si="156"/>
        <v>0.20042407503245652</v>
      </c>
      <c r="P120" s="14">
        <f t="shared" si="176"/>
        <v>1.5586843891033848</v>
      </c>
      <c r="Q120" s="6">
        <f t="shared" si="157"/>
        <v>0.25263487742767216</v>
      </c>
      <c r="R120" s="14">
        <f t="shared" si="177"/>
        <v>1.5952023293836977</v>
      </c>
      <c r="S120" s="6">
        <f t="shared" si="158"/>
        <v>0.26197927199813159</v>
      </c>
      <c r="T120" s="14">
        <f t="shared" si="178"/>
        <v>1.6398448063703062</v>
      </c>
      <c r="U120" s="6">
        <f t="shared" si="159"/>
        <v>0.27393771843134118</v>
      </c>
      <c r="V120" s="14">
        <f t="shared" si="179"/>
        <v>1.6940779161714818</v>
      </c>
      <c r="W120" s="6">
        <f t="shared" si="160"/>
        <v>0.28910765812172073</v>
      </c>
      <c r="X120" s="14">
        <f t="shared" si="180"/>
        <v>1.7598682500193652</v>
      </c>
      <c r="Y120" s="6">
        <f t="shared" si="161"/>
        <v>0.30834705117829642</v>
      </c>
      <c r="Z120" s="14">
        <f t="shared" si="181"/>
        <v>1.8398892279412697</v>
      </c>
      <c r="AA120" s="6">
        <f t="shared" si="162"/>
        <v>0.33289870945571709</v>
      </c>
      <c r="AB120" s="14">
        <f t="shared" si="182"/>
        <v>1.9378365127972126</v>
      </c>
      <c r="AC120" s="6">
        <f t="shared" si="163"/>
        <v>0.36459840637674307</v>
      </c>
      <c r="AD120" s="14">
        <f t="shared" si="183"/>
        <v>2.0592055137971155</v>
      </c>
      <c r="AE120" s="6">
        <f t="shared" si="164"/>
        <v>0.4068134828406843</v>
      </c>
      <c r="AF120" s="14">
        <f t="shared" si="184"/>
        <v>2.2114840276298273</v>
      </c>
      <c r="AG120" s="6">
        <f t="shared" si="165"/>
        <v>0.46295859629964814</v>
      </c>
      <c r="AH120" s="14">
        <f t="shared" si="185"/>
        <v>2.405669079748058</v>
      </c>
      <c r="AI120" s="6">
        <f t="shared" si="166"/>
        <v>0.54060144991393955</v>
      </c>
      <c r="AJ120" s="14">
        <f t="shared" si="186"/>
        <v>2.6577136741941731</v>
      </c>
      <c r="AK120">
        <f t="shared" si="167"/>
        <v>0.7563098987850434</v>
      </c>
      <c r="AL120" s="14">
        <f t="shared" si="187"/>
        <v>2.9943566273029454</v>
      </c>
      <c r="AM120">
        <f t="shared" si="168"/>
        <v>0.94851802823445486</v>
      </c>
      <c r="AN120" s="14">
        <f t="shared" si="188"/>
        <v>3.4012832518075458</v>
      </c>
      <c r="AO120">
        <f t="shared" si="169"/>
        <v>1.2108689152668877</v>
      </c>
      <c r="AP120" s="14">
        <f t="shared" si="189"/>
        <v>3.4247056868188048</v>
      </c>
      <c r="AQ120">
        <f t="shared" si="170"/>
        <v>1.2268301943341904</v>
      </c>
    </row>
    <row r="121" spans="1:43" s="29" customFormat="1" x14ac:dyDescent="0.25">
      <c r="A121" s="139">
        <v>0.35</v>
      </c>
      <c r="B121" s="275">
        <f>'Sub C_D_0'!AZ77</f>
        <v>4.5800324021902802E-2</v>
      </c>
      <c r="C121" s="275">
        <f>'C_L vs. α'!X373</f>
        <v>0.11853872318180796</v>
      </c>
      <c r="D121" s="247">
        <f>'C_L vs. α'!AB373</f>
        <v>0.58602300954865816</v>
      </c>
      <c r="E121" s="144">
        <v>8</v>
      </c>
      <c r="F121" s="14">
        <f t="shared" si="171"/>
        <v>1.6803107203629599</v>
      </c>
      <c r="G121" s="6">
        <f t="shared" si="152"/>
        <v>0.29692859142385786</v>
      </c>
      <c r="H121" s="14">
        <f t="shared" si="172"/>
        <v>1.6903450910917066</v>
      </c>
      <c r="I121" s="6">
        <f t="shared" si="153"/>
        <v>0.29641565776448742</v>
      </c>
      <c r="J121" s="14">
        <f t="shared" si="173"/>
        <v>1.7055901933033759</v>
      </c>
      <c r="K121" s="6">
        <f t="shared" si="154"/>
        <v>0.29923528933122112</v>
      </c>
      <c r="L121" s="14">
        <f t="shared" si="174"/>
        <v>1.7267716752356099</v>
      </c>
      <c r="M121" s="6">
        <f t="shared" si="155"/>
        <v>0.30433112755974462</v>
      </c>
      <c r="N121" s="14">
        <f t="shared" si="175"/>
        <v>1.580143039743986</v>
      </c>
      <c r="O121" s="6">
        <f t="shared" si="156"/>
        <v>0.25923176628743977</v>
      </c>
      <c r="P121" s="14">
        <f t="shared" si="176"/>
        <v>1.7887030696849087</v>
      </c>
      <c r="Q121" s="6">
        <f t="shared" si="157"/>
        <v>0.32231168842230096</v>
      </c>
      <c r="R121" s="14">
        <f t="shared" si="177"/>
        <v>1.8322797757473135</v>
      </c>
      <c r="S121" s="6">
        <f t="shared" si="158"/>
        <v>0.33556426303201159</v>
      </c>
      <c r="T121" s="14">
        <f t="shared" si="178"/>
        <v>1.8855791685784931</v>
      </c>
      <c r="U121" s="6">
        <f t="shared" si="159"/>
        <v>0.35245392141367582</v>
      </c>
      <c r="V121" s="14">
        <f t="shared" si="179"/>
        <v>1.9503731430849514</v>
      </c>
      <c r="W121" s="6">
        <f t="shared" si="160"/>
        <v>0.373844284674966</v>
      </c>
      <c r="X121" s="14">
        <f t="shared" si="180"/>
        <v>2.0290393204084829</v>
      </c>
      <c r="Y121" s="6">
        <f t="shared" si="161"/>
        <v>0.40097053707282299</v>
      </c>
      <c r="Z121" s="14">
        <f t="shared" si="181"/>
        <v>2.1248110793493868</v>
      </c>
      <c r="AA121" s="6">
        <f t="shared" si="162"/>
        <v>0.43562111355778305</v>
      </c>
      <c r="AB121" s="14">
        <f t="shared" si="182"/>
        <v>2.2421591507930292</v>
      </c>
      <c r="AC121" s="6">
        <f t="shared" si="163"/>
        <v>0.48044063381985341</v>
      </c>
      <c r="AD121" s="14">
        <f t="shared" si="183"/>
        <v>2.3877522865222667</v>
      </c>
      <c r="AE121" s="6">
        <f t="shared" si="164"/>
        <v>0.54008428306300549</v>
      </c>
      <c r="AF121" s="14">
        <f t="shared" si="184"/>
        <v>2.5706385466199206</v>
      </c>
      <c r="AG121" s="6">
        <f t="shared" si="165"/>
        <v>0.61991910653833537</v>
      </c>
      <c r="AH121" s="14">
        <f t="shared" si="185"/>
        <v>2.8040760844277695</v>
      </c>
      <c r="AI121" s="6">
        <f t="shared" si="166"/>
        <v>0.7306837148404961</v>
      </c>
      <c r="AJ121" s="14">
        <f t="shared" si="186"/>
        <v>3.1071637632495976</v>
      </c>
      <c r="AK121">
        <f t="shared" si="167"/>
        <v>1.017675540446058</v>
      </c>
      <c r="AL121" s="14">
        <f t="shared" si="187"/>
        <v>3.5118606132022565</v>
      </c>
      <c r="AM121">
        <f t="shared" si="168"/>
        <v>1.2881583204752254</v>
      </c>
      <c r="AN121" s="14">
        <f t="shared" si="188"/>
        <v>3.9952776451492023</v>
      </c>
      <c r="AO121">
        <f t="shared" si="169"/>
        <v>1.6540580754145233</v>
      </c>
      <c r="AP121" s="14">
        <f t="shared" si="189"/>
        <v>3.9654891329334188</v>
      </c>
      <c r="AQ121">
        <f t="shared" si="170"/>
        <v>1.6299705020476298</v>
      </c>
    </row>
    <row r="122" spans="1:43" s="29" customFormat="1" x14ac:dyDescent="0.25">
      <c r="A122" s="129">
        <v>0.4</v>
      </c>
      <c r="B122" s="275">
        <f>'Sub C_D_0'!AZ78</f>
        <v>4.5333944841695076E-2</v>
      </c>
      <c r="C122" s="275">
        <f>'C_L vs. α'!X374</f>
        <v>0.12286718110409348</v>
      </c>
      <c r="D122" s="247">
        <f>'C_L vs. α'!AB374</f>
        <v>0.59700438372333264</v>
      </c>
      <c r="E122" s="144">
        <v>10</v>
      </c>
      <c r="F122" s="14">
        <f t="shared" si="171"/>
        <v>1.8927480986180938</v>
      </c>
      <c r="G122" s="6">
        <f t="shared" si="152"/>
        <v>0.36643918554493315</v>
      </c>
      <c r="H122" s="14">
        <f t="shared" si="172"/>
        <v>1.9044841126658809</v>
      </c>
      <c r="I122" s="6">
        <f t="shared" si="153"/>
        <v>0.36692565313788272</v>
      </c>
      <c r="J122" s="14">
        <f t="shared" si="173"/>
        <v>1.9222250008137327</v>
      </c>
      <c r="K122" s="6">
        <f t="shared" si="154"/>
        <v>0.37124230599885993</v>
      </c>
      <c r="L122" s="14">
        <f t="shared" si="174"/>
        <v>1.9468395033510457</v>
      </c>
      <c r="M122" s="6">
        <f t="shared" si="155"/>
        <v>0.37843028398229667</v>
      </c>
      <c r="N122" s="14">
        <f t="shared" si="175"/>
        <v>1.8046981789413419</v>
      </c>
      <c r="O122" s="6">
        <f t="shared" si="156"/>
        <v>0.32821254879022665</v>
      </c>
      <c r="P122" s="14">
        <f t="shared" si="176"/>
        <v>2.0187217502664327</v>
      </c>
      <c r="Q122" s="6">
        <f t="shared" si="157"/>
        <v>0.40266264589414796</v>
      </c>
      <c r="R122" s="14">
        <f t="shared" si="177"/>
        <v>2.0693572221109298</v>
      </c>
      <c r="S122" s="6">
        <f t="shared" si="158"/>
        <v>0.42048858482780488</v>
      </c>
      <c r="T122" s="14">
        <f t="shared" si="178"/>
        <v>2.13131353078668</v>
      </c>
      <c r="U122" s="6">
        <f t="shared" si="159"/>
        <v>0.44315268898717108</v>
      </c>
      <c r="V122" s="14">
        <f t="shared" si="179"/>
        <v>2.2066683699984209</v>
      </c>
      <c r="W122" s="6">
        <f t="shared" si="160"/>
        <v>0.47183311114141069</v>
      </c>
      <c r="X122" s="14">
        <f t="shared" si="180"/>
        <v>2.2982103907975997</v>
      </c>
      <c r="Y122" s="6">
        <f t="shared" si="161"/>
        <v>0.50821120668041297</v>
      </c>
      <c r="Z122" s="14">
        <f t="shared" si="181"/>
        <v>2.4097329307575039</v>
      </c>
      <c r="AA122" s="6">
        <f t="shared" si="162"/>
        <v>0.55472142680885728</v>
      </c>
      <c r="AB122" s="14">
        <f t="shared" si="182"/>
        <v>2.5464817887888453</v>
      </c>
      <c r="AC122" s="6">
        <f t="shared" si="163"/>
        <v>0.6149671023351686</v>
      </c>
      <c r="AD122" s="14">
        <f t="shared" si="183"/>
        <v>2.7162990592474179</v>
      </c>
      <c r="AE122" s="6">
        <f t="shared" si="164"/>
        <v>0.69513224886934677</v>
      </c>
      <c r="AF122" s="14">
        <f t="shared" si="184"/>
        <v>2.9297930656100144</v>
      </c>
      <c r="AG122" s="6">
        <f t="shared" si="165"/>
        <v>0.8029033508693888</v>
      </c>
      <c r="AH122" s="14">
        <f t="shared" si="185"/>
        <v>3.2024830891074809</v>
      </c>
      <c r="AI122" s="6">
        <f t="shared" si="166"/>
        <v>0.95278889554913482</v>
      </c>
      <c r="AJ122" s="14">
        <f t="shared" si="186"/>
        <v>3.5566138523050226</v>
      </c>
      <c r="AK122">
        <f t="shared" si="167"/>
        <v>1.3197951485860755</v>
      </c>
      <c r="AL122" s="14">
        <f t="shared" si="187"/>
        <v>4.0293645991015676</v>
      </c>
      <c r="AM122">
        <f t="shared" si="168"/>
        <v>1.6818285347150215</v>
      </c>
      <c r="AN122" s="14">
        <f t="shared" si="188"/>
        <v>4.5892720384908579</v>
      </c>
      <c r="AO122">
        <f t="shared" si="169"/>
        <v>2.1684294728167193</v>
      </c>
      <c r="AP122" s="14">
        <f t="shared" si="189"/>
        <v>4.5062725790480327</v>
      </c>
      <c r="AQ122">
        <f t="shared" si="170"/>
        <v>2.0921110418768145</v>
      </c>
    </row>
    <row r="123" spans="1:43" s="29" customFormat="1" x14ac:dyDescent="0.25">
      <c r="A123" s="139">
        <v>0.45</v>
      </c>
      <c r="B123" s="275">
        <f>'Sub C_D_0'!AZ79</f>
        <v>4.4933141764780894E-2</v>
      </c>
      <c r="C123" s="275">
        <f>'C_L vs. α'!X375</f>
        <v>0.12814761345673484</v>
      </c>
      <c r="D123" s="247">
        <f>'C_L vs. α'!AB375</f>
        <v>0.61022655878285847</v>
      </c>
      <c r="E123" s="144">
        <v>12</v>
      </c>
      <c r="F123" s="14">
        <f t="shared" si="171"/>
        <v>2.1051854768732277</v>
      </c>
      <c r="G123" s="6">
        <f t="shared" si="152"/>
        <v>0.44505454608109107</v>
      </c>
      <c r="H123" s="14">
        <f t="shared" si="172"/>
        <v>2.118623134240055</v>
      </c>
      <c r="I123" s="6">
        <f t="shared" si="153"/>
        <v>0.44668685916814949</v>
      </c>
      <c r="J123" s="14">
        <f t="shared" si="173"/>
        <v>2.1388598083240895</v>
      </c>
      <c r="K123" s="6">
        <f t="shared" si="154"/>
        <v>0.45271743533808328</v>
      </c>
      <c r="L123" s="14">
        <f t="shared" si="174"/>
        <v>2.1669073314664811</v>
      </c>
      <c r="M123" s="6">
        <f t="shared" si="155"/>
        <v>0.46230001392438363</v>
      </c>
      <c r="N123" s="14">
        <f t="shared" si="175"/>
        <v>2.0292533181386974</v>
      </c>
      <c r="O123" s="6">
        <f t="shared" si="156"/>
        <v>0.40736642254081673</v>
      </c>
      <c r="P123" s="14">
        <f t="shared" si="176"/>
        <v>2.2487404308479566</v>
      </c>
      <c r="Q123" s="6">
        <f t="shared" si="157"/>
        <v>0.49368774984321323</v>
      </c>
      <c r="R123" s="14">
        <f t="shared" si="177"/>
        <v>2.3064346684745454</v>
      </c>
      <c r="S123" s="6">
        <f t="shared" si="158"/>
        <v>0.5167522373855109</v>
      </c>
      <c r="T123" s="14">
        <f t="shared" si="178"/>
        <v>2.3770478929948666</v>
      </c>
      <c r="U123" s="6">
        <f t="shared" si="159"/>
        <v>0.54603402115182698</v>
      </c>
      <c r="V123" s="14">
        <f t="shared" si="179"/>
        <v>2.4629635969118908</v>
      </c>
      <c r="W123" s="6">
        <f t="shared" si="160"/>
        <v>0.58307413752105508</v>
      </c>
      <c r="X123" s="14">
        <f t="shared" si="180"/>
        <v>2.5673814611867174</v>
      </c>
      <c r="Y123" s="6">
        <f t="shared" si="161"/>
        <v>0.6300690600010671</v>
      </c>
      <c r="Z123" s="14">
        <f t="shared" si="181"/>
        <v>2.6946547821656206</v>
      </c>
      <c r="AA123" s="6">
        <f t="shared" si="162"/>
        <v>0.6901996492089395</v>
      </c>
      <c r="AB123" s="14">
        <f t="shared" si="182"/>
        <v>2.8508044267846619</v>
      </c>
      <c r="AC123" s="6">
        <f t="shared" si="163"/>
        <v>0.7681778119226893</v>
      </c>
      <c r="AD123" s="14">
        <f t="shared" si="183"/>
        <v>3.0448458319725691</v>
      </c>
      <c r="AE123" s="6">
        <f t="shared" si="164"/>
        <v>0.8719573802597077</v>
      </c>
      <c r="AF123" s="14">
        <f t="shared" si="184"/>
        <v>3.2889475846001077</v>
      </c>
      <c r="AG123" s="6">
        <f t="shared" si="165"/>
        <v>1.0119113292928079</v>
      </c>
      <c r="AH123" s="14">
        <f t="shared" si="185"/>
        <v>3.6008900937871924</v>
      </c>
      <c r="AI123" s="6">
        <f t="shared" si="166"/>
        <v>1.2069169920398559</v>
      </c>
      <c r="AJ123" s="14">
        <f t="shared" si="186"/>
        <v>4.0060639413604466</v>
      </c>
      <c r="AK123">
        <f t="shared" si="167"/>
        <v>1.6626687232050952</v>
      </c>
      <c r="AL123" s="14">
        <f t="shared" si="187"/>
        <v>4.5468685850008796</v>
      </c>
      <c r="AM123">
        <f t="shared" si="168"/>
        <v>2.1295286709538441</v>
      </c>
      <c r="AN123" s="14">
        <f t="shared" si="188"/>
        <v>5.1832664318325143</v>
      </c>
      <c r="AO123">
        <f t="shared" si="169"/>
        <v>2.753983107473478</v>
      </c>
      <c r="AP123" s="14">
        <f t="shared" si="189"/>
        <v>5.0470560251626466</v>
      </c>
      <c r="AQ123">
        <f t="shared" si="170"/>
        <v>2.6132518138217447</v>
      </c>
    </row>
    <row r="124" spans="1:43" s="29" customFormat="1" x14ac:dyDescent="0.25">
      <c r="A124" s="129">
        <v>0.5</v>
      </c>
      <c r="B124" s="275">
        <f>'Sub C_D_0'!AZ80</f>
        <v>4.4582748701012309E-2</v>
      </c>
      <c r="C124" s="275">
        <f>'C_L vs. α'!X376</f>
        <v>0.13458553519455874</v>
      </c>
      <c r="D124" s="247">
        <f>'C_L vs. α'!AB376</f>
        <v>0.6260937673204966</v>
      </c>
      <c r="E124" s="144">
        <v>14</v>
      </c>
      <c r="F124" s="14">
        <f t="shared" si="171"/>
        <v>2.3176228551283615</v>
      </c>
      <c r="G124" s="6">
        <f t="shared" si="152"/>
        <v>0.53277467303233161</v>
      </c>
      <c r="H124" s="14">
        <f t="shared" si="172"/>
        <v>2.3327621558142289</v>
      </c>
      <c r="I124" s="6">
        <f t="shared" si="153"/>
        <v>0.53569927585528765</v>
      </c>
      <c r="J124" s="14">
        <f t="shared" si="173"/>
        <v>2.3554946158344467</v>
      </c>
      <c r="K124" s="6">
        <f t="shared" si="154"/>
        <v>0.54366067734889145</v>
      </c>
      <c r="L124" s="14">
        <f t="shared" si="174"/>
        <v>2.3869751595819171</v>
      </c>
      <c r="M124" s="6">
        <f t="shared" si="155"/>
        <v>0.55594031738600591</v>
      </c>
      <c r="N124" s="14">
        <f t="shared" si="175"/>
        <v>2.2538084573360533</v>
      </c>
      <c r="O124" s="6">
        <f t="shared" si="156"/>
        <v>0.49669338753921055</v>
      </c>
      <c r="P124" s="14">
        <f t="shared" si="176"/>
        <v>2.4787591114294809</v>
      </c>
      <c r="Q124" s="6">
        <f t="shared" si="157"/>
        <v>0.59538700026949698</v>
      </c>
      <c r="R124" s="14">
        <f t="shared" si="177"/>
        <v>2.543512114838161</v>
      </c>
      <c r="S124" s="6">
        <f t="shared" si="158"/>
        <v>0.62435522070512994</v>
      </c>
      <c r="T124" s="14">
        <f t="shared" si="178"/>
        <v>2.6227822552030537</v>
      </c>
      <c r="U124" s="6">
        <f t="shared" si="159"/>
        <v>0.66109791790764372</v>
      </c>
      <c r="V124" s="14">
        <f t="shared" si="179"/>
        <v>2.7192588238253608</v>
      </c>
      <c r="W124" s="6">
        <f t="shared" si="160"/>
        <v>0.70756736381389895</v>
      </c>
      <c r="X124" s="14">
        <f t="shared" si="180"/>
        <v>2.8365525315758351</v>
      </c>
      <c r="Y124" s="6">
        <f t="shared" si="161"/>
        <v>0.76654409703478521</v>
      </c>
      <c r="Z124" s="14">
        <f t="shared" si="181"/>
        <v>2.9795766335737377</v>
      </c>
      <c r="AA124" s="6">
        <f t="shared" si="162"/>
        <v>0.84205578075803011</v>
      </c>
      <c r="AB124" s="14">
        <f t="shared" si="182"/>
        <v>3.1551270647804786</v>
      </c>
      <c r="AC124" s="6">
        <f t="shared" si="163"/>
        <v>0.94007276258241501</v>
      </c>
      <c r="AD124" s="14">
        <f t="shared" si="183"/>
        <v>3.3733926046977207</v>
      </c>
      <c r="AE124" s="6">
        <f t="shared" si="164"/>
        <v>1.0705596772340888</v>
      </c>
      <c r="AF124" s="14">
        <f t="shared" si="184"/>
        <v>3.648102103590201</v>
      </c>
      <c r="AG124" s="6">
        <f t="shared" si="165"/>
        <v>1.2469430418085932</v>
      </c>
      <c r="AH124" s="14">
        <f t="shared" si="185"/>
        <v>3.9992970984669038</v>
      </c>
      <c r="AI124" s="6">
        <f t="shared" si="166"/>
        <v>1.4930680043126587</v>
      </c>
      <c r="AJ124" s="14">
        <f t="shared" si="186"/>
        <v>4.4555140304158716</v>
      </c>
      <c r="AK124">
        <f t="shared" si="167"/>
        <v>2.0462962643031184</v>
      </c>
      <c r="AL124" s="14">
        <f t="shared" si="187"/>
        <v>5.0643725709001908</v>
      </c>
      <c r="AM124">
        <f t="shared" si="168"/>
        <v>2.6312587291916918</v>
      </c>
      <c r="AN124" s="14">
        <f t="shared" si="188"/>
        <v>5.7772608251741699</v>
      </c>
      <c r="AO124">
        <f t="shared" si="169"/>
        <v>3.410718979384797</v>
      </c>
      <c r="AP124" s="14">
        <f t="shared" si="189"/>
        <v>5.5878394712772606</v>
      </c>
      <c r="AQ124">
        <f t="shared" si="170"/>
        <v>3.1933928178824198</v>
      </c>
    </row>
    <row r="125" spans="1:43" s="29" customFormat="1" x14ac:dyDescent="0.25">
      <c r="A125" s="139">
        <v>0.55000000000000004</v>
      </c>
      <c r="B125" s="275">
        <f>'Sub C_D_0'!AZ81</f>
        <v>4.4272217561194434E-2</v>
      </c>
      <c r="C125" s="275">
        <f>'C_L vs. α'!X377</f>
        <v>0.14246092570405852</v>
      </c>
      <c r="D125" s="247">
        <f>'C_L vs. α'!AB377</f>
        <v>0.64515232241407749</v>
      </c>
      <c r="E125" s="144">
        <v>16</v>
      </c>
      <c r="F125" s="14">
        <f t="shared" si="171"/>
        <v>2.5300602333834954</v>
      </c>
      <c r="G125" s="6">
        <f t="shared" si="152"/>
        <v>0.62959956639865478</v>
      </c>
      <c r="H125" s="14">
        <f t="shared" si="172"/>
        <v>2.5469011773884036</v>
      </c>
      <c r="I125" s="6">
        <f t="shared" si="153"/>
        <v>0.63396290319929771</v>
      </c>
      <c r="J125" s="14">
        <f t="shared" si="173"/>
        <v>2.5721294233448031</v>
      </c>
      <c r="K125" s="6">
        <f t="shared" si="154"/>
        <v>0.64407203203128383</v>
      </c>
      <c r="L125" s="14">
        <f t="shared" si="174"/>
        <v>2.6070429876973527</v>
      </c>
      <c r="M125" s="6">
        <f t="shared" si="155"/>
        <v>0.65935119436716305</v>
      </c>
      <c r="N125" s="14">
        <f t="shared" si="175"/>
        <v>2.4783635965334092</v>
      </c>
      <c r="O125" s="6">
        <f t="shared" si="156"/>
        <v>0.59619344378540795</v>
      </c>
      <c r="P125" s="14">
        <f t="shared" si="176"/>
        <v>2.7087777920110048</v>
      </c>
      <c r="Q125" s="6">
        <f t="shared" si="157"/>
        <v>0.70776039717299877</v>
      </c>
      <c r="R125" s="14">
        <f t="shared" si="177"/>
        <v>2.7805895612017775</v>
      </c>
      <c r="S125" s="6">
        <f t="shared" si="158"/>
        <v>0.74329753478666249</v>
      </c>
      <c r="T125" s="14">
        <f t="shared" si="178"/>
        <v>2.8685166174112409</v>
      </c>
      <c r="U125" s="6">
        <f t="shared" si="159"/>
        <v>0.78834437925462109</v>
      </c>
      <c r="V125" s="14">
        <f t="shared" si="179"/>
        <v>2.9755540507388303</v>
      </c>
      <c r="W125" s="6">
        <f t="shared" si="160"/>
        <v>0.84531279001994208</v>
      </c>
      <c r="X125" s="14">
        <f t="shared" si="180"/>
        <v>3.1057236019649528</v>
      </c>
      <c r="Y125" s="6">
        <f t="shared" si="161"/>
        <v>0.91763631778156696</v>
      </c>
      <c r="Z125" s="14">
        <f t="shared" si="181"/>
        <v>3.2644984849818548</v>
      </c>
      <c r="AA125" s="6">
        <f t="shared" si="162"/>
        <v>1.0102898214561291</v>
      </c>
      <c r="AB125" s="14">
        <f t="shared" si="182"/>
        <v>3.4594497027762947</v>
      </c>
      <c r="AC125" s="6">
        <f t="shared" si="163"/>
        <v>1.1306519543143454</v>
      </c>
      <c r="AD125" s="14">
        <f t="shared" si="183"/>
        <v>3.7019393774228715</v>
      </c>
      <c r="AE125" s="6">
        <f t="shared" si="164"/>
        <v>1.2909391397924892</v>
      </c>
      <c r="AF125" s="14">
        <f t="shared" si="184"/>
        <v>4.0072566225802948</v>
      </c>
      <c r="AG125" s="6">
        <f t="shared" si="165"/>
        <v>1.507998488416745</v>
      </c>
      <c r="AH125" s="14">
        <f t="shared" si="185"/>
        <v>4.3977041031466158</v>
      </c>
      <c r="AI125" s="6">
        <f t="shared" si="166"/>
        <v>1.8112419323675439</v>
      </c>
      <c r="AJ125" s="14">
        <f t="shared" si="186"/>
        <v>4.9049641194712965</v>
      </c>
      <c r="AK125">
        <f t="shared" si="167"/>
        <v>2.4706777718801436</v>
      </c>
      <c r="AL125" s="14">
        <f t="shared" si="187"/>
        <v>5.5818765567995019</v>
      </c>
      <c r="AM125">
        <f t="shared" si="168"/>
        <v>3.1870187094285645</v>
      </c>
      <c r="AN125" s="14">
        <f t="shared" si="188"/>
        <v>6.3712552185158264</v>
      </c>
      <c r="AO125">
        <f t="shared" si="169"/>
        <v>4.1386370885506789</v>
      </c>
      <c r="AP125" s="14">
        <f t="shared" si="189"/>
        <v>6.1286229173918754</v>
      </c>
      <c r="AQ125">
        <f t="shared" si="170"/>
        <v>3.8325340540588408</v>
      </c>
    </row>
    <row r="126" spans="1:43" s="29" customFormat="1" x14ac:dyDescent="0.25">
      <c r="A126" s="129">
        <v>0.6</v>
      </c>
      <c r="B126" s="275">
        <f>'Sub C_D_0'!AZ82</f>
        <v>4.3993932793960237E-2</v>
      </c>
      <c r="C126" s="275">
        <f>'C_L vs. α'!X378</f>
        <v>0.15216131899790822</v>
      </c>
      <c r="D126" s="247">
        <f>'C_L vs. α'!AB378</f>
        <v>0.66815476260936835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s="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</row>
    <row r="127" spans="1:43" s="29" customFormat="1" x14ac:dyDescent="0.25">
      <c r="A127" s="139">
        <v>0.65</v>
      </c>
      <c r="B127" s="275">
        <f>'Sub C_D_0'!AZ83</f>
        <v>4.4215371570437915E-2</v>
      </c>
      <c r="C127" s="275">
        <f>'C_L vs. α'!X379</f>
        <v>0.1642733863625756</v>
      </c>
      <c r="D127" s="247">
        <f>'C_L vs. α'!AB379</f>
        <v>0.69616430046180855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</row>
    <row r="128" spans="1:43" s="29" customFormat="1" x14ac:dyDescent="0.25">
      <c r="A128" s="129">
        <v>0.7</v>
      </c>
      <c r="B128" s="275">
        <f>'Sub C_D_0'!AZ84</f>
        <v>4.39809118182896E-2</v>
      </c>
      <c r="C128" s="275">
        <f>'C_L vs. α'!X380</f>
        <v>0.17957725949504674</v>
      </c>
      <c r="D128" s="247">
        <f>'C_L vs. α'!AB380</f>
        <v>0.73073273471171618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</row>
    <row r="129" spans="1:43" s="29" customFormat="1" x14ac:dyDescent="0.25">
      <c r="A129" s="139">
        <v>0.75</v>
      </c>
      <c r="B129" s="275">
        <f>'Sub C_D_0'!AZ85</f>
        <v>4.3765745297540862E-2</v>
      </c>
      <c r="C129" s="275">
        <f>'C_L vs. α'!X381</f>
        <v>0.19920350233985573</v>
      </c>
      <c r="D129" s="247">
        <f>'C_L vs. α'!AB381</f>
        <v>0.7742205053262986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</row>
    <row r="130" spans="1:43" s="29" customFormat="1" x14ac:dyDescent="0.25">
      <c r="A130" s="129">
        <v>0.8</v>
      </c>
      <c r="B130" s="275">
        <f>'Sub C_D_0'!AZ86</f>
        <v>4.3567137667974543E-2</v>
      </c>
      <c r="C130" s="275">
        <f>'C_L vs. α'!X382</f>
        <v>0.2247250445277123</v>
      </c>
      <c r="D130" s="247">
        <f>'C_L vs. α'!AB382</f>
        <v>0.83041164474938745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</row>
    <row r="131" spans="1:43" s="29" customFormat="1" x14ac:dyDescent="0.25">
      <c r="A131" s="139">
        <v>0.85</v>
      </c>
      <c r="B131" s="275">
        <f>'Sub C_D_0'!AZ87</f>
        <v>4.3838247921480465E-2</v>
      </c>
      <c r="C131" s="275">
        <f>'C_L vs. α'!X383</f>
        <v>0.25875199294965567</v>
      </c>
      <c r="D131" s="247">
        <f>'C_L vs. α'!AB383</f>
        <v>0.90578940361991822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</row>
    <row r="132" spans="1:43" s="29" customFormat="1" x14ac:dyDescent="0.25">
      <c r="A132" s="129">
        <v>0.9</v>
      </c>
      <c r="B132" s="275">
        <f>'Sub C_D_0'!AZ88</f>
        <v>4.3662878987335695E-2</v>
      </c>
      <c r="C132" s="275">
        <f>'C_L vs. α'!X384</f>
        <v>0.29699719667082802</v>
      </c>
      <c r="D132" s="247">
        <f>'C_L vs. α'!AB384</f>
        <v>1.012370337747668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</row>
    <row r="133" spans="1:43" s="29" customFormat="1" x14ac:dyDescent="0.25">
      <c r="A133" s="139">
        <v>0.95</v>
      </c>
      <c r="B133" s="275">
        <f>'Sub C_D_0'!AZ89</f>
        <v>4.3498808504611047E-2</v>
      </c>
      <c r="C133" s="275">
        <f>'C_L vs. α'!X385</f>
        <v>0.27039172305730702</v>
      </c>
      <c r="D133" s="247">
        <f>'C_L vs. α'!AB385</f>
        <v>1.1728890272208958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</row>
    <row r="134" spans="1:43" s="29" customFormat="1" x14ac:dyDescent="0.25">
      <c r="A134" s="11"/>
      <c r="B134" s="271"/>
      <c r="C134" s="271"/>
      <c r="D134" s="11"/>
    </row>
    <row r="136" spans="1:43" x14ac:dyDescent="0.25">
      <c r="A136" s="122" t="s">
        <v>537</v>
      </c>
      <c r="B136" s="267" t="s">
        <v>294</v>
      </c>
    </row>
    <row r="137" spans="1:43" x14ac:dyDescent="0.25">
      <c r="A137" s="122" t="s">
        <v>202</v>
      </c>
      <c r="B137" s="274">
        <v>15000</v>
      </c>
      <c r="C137" s="267" t="s">
        <v>538</v>
      </c>
      <c r="D137" s="122" t="s">
        <v>539</v>
      </c>
      <c r="F137" s="1" t="s">
        <v>536</v>
      </c>
      <c r="G137" s="140">
        <v>0.05</v>
      </c>
      <c r="H137" s="1" t="s">
        <v>536</v>
      </c>
      <c r="I137" s="140">
        <v>0.1</v>
      </c>
      <c r="J137" s="1" t="s">
        <v>536</v>
      </c>
      <c r="K137" s="140">
        <v>0.15</v>
      </c>
      <c r="L137" s="1" t="s">
        <v>536</v>
      </c>
      <c r="M137" s="140">
        <v>0.2</v>
      </c>
      <c r="N137" t="s">
        <v>536</v>
      </c>
      <c r="O137" s="141">
        <v>0.25</v>
      </c>
      <c r="P137" t="s">
        <v>536</v>
      </c>
      <c r="Q137" s="141">
        <v>0.3</v>
      </c>
      <c r="R137" t="s">
        <v>536</v>
      </c>
      <c r="S137" s="141">
        <v>0.35</v>
      </c>
      <c r="T137" t="s">
        <v>536</v>
      </c>
      <c r="U137" s="141">
        <v>0.4</v>
      </c>
      <c r="V137" t="s">
        <v>536</v>
      </c>
      <c r="W137" s="141">
        <v>0.45</v>
      </c>
      <c r="X137" t="s">
        <v>536</v>
      </c>
      <c r="Y137" s="141">
        <v>0.5</v>
      </c>
      <c r="Z137" t="s">
        <v>536</v>
      </c>
      <c r="AA137" s="141">
        <v>0.55000000000000004</v>
      </c>
      <c r="AB137" t="s">
        <v>536</v>
      </c>
      <c r="AC137" s="141">
        <v>0.6</v>
      </c>
      <c r="AD137" t="s">
        <v>536</v>
      </c>
      <c r="AE137" s="141">
        <v>0.65</v>
      </c>
      <c r="AF137" t="s">
        <v>536</v>
      </c>
      <c r="AG137" s="141">
        <v>0.7</v>
      </c>
      <c r="AH137" t="s">
        <v>536</v>
      </c>
      <c r="AI137" s="141">
        <v>0.75</v>
      </c>
      <c r="AJ137" t="s">
        <v>536</v>
      </c>
      <c r="AK137" s="141">
        <v>0.8</v>
      </c>
      <c r="AL137" t="s">
        <v>536</v>
      </c>
      <c r="AM137" s="141">
        <v>0.85</v>
      </c>
      <c r="AN137" t="s">
        <v>536</v>
      </c>
      <c r="AO137" s="141">
        <v>0.9</v>
      </c>
      <c r="AP137" t="s">
        <v>536</v>
      </c>
      <c r="AQ137" s="141">
        <v>0.95</v>
      </c>
    </row>
    <row r="138" spans="1:43" x14ac:dyDescent="0.25">
      <c r="A138" s="121" t="s">
        <v>182</v>
      </c>
      <c r="B138" s="269" t="s">
        <v>534</v>
      </c>
      <c r="C138" s="269" t="s">
        <v>535</v>
      </c>
      <c r="D138" s="248" t="s">
        <v>1126</v>
      </c>
      <c r="E138" s="121" t="s">
        <v>421</v>
      </c>
      <c r="F138" s="14" t="s">
        <v>244</v>
      </c>
      <c r="G138" s="6" t="s">
        <v>245</v>
      </c>
      <c r="H138" s="14" t="s">
        <v>244</v>
      </c>
      <c r="I138" s="6" t="s">
        <v>245</v>
      </c>
      <c r="J138" s="14" t="s">
        <v>244</v>
      </c>
      <c r="K138" s="6" t="s">
        <v>245</v>
      </c>
      <c r="L138" s="14" t="s">
        <v>244</v>
      </c>
      <c r="M138" s="6" t="s">
        <v>245</v>
      </c>
      <c r="N138" t="s">
        <v>244</v>
      </c>
      <c r="O138" t="s">
        <v>245</v>
      </c>
      <c r="P138" t="s">
        <v>244</v>
      </c>
      <c r="Q138" t="s">
        <v>245</v>
      </c>
      <c r="R138" t="s">
        <v>244</v>
      </c>
      <c r="S138" t="s">
        <v>245</v>
      </c>
      <c r="T138" t="s">
        <v>244</v>
      </c>
      <c r="U138" t="s">
        <v>245</v>
      </c>
      <c r="V138" t="s">
        <v>244</v>
      </c>
      <c r="W138" t="s">
        <v>245</v>
      </c>
      <c r="X138" t="s">
        <v>244</v>
      </c>
      <c r="Y138" t="s">
        <v>245</v>
      </c>
      <c r="Z138" t="s">
        <v>244</v>
      </c>
      <c r="AA138" t="s">
        <v>245</v>
      </c>
      <c r="AB138" t="s">
        <v>244</v>
      </c>
      <c r="AC138" t="s">
        <v>245</v>
      </c>
      <c r="AD138" t="s">
        <v>244</v>
      </c>
      <c r="AE138" t="s">
        <v>245</v>
      </c>
      <c r="AF138" t="s">
        <v>244</v>
      </c>
      <c r="AG138" t="s">
        <v>245</v>
      </c>
      <c r="AH138" t="s">
        <v>244</v>
      </c>
      <c r="AI138" t="s">
        <v>245</v>
      </c>
      <c r="AJ138" t="s">
        <v>244</v>
      </c>
      <c r="AK138" t="s">
        <v>245</v>
      </c>
      <c r="AL138" t="s">
        <v>244</v>
      </c>
      <c r="AM138" t="s">
        <v>245</v>
      </c>
      <c r="AN138" t="s">
        <v>244</v>
      </c>
      <c r="AO138" t="s">
        <v>245</v>
      </c>
      <c r="AP138" t="s">
        <v>244</v>
      </c>
      <c r="AQ138" t="s">
        <v>245</v>
      </c>
    </row>
    <row r="139" spans="1:43" x14ac:dyDescent="0.25">
      <c r="A139" s="129">
        <v>0</v>
      </c>
      <c r="B139" s="270" t="e">
        <f>'Sub C_D_0'!AZ100</f>
        <v>#DIV/0!</v>
      </c>
      <c r="C139" s="270" t="e">
        <f>'C_L vs. α'!X391</f>
        <v>#NUM!</v>
      </c>
      <c r="D139" s="247">
        <f>'C_L vs. α'!AB391</f>
        <v>0.55396232552297364</v>
      </c>
      <c r="E139" s="144">
        <v>-6</v>
      </c>
      <c r="F139" s="14">
        <f>$D$19+$C$19*(RADIANS(E139-$B$12))+$E$10*RADIANS(E139)^2</f>
        <v>0.72384986989391042</v>
      </c>
      <c r="G139" s="6">
        <f>$B$140+$B$7*F139^2+$B$8*(F139-F$142)^2</f>
        <v>9.601501337586589E-2</v>
      </c>
      <c r="H139" s="14">
        <f>$D$20+$C$20*(RADIANS(E139-$B$12))+$E$10*RADIANS(E139)^2</f>
        <v>0.72615267857249299</v>
      </c>
      <c r="I139" s="6">
        <f>$B$141+$B$7*H139^2+$B$8*(H139-H$142)^2</f>
        <v>9.2879015750426758E-2</v>
      </c>
      <c r="J139" s="14">
        <f>$D$21+$C$21*(RADIANS(E139-$B$12))+$E$10*RADIANS(E139)^2</f>
        <v>0.73005768065640497</v>
      </c>
      <c r="K139" s="6">
        <f>$B$142+$B$7*J139^2+$B$8*(J139-J$142)^2</f>
        <v>9.1580721573459228E-2</v>
      </c>
      <c r="L139" s="14">
        <f>$D$22+$C$22*(RADIANS(E139-$B$12))+$E$10*RADIANS(E139)^2</f>
        <v>0.73564057725707677</v>
      </c>
      <c r="M139" s="6">
        <f>$B$143+$B$7*L139^2+$B$8*(L139-L$142)^2</f>
        <v>9.1086789654139591E-2</v>
      </c>
      <c r="N139" s="14">
        <f>$D$23+$C$23*(RADIANS(E139-$B$12))+$E$10*RADIANS(E139)^2</f>
        <v>0.74301721518081665</v>
      </c>
      <c r="O139" s="6">
        <f>$B$144+$B$7*N139^2+$B$8*(N139-N$142)^2</f>
        <v>9.11206299253597E-2</v>
      </c>
      <c r="P139" s="14">
        <f>$D$24+$C$24*(RADIANS(E139-$B$12))+$E$10*RADIANS(E139)^2</f>
        <v>0.75235870544974559</v>
      </c>
      <c r="Q139" s="6">
        <f>$B$145+$B$7*P139^2+$B$8*(P139-P$142)^2</f>
        <v>9.2062273673883449E-2</v>
      </c>
      <c r="R139" s="14">
        <f>$D$25+$C$25*(RADIANS(E139-$B$12))+$E$10*RADIANS(E139)^2</f>
        <v>0.76386273862890797</v>
      </c>
      <c r="S139" s="6">
        <f>$B$146+$B$7*R139^2+$B$8*(R139-R$142)^2</f>
        <v>9.2920414184759451E-2</v>
      </c>
      <c r="T139" s="14">
        <f>$D$26+$C$26*(RADIANS(E139-$B$12))+$E$10*RADIANS(E139)^2</f>
        <v>0.77782799896350252</v>
      </c>
      <c r="U139" s="6">
        <f>$B$147+$B$7*T139^2+$B$8*(T139-T$142)^2</f>
        <v>9.4197200603243048E-2</v>
      </c>
      <c r="V139" s="14">
        <f>$D$27+$C$27*(RADIANS(E139-$B$12))+$E$10*RADIANS(E139)^2</f>
        <v>0.79463692068439673</v>
      </c>
      <c r="W139" s="6">
        <f>$B$148+$B$7*V139^2+$B$8*(V139-V$142)^2</f>
        <v>9.5935700888607034E-2</v>
      </c>
      <c r="X139" s="14">
        <f>$D$28+$C$28*(RADIANS(E139-$B$12))+$E$10*RADIANS(E139)^2</f>
        <v>0.81479951905945946</v>
      </c>
      <c r="Y139" s="6">
        <f>$B$149+$B$7*X139^2+$B$8*(X139-X$142)^2</f>
        <v>9.821121404469392E-2</v>
      </c>
      <c r="Z139" s="14">
        <f>$D$29+$C$29*(RADIANS(E139-$B$12))+$E$10*RADIANS(E139)^2</f>
        <v>0.83900486658850959</v>
      </c>
      <c r="AA139" s="6">
        <f>$B$150+$B$7*Z139^2+$B$8*(Z139-Z$142)^2</f>
        <v>0.10113953877397705</v>
      </c>
      <c r="AB139" s="14">
        <f>$D$30+$C$30*(RADIANS(E139-$B$12))+$E$10*RADIANS(E139)^2</f>
        <v>0.86820197098329788</v>
      </c>
      <c r="AC139" s="6">
        <f>$B$151+$B$7*AB139^2+$B$8*(AB139-AB$142)^2</f>
        <v>0.10489379764846792</v>
      </c>
      <c r="AD139" s="14">
        <f>$D$31+$C$31*(RADIANS(E139-$B$12))+$E$10*RADIANS(E139)^2</f>
        <v>0.90372808790113346</v>
      </c>
      <c r="AE139" s="6">
        <f>$B$152+$B$7*AD139^2+$B$8*(AD139-AD$142)^2</f>
        <v>0.11020626518664109</v>
      </c>
      <c r="AF139" s="14">
        <f>$D$32+$C$32*(RADIANS(E139-$B$12))+$E$10*RADIANS(E139)^2</f>
        <v>0.94754167452993099</v>
      </c>
      <c r="AG139" s="6">
        <f>$B$153+$B$7*AF139^2+$B$8*(AF139-AF$142)^2</f>
        <v>0.11653302143455214</v>
      </c>
      <c r="AH139" s="14">
        <f>$D$33+$C$33*(RADIANS(E139-$B$12))+$E$10*RADIANS(E139)^2</f>
        <v>1.0026264448366058</v>
      </c>
      <c r="AI139" s="6">
        <f>$B$154+$B$7*AH139^2+$B$8*(AH139-AH$142)^2</f>
        <v>0.12500739903959779</v>
      </c>
      <c r="AJ139" s="14">
        <f>$D$34+$C$34*(RADIANS(E139-$B$12))+$E$10*RADIANS(E139)^2</f>
        <v>1.0737859735044064</v>
      </c>
      <c r="AK139">
        <f t="shared" ref="AK139:AK150" si="190">$B$155+$B$9*AJ139^2</f>
        <v>0.15981654238084919</v>
      </c>
      <c r="AL139" s="14">
        <f>$D$35+$C$35*(RADIANS(E139-$B$12))+$E$10*RADIANS(E139)^2</f>
        <v>1.1692544763857668</v>
      </c>
      <c r="AM139">
        <f t="shared" ref="AM139:AM150" si="191">$B$156+$B$9*AL139^2</f>
        <v>0.18168812546011523</v>
      </c>
      <c r="AN139" s="14">
        <f>$D$36+$C$36*(RADIANS(E139-$B$12))+$E$10*RADIANS(E139)^2</f>
        <v>1.3050867031236932</v>
      </c>
      <c r="AO139">
        <f t="shared" ref="AO139:AO150" si="192">$B$157+$B$9*AN139^2</f>
        <v>0.21541652553926535</v>
      </c>
      <c r="AP139" s="14">
        <f>$D$37+$C$37*(RADIANS(E139-$B$12))+$E$10*RADIANS(E139)^2</f>
        <v>1.5169073045706536</v>
      </c>
      <c r="AQ139">
        <f t="shared" ref="AQ139:AQ150" si="193">$B$158+$B$9*AP139^2</f>
        <v>0.27555085067457613</v>
      </c>
    </row>
    <row r="140" spans="1:43" x14ac:dyDescent="0.25">
      <c r="A140" s="139">
        <v>0.05</v>
      </c>
      <c r="B140" s="275">
        <f>'Sub C_D_0'!AZ101</f>
        <v>5.3640552147528713E-2</v>
      </c>
      <c r="C140" s="275">
        <f>'C_L vs. α'!X392</f>
        <v>0.10622343199359674</v>
      </c>
      <c r="D140" s="247">
        <f>'C_L vs. α'!AB392</f>
        <v>0.55456498931698928</v>
      </c>
      <c r="E140" s="144">
        <v>-4</v>
      </c>
      <c r="F140" s="14">
        <f t="shared" ref="F140:F150" si="194">$D$19+$C$19*(RADIANS(E140-$B$12))+$E$10*RADIANS(E140)^2</f>
        <v>0.72268224318164487</v>
      </c>
      <c r="G140" s="6">
        <f t="shared" ref="G140:G150" si="195">$B$140+$B$7*F140^2+$B$8*(F140-F$142)^2</f>
        <v>9.5878554145964967E-2</v>
      </c>
      <c r="H140" s="14">
        <f t="shared" ref="H140:H150" si="196">$D$20+$C$20*(RADIANS(E140-$B$12))+$E$10*RADIANS(E140)^2</f>
        <v>0.72501471870602052</v>
      </c>
      <c r="I140" s="6">
        <f t="shared" ref="I140:I150" si="197">$B$141+$B$7*H140^2+$B$8*(H140-H$142)^2</f>
        <v>9.2745600438905521E-2</v>
      </c>
      <c r="J140" s="14">
        <f t="shared" ref="J140:J150" si="198">$D$21+$C$21*(RADIANS(E140-$B$12))+$E$10*RADIANS(E140)^2</f>
        <v>0.72896334615590652</v>
      </c>
      <c r="K140" s="6">
        <f t="shared" ref="K140:K150" si="199">$B$142+$B$7*J140^2+$B$8*(J140-J$142)^2</f>
        <v>9.1451730641470094E-2</v>
      </c>
      <c r="L140" s="14">
        <f t="shared" ref="L140:L150" si="200">$D$22+$C$22*(RADIANS(E140-$B$12))+$E$10*RADIANS(E140)^2</f>
        <v>0.73460623980006134</v>
      </c>
      <c r="M140" s="6">
        <f t="shared" ref="M140:M150" si="201">$B$143+$B$7*L140^2+$B$8*(L140-L$142)^2</f>
        <v>9.0963937831453845E-2</v>
      </c>
      <c r="N140" s="14">
        <f t="shared" ref="N140:N150" si="202">$D$23+$C$23*(RADIANS(E140-$B$12))+$E$10*RADIANS(E140)^2</f>
        <v>0.74206127981164527</v>
      </c>
      <c r="O140" s="6">
        <f t="shared" ref="O140:O150" si="203">$B$144+$B$7*N140^2+$B$8*(N140-N$142)^2</f>
        <v>9.1005951049283745E-2</v>
      </c>
      <c r="P140" s="14">
        <f t="shared" ref="P140:P150" si="204">$D$24+$C$24*(RADIANS(E140-$B$12))+$E$10*RADIANS(E140)^2</f>
        <v>0.75149814005642324</v>
      </c>
      <c r="Q140" s="6">
        <f t="shared" ref="Q140:Q150" si="205">$B$145+$B$7*P140^2+$B$8*(P140-P$142)^2</f>
        <v>9.1957737157991631E-2</v>
      </c>
      <c r="R140" s="14">
        <f t="shared" ref="R140:R150" si="206">$D$25+$C$25*(RADIANS(E140-$B$12))+$E$10*RADIANS(E140)^2</f>
        <v>0.76312546398111714</v>
      </c>
      <c r="S140" s="6">
        <f t="shared" ref="S140:S150" si="207">$B$146+$B$7*R140^2+$B$8*(R140-R$142)^2</f>
        <v>9.2829484177487639E-2</v>
      </c>
      <c r="T140" s="14">
        <f t="shared" ref="T140:T150" si="208">$D$26+$C$26*(RADIANS(E140-$B$12))+$E$10*RADIANS(E140)^2</f>
        <v>0.7772419287941178</v>
      </c>
      <c r="U140" s="6">
        <f t="shared" ref="U140:U150" si="209">$B$147+$B$7*T140^2+$B$8*(T140-T$142)^2</f>
        <v>9.4123596896410422E-2</v>
      </c>
      <c r="V140" s="14">
        <f t="shared" ref="V140:V150" si="210">$D$27+$C$27*(RADIANS(E140-$B$12))+$E$10*RADIANS(E140)^2</f>
        <v>0.79423531515972878</v>
      </c>
      <c r="W140" s="6">
        <f t="shared" ref="W140:W150" si="211">$B$148+$B$7*V140^2+$B$8*(V140-V$142)^2</f>
        <v>9.5884173365536812E-2</v>
      </c>
      <c r="X140" s="14">
        <f t="shared" ref="X140:X150" si="212">$D$28+$C$28*(RADIANS(E140-$B$12))+$E$10*RADIANS(E140)^2</f>
        <v>0.81462282685801291</v>
      </c>
      <c r="Y140" s="6">
        <f t="shared" ref="Y140:Y150" si="213">$B$149+$B$7*X140^2+$B$8*(X140-X$142)^2</f>
        <v>9.8187968284924321E-2</v>
      </c>
      <c r="Z140" s="14">
        <f t="shared" ref="Z140:Z150" si="214">$D$29+$C$29*(RADIANS(E140-$B$12))+$E$10*RADIANS(E140)^2</f>
        <v>0.83910333311760532</v>
      </c>
      <c r="AA140" s="6">
        <f t="shared" ref="AA140:AA150" si="215">$B$150+$B$7*Z140^2+$B$8*(Z140-Z$142)^2</f>
        <v>0.10115287809718561</v>
      </c>
      <c r="AB140" s="14">
        <f t="shared" ref="AB140:AB150" si="216">$D$30+$C$30*(RADIANS(E140-$B$12))+$E$10*RADIANS(E140)^2</f>
        <v>0.86863940847407639</v>
      </c>
      <c r="AC140" s="6">
        <f t="shared" ref="AC140:AC150" si="217">$B$151+$B$7*AB140^2+$B$8*(AB140-AB$142)^2</f>
        <v>0.10495512056396485</v>
      </c>
      <c r="AD140" s="14">
        <f t="shared" ref="AD140:AD150" si="218">$D$31+$C$31*(RADIANS(E140-$B$12))+$E$10*RADIANS(E140)^2</f>
        <v>0.90458889040367019</v>
      </c>
      <c r="AE140" s="6">
        <f t="shared" ref="AE140:AE150" si="219">$B$152+$B$7*AD140^2+$B$8*(AD140-AD$142)^2</f>
        <v>0.11033187765115463</v>
      </c>
      <c r="AF140" s="14">
        <f t="shared" ref="AF140:AF150" si="220">$D$32+$C$32*(RADIANS(E140-$B$12))+$E$10*RADIANS(E140)^2</f>
        <v>0.94893760314311415</v>
      </c>
      <c r="AG140" s="6">
        <f t="shared" ref="AG140:AG150" si="221">$B$153+$B$7*AF140^2+$B$8*(AF140-AF$142)^2</f>
        <v>0.11674660034767878</v>
      </c>
      <c r="AH140" s="14">
        <f t="shared" ref="AH140:AH150" si="222">$D$33+$C$33*(RADIANS(E140-$B$12))+$E$10*RADIANS(E140)^2</f>
        <v>1.0047090062089461</v>
      </c>
      <c r="AI140" s="6">
        <f t="shared" ref="AI140:AI150" si="223">$B$154+$B$7*AH140^2+$B$8*(AH140-AH$142)^2</f>
        <v>0.12534456150762227</v>
      </c>
      <c r="AJ140" s="14">
        <f t="shared" ref="AJ140:AJ150" si="224">$D$34+$C$34*(RADIANS(E140-$B$12))+$E$10*RADIANS(E140)^2</f>
        <v>1.076762243062074</v>
      </c>
      <c r="AK140">
        <f t="shared" si="190"/>
        <v>0.16046219422080771</v>
      </c>
      <c r="AL140" s="14">
        <f t="shared" ref="AL140:AL150" si="225">$D$35+$C$35*(RADIANS(E140-$B$12))+$E$10*RADIANS(E140)^2</f>
        <v>1.1734250704529579</v>
      </c>
      <c r="AM140">
        <f t="shared" si="191"/>
        <v>0.18267369609134945</v>
      </c>
      <c r="AN140" s="14">
        <f t="shared" ref="AN140:AN150" si="226">$D$36+$C$36*(RADIANS(E140-$B$12))+$E$10*RADIANS(E140)^2</f>
        <v>1.3106084858782712</v>
      </c>
      <c r="AO140">
        <f t="shared" si="192"/>
        <v>0.21687347134062568</v>
      </c>
      <c r="AP140" s="14">
        <f t="shared" ref="AP140:AP150" si="227">$D$37+$C$37*(RADIANS(E140-$B$12))+$E$10*RADIANS(E140)^2</f>
        <v>1.5215651468688098</v>
      </c>
      <c r="AQ140">
        <f t="shared" si="193"/>
        <v>0.27697848516029022</v>
      </c>
    </row>
    <row r="141" spans="1:43" x14ac:dyDescent="0.25">
      <c r="A141" s="129">
        <v>0.1</v>
      </c>
      <c r="B141" s="275">
        <f>'Sub C_D_0'!AZ102</f>
        <v>5.0234503162461766E-2</v>
      </c>
      <c r="C141" s="275">
        <f>'C_L vs. α'!X393</f>
        <v>0.10707427134016538</v>
      </c>
      <c r="D141" s="247">
        <f>'C_L vs. α'!AB393</f>
        <v>0.55638482940940404</v>
      </c>
      <c r="E141" s="144">
        <v>-2</v>
      </c>
      <c r="F141" s="14">
        <f t="shared" si="194"/>
        <v>0.7234641679560142</v>
      </c>
      <c r="G141" s="6">
        <f t="shared" si="195"/>
        <v>9.5969906398702537E-2</v>
      </c>
      <c r="H141" s="14">
        <f t="shared" si="196"/>
        <v>0.72582631032618294</v>
      </c>
      <c r="I141" s="6">
        <f t="shared" si="197"/>
        <v>9.2840725360897672E-2</v>
      </c>
      <c r="J141" s="14">
        <f t="shared" si="198"/>
        <v>0.72981856314204296</v>
      </c>
      <c r="K141" s="6">
        <f t="shared" si="199"/>
        <v>9.1552515786890415E-2</v>
      </c>
      <c r="L141" s="14">
        <f t="shared" si="200"/>
        <v>0.73552145382968093</v>
      </c>
      <c r="M141" s="6">
        <f t="shared" si="201"/>
        <v>9.107262995675941E-2</v>
      </c>
      <c r="N141" s="14">
        <f t="shared" si="202"/>
        <v>0.74305489592910889</v>
      </c>
      <c r="O141" s="6">
        <f t="shared" si="203"/>
        <v>9.1125154076579618E-2</v>
      </c>
      <c r="P141" s="14">
        <f t="shared" si="204"/>
        <v>0.75258712614973589</v>
      </c>
      <c r="Q141" s="6">
        <f t="shared" si="205"/>
        <v>9.2090045993802397E-2</v>
      </c>
      <c r="R141" s="14">
        <f t="shared" si="206"/>
        <v>0.7643377408199612</v>
      </c>
      <c r="S141" s="6">
        <f t="shared" si="207"/>
        <v>9.2979055531558746E-2</v>
      </c>
      <c r="T141" s="14">
        <f t="shared" si="208"/>
        <v>0.77860541011136797</v>
      </c>
      <c r="U141" s="6">
        <f t="shared" si="209"/>
        <v>9.4294941471864374E-2</v>
      </c>
      <c r="V141" s="14">
        <f t="shared" si="210"/>
        <v>0.79578326112169573</v>
      </c>
      <c r="W141" s="6">
        <f t="shared" si="211"/>
        <v>9.6082959743330115E-2</v>
      </c>
      <c r="X141" s="14">
        <f t="shared" si="212"/>
        <v>0.81639568614320113</v>
      </c>
      <c r="Y141" s="6">
        <f t="shared" si="213"/>
        <v>9.8421492444132508E-2</v>
      </c>
      <c r="Z141" s="14">
        <f t="shared" si="214"/>
        <v>0.84115135113333594</v>
      </c>
      <c r="AA141" s="6">
        <f t="shared" si="215"/>
        <v>0.10143076784166674</v>
      </c>
      <c r="AB141" s="14">
        <f t="shared" si="216"/>
        <v>0.87102639745148969</v>
      </c>
      <c r="AC141" s="6">
        <f t="shared" si="217"/>
        <v>0.10529042473269998</v>
      </c>
      <c r="AD141" s="14">
        <f t="shared" si="218"/>
        <v>0.90739924439284181</v>
      </c>
      <c r="AE141" s="6">
        <f t="shared" si="219"/>
        <v>0.11074301883447026</v>
      </c>
      <c r="AF141" s="14">
        <f t="shared" si="220"/>
        <v>0.95228308324293232</v>
      </c>
      <c r="AG141" s="6">
        <f t="shared" si="221"/>
        <v>0.11726006328548179</v>
      </c>
      <c r="AH141" s="14">
        <f t="shared" si="222"/>
        <v>1.0087411190679214</v>
      </c>
      <c r="AI141" s="6">
        <f t="shared" si="223"/>
        <v>0.12599983945361432</v>
      </c>
      <c r="AJ141" s="14">
        <f t="shared" si="224"/>
        <v>1.0816880641063769</v>
      </c>
      <c r="AK141">
        <f t="shared" si="190"/>
        <v>0.16153469503610987</v>
      </c>
      <c r="AL141" s="14">
        <f t="shared" si="225"/>
        <v>1.1795452160067839</v>
      </c>
      <c r="AM141">
        <f t="shared" si="191"/>
        <v>0.18412632653095676</v>
      </c>
      <c r="AN141" s="14">
        <f t="shared" si="226"/>
        <v>1.3180798201194843</v>
      </c>
      <c r="AO141">
        <f t="shared" si="192"/>
        <v>0.21885460695566242</v>
      </c>
      <c r="AP141" s="14">
        <f t="shared" si="227"/>
        <v>1.5281725406536011</v>
      </c>
      <c r="AQ141">
        <f t="shared" si="193"/>
        <v>0.27901116801377129</v>
      </c>
    </row>
    <row r="142" spans="1:43" s="99" customFormat="1" x14ac:dyDescent="0.25">
      <c r="A142" s="139">
        <v>0.15</v>
      </c>
      <c r="B142" s="275">
        <f>'Sub C_D_0'!AZ103</f>
        <v>4.8476308565203047E-2</v>
      </c>
      <c r="C142" s="275">
        <f>'C_L vs. α'!X394</f>
        <v>0.1083219263347186</v>
      </c>
      <c r="D142" s="247">
        <f>'C_L vs. α'!AB394</f>
        <v>0.55945804426909762</v>
      </c>
      <c r="E142" s="143">
        <v>0</v>
      </c>
      <c r="F142" s="14">
        <f t="shared" si="194"/>
        <v>0.72619564421701832</v>
      </c>
      <c r="G142" s="6">
        <f t="shared" si="195"/>
        <v>9.6289992764732268E-2</v>
      </c>
      <c r="H142" s="14">
        <f t="shared" si="196"/>
        <v>0.72858745343298037</v>
      </c>
      <c r="I142" s="6">
        <f t="shared" si="197"/>
        <v>9.31653481523953E-2</v>
      </c>
      <c r="J142" s="14">
        <f t="shared" si="198"/>
        <v>0.7326233316148143</v>
      </c>
      <c r="K142" s="6">
        <f t="shared" si="199"/>
        <v>9.1884086121380118E-2</v>
      </c>
      <c r="L142" s="14">
        <f t="shared" si="200"/>
        <v>0.7383862193459354</v>
      </c>
      <c r="M142" s="6">
        <f t="shared" si="201"/>
        <v>9.1413945935113733E-2</v>
      </c>
      <c r="N142" s="14">
        <f t="shared" si="202"/>
        <v>0.7459980635332073</v>
      </c>
      <c r="O142" s="6">
        <f t="shared" si="203"/>
        <v>9.147941142269958E-2</v>
      </c>
      <c r="P142" s="14">
        <f t="shared" si="204"/>
        <v>0.75562566372968332</v>
      </c>
      <c r="Q142" s="6">
        <f t="shared" si="205"/>
        <v>9.2460485128390002E-2</v>
      </c>
      <c r="R142" s="14">
        <f t="shared" si="206"/>
        <v>0.76749956914544015</v>
      </c>
      <c r="S142" s="6">
        <f t="shared" si="207"/>
        <v>9.3370558670728313E-2</v>
      </c>
      <c r="T142" s="14">
        <f t="shared" si="208"/>
        <v>0.78191844291525292</v>
      </c>
      <c r="U142" s="6">
        <f t="shared" si="209"/>
        <v>9.4712843166797733E-2</v>
      </c>
      <c r="V142" s="14">
        <f t="shared" si="210"/>
        <v>0.79928075857029757</v>
      </c>
      <c r="W142" s="6">
        <f t="shared" si="211"/>
        <v>9.653388651788733E-2</v>
      </c>
      <c r="X142" s="14">
        <f t="shared" si="212"/>
        <v>0.82011809691502424</v>
      </c>
      <c r="Y142" s="6">
        <f t="shared" si="213"/>
        <v>9.8913878404267741E-2</v>
      </c>
      <c r="Z142" s="14">
        <f t="shared" si="214"/>
        <v>0.84514892063570157</v>
      </c>
      <c r="AA142" s="6">
        <f t="shared" si="215"/>
        <v>0.10197562456239168</v>
      </c>
      <c r="AB142" s="14">
        <f t="shared" si="216"/>
        <v>0.87536293791553788</v>
      </c>
      <c r="AC142" s="6">
        <f t="shared" si="217"/>
        <v>0.10590252667778757</v>
      </c>
      <c r="AD142" s="14">
        <f t="shared" si="218"/>
        <v>0.91215914986864843</v>
      </c>
      <c r="AE142" s="6">
        <f t="shared" si="219"/>
        <v>0.11144300480844439</v>
      </c>
      <c r="AF142" s="14">
        <f t="shared" si="220"/>
        <v>0.95757811482938526</v>
      </c>
      <c r="AG142" s="6">
        <f t="shared" si="221"/>
        <v>0.11807735774085633</v>
      </c>
      <c r="AH142" s="14">
        <f t="shared" si="222"/>
        <v>1.0147227834135317</v>
      </c>
      <c r="AI142" s="6">
        <f t="shared" si="223"/>
        <v>0.12697799056149026</v>
      </c>
      <c r="AJ142" s="14">
        <f t="shared" si="224"/>
        <v>1.0885634366373145</v>
      </c>
      <c r="AK142" s="99">
        <f t="shared" si="190"/>
        <v>0.16303985703994933</v>
      </c>
      <c r="AL142" s="14">
        <f t="shared" si="225"/>
        <v>1.1876149130472446</v>
      </c>
      <c r="AM142" s="99">
        <f t="shared" si="191"/>
        <v>0.18605323823306946</v>
      </c>
      <c r="AN142" s="14">
        <f t="shared" si="226"/>
        <v>1.3275007058473323</v>
      </c>
      <c r="AO142" s="99">
        <f t="shared" si="192"/>
        <v>0.22136874817103527</v>
      </c>
      <c r="AP142" s="14">
        <f t="shared" si="227"/>
        <v>1.5367294859250271</v>
      </c>
      <c r="AQ142" s="99">
        <f t="shared" si="193"/>
        <v>0.28165669561677698</v>
      </c>
    </row>
    <row r="143" spans="1:43" x14ac:dyDescent="0.25">
      <c r="A143" s="129">
        <v>0.2</v>
      </c>
      <c r="B143" s="275">
        <f>'Sub C_D_0'!AZ104</f>
        <v>4.732058274020879E-2</v>
      </c>
      <c r="C143" s="275">
        <f>'C_L vs. α'!X395</f>
        <v>0.11003817113140557</v>
      </c>
      <c r="D143" s="247">
        <f>'C_L vs. α'!AB395</f>
        <v>0.56384721039314389</v>
      </c>
      <c r="E143" s="144">
        <v>2</v>
      </c>
      <c r="F143" s="14">
        <f t="shared" si="194"/>
        <v>0.73087667196465755</v>
      </c>
      <c r="G143" s="6">
        <f t="shared" si="195"/>
        <v>9.6842036244284974E-2</v>
      </c>
      <c r="H143" s="14">
        <f t="shared" si="196"/>
        <v>0.73329814802641269</v>
      </c>
      <c r="I143" s="6">
        <f t="shared" si="197"/>
        <v>9.3722726818967581E-2</v>
      </c>
      <c r="J143" s="14">
        <f t="shared" si="198"/>
        <v>0.73737765157422064</v>
      </c>
      <c r="K143" s="6">
        <f t="shared" si="199"/>
        <v>9.2449751126176136E-2</v>
      </c>
      <c r="L143" s="14">
        <f t="shared" si="200"/>
        <v>0.74320053634882488</v>
      </c>
      <c r="M143" s="6">
        <f t="shared" si="201"/>
        <v>9.1991266041151404E-2</v>
      </c>
      <c r="N143" s="14">
        <f t="shared" si="202"/>
        <v>0.75089078262394082</v>
      </c>
      <c r="O143" s="6">
        <f t="shared" si="203"/>
        <v>9.2072195872672999E-2</v>
      </c>
      <c r="P143" s="14">
        <f t="shared" si="204"/>
        <v>0.76061375279626586</v>
      </c>
      <c r="Q143" s="6">
        <f t="shared" si="205"/>
        <v>9.3072639878405874E-2</v>
      </c>
      <c r="R143" s="14">
        <f t="shared" si="206"/>
        <v>0.77261094895755411</v>
      </c>
      <c r="S143" s="6">
        <f t="shared" si="207"/>
        <v>9.4007724388328912E-2</v>
      </c>
      <c r="T143" s="14">
        <f t="shared" si="208"/>
        <v>0.78718102720577299</v>
      </c>
      <c r="U143" s="6">
        <f t="shared" si="209"/>
        <v>9.5381211187980555E-2</v>
      </c>
      <c r="V143" s="14">
        <f t="shared" si="210"/>
        <v>0.80472780750553441</v>
      </c>
      <c r="W143" s="6">
        <f t="shared" si="211"/>
        <v>9.7241080554685888E-2</v>
      </c>
      <c r="X143" s="14">
        <f t="shared" si="212"/>
        <v>0.82579005917348236</v>
      </c>
      <c r="Y143" s="6">
        <f t="shared" si="213"/>
        <v>9.9669518416856409E-2</v>
      </c>
      <c r="Z143" s="14">
        <f t="shared" si="214"/>
        <v>0.85109604162470209</v>
      </c>
      <c r="AA143" s="6">
        <f t="shared" si="215"/>
        <v>0.10279216518390875</v>
      </c>
      <c r="AB143" s="14">
        <f t="shared" si="216"/>
        <v>0.88164902986622107</v>
      </c>
      <c r="AC143" s="6">
        <f t="shared" si="217"/>
        <v>0.10679654329191897</v>
      </c>
      <c r="AD143" s="14">
        <f t="shared" si="218"/>
        <v>0.91886860683108995</v>
      </c>
      <c r="AE143" s="6">
        <f t="shared" si="219"/>
        <v>0.11243745201451062</v>
      </c>
      <c r="AF143" s="14">
        <f t="shared" si="220"/>
        <v>0.96482269790247333</v>
      </c>
      <c r="AG143" s="6">
        <f t="shared" si="221"/>
        <v>0.1192047315762748</v>
      </c>
      <c r="AH143" s="14">
        <f t="shared" si="222"/>
        <v>1.0226539992457768</v>
      </c>
      <c r="AI143" s="6">
        <f t="shared" si="223"/>
        <v>0.12828607288474358</v>
      </c>
      <c r="AJ143" s="14">
        <f t="shared" si="224"/>
        <v>1.0973883606548871</v>
      </c>
      <c r="AK143">
        <f t="shared" si="190"/>
        <v>0.1649857928150969</v>
      </c>
      <c r="AL143" s="14">
        <f t="shared" si="225"/>
        <v>1.1976341615743404</v>
      </c>
      <c r="AM143">
        <f t="shared" si="191"/>
        <v>0.18846395302139701</v>
      </c>
      <c r="AN143" s="14">
        <f t="shared" si="226"/>
        <v>1.3388711430618152</v>
      </c>
      <c r="AO143">
        <f t="shared" si="192"/>
        <v>0.22442701114298141</v>
      </c>
      <c r="AP143" s="14">
        <f t="shared" si="227"/>
        <v>1.5472359826830882</v>
      </c>
      <c r="AQ143">
        <f t="shared" si="193"/>
        <v>0.28492516472064228</v>
      </c>
    </row>
    <row r="144" spans="1:43" x14ac:dyDescent="0.25">
      <c r="A144" s="139">
        <v>0.25</v>
      </c>
      <c r="B144" s="275">
        <f>'Sub C_D_0'!AZ105</f>
        <v>4.6472266862707716E-2</v>
      </c>
      <c r="C144" s="275">
        <f>'C_L vs. α'!X396</f>
        <v>0.11228155521018422</v>
      </c>
      <c r="D144" s="247">
        <f>'C_L vs. α'!AB396</f>
        <v>0.56964491335588441</v>
      </c>
      <c r="E144" s="144">
        <v>4</v>
      </c>
      <c r="F144" s="14">
        <f t="shared" si="194"/>
        <v>0.73750725119893168</v>
      </c>
      <c r="G144" s="6">
        <f t="shared" si="195"/>
        <v>9.7631560207168525E-2</v>
      </c>
      <c r="H144" s="14">
        <f t="shared" si="196"/>
        <v>0.7399583941064799</v>
      </c>
      <c r="I144" s="6">
        <f t="shared" si="197"/>
        <v>9.4518419735760778E-2</v>
      </c>
      <c r="J144" s="14">
        <f t="shared" si="198"/>
        <v>0.74408152302026187</v>
      </c>
      <c r="K144" s="6">
        <f t="shared" si="199"/>
        <v>9.3255120652092557E-2</v>
      </c>
      <c r="L144" s="14">
        <f t="shared" si="200"/>
        <v>0.74996440483834914</v>
      </c>
      <c r="M144" s="6">
        <f t="shared" si="201"/>
        <v>9.2810270919084073E-2</v>
      </c>
      <c r="N144" s="14">
        <f t="shared" si="202"/>
        <v>0.75773305320130913</v>
      </c>
      <c r="O144" s="6">
        <f t="shared" si="203"/>
        <v>9.2909280581106285E-2</v>
      </c>
      <c r="P144" s="14">
        <f t="shared" si="204"/>
        <v>0.76755139334948319</v>
      </c>
      <c r="Q144" s="6">
        <f t="shared" si="205"/>
        <v>9.3932395930078363E-2</v>
      </c>
      <c r="R144" s="14">
        <f t="shared" si="206"/>
        <v>0.77967188025630296</v>
      </c>
      <c r="S144" s="6">
        <f t="shared" si="207"/>
        <v>9.4896583847270219E-2</v>
      </c>
      <c r="T144" s="14">
        <f t="shared" si="208"/>
        <v>0.79439316298292795</v>
      </c>
      <c r="U144" s="6">
        <f t="shared" si="209"/>
        <v>9.6306255111759831E-2</v>
      </c>
      <c r="V144" s="14">
        <f t="shared" si="210"/>
        <v>0.81212440792740614</v>
      </c>
      <c r="W144" s="6">
        <f t="shared" si="211"/>
        <v>9.8210969088780312E-2</v>
      </c>
      <c r="X144" s="14">
        <f t="shared" si="212"/>
        <v>0.83341157291857548</v>
      </c>
      <c r="Y144" s="6">
        <f t="shared" si="213"/>
        <v>0.10069510510300198</v>
      </c>
      <c r="Z144" s="14">
        <f t="shared" si="214"/>
        <v>0.85899271410033751</v>
      </c>
      <c r="AA144" s="6">
        <f t="shared" si="215"/>
        <v>0.10388740700034335</v>
      </c>
      <c r="AB144" s="14">
        <f t="shared" si="216"/>
        <v>0.88988467330353926</v>
      </c>
      <c r="AC144" s="6">
        <f t="shared" si="217"/>
        <v>0.10797989183736248</v>
      </c>
      <c r="AD144" s="14">
        <f t="shared" si="218"/>
        <v>0.92752761528016636</v>
      </c>
      <c r="AE144" s="6">
        <f t="shared" si="219"/>
        <v>0.1137342772636795</v>
      </c>
      <c r="AF144" s="14">
        <f t="shared" si="220"/>
        <v>0.97401683246219617</v>
      </c>
      <c r="AG144" s="6">
        <f t="shared" si="221"/>
        <v>0.12065073302378651</v>
      </c>
      <c r="AH144" s="14">
        <f t="shared" si="222"/>
        <v>1.0325347665646569</v>
      </c>
      <c r="AI144" s="6">
        <f t="shared" si="223"/>
        <v>0.1299334448464449</v>
      </c>
      <c r="AJ144" s="14">
        <f t="shared" si="224"/>
        <v>1.1081628361590945</v>
      </c>
      <c r="AK144">
        <f t="shared" si="190"/>
        <v>0.16738291531390043</v>
      </c>
      <c r="AL144" s="14">
        <f t="shared" si="225"/>
        <v>1.2096029615880712</v>
      </c>
      <c r="AM144">
        <f t="shared" si="191"/>
        <v>0.19137029308922593</v>
      </c>
      <c r="AN144" s="14">
        <f t="shared" si="226"/>
        <v>1.3521911317629329</v>
      </c>
      <c r="AO144">
        <f t="shared" si="192"/>
        <v>0.22804281239731483</v>
      </c>
      <c r="AP144" s="14">
        <f t="shared" si="227"/>
        <v>1.5596920309277842</v>
      </c>
      <c r="AQ144">
        <f t="shared" si="193"/>
        <v>0.28882897244627931</v>
      </c>
    </row>
    <row r="145" spans="1:43" x14ac:dyDescent="0.25">
      <c r="A145" s="129">
        <v>0.3</v>
      </c>
      <c r="B145" s="275">
        <f>'Sub C_D_0'!AZ106</f>
        <v>4.6284150199581375E-2</v>
      </c>
      <c r="C145" s="275">
        <f>'C_L vs. α'!X397</f>
        <v>0.115013303835898</v>
      </c>
      <c r="D145" s="247">
        <f>'C_L vs. α'!AB397</f>
        <v>0.57697940697139272</v>
      </c>
      <c r="E145" s="144">
        <v>6</v>
      </c>
      <c r="F145" s="14">
        <f t="shared" si="194"/>
        <v>0.74608738191984059</v>
      </c>
      <c r="G145" s="6">
        <f t="shared" si="195"/>
        <v>9.8666388392767826E-2</v>
      </c>
      <c r="H145" s="14">
        <f t="shared" si="196"/>
        <v>0.748568191673182</v>
      </c>
      <c r="I145" s="6">
        <f t="shared" si="197"/>
        <v>9.556028564749823E-2</v>
      </c>
      <c r="J145" s="14">
        <f t="shared" si="198"/>
        <v>0.75273494595293799</v>
      </c>
      <c r="K145" s="6">
        <f t="shared" si="199"/>
        <v>9.4308104919520477E-2</v>
      </c>
      <c r="L145" s="14">
        <f t="shared" si="200"/>
        <v>0.75867782481450841</v>
      </c>
      <c r="M145" s="6">
        <f t="shared" si="201"/>
        <v>9.387894158270052E-2</v>
      </c>
      <c r="N145" s="14">
        <f t="shared" si="202"/>
        <v>0.76652487526531243</v>
      </c>
      <c r="O145" s="6">
        <f t="shared" si="203"/>
        <v>9.3998739072182952E-2</v>
      </c>
      <c r="P145" s="14">
        <f t="shared" si="204"/>
        <v>0.77643858538933552</v>
      </c>
      <c r="Q145" s="6">
        <f t="shared" si="205"/>
        <v>9.5047939339213114E-2</v>
      </c>
      <c r="R145" s="14">
        <f t="shared" si="206"/>
        <v>0.7886823630416866</v>
      </c>
      <c r="S145" s="6">
        <f t="shared" si="207"/>
        <v>9.6045468580039026E-2</v>
      </c>
      <c r="T145" s="14">
        <f t="shared" si="208"/>
        <v>0.8035548502467178</v>
      </c>
      <c r="U145" s="6">
        <f t="shared" si="209"/>
        <v>9.7496484884059695E-2</v>
      </c>
      <c r="V145" s="14">
        <f t="shared" si="210"/>
        <v>0.82147055983591277</v>
      </c>
      <c r="W145" s="6">
        <f t="shared" si="211"/>
        <v>9.9452279724802209E-2</v>
      </c>
      <c r="X145" s="14">
        <f t="shared" si="212"/>
        <v>0.84298263815030339</v>
      </c>
      <c r="Y145" s="6">
        <f t="shared" si="213"/>
        <v>0.10199963145338496</v>
      </c>
      <c r="Z145" s="14">
        <f t="shared" si="214"/>
        <v>0.86883893806260781</v>
      </c>
      <c r="AA145" s="6">
        <f t="shared" si="215"/>
        <v>0.10527066767539797</v>
      </c>
      <c r="AB145" s="14">
        <f t="shared" si="216"/>
        <v>0.90006986822749224</v>
      </c>
      <c r="AC145" s="6">
        <f t="shared" si="217"/>
        <v>0.10946228994596365</v>
      </c>
      <c r="AD145" s="14">
        <f t="shared" si="218"/>
        <v>0.93813617521587767</v>
      </c>
      <c r="AE145" s="6">
        <f t="shared" si="219"/>
        <v>0.11534369773653877</v>
      </c>
      <c r="AF145" s="14">
        <f t="shared" si="220"/>
        <v>0.98516051850855402</v>
      </c>
      <c r="AG145" s="6">
        <f t="shared" si="221"/>
        <v>0.12242621068501799</v>
      </c>
      <c r="AH145" s="14">
        <f t="shared" si="222"/>
        <v>1.0443650853701723</v>
      </c>
      <c r="AI145" s="6">
        <f t="shared" si="223"/>
        <v>0.13193176523924197</v>
      </c>
      <c r="AJ145" s="14">
        <f t="shared" si="224"/>
        <v>1.1208868631499371</v>
      </c>
      <c r="AK145">
        <f t="shared" si="190"/>
        <v>0.17024393785828504</v>
      </c>
      <c r="AL145" s="14">
        <f t="shared" si="225"/>
        <v>1.2235213130884368</v>
      </c>
      <c r="AM145">
        <f t="shared" si="191"/>
        <v>0.19478638099941969</v>
      </c>
      <c r="AN145" s="14">
        <f t="shared" si="226"/>
        <v>1.3674606719506859</v>
      </c>
      <c r="AO145">
        <f t="shared" si="192"/>
        <v>0.23223186882942687</v>
      </c>
      <c r="AP145" s="14">
        <f t="shared" si="227"/>
        <v>1.574097630659115</v>
      </c>
      <c r="AQ145">
        <f t="shared" si="193"/>
        <v>0.29338281628417689</v>
      </c>
    </row>
    <row r="146" spans="1:43" x14ac:dyDescent="0.25">
      <c r="A146" s="139">
        <v>0.35</v>
      </c>
      <c r="B146" s="275">
        <f>'Sub C_D_0'!AZ107</f>
        <v>4.5731591111034767E-2</v>
      </c>
      <c r="C146" s="275">
        <f>'C_L vs. α'!X398</f>
        <v>0.11854239254597372</v>
      </c>
      <c r="D146" s="247">
        <f>'C_L vs. α'!AB398</f>
        <v>0.58602300954865816</v>
      </c>
      <c r="E146" s="144">
        <v>8</v>
      </c>
      <c r="F146" s="14">
        <f t="shared" si="194"/>
        <v>0.75661706412738461</v>
      </c>
      <c r="G146" s="6">
        <f t="shared" si="195"/>
        <v>9.9956644910044939E-2</v>
      </c>
      <c r="H146" s="14">
        <f t="shared" si="196"/>
        <v>0.75912754072651911</v>
      </c>
      <c r="I146" s="6">
        <f t="shared" si="197"/>
        <v>9.6858483668480391E-2</v>
      </c>
      <c r="J146" s="14">
        <f t="shared" si="198"/>
        <v>0.76333792037224901</v>
      </c>
      <c r="K146" s="6">
        <f t="shared" si="199"/>
        <v>9.5618914518428147E-2</v>
      </c>
      <c r="L146" s="14">
        <f t="shared" si="200"/>
        <v>0.76934079627730267</v>
      </c>
      <c r="M146" s="6">
        <f t="shared" si="201"/>
        <v>9.5207559415366572E-2</v>
      </c>
      <c r="N146" s="14">
        <f t="shared" si="202"/>
        <v>0.77726624881595063</v>
      </c>
      <c r="O146" s="6">
        <f t="shared" si="203"/>
        <v>9.5350945239663615E-2</v>
      </c>
      <c r="P146" s="14">
        <f t="shared" si="204"/>
        <v>0.78727532891582275</v>
      </c>
      <c r="Q146" s="6">
        <f t="shared" si="205"/>
        <v>9.642975653119272E-2</v>
      </c>
      <c r="R146" s="14">
        <f t="shared" si="206"/>
        <v>0.79964239731370534</v>
      </c>
      <c r="S146" s="6">
        <f t="shared" si="207"/>
        <v>9.7465010488699183E-2</v>
      </c>
      <c r="T146" s="14">
        <f t="shared" si="208"/>
        <v>0.81466608899714266</v>
      </c>
      <c r="U146" s="6">
        <f t="shared" si="209"/>
        <v>9.8962710820381355E-2</v>
      </c>
      <c r="V146" s="14">
        <f t="shared" si="210"/>
        <v>0.83276626323105452</v>
      </c>
      <c r="W146" s="6">
        <f t="shared" si="211"/>
        <v>0.10097604043696032</v>
      </c>
      <c r="X146" s="14">
        <f t="shared" si="212"/>
        <v>0.8545032548686663</v>
      </c>
      <c r="Y146" s="6">
        <f t="shared" si="213"/>
        <v>0.10359439082826301</v>
      </c>
      <c r="Z146" s="14">
        <f t="shared" si="214"/>
        <v>0.88063471351151323</v>
      </c>
      <c r="AA146" s="6">
        <f t="shared" si="215"/>
        <v>0.10695356524235222</v>
      </c>
      <c r="AB146" s="14">
        <f t="shared" si="216"/>
        <v>0.91220461463808022</v>
      </c>
      <c r="AC146" s="6">
        <f t="shared" si="217"/>
        <v>0.11125575561914501</v>
      </c>
      <c r="AD146" s="14">
        <f t="shared" si="218"/>
        <v>0.95069428663822397</v>
      </c>
      <c r="AE146" s="6">
        <f t="shared" si="219"/>
        <v>0.11727823098325323</v>
      </c>
      <c r="AF146" s="14">
        <f t="shared" si="220"/>
        <v>0.99825375604154687</v>
      </c>
      <c r="AG146" s="6">
        <f t="shared" si="221"/>
        <v>0.12454431353117279</v>
      </c>
      <c r="AH146" s="14">
        <f t="shared" si="222"/>
        <v>1.0581449556623224</v>
      </c>
      <c r="AI146" s="6">
        <f t="shared" si="223"/>
        <v>0.13429499322535929</v>
      </c>
      <c r="AJ146" s="14">
        <f t="shared" si="224"/>
        <v>1.1355604416274148</v>
      </c>
      <c r="AK146">
        <f t="shared" si="190"/>
        <v>0.17358387413975274</v>
      </c>
      <c r="AL146" s="14">
        <f t="shared" si="225"/>
        <v>1.2393892160754376</v>
      </c>
      <c r="AM146">
        <f t="shared" si="191"/>
        <v>0.19872863968441914</v>
      </c>
      <c r="AN146" s="14">
        <f t="shared" si="226"/>
        <v>1.3846797636250738</v>
      </c>
      <c r="AO146">
        <f t="shared" si="192"/>
        <v>0.23701219770428567</v>
      </c>
      <c r="AP146" s="14">
        <f t="shared" si="227"/>
        <v>1.5904527818770811</v>
      </c>
      <c r="AQ146">
        <f t="shared" si="193"/>
        <v>0.29860369409440146</v>
      </c>
    </row>
    <row r="147" spans="1:43" x14ac:dyDescent="0.25">
      <c r="A147" s="129">
        <v>0.4</v>
      </c>
      <c r="B147" s="275">
        <f>'Sub C_D_0'!AZ108</f>
        <v>4.5267092587809081E-2</v>
      </c>
      <c r="C147" s="275">
        <f>'C_L vs. α'!X399</f>
        <v>0.12287049407064402</v>
      </c>
      <c r="D147" s="247">
        <f>'C_L vs. α'!AB399</f>
        <v>0.59700438372333264</v>
      </c>
      <c r="E147" s="144">
        <v>10</v>
      </c>
      <c r="F147" s="14">
        <f t="shared" si="194"/>
        <v>0.76909629782156352</v>
      </c>
      <c r="G147" s="6">
        <f t="shared" si="195"/>
        <v>0.101514754237539</v>
      </c>
      <c r="H147" s="14">
        <f t="shared" si="196"/>
        <v>0.77163644126649111</v>
      </c>
      <c r="I147" s="6">
        <f t="shared" si="197"/>
        <v>9.8425473282584719E-2</v>
      </c>
      <c r="J147" s="14">
        <f t="shared" si="198"/>
        <v>0.77589044627819503</v>
      </c>
      <c r="K147" s="6">
        <f t="shared" si="199"/>
        <v>9.7200060408360919E-2</v>
      </c>
      <c r="L147" s="14">
        <f t="shared" si="200"/>
        <v>0.78195331922673184</v>
      </c>
      <c r="M147" s="6">
        <f t="shared" si="201"/>
        <v>9.6808706170025127E-2</v>
      </c>
      <c r="N147" s="14">
        <f t="shared" si="202"/>
        <v>0.78995717385322373</v>
      </c>
      <c r="O147" s="6">
        <f t="shared" si="203"/>
        <v>9.6978573346885963E-2</v>
      </c>
      <c r="P147" s="14">
        <f t="shared" si="204"/>
        <v>0.80006162392894487</v>
      </c>
      <c r="Q147" s="6">
        <f t="shared" si="205"/>
        <v>9.8090634300976878E-2</v>
      </c>
      <c r="R147" s="14">
        <f t="shared" si="206"/>
        <v>0.81255198307235899</v>
      </c>
      <c r="S147" s="6">
        <f t="shared" si="207"/>
        <v>9.9168141844891616E-2</v>
      </c>
      <c r="T147" s="14">
        <f t="shared" si="208"/>
        <v>0.82772687923420241</v>
      </c>
      <c r="U147" s="6">
        <f t="shared" si="209"/>
        <v>0.10071804360580312</v>
      </c>
      <c r="V147" s="14">
        <f t="shared" si="210"/>
        <v>0.84601151811283104</v>
      </c>
      <c r="W147" s="6">
        <f t="shared" si="211"/>
        <v>0.10279557956904038</v>
      </c>
      <c r="X147" s="14">
        <f t="shared" si="212"/>
        <v>0.8679734230736641</v>
      </c>
      <c r="Y147" s="6">
        <f t="shared" si="213"/>
        <v>0.10549297695747083</v>
      </c>
      <c r="Z147" s="14">
        <f t="shared" si="214"/>
        <v>0.89438004044705344</v>
      </c>
      <c r="AA147" s="6">
        <f t="shared" si="215"/>
        <v>0.1089500181040627</v>
      </c>
      <c r="AB147" s="14">
        <f t="shared" si="216"/>
        <v>0.92628891253530321</v>
      </c>
      <c r="AC147" s="6">
        <f t="shared" si="217"/>
        <v>0.11337460722790621</v>
      </c>
      <c r="AD147" s="14">
        <f t="shared" si="218"/>
        <v>0.96520194954720517</v>
      </c>
      <c r="AE147" s="6">
        <f t="shared" si="219"/>
        <v>0.1195526949235647</v>
      </c>
      <c r="AF147" s="14">
        <f t="shared" si="220"/>
        <v>1.0132965450611746</v>
      </c>
      <c r="AG147" s="6">
        <f t="shared" si="221"/>
        <v>0.12702049090303152</v>
      </c>
      <c r="AH147" s="14">
        <f t="shared" si="222"/>
        <v>1.0738743774411073</v>
      </c>
      <c r="AI147" s="6">
        <f t="shared" si="223"/>
        <v>0.13703938833659884</v>
      </c>
      <c r="AJ147" s="14">
        <f t="shared" si="224"/>
        <v>1.152183571591527</v>
      </c>
      <c r="AK147">
        <f t="shared" si="190"/>
        <v>0.17742003821938257</v>
      </c>
      <c r="AL147" s="14">
        <f t="shared" si="225"/>
        <v>1.2572066705490732</v>
      </c>
      <c r="AM147">
        <f t="shared" si="191"/>
        <v>0.20321579244624188</v>
      </c>
      <c r="AN147" s="14">
        <f t="shared" si="226"/>
        <v>1.4038484067860963</v>
      </c>
      <c r="AO147">
        <f t="shared" si="192"/>
        <v>0.24240411665643649</v>
      </c>
      <c r="AP147" s="14">
        <f t="shared" si="227"/>
        <v>1.6087574845816819</v>
      </c>
      <c r="AQ147">
        <f t="shared" si="193"/>
        <v>0.3045109041065962</v>
      </c>
    </row>
    <row r="148" spans="1:43" x14ac:dyDescent="0.25">
      <c r="A148" s="139">
        <v>0.45</v>
      </c>
      <c r="B148" s="275">
        <f>'Sub C_D_0'!AZ109</f>
        <v>4.4867894040061758E-2</v>
      </c>
      <c r="C148" s="275">
        <f>'C_L vs. α'!X400</f>
        <v>0.12815047869809809</v>
      </c>
      <c r="D148" s="247">
        <f>'C_L vs. α'!AB400</f>
        <v>0.61022655878285847</v>
      </c>
      <c r="E148" s="144">
        <v>12</v>
      </c>
      <c r="F148" s="14">
        <f t="shared" si="194"/>
        <v>0.78352508300237744</v>
      </c>
      <c r="G148" s="6">
        <f t="shared" si="195"/>
        <v>0.10335544122336621</v>
      </c>
      <c r="H148" s="14">
        <f t="shared" si="196"/>
        <v>0.78609489329309812</v>
      </c>
      <c r="I148" s="6">
        <f t="shared" si="197"/>
        <v>0.10027601434326591</v>
      </c>
      <c r="J148" s="14">
        <f t="shared" si="198"/>
        <v>0.79039252367077606</v>
      </c>
      <c r="K148" s="6">
        <f t="shared" si="199"/>
        <v>9.9066353918441125E-2</v>
      </c>
      <c r="L148" s="14">
        <f t="shared" si="200"/>
        <v>0.796515393662796</v>
      </c>
      <c r="M148" s="6">
        <f t="shared" si="201"/>
        <v>9.8697263969196161E-2</v>
      </c>
      <c r="N148" s="14">
        <f t="shared" si="202"/>
        <v>0.80459765037713193</v>
      </c>
      <c r="O148" s="6">
        <f t="shared" si="203"/>
        <v>9.8896598026764773E-2</v>
      </c>
      <c r="P148" s="14">
        <f t="shared" si="204"/>
        <v>0.8147974704287021</v>
      </c>
      <c r="Q148" s="6">
        <f t="shared" si="205"/>
        <v>0.10004565981310241</v>
      </c>
      <c r="R148" s="14">
        <f t="shared" si="206"/>
        <v>0.82741112031764763</v>
      </c>
      <c r="S148" s="6">
        <f t="shared" si="207"/>
        <v>0.10117009528983437</v>
      </c>
      <c r="T148" s="14">
        <f t="shared" si="208"/>
        <v>0.84273722095789705</v>
      </c>
      <c r="U148" s="6">
        <f t="shared" si="209"/>
        <v>0.10277789429498037</v>
      </c>
      <c r="V148" s="14">
        <f t="shared" si="210"/>
        <v>0.86120632448124257</v>
      </c>
      <c r="W148" s="6">
        <f t="shared" si="211"/>
        <v>0.10492652583440527</v>
      </c>
      <c r="X148" s="14">
        <f t="shared" si="212"/>
        <v>0.88339314276529701</v>
      </c>
      <c r="Y148" s="6">
        <f t="shared" si="213"/>
        <v>0.10771128394042022</v>
      </c>
      <c r="Z148" s="14">
        <f t="shared" si="214"/>
        <v>0.91007491886922864</v>
      </c>
      <c r="AA148" s="6">
        <f t="shared" si="215"/>
        <v>0.11127624503296318</v>
      </c>
      <c r="AB148" s="14">
        <f t="shared" si="216"/>
        <v>0.94232276191916109</v>
      </c>
      <c r="AC148" s="6">
        <f t="shared" si="217"/>
        <v>0.11583546351282402</v>
      </c>
      <c r="AD148" s="14">
        <f t="shared" si="218"/>
        <v>0.98165916394282138</v>
      </c>
      <c r="AE148" s="6">
        <f t="shared" si="219"/>
        <v>0.12218420784679219</v>
      </c>
      <c r="AF148" s="14">
        <f t="shared" si="220"/>
        <v>1.0302888855674373</v>
      </c>
      <c r="AG148" s="6">
        <f t="shared" si="221"/>
        <v>0.12987249251095201</v>
      </c>
      <c r="AH148" s="14">
        <f t="shared" si="222"/>
        <v>1.0915533507065269</v>
      </c>
      <c r="AI148" s="6">
        <f t="shared" si="223"/>
        <v>0.14018351047433944</v>
      </c>
      <c r="AJ148" s="14">
        <f t="shared" si="224"/>
        <v>1.1707562530422742</v>
      </c>
      <c r="AK148">
        <f t="shared" si="190"/>
        <v>0.18177204452783088</v>
      </c>
      <c r="AL148" s="14">
        <f t="shared" si="225"/>
        <v>1.2769736765093433</v>
      </c>
      <c r="AM148">
        <f t="shared" si="191"/>
        <v>0.2082688629564827</v>
      </c>
      <c r="AN148" s="14">
        <f t="shared" si="226"/>
        <v>1.4249666014337539</v>
      </c>
      <c r="AO148">
        <f t="shared" si="192"/>
        <v>0.24843024369000191</v>
      </c>
      <c r="AP148" s="14">
        <f t="shared" si="227"/>
        <v>1.6290117387729175</v>
      </c>
      <c r="AQ148">
        <f t="shared" si="193"/>
        <v>0.31112604491998125</v>
      </c>
    </row>
    <row r="149" spans="1:43" x14ac:dyDescent="0.25">
      <c r="A149" s="129">
        <v>0.5</v>
      </c>
      <c r="B149" s="275">
        <f>'Sub C_D_0'!AZ110</f>
        <v>4.451889474850558E-2</v>
      </c>
      <c r="C149" s="275">
        <f>'C_L vs. α'!X401</f>
        <v>0.1345878156577352</v>
      </c>
      <c r="D149" s="247">
        <f>'C_L vs. α'!AB401</f>
        <v>0.6260937673204966</v>
      </c>
      <c r="E149" s="144">
        <v>14</v>
      </c>
      <c r="F149" s="14">
        <f t="shared" si="194"/>
        <v>0.79990341966982614</v>
      </c>
      <c r="G149" s="6">
        <f t="shared" si="195"/>
        <v>0.10549573108521981</v>
      </c>
      <c r="H149" s="14">
        <f t="shared" si="196"/>
        <v>0.80250289680634002</v>
      </c>
      <c r="I149" s="6">
        <f t="shared" si="197"/>
        <v>0.10242716707355556</v>
      </c>
      <c r="J149" s="14">
        <f t="shared" si="198"/>
        <v>0.80684415254999198</v>
      </c>
      <c r="K149" s="6">
        <f t="shared" si="199"/>
        <v>0.10123490674736829</v>
      </c>
      <c r="L149" s="14">
        <f t="shared" si="200"/>
        <v>0.81302701958549495</v>
      </c>
      <c r="M149" s="6">
        <f t="shared" si="201"/>
        <v>0.10089041530497678</v>
      </c>
      <c r="N149" s="14">
        <f t="shared" si="202"/>
        <v>0.82118767838767492</v>
      </c>
      <c r="O149" s="6">
        <f t="shared" si="203"/>
        <v>0.10112229428179187</v>
      </c>
      <c r="P149" s="14">
        <f t="shared" si="204"/>
        <v>0.83148286841509411</v>
      </c>
      <c r="Q149" s="6">
        <f t="shared" si="205"/>
        <v>0.10231222060168316</v>
      </c>
      <c r="R149" s="14">
        <f t="shared" si="206"/>
        <v>0.84421980904957117</v>
      </c>
      <c r="S149" s="6">
        <f t="shared" si="207"/>
        <v>0.10348840383432253</v>
      </c>
      <c r="T149" s="14">
        <f t="shared" si="208"/>
        <v>0.85969711416822669</v>
      </c>
      <c r="U149" s="6">
        <f t="shared" si="209"/>
        <v>0.10515997431214559</v>
      </c>
      <c r="V149" s="14">
        <f t="shared" si="210"/>
        <v>0.87835068233628899</v>
      </c>
      <c r="W149" s="6">
        <f t="shared" si="211"/>
        <v>0.10738680831599497</v>
      </c>
      <c r="X149" s="14">
        <f t="shared" si="212"/>
        <v>0.90076241394356471</v>
      </c>
      <c r="Y149" s="6">
        <f t="shared" si="213"/>
        <v>0.11026750624610003</v>
      </c>
      <c r="Z149" s="14">
        <f t="shared" si="214"/>
        <v>0.92771934877803874</v>
      </c>
      <c r="AA149" s="6">
        <f t="shared" si="215"/>
        <v>0.11395076517106449</v>
      </c>
      <c r="AB149" s="14">
        <f t="shared" si="216"/>
        <v>0.96030616278965386</v>
      </c>
      <c r="AC149" s="6">
        <f t="shared" si="217"/>
        <v>0.1186572435840522</v>
      </c>
      <c r="AD149" s="14">
        <f t="shared" si="218"/>
        <v>1.0000659298250725</v>
      </c>
      <c r="AE149" s="6">
        <f t="shared" si="219"/>
        <v>0.12519218841183172</v>
      </c>
      <c r="AF149" s="14">
        <f t="shared" si="220"/>
        <v>1.0492307775603349</v>
      </c>
      <c r="AG149" s="6">
        <f t="shared" si="221"/>
        <v>0.13312036843486894</v>
      </c>
      <c r="AH149" s="14">
        <f t="shared" si="222"/>
        <v>1.1111818754585818</v>
      </c>
      <c r="AI149" s="6">
        <f t="shared" si="223"/>
        <v>0.14374821990953723</v>
      </c>
      <c r="AJ149" s="14">
        <f t="shared" si="224"/>
        <v>1.1912784859796564</v>
      </c>
      <c r="AK149">
        <f t="shared" si="190"/>
        <v>0.18666180786533101</v>
      </c>
      <c r="AL149" s="14">
        <f t="shared" si="225"/>
        <v>1.2986902339562489</v>
      </c>
      <c r="AM149">
        <f t="shared" si="191"/>
        <v>0.21391117525631376</v>
      </c>
      <c r="AN149" s="14">
        <f t="shared" si="226"/>
        <v>1.4480343475680464</v>
      </c>
      <c r="AO149">
        <f t="shared" si="192"/>
        <v>0.25511549717868143</v>
      </c>
      <c r="AP149" s="14">
        <f t="shared" si="227"/>
        <v>1.6512155444507881</v>
      </c>
      <c r="AQ149">
        <f t="shared" si="193"/>
        <v>0.31847301550335433</v>
      </c>
    </row>
    <row r="150" spans="1:43" x14ac:dyDescent="0.25">
      <c r="A150" s="139">
        <v>0.55000000000000004</v>
      </c>
      <c r="B150" s="275">
        <f>'Sub C_D_0'!AZ111</f>
        <v>4.4209591774583522E-2</v>
      </c>
      <c r="C150" s="275">
        <f>'C_L vs. α'!X402</f>
        <v>0.14246241120449887</v>
      </c>
      <c r="D150" s="247">
        <f>'C_L vs. α'!AB402</f>
        <v>0.64515232241407749</v>
      </c>
      <c r="E150" s="144">
        <v>16</v>
      </c>
      <c r="F150" s="14">
        <f t="shared" si="194"/>
        <v>0.81823130782390985</v>
      </c>
      <c r="G150" s="6">
        <f t="shared" si="195"/>
        <v>0.10795494941037022</v>
      </c>
      <c r="H150" s="14">
        <f t="shared" si="196"/>
        <v>0.82086045180621681</v>
      </c>
      <c r="I150" s="6">
        <f t="shared" si="197"/>
        <v>0.10489829206606248</v>
      </c>
      <c r="J150" s="14">
        <f t="shared" si="198"/>
        <v>0.82524533291584279</v>
      </c>
      <c r="K150" s="6">
        <f t="shared" si="199"/>
        <v>0.10372513096341895</v>
      </c>
      <c r="L150" s="14">
        <f t="shared" si="200"/>
        <v>0.8314881969948289</v>
      </c>
      <c r="M150" s="6">
        <f t="shared" si="201"/>
        <v>0.10340764303904118</v>
      </c>
      <c r="N150" s="14">
        <f t="shared" si="202"/>
        <v>0.83972725788485292</v>
      </c>
      <c r="O150" s="6">
        <f t="shared" si="203"/>
        <v>0.10367523748403623</v>
      </c>
      <c r="P150" s="14">
        <f t="shared" si="204"/>
        <v>0.85011781788812113</v>
      </c>
      <c r="Q150" s="6">
        <f t="shared" si="205"/>
        <v>0.1049100045704101</v>
      </c>
      <c r="R150" s="14">
        <f t="shared" si="206"/>
        <v>0.8629780492681296</v>
      </c>
      <c r="S150" s="6">
        <f t="shared" si="207"/>
        <v>0.10614290085872828</v>
      </c>
      <c r="T150" s="14">
        <f t="shared" si="208"/>
        <v>0.87860655886519123</v>
      </c>
      <c r="U150" s="6">
        <f t="shared" si="209"/>
        <v>0.10788429545110832</v>
      </c>
      <c r="V150" s="14">
        <f t="shared" si="210"/>
        <v>0.8974445916779703</v>
      </c>
      <c r="W150" s="6">
        <f t="shared" si="211"/>
        <v>0.11019665646632645</v>
      </c>
      <c r="X150" s="14">
        <f t="shared" si="212"/>
        <v>0.9200812366084673</v>
      </c>
      <c r="Y150" s="6">
        <f t="shared" si="213"/>
        <v>0.11318213871307627</v>
      </c>
      <c r="Z150" s="14">
        <f t="shared" si="214"/>
        <v>0.94731333017348385</v>
      </c>
      <c r="AA150" s="6">
        <f t="shared" si="215"/>
        <v>0.11699439802995458</v>
      </c>
      <c r="AB150" s="14">
        <f t="shared" si="216"/>
        <v>0.98023911514678153</v>
      </c>
      <c r="AC150" s="6">
        <f t="shared" si="217"/>
        <v>0.12186116692132166</v>
      </c>
      <c r="AD150" s="14">
        <f t="shared" si="218"/>
        <v>1.0204222471939586</v>
      </c>
      <c r="AE150" s="6">
        <f t="shared" si="219"/>
        <v>0.12859835564715646</v>
      </c>
      <c r="AF150" s="14">
        <f t="shared" si="220"/>
        <v>1.0701222210398673</v>
      </c>
      <c r="AG150" s="6">
        <f t="shared" si="221"/>
        <v>0.13678646912429432</v>
      </c>
      <c r="AH150" s="14">
        <f t="shared" si="222"/>
        <v>1.1327599516972715</v>
      </c>
      <c r="AI150" s="6">
        <f t="shared" si="223"/>
        <v>0.14775667728272515</v>
      </c>
      <c r="AJ150" s="14">
        <f t="shared" si="224"/>
        <v>1.2137502704036736</v>
      </c>
      <c r="AK150">
        <f t="shared" si="190"/>
        <v>0.19211354340169332</v>
      </c>
      <c r="AL150" s="14">
        <f t="shared" si="225"/>
        <v>1.3223563428897893</v>
      </c>
      <c r="AM150">
        <f t="shared" si="191"/>
        <v>0.22016835375648389</v>
      </c>
      <c r="AN150" s="14">
        <f t="shared" si="226"/>
        <v>1.4730516451889739</v>
      </c>
      <c r="AO150">
        <f t="shared" si="192"/>
        <v>0.26248709586575164</v>
      </c>
      <c r="AP150" s="14">
        <f t="shared" si="227"/>
        <v>1.6753689016152937</v>
      </c>
      <c r="AQ150">
        <f t="shared" si="193"/>
        <v>0.32657801519508978</v>
      </c>
    </row>
    <row r="151" spans="1:43" x14ac:dyDescent="0.25">
      <c r="A151" s="129">
        <v>0.6</v>
      </c>
      <c r="B151" s="275">
        <f>'Sub C_D_0'!AZ112</f>
        <v>4.3932401963867877E-2</v>
      </c>
      <c r="C151" s="275">
        <f>'C_L vs. α'!X403</f>
        <v>0.15216167774264583</v>
      </c>
      <c r="D151" s="247">
        <f>'C_L vs. α'!AB403</f>
        <v>0.66815476260936835</v>
      </c>
    </row>
    <row r="152" spans="1:43" x14ac:dyDescent="0.25">
      <c r="A152" s="139">
        <v>0.65</v>
      </c>
      <c r="B152" s="275">
        <f>'Sub C_D_0'!AZ113</f>
        <v>4.4153505327343467E-2</v>
      </c>
      <c r="C152" s="275">
        <f>'C_L vs. α'!X404</f>
        <v>0.16427195887086532</v>
      </c>
      <c r="D152" s="247">
        <f>'C_L vs. α'!AB404</f>
        <v>0.69616430046180855</v>
      </c>
    </row>
    <row r="153" spans="1:43" x14ac:dyDescent="0.25">
      <c r="A153" s="129">
        <v>0.7</v>
      </c>
      <c r="B153" s="275">
        <f>'Sub C_D_0'!AZ114</f>
        <v>4.3919959621190136E-2</v>
      </c>
      <c r="C153" s="275">
        <f>'C_L vs. α'!X405</f>
        <v>0.17957296921450339</v>
      </c>
      <c r="D153" s="247">
        <f>'C_L vs. α'!AB405</f>
        <v>0.73073273471171618</v>
      </c>
    </row>
    <row r="154" spans="1:43" x14ac:dyDescent="0.25">
      <c r="A154" s="139">
        <v>0.75</v>
      </c>
      <c r="B154" s="275">
        <f>'Sub C_D_0'!AZ115</f>
        <v>4.3705628584115599E-2</v>
      </c>
      <c r="C154" s="275">
        <f>'C_L vs. α'!X406</f>
        <v>0.19919440160472265</v>
      </c>
      <c r="D154" s="247">
        <f>'C_L vs. α'!AB406</f>
        <v>0.7742205053262986</v>
      </c>
    </row>
    <row r="155" spans="1:43" x14ac:dyDescent="0.25">
      <c r="A155" s="129">
        <v>0.8</v>
      </c>
      <c r="B155" s="275">
        <f>'Sub C_D_0'!AZ116</f>
        <v>4.3507789280187503E-2</v>
      </c>
      <c r="C155" s="275">
        <f>'C_L vs. α'!X407</f>
        <v>0.22470712759551215</v>
      </c>
      <c r="D155" s="247">
        <f>'C_L vs. α'!AB407</f>
        <v>0.83041164474938745</v>
      </c>
    </row>
    <row r="156" spans="1:43" x14ac:dyDescent="0.25">
      <c r="A156" s="139">
        <v>0.85</v>
      </c>
      <c r="B156" s="275">
        <f>'Sub C_D_0'!AZ117</f>
        <v>4.3778357075100076E-2</v>
      </c>
      <c r="C156" s="275">
        <f>'C_L vs. α'!X408</f>
        <v>0.25871347316564169</v>
      </c>
      <c r="D156" s="247">
        <f>'C_L vs. α'!AB408</f>
        <v>0.90578940361991822</v>
      </c>
    </row>
    <row r="157" spans="1:43" x14ac:dyDescent="0.25">
      <c r="A157" s="129">
        <v>0.9</v>
      </c>
      <c r="B157" s="275">
        <f>'Sub C_D_0'!AZ118</f>
        <v>4.3603661898125208E-2</v>
      </c>
      <c r="C157" s="275">
        <f>'C_L vs. α'!X409</f>
        <v>0.29690816662707575</v>
      </c>
      <c r="D157" s="247">
        <f>'C_L vs. α'!AB409</f>
        <v>1.012370337747668</v>
      </c>
    </row>
    <row r="158" spans="1:43" x14ac:dyDescent="0.25">
      <c r="A158" s="139">
        <v>0.95</v>
      </c>
      <c r="B158" s="275">
        <f>'Sub C_D_0'!AZ119</f>
        <v>4.344021983708387E-2</v>
      </c>
      <c r="C158" s="275">
        <f>'C_L vs. α'!X410</f>
        <v>0.27010057359335643</v>
      </c>
      <c r="D158" s="247">
        <f>'C_L vs. α'!AB410</f>
        <v>1.1728890272208958</v>
      </c>
    </row>
    <row r="159" spans="1:43" s="29" customFormat="1" x14ac:dyDescent="0.25">
      <c r="A159" s="11"/>
      <c r="B159" s="271"/>
      <c r="C159" s="271"/>
      <c r="D159" s="11"/>
    </row>
    <row r="160" spans="1:43" s="29" customFormat="1" x14ac:dyDescent="0.25">
      <c r="A160" s="122" t="s">
        <v>537</v>
      </c>
      <c r="B160" s="267" t="s">
        <v>294</v>
      </c>
      <c r="C160" s="264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s="29" customFormat="1" x14ac:dyDescent="0.25">
      <c r="A161" s="122" t="s">
        <v>202</v>
      </c>
      <c r="B161" s="274">
        <v>20000</v>
      </c>
      <c r="C161" s="267" t="s">
        <v>538</v>
      </c>
      <c r="D161" s="122" t="s">
        <v>539</v>
      </c>
      <c r="E161"/>
      <c r="F161" s="1" t="s">
        <v>536</v>
      </c>
      <c r="G161" s="140">
        <v>0.05</v>
      </c>
      <c r="H161" s="1" t="s">
        <v>536</v>
      </c>
      <c r="I161" s="140">
        <v>0.1</v>
      </c>
      <c r="J161" s="1" t="s">
        <v>536</v>
      </c>
      <c r="K161" s="140">
        <v>0.15</v>
      </c>
      <c r="L161" s="1" t="s">
        <v>536</v>
      </c>
      <c r="M161" s="140">
        <v>0.2</v>
      </c>
      <c r="N161" t="s">
        <v>536</v>
      </c>
      <c r="O161" s="141">
        <v>0.25</v>
      </c>
      <c r="P161" t="s">
        <v>536</v>
      </c>
      <c r="Q161" s="141">
        <v>0.3</v>
      </c>
      <c r="R161" t="s">
        <v>536</v>
      </c>
      <c r="S161" s="141">
        <v>0.35</v>
      </c>
      <c r="T161" t="s">
        <v>536</v>
      </c>
      <c r="U161" s="141">
        <v>0.4</v>
      </c>
      <c r="V161" t="s">
        <v>536</v>
      </c>
      <c r="W161" s="141">
        <v>0.45</v>
      </c>
      <c r="X161" t="s">
        <v>536</v>
      </c>
      <c r="Y161" s="141">
        <v>0.5</v>
      </c>
      <c r="Z161" t="s">
        <v>536</v>
      </c>
      <c r="AA161" s="141">
        <v>0.55000000000000004</v>
      </c>
      <c r="AB161" t="s">
        <v>536</v>
      </c>
      <c r="AC161" s="141">
        <v>0.6</v>
      </c>
      <c r="AD161" t="s">
        <v>536</v>
      </c>
      <c r="AE161" s="141">
        <v>0.65</v>
      </c>
      <c r="AF161" t="s">
        <v>536</v>
      </c>
      <c r="AG161" s="141">
        <v>0.7</v>
      </c>
      <c r="AH161" t="s">
        <v>536</v>
      </c>
      <c r="AI161" s="141">
        <v>0.75</v>
      </c>
      <c r="AJ161" t="s">
        <v>536</v>
      </c>
      <c r="AK161" s="141">
        <v>0.8</v>
      </c>
      <c r="AL161" t="s">
        <v>536</v>
      </c>
      <c r="AM161" s="141">
        <v>0.85</v>
      </c>
      <c r="AN161" t="s">
        <v>536</v>
      </c>
      <c r="AO161" s="141">
        <v>0.9</v>
      </c>
      <c r="AP161" t="s">
        <v>536</v>
      </c>
      <c r="AQ161" s="141">
        <v>0.95</v>
      </c>
    </row>
    <row r="162" spans="1:43" s="29" customFormat="1" x14ac:dyDescent="0.25">
      <c r="A162" s="121" t="s">
        <v>182</v>
      </c>
      <c r="B162" s="269" t="s">
        <v>534</v>
      </c>
      <c r="C162" s="269" t="s">
        <v>535</v>
      </c>
      <c r="D162" s="248" t="s">
        <v>1126</v>
      </c>
      <c r="E162" s="121" t="s">
        <v>421</v>
      </c>
      <c r="F162" s="14" t="s">
        <v>244</v>
      </c>
      <c r="G162" s="6" t="s">
        <v>245</v>
      </c>
      <c r="H162" s="14" t="s">
        <v>244</v>
      </c>
      <c r="I162" s="6" t="s">
        <v>245</v>
      </c>
      <c r="J162" s="14" t="s">
        <v>244</v>
      </c>
      <c r="K162" s="6" t="s">
        <v>245</v>
      </c>
      <c r="L162" s="14" t="s">
        <v>244</v>
      </c>
      <c r="M162" s="6" t="s">
        <v>245</v>
      </c>
      <c r="N162" t="s">
        <v>244</v>
      </c>
      <c r="O162" t="s">
        <v>245</v>
      </c>
      <c r="P162" t="s">
        <v>244</v>
      </c>
      <c r="Q162" t="s">
        <v>245</v>
      </c>
      <c r="R162" t="s">
        <v>244</v>
      </c>
      <c r="S162" t="s">
        <v>245</v>
      </c>
      <c r="T162" t="s">
        <v>244</v>
      </c>
      <c r="U162" t="s">
        <v>245</v>
      </c>
      <c r="V162" t="s">
        <v>244</v>
      </c>
      <c r="W162" t="s">
        <v>245</v>
      </c>
      <c r="X162" t="s">
        <v>244</v>
      </c>
      <c r="Y162" t="s">
        <v>245</v>
      </c>
      <c r="Z162" t="s">
        <v>244</v>
      </c>
      <c r="AA162" t="s">
        <v>245</v>
      </c>
      <c r="AB162" t="s">
        <v>244</v>
      </c>
      <c r="AC162" t="s">
        <v>245</v>
      </c>
      <c r="AD162" t="s">
        <v>244</v>
      </c>
      <c r="AE162" t="s">
        <v>245</v>
      </c>
      <c r="AF162" t="s">
        <v>244</v>
      </c>
      <c r="AG162" t="s">
        <v>245</v>
      </c>
      <c r="AH162" t="s">
        <v>244</v>
      </c>
      <c r="AI162" t="s">
        <v>245</v>
      </c>
      <c r="AJ162" t="s">
        <v>244</v>
      </c>
      <c r="AK162" t="s">
        <v>245</v>
      </c>
      <c r="AL162" t="s">
        <v>244</v>
      </c>
      <c r="AM162" t="s">
        <v>245</v>
      </c>
      <c r="AN162" t="s">
        <v>244</v>
      </c>
      <c r="AO162" t="s">
        <v>245</v>
      </c>
      <c r="AP162" t="s">
        <v>244</v>
      </c>
      <c r="AQ162" t="s">
        <v>245</v>
      </c>
    </row>
    <row r="163" spans="1:43" s="29" customFormat="1" x14ac:dyDescent="0.25">
      <c r="A163" s="129">
        <v>0</v>
      </c>
      <c r="B163" s="270" t="e">
        <f>'Sub C_D_0'!AZ130</f>
        <v>#DIV/0!</v>
      </c>
      <c r="C163" s="270" t="e">
        <f>'C_L vs. α'!X416</f>
        <v>#NUM!</v>
      </c>
      <c r="D163" s="247">
        <f>'C_L vs. α'!AB416</f>
        <v>0.55396232552297364</v>
      </c>
      <c r="E163" s="144">
        <v>-6</v>
      </c>
      <c r="F163" s="14">
        <f>$D$19+$C$19*(RADIANS(E163-$B$12))+$E$10*RADIANS(E163)^2</f>
        <v>0.72384986989391042</v>
      </c>
      <c r="G163" s="6">
        <f>$B$140+$B$7*F163^2+$B$8*(F163-F$142)^2</f>
        <v>9.601501337586589E-2</v>
      </c>
      <c r="H163" s="14">
        <f>$D$20+$C$20*(RADIANS(E163-$B$12))+$E$10*RADIANS(E163)^2</f>
        <v>0.72615267857249299</v>
      </c>
      <c r="I163" s="6">
        <f>$B$141+$B$7*H163^2+$B$8*(H163-H$142)^2</f>
        <v>9.2879015750426758E-2</v>
      </c>
      <c r="J163" s="14">
        <f>$D$21+$C$21*(RADIANS(E163-$B$12))+$E$10*RADIANS(E163)^2</f>
        <v>0.73005768065640497</v>
      </c>
      <c r="K163" s="6">
        <f>$B$142+$B$7*J163^2+$B$8*(J163-J$142)^2</f>
        <v>9.1580721573459228E-2</v>
      </c>
      <c r="L163" s="14">
        <f>$D$22+$C$22*(RADIANS(E163-$B$12))+$E$10*RADIANS(E163)^2</f>
        <v>0.73564057725707677</v>
      </c>
      <c r="M163" s="6">
        <f>$B$143+$B$7*L163^2+$B$8*(L163-L$142)^2</f>
        <v>9.1086789654139591E-2</v>
      </c>
      <c r="N163" s="14">
        <f>$D$23+$C$23*(RADIANS(E163-$B$12))+$E$10*RADIANS(E163)^2</f>
        <v>0.74301721518081665</v>
      </c>
      <c r="O163" s="6">
        <f>$B$144+$B$7*N163^2+$B$8*(N163-N$142)^2</f>
        <v>9.11206299253597E-2</v>
      </c>
      <c r="P163" s="14">
        <f>$D$24+$C$24*(RADIANS(E163-$B$12))+$E$10*RADIANS(E163)^2</f>
        <v>0.75235870544974559</v>
      </c>
      <c r="Q163" s="6">
        <f>$B$145+$B$7*P163^2+$B$8*(P163-P$142)^2</f>
        <v>9.2062273673883449E-2</v>
      </c>
      <c r="R163" s="14">
        <f>$D$25+$C$25*(RADIANS(E163-$B$12))+$E$10*RADIANS(E163)^2</f>
        <v>0.76386273862890797</v>
      </c>
      <c r="S163" s="6">
        <f>$B$146+$B$7*R163^2+$B$8*(R163-R$142)^2</f>
        <v>9.2920414184759451E-2</v>
      </c>
      <c r="T163" s="14">
        <f>$D$26+$C$26*(RADIANS(E163-$B$12))+$E$10*RADIANS(E163)^2</f>
        <v>0.77782799896350252</v>
      </c>
      <c r="U163" s="6">
        <f>$B$147+$B$7*T163^2+$B$8*(T163-T$142)^2</f>
        <v>9.4197200603243048E-2</v>
      </c>
      <c r="V163" s="14">
        <f>$D$27+$C$27*(RADIANS(E163-$B$12))+$E$10*RADIANS(E163)^2</f>
        <v>0.79463692068439673</v>
      </c>
      <c r="W163" s="6">
        <f>$B$148+$B$7*V163^2+$B$8*(V163-V$142)^2</f>
        <v>9.5935700888607034E-2</v>
      </c>
      <c r="X163" s="14">
        <f>$D$28+$C$28*(RADIANS(E163-$B$12))+$E$10*RADIANS(E163)^2</f>
        <v>0.81479951905945946</v>
      </c>
      <c r="Y163" s="6">
        <f>$B$149+$B$7*X163^2+$B$8*(X163-X$142)^2</f>
        <v>9.821121404469392E-2</v>
      </c>
      <c r="Z163" s="14">
        <f>$D$29+$C$29*(RADIANS(E163-$B$12))+$E$10*RADIANS(E163)^2</f>
        <v>0.83900486658850959</v>
      </c>
      <c r="AA163" s="6">
        <f>$B$150+$B$7*Z163^2+$B$8*(Z163-Z$142)^2</f>
        <v>0.10113953877397705</v>
      </c>
      <c r="AB163" s="14">
        <f>$D$30+$C$30*(RADIANS(E163-$B$12))+$E$10*RADIANS(E163)^2</f>
        <v>0.86820197098329788</v>
      </c>
      <c r="AC163" s="6">
        <f>$B$151+$B$7*AB163^2+$B$8*(AB163-AB$142)^2</f>
        <v>0.10489379764846792</v>
      </c>
      <c r="AD163" s="14">
        <f>$D$31+$C$31*(RADIANS(E163-$B$12))+$E$10*RADIANS(E163)^2</f>
        <v>0.90372808790113346</v>
      </c>
      <c r="AE163" s="6">
        <f>$B$152+$B$7*AD163^2+$B$8*(AD163-AD$142)^2</f>
        <v>0.11020626518664109</v>
      </c>
      <c r="AF163" s="14">
        <f>$D$32+$C$32*(RADIANS(E163-$B$12))+$E$10*RADIANS(E163)^2</f>
        <v>0.94754167452993099</v>
      </c>
      <c r="AG163" s="6">
        <f>$B$153+$B$7*AF163^2+$B$8*(AF163-AF$142)^2</f>
        <v>0.11653302143455214</v>
      </c>
      <c r="AH163" s="14">
        <f>$D$33+$C$33*(RADIANS(E163-$B$12))+$E$10*RADIANS(E163)^2</f>
        <v>1.0026264448366058</v>
      </c>
      <c r="AI163" s="6">
        <f>$B$154+$B$7*AH163^2+$B$8*(AH163-AH$142)^2</f>
        <v>0.12500739903959779</v>
      </c>
      <c r="AJ163" s="14">
        <f>$D$34+$C$34*(RADIANS(E163-$B$12))+$E$10*RADIANS(E163)^2</f>
        <v>1.0737859735044064</v>
      </c>
      <c r="AK163">
        <f t="shared" ref="AK163:AK174" si="228">$B$155+$B$9*AJ163^2</f>
        <v>0.15981654238084919</v>
      </c>
      <c r="AL163" s="14">
        <f>$D$35+$C$35*(RADIANS(E163-$B$12))+$E$10*RADIANS(E163)^2</f>
        <v>1.1692544763857668</v>
      </c>
      <c r="AM163">
        <f t="shared" ref="AM163:AM174" si="229">$B$156+$B$9*AL163^2</f>
        <v>0.18168812546011523</v>
      </c>
      <c r="AN163" s="14">
        <f>$D$36+$C$36*(RADIANS(E163-$B$12))+$E$10*RADIANS(E163)^2</f>
        <v>1.3050867031236932</v>
      </c>
      <c r="AO163">
        <f t="shared" ref="AO163:AO174" si="230">$B$157+$B$9*AN163^2</f>
        <v>0.21541652553926535</v>
      </c>
      <c r="AP163" s="14">
        <f>$D$37+$C$37*(RADIANS(E163-$B$12))+$E$10*RADIANS(E163)^2</f>
        <v>1.5169073045706536</v>
      </c>
      <c r="AQ163">
        <f t="shared" ref="AQ163:AQ174" si="231">$B$158+$B$9*AP163^2</f>
        <v>0.27555085067457613</v>
      </c>
    </row>
    <row r="164" spans="1:43" s="29" customFormat="1" x14ac:dyDescent="0.25">
      <c r="A164" s="139">
        <v>0.05</v>
      </c>
      <c r="B164" s="275">
        <f>'Sub C_D_0'!AZ131</f>
        <v>5.7438397498901797E-2</v>
      </c>
      <c r="C164" s="275">
        <f>'C_L vs. α'!X417</f>
        <v>0.10607231296122756</v>
      </c>
      <c r="D164" s="247">
        <f>'C_L vs. α'!AB417</f>
        <v>0.55456498931698928</v>
      </c>
      <c r="E164" s="144">
        <v>-4</v>
      </c>
      <c r="F164" s="14">
        <f t="shared" ref="F164:F174" si="232">$D$19+$C$19*(RADIANS(E164-$B$12))+$E$10*RADIANS(E164)^2</f>
        <v>0.72268224318164487</v>
      </c>
      <c r="G164" s="6">
        <f t="shared" ref="G164:G174" si="233">$B$140+$B$7*F164^2+$B$8*(F164-F$142)^2</f>
        <v>9.5878554145964967E-2</v>
      </c>
      <c r="H164" s="14">
        <f t="shared" ref="H164:H174" si="234">$D$20+$C$20*(RADIANS(E164-$B$12))+$E$10*RADIANS(E164)^2</f>
        <v>0.72501471870602052</v>
      </c>
      <c r="I164" s="6">
        <f t="shared" ref="I164:I174" si="235">$B$141+$B$7*H164^2+$B$8*(H164-H$142)^2</f>
        <v>9.2745600438905521E-2</v>
      </c>
      <c r="J164" s="14">
        <f t="shared" ref="J164:J174" si="236">$D$21+$C$21*(RADIANS(E164-$B$12))+$E$10*RADIANS(E164)^2</f>
        <v>0.72896334615590652</v>
      </c>
      <c r="K164" s="6">
        <f t="shared" ref="K164:K174" si="237">$B$142+$B$7*J164^2+$B$8*(J164-J$142)^2</f>
        <v>9.1451730641470094E-2</v>
      </c>
      <c r="L164" s="14">
        <f t="shared" ref="L164:L174" si="238">$D$22+$C$22*(RADIANS(E164-$B$12))+$E$10*RADIANS(E164)^2</f>
        <v>0.73460623980006134</v>
      </c>
      <c r="M164" s="6">
        <f t="shared" ref="M164:M174" si="239">$B$143+$B$7*L164^2+$B$8*(L164-L$142)^2</f>
        <v>9.0963937831453845E-2</v>
      </c>
      <c r="N164" s="14">
        <f t="shared" ref="N164:N174" si="240">$D$23+$C$23*(RADIANS(E164-$B$12))+$E$10*RADIANS(E164)^2</f>
        <v>0.74206127981164527</v>
      </c>
      <c r="O164" s="6">
        <f t="shared" ref="O164:O174" si="241">$B$144+$B$7*N164^2+$B$8*(N164-N$142)^2</f>
        <v>9.1005951049283745E-2</v>
      </c>
      <c r="P164" s="14">
        <f t="shared" ref="P164:P174" si="242">$D$24+$C$24*(RADIANS(E164-$B$12))+$E$10*RADIANS(E164)^2</f>
        <v>0.75149814005642324</v>
      </c>
      <c r="Q164" s="6">
        <f t="shared" ref="Q164:Q174" si="243">$B$145+$B$7*P164^2+$B$8*(P164-P$142)^2</f>
        <v>9.1957737157991631E-2</v>
      </c>
      <c r="R164" s="14">
        <f t="shared" ref="R164:R174" si="244">$D$25+$C$25*(RADIANS(E164-$B$12))+$E$10*RADIANS(E164)^2</f>
        <v>0.76312546398111714</v>
      </c>
      <c r="S164" s="6">
        <f t="shared" ref="S164:S174" si="245">$B$146+$B$7*R164^2+$B$8*(R164-R$142)^2</f>
        <v>9.2829484177487639E-2</v>
      </c>
      <c r="T164" s="14">
        <f t="shared" ref="T164:T174" si="246">$D$26+$C$26*(RADIANS(E164-$B$12))+$E$10*RADIANS(E164)^2</f>
        <v>0.7772419287941178</v>
      </c>
      <c r="U164" s="6">
        <f t="shared" ref="U164:U174" si="247">$B$147+$B$7*T164^2+$B$8*(T164-T$142)^2</f>
        <v>9.4123596896410422E-2</v>
      </c>
      <c r="V164" s="14">
        <f t="shared" ref="V164:V174" si="248">$D$27+$C$27*(RADIANS(E164-$B$12))+$E$10*RADIANS(E164)^2</f>
        <v>0.79423531515972878</v>
      </c>
      <c r="W164" s="6">
        <f t="shared" ref="W164:W174" si="249">$B$148+$B$7*V164^2+$B$8*(V164-V$142)^2</f>
        <v>9.5884173365536812E-2</v>
      </c>
      <c r="X164" s="14">
        <f t="shared" ref="X164:X174" si="250">$D$28+$C$28*(RADIANS(E164-$B$12))+$E$10*RADIANS(E164)^2</f>
        <v>0.81462282685801291</v>
      </c>
      <c r="Y164" s="6">
        <f t="shared" ref="Y164:Y174" si="251">$B$149+$B$7*X164^2+$B$8*(X164-X$142)^2</f>
        <v>9.8187968284924321E-2</v>
      </c>
      <c r="Z164" s="14">
        <f t="shared" ref="Z164:Z174" si="252">$D$29+$C$29*(RADIANS(E164-$B$12))+$E$10*RADIANS(E164)^2</f>
        <v>0.83910333311760532</v>
      </c>
      <c r="AA164" s="6">
        <f t="shared" ref="AA164:AA174" si="253">$B$150+$B$7*Z164^2+$B$8*(Z164-Z$142)^2</f>
        <v>0.10115287809718561</v>
      </c>
      <c r="AB164" s="14">
        <f t="shared" ref="AB164:AB174" si="254">$D$30+$C$30*(RADIANS(E164-$B$12))+$E$10*RADIANS(E164)^2</f>
        <v>0.86863940847407639</v>
      </c>
      <c r="AC164" s="6">
        <f t="shared" ref="AC164:AC174" si="255">$B$151+$B$7*AB164^2+$B$8*(AB164-AB$142)^2</f>
        <v>0.10495512056396485</v>
      </c>
      <c r="AD164" s="14">
        <f t="shared" ref="AD164:AD174" si="256">$D$31+$C$31*(RADIANS(E164-$B$12))+$E$10*RADIANS(E164)^2</f>
        <v>0.90458889040367019</v>
      </c>
      <c r="AE164" s="6">
        <f t="shared" ref="AE164:AE174" si="257">$B$152+$B$7*AD164^2+$B$8*(AD164-AD$142)^2</f>
        <v>0.11033187765115463</v>
      </c>
      <c r="AF164" s="14">
        <f t="shared" ref="AF164:AF174" si="258">$D$32+$C$32*(RADIANS(E164-$B$12))+$E$10*RADIANS(E164)^2</f>
        <v>0.94893760314311415</v>
      </c>
      <c r="AG164" s="6">
        <f t="shared" ref="AG164:AG174" si="259">$B$153+$B$7*AF164^2+$B$8*(AF164-AF$142)^2</f>
        <v>0.11674660034767878</v>
      </c>
      <c r="AH164" s="14">
        <f t="shared" ref="AH164:AH174" si="260">$D$33+$C$33*(RADIANS(E164-$B$12))+$E$10*RADIANS(E164)^2</f>
        <v>1.0047090062089461</v>
      </c>
      <c r="AI164" s="6">
        <f t="shared" ref="AI164:AI174" si="261">$B$154+$B$7*AH164^2+$B$8*(AH164-AH$142)^2</f>
        <v>0.12534456150762227</v>
      </c>
      <c r="AJ164" s="14">
        <f t="shared" ref="AJ164:AJ174" si="262">$D$34+$C$34*(RADIANS(E164-$B$12))+$E$10*RADIANS(E164)^2</f>
        <v>1.076762243062074</v>
      </c>
      <c r="AK164">
        <f t="shared" si="228"/>
        <v>0.16046219422080771</v>
      </c>
      <c r="AL164" s="14">
        <f t="shared" ref="AL164:AL174" si="263">$D$35+$C$35*(RADIANS(E164-$B$12))+$E$10*RADIANS(E164)^2</f>
        <v>1.1734250704529579</v>
      </c>
      <c r="AM164">
        <f t="shared" si="229"/>
        <v>0.18267369609134945</v>
      </c>
      <c r="AN164" s="14">
        <f t="shared" ref="AN164:AN174" si="264">$D$36+$C$36*(RADIANS(E164-$B$12))+$E$10*RADIANS(E164)^2</f>
        <v>1.3106084858782712</v>
      </c>
      <c r="AO164">
        <f t="shared" si="230"/>
        <v>0.21687347134062568</v>
      </c>
      <c r="AP164" s="14">
        <f t="shared" ref="AP164:AP174" si="265">$D$37+$C$37*(RADIANS(E164-$B$12))+$E$10*RADIANS(E164)^2</f>
        <v>1.5215651468688098</v>
      </c>
      <c r="AQ164">
        <f t="shared" si="231"/>
        <v>0.27697848516029022</v>
      </c>
    </row>
    <row r="165" spans="1:43" s="29" customFormat="1" x14ac:dyDescent="0.25">
      <c r="A165" s="129">
        <v>0.1</v>
      </c>
      <c r="B165" s="275">
        <f>'Sub C_D_0'!AZ132</f>
        <v>5.3461101984448811E-2</v>
      </c>
      <c r="C165" s="275">
        <f>'C_L vs. α'!X418</f>
        <v>0.10691194222125561</v>
      </c>
      <c r="D165" s="247">
        <f>'C_L vs. α'!AB418</f>
        <v>0.55638482940940404</v>
      </c>
      <c r="E165" s="144">
        <v>-2</v>
      </c>
      <c r="F165" s="14">
        <f t="shared" si="232"/>
        <v>0.7234641679560142</v>
      </c>
      <c r="G165" s="6">
        <f t="shared" si="233"/>
        <v>9.5969906398702537E-2</v>
      </c>
      <c r="H165" s="14">
        <f t="shared" si="234"/>
        <v>0.72582631032618294</v>
      </c>
      <c r="I165" s="6">
        <f t="shared" si="235"/>
        <v>9.2840725360897672E-2</v>
      </c>
      <c r="J165" s="14">
        <f t="shared" si="236"/>
        <v>0.72981856314204296</v>
      </c>
      <c r="K165" s="6">
        <f t="shared" si="237"/>
        <v>9.1552515786890415E-2</v>
      </c>
      <c r="L165" s="14">
        <f t="shared" si="238"/>
        <v>0.73552145382968093</v>
      </c>
      <c r="M165" s="6">
        <f t="shared" si="239"/>
        <v>9.107262995675941E-2</v>
      </c>
      <c r="N165" s="14">
        <f t="shared" si="240"/>
        <v>0.74305489592910889</v>
      </c>
      <c r="O165" s="6">
        <f t="shared" si="241"/>
        <v>9.1125154076579618E-2</v>
      </c>
      <c r="P165" s="14">
        <f t="shared" si="242"/>
        <v>0.75258712614973589</v>
      </c>
      <c r="Q165" s="6">
        <f t="shared" si="243"/>
        <v>9.2090045993802397E-2</v>
      </c>
      <c r="R165" s="14">
        <f t="shared" si="244"/>
        <v>0.7643377408199612</v>
      </c>
      <c r="S165" s="6">
        <f t="shared" si="245"/>
        <v>9.2979055531558746E-2</v>
      </c>
      <c r="T165" s="14">
        <f t="shared" si="246"/>
        <v>0.77860541011136797</v>
      </c>
      <c r="U165" s="6">
        <f t="shared" si="247"/>
        <v>9.4294941471864374E-2</v>
      </c>
      <c r="V165" s="14">
        <f t="shared" si="248"/>
        <v>0.79578326112169573</v>
      </c>
      <c r="W165" s="6">
        <f t="shared" si="249"/>
        <v>9.6082959743330115E-2</v>
      </c>
      <c r="X165" s="14">
        <f t="shared" si="250"/>
        <v>0.81639568614320113</v>
      </c>
      <c r="Y165" s="6">
        <f t="shared" si="251"/>
        <v>9.8421492444132508E-2</v>
      </c>
      <c r="Z165" s="14">
        <f t="shared" si="252"/>
        <v>0.84115135113333594</v>
      </c>
      <c r="AA165" s="6">
        <f t="shared" si="253"/>
        <v>0.10143076784166674</v>
      </c>
      <c r="AB165" s="14">
        <f t="shared" si="254"/>
        <v>0.87102639745148969</v>
      </c>
      <c r="AC165" s="6">
        <f t="shared" si="255"/>
        <v>0.10529042473269998</v>
      </c>
      <c r="AD165" s="14">
        <f t="shared" si="256"/>
        <v>0.90739924439284181</v>
      </c>
      <c r="AE165" s="6">
        <f t="shared" si="257"/>
        <v>0.11074301883447026</v>
      </c>
      <c r="AF165" s="14">
        <f t="shared" si="258"/>
        <v>0.95228308324293232</v>
      </c>
      <c r="AG165" s="6">
        <f t="shared" si="259"/>
        <v>0.11726006328548179</v>
      </c>
      <c r="AH165" s="14">
        <f t="shared" si="260"/>
        <v>1.0087411190679214</v>
      </c>
      <c r="AI165" s="6">
        <f t="shared" si="261"/>
        <v>0.12599983945361432</v>
      </c>
      <c r="AJ165" s="14">
        <f t="shared" si="262"/>
        <v>1.0816880641063769</v>
      </c>
      <c r="AK165">
        <f t="shared" si="228"/>
        <v>0.16153469503610987</v>
      </c>
      <c r="AL165" s="14">
        <f t="shared" si="263"/>
        <v>1.1795452160067839</v>
      </c>
      <c r="AM165">
        <f t="shared" si="229"/>
        <v>0.18412632653095676</v>
      </c>
      <c r="AN165" s="14">
        <f t="shared" si="264"/>
        <v>1.3180798201194843</v>
      </c>
      <c r="AO165">
        <f t="shared" si="230"/>
        <v>0.21885460695566242</v>
      </c>
      <c r="AP165" s="14">
        <f t="shared" si="265"/>
        <v>1.5281725406536011</v>
      </c>
      <c r="AQ165">
        <f t="shared" si="231"/>
        <v>0.27901116801377129</v>
      </c>
    </row>
    <row r="166" spans="1:43" s="29" customFormat="1" x14ac:dyDescent="0.25">
      <c r="A166" s="139">
        <v>0.15</v>
      </c>
      <c r="B166" s="275">
        <f>'Sub C_D_0'!AZ133</f>
        <v>5.1419286967447519E-2</v>
      </c>
      <c r="C166" s="275">
        <f>'C_L vs. α'!X419</f>
        <v>0.10816376407631595</v>
      </c>
      <c r="D166" s="247">
        <f>'C_L vs. α'!AB419</f>
        <v>0.55945804426909762</v>
      </c>
      <c r="E166" s="143">
        <v>0</v>
      </c>
      <c r="F166" s="14">
        <f t="shared" si="232"/>
        <v>0.72619564421701832</v>
      </c>
      <c r="G166" s="6">
        <f t="shared" si="233"/>
        <v>9.6289992764732268E-2</v>
      </c>
      <c r="H166" s="14">
        <f t="shared" si="234"/>
        <v>0.72858745343298037</v>
      </c>
      <c r="I166" s="6">
        <f t="shared" si="235"/>
        <v>9.31653481523953E-2</v>
      </c>
      <c r="J166" s="14">
        <f t="shared" si="236"/>
        <v>0.7326233316148143</v>
      </c>
      <c r="K166" s="6">
        <f t="shared" si="237"/>
        <v>9.1884086121380118E-2</v>
      </c>
      <c r="L166" s="14">
        <f t="shared" si="238"/>
        <v>0.7383862193459354</v>
      </c>
      <c r="M166" s="6">
        <f t="shared" si="239"/>
        <v>9.1413945935113733E-2</v>
      </c>
      <c r="N166" s="14">
        <f t="shared" si="240"/>
        <v>0.7459980635332073</v>
      </c>
      <c r="O166" s="6">
        <f t="shared" si="241"/>
        <v>9.147941142269958E-2</v>
      </c>
      <c r="P166" s="14">
        <f t="shared" si="242"/>
        <v>0.75562566372968332</v>
      </c>
      <c r="Q166" s="6">
        <f t="shared" si="243"/>
        <v>9.2460485128390002E-2</v>
      </c>
      <c r="R166" s="14">
        <f t="shared" si="244"/>
        <v>0.76749956914544015</v>
      </c>
      <c r="S166" s="6">
        <f t="shared" si="245"/>
        <v>9.3370558670728313E-2</v>
      </c>
      <c r="T166" s="14">
        <f t="shared" si="246"/>
        <v>0.78191844291525292</v>
      </c>
      <c r="U166" s="6">
        <f t="shared" si="247"/>
        <v>9.4712843166797733E-2</v>
      </c>
      <c r="V166" s="14">
        <f t="shared" si="248"/>
        <v>0.79928075857029757</v>
      </c>
      <c r="W166" s="6">
        <f t="shared" si="249"/>
        <v>9.653388651788733E-2</v>
      </c>
      <c r="X166" s="14">
        <f t="shared" si="250"/>
        <v>0.82011809691502424</v>
      </c>
      <c r="Y166" s="6">
        <f t="shared" si="251"/>
        <v>9.8913878404267741E-2</v>
      </c>
      <c r="Z166" s="14">
        <f t="shared" si="252"/>
        <v>0.84514892063570157</v>
      </c>
      <c r="AA166" s="6">
        <f t="shared" si="253"/>
        <v>0.10197562456239168</v>
      </c>
      <c r="AB166" s="14">
        <f t="shared" si="254"/>
        <v>0.87536293791553788</v>
      </c>
      <c r="AC166" s="6">
        <f t="shared" si="255"/>
        <v>0.10590252667778757</v>
      </c>
      <c r="AD166" s="14">
        <f t="shared" si="256"/>
        <v>0.91215914986864843</v>
      </c>
      <c r="AE166" s="6">
        <f t="shared" si="257"/>
        <v>0.11144300480844439</v>
      </c>
      <c r="AF166" s="14">
        <f t="shared" si="258"/>
        <v>0.95757811482938526</v>
      </c>
      <c r="AG166" s="6">
        <f t="shared" si="259"/>
        <v>0.11807735774085633</v>
      </c>
      <c r="AH166" s="14">
        <f t="shared" si="260"/>
        <v>1.0147227834135317</v>
      </c>
      <c r="AI166" s="6">
        <f t="shared" si="261"/>
        <v>0.12697799056149026</v>
      </c>
      <c r="AJ166" s="14">
        <f t="shared" si="262"/>
        <v>1.0885634366373145</v>
      </c>
      <c r="AK166" s="99">
        <f t="shared" si="228"/>
        <v>0.16303985703994933</v>
      </c>
      <c r="AL166" s="14">
        <f t="shared" si="263"/>
        <v>1.1876149130472446</v>
      </c>
      <c r="AM166" s="99">
        <f t="shared" si="229"/>
        <v>0.18605323823306946</v>
      </c>
      <c r="AN166" s="14">
        <f t="shared" si="264"/>
        <v>1.3275007058473323</v>
      </c>
      <c r="AO166" s="99">
        <f t="shared" si="230"/>
        <v>0.22136874817103527</v>
      </c>
      <c r="AP166" s="14">
        <f t="shared" si="265"/>
        <v>1.5367294859250271</v>
      </c>
      <c r="AQ166" s="99">
        <f t="shared" si="231"/>
        <v>0.28165669561677698</v>
      </c>
    </row>
    <row r="167" spans="1:43" s="29" customFormat="1" x14ac:dyDescent="0.25">
      <c r="A167" s="129">
        <v>0.2</v>
      </c>
      <c r="B167" s="275">
        <f>'Sub C_D_0'!AZ134</f>
        <v>5.0081471169540197E-2</v>
      </c>
      <c r="C167" s="275">
        <f>'C_L vs. α'!X420</f>
        <v>0.10988714161748976</v>
      </c>
      <c r="D167" s="247">
        <f>'C_L vs. α'!AB420</f>
        <v>0.56384721039314389</v>
      </c>
      <c r="E167" s="144">
        <v>2</v>
      </c>
      <c r="F167" s="14">
        <f t="shared" si="232"/>
        <v>0.73087667196465755</v>
      </c>
      <c r="G167" s="6">
        <f t="shared" si="233"/>
        <v>9.6842036244284974E-2</v>
      </c>
      <c r="H167" s="14">
        <f t="shared" si="234"/>
        <v>0.73329814802641269</v>
      </c>
      <c r="I167" s="6">
        <f t="shared" si="235"/>
        <v>9.3722726818967581E-2</v>
      </c>
      <c r="J167" s="14">
        <f t="shared" si="236"/>
        <v>0.73737765157422064</v>
      </c>
      <c r="K167" s="6">
        <f t="shared" si="237"/>
        <v>9.2449751126176136E-2</v>
      </c>
      <c r="L167" s="14">
        <f t="shared" si="238"/>
        <v>0.74320053634882488</v>
      </c>
      <c r="M167" s="6">
        <f t="shared" si="239"/>
        <v>9.1991266041151404E-2</v>
      </c>
      <c r="N167" s="14">
        <f t="shared" si="240"/>
        <v>0.75089078262394082</v>
      </c>
      <c r="O167" s="6">
        <f t="shared" si="241"/>
        <v>9.2072195872672999E-2</v>
      </c>
      <c r="P167" s="14">
        <f t="shared" si="242"/>
        <v>0.76061375279626586</v>
      </c>
      <c r="Q167" s="6">
        <f t="shared" si="243"/>
        <v>9.3072639878405874E-2</v>
      </c>
      <c r="R167" s="14">
        <f t="shared" si="244"/>
        <v>0.77261094895755411</v>
      </c>
      <c r="S167" s="6">
        <f t="shared" si="245"/>
        <v>9.4007724388328912E-2</v>
      </c>
      <c r="T167" s="14">
        <f t="shared" si="246"/>
        <v>0.78718102720577299</v>
      </c>
      <c r="U167" s="6">
        <f t="shared" si="247"/>
        <v>9.5381211187980555E-2</v>
      </c>
      <c r="V167" s="14">
        <f t="shared" si="248"/>
        <v>0.80472780750553441</v>
      </c>
      <c r="W167" s="6">
        <f t="shared" si="249"/>
        <v>9.7241080554685888E-2</v>
      </c>
      <c r="X167" s="14">
        <f t="shared" si="250"/>
        <v>0.82579005917348236</v>
      </c>
      <c r="Y167" s="6">
        <f t="shared" si="251"/>
        <v>9.9669518416856409E-2</v>
      </c>
      <c r="Z167" s="14">
        <f t="shared" si="252"/>
        <v>0.85109604162470209</v>
      </c>
      <c r="AA167" s="6">
        <f t="shared" si="253"/>
        <v>0.10279216518390875</v>
      </c>
      <c r="AB167" s="14">
        <f t="shared" si="254"/>
        <v>0.88164902986622107</v>
      </c>
      <c r="AC167" s="6">
        <f t="shared" si="255"/>
        <v>0.10679654329191897</v>
      </c>
      <c r="AD167" s="14">
        <f t="shared" si="256"/>
        <v>0.91886860683108995</v>
      </c>
      <c r="AE167" s="6">
        <f t="shared" si="257"/>
        <v>0.11243745201451062</v>
      </c>
      <c r="AF167" s="14">
        <f t="shared" si="258"/>
        <v>0.96482269790247333</v>
      </c>
      <c r="AG167" s="6">
        <f t="shared" si="259"/>
        <v>0.1192047315762748</v>
      </c>
      <c r="AH167" s="14">
        <f t="shared" si="260"/>
        <v>1.0226539992457768</v>
      </c>
      <c r="AI167" s="6">
        <f t="shared" si="261"/>
        <v>0.12828607288474358</v>
      </c>
      <c r="AJ167" s="14">
        <f t="shared" si="262"/>
        <v>1.0973883606548871</v>
      </c>
      <c r="AK167">
        <f t="shared" si="228"/>
        <v>0.1649857928150969</v>
      </c>
      <c r="AL167" s="14">
        <f t="shared" si="263"/>
        <v>1.1976341615743404</v>
      </c>
      <c r="AM167">
        <f t="shared" si="229"/>
        <v>0.18846395302139701</v>
      </c>
      <c r="AN167" s="14">
        <f t="shared" si="264"/>
        <v>1.3388711430618152</v>
      </c>
      <c r="AO167">
        <f t="shared" si="230"/>
        <v>0.22442701114298141</v>
      </c>
      <c r="AP167" s="14">
        <f t="shared" si="265"/>
        <v>1.5472359826830882</v>
      </c>
      <c r="AQ167">
        <f t="shared" si="231"/>
        <v>0.28492516472064228</v>
      </c>
    </row>
    <row r="168" spans="1:43" s="29" customFormat="1" x14ac:dyDescent="0.25">
      <c r="A168" s="139">
        <v>0.25</v>
      </c>
      <c r="B168" s="275">
        <f>'Sub C_D_0'!AZ135</f>
        <v>4.9101748671573214E-2</v>
      </c>
      <c r="C168" s="275">
        <f>'C_L vs. α'!X421</f>
        <v>0.11213878405136782</v>
      </c>
      <c r="D168" s="247">
        <f>'C_L vs. α'!AB421</f>
        <v>0.56964491335588441</v>
      </c>
      <c r="E168" s="144">
        <v>4</v>
      </c>
      <c r="F168" s="14">
        <f t="shared" si="232"/>
        <v>0.73750725119893168</v>
      </c>
      <c r="G168" s="6">
        <f t="shared" si="233"/>
        <v>9.7631560207168525E-2</v>
      </c>
      <c r="H168" s="14">
        <f t="shared" si="234"/>
        <v>0.7399583941064799</v>
      </c>
      <c r="I168" s="6">
        <f t="shared" si="235"/>
        <v>9.4518419735760778E-2</v>
      </c>
      <c r="J168" s="14">
        <f t="shared" si="236"/>
        <v>0.74408152302026187</v>
      </c>
      <c r="K168" s="6">
        <f t="shared" si="237"/>
        <v>9.3255120652092557E-2</v>
      </c>
      <c r="L168" s="14">
        <f t="shared" si="238"/>
        <v>0.74996440483834914</v>
      </c>
      <c r="M168" s="6">
        <f t="shared" si="239"/>
        <v>9.2810270919084073E-2</v>
      </c>
      <c r="N168" s="14">
        <f t="shared" si="240"/>
        <v>0.75773305320130913</v>
      </c>
      <c r="O168" s="6">
        <f t="shared" si="241"/>
        <v>9.2909280581106285E-2</v>
      </c>
      <c r="P168" s="14">
        <f t="shared" si="242"/>
        <v>0.76755139334948319</v>
      </c>
      <c r="Q168" s="6">
        <f t="shared" si="243"/>
        <v>9.3932395930078363E-2</v>
      </c>
      <c r="R168" s="14">
        <f t="shared" si="244"/>
        <v>0.77967188025630296</v>
      </c>
      <c r="S168" s="6">
        <f t="shared" si="245"/>
        <v>9.4896583847270219E-2</v>
      </c>
      <c r="T168" s="14">
        <f t="shared" si="246"/>
        <v>0.79439316298292795</v>
      </c>
      <c r="U168" s="6">
        <f t="shared" si="247"/>
        <v>9.6306255111759831E-2</v>
      </c>
      <c r="V168" s="14">
        <f t="shared" si="248"/>
        <v>0.81212440792740614</v>
      </c>
      <c r="W168" s="6">
        <f t="shared" si="249"/>
        <v>9.8210969088780312E-2</v>
      </c>
      <c r="X168" s="14">
        <f t="shared" si="250"/>
        <v>0.83341157291857548</v>
      </c>
      <c r="Y168" s="6">
        <f t="shared" si="251"/>
        <v>0.10069510510300198</v>
      </c>
      <c r="Z168" s="14">
        <f t="shared" si="252"/>
        <v>0.85899271410033751</v>
      </c>
      <c r="AA168" s="6">
        <f t="shared" si="253"/>
        <v>0.10388740700034335</v>
      </c>
      <c r="AB168" s="14">
        <f t="shared" si="254"/>
        <v>0.88988467330353926</v>
      </c>
      <c r="AC168" s="6">
        <f t="shared" si="255"/>
        <v>0.10797989183736248</v>
      </c>
      <c r="AD168" s="14">
        <f t="shared" si="256"/>
        <v>0.92752761528016636</v>
      </c>
      <c r="AE168" s="6">
        <f t="shared" si="257"/>
        <v>0.1137342772636795</v>
      </c>
      <c r="AF168" s="14">
        <f t="shared" si="258"/>
        <v>0.97401683246219617</v>
      </c>
      <c r="AG168" s="6">
        <f t="shared" si="259"/>
        <v>0.12065073302378651</v>
      </c>
      <c r="AH168" s="14">
        <f t="shared" si="260"/>
        <v>1.0325347665646569</v>
      </c>
      <c r="AI168" s="6">
        <f t="shared" si="261"/>
        <v>0.1299334448464449</v>
      </c>
      <c r="AJ168" s="14">
        <f t="shared" si="262"/>
        <v>1.1081628361590945</v>
      </c>
      <c r="AK168">
        <f t="shared" si="228"/>
        <v>0.16738291531390043</v>
      </c>
      <c r="AL168" s="14">
        <f t="shared" si="263"/>
        <v>1.2096029615880712</v>
      </c>
      <c r="AM168">
        <f t="shared" si="229"/>
        <v>0.19137029308922593</v>
      </c>
      <c r="AN168" s="14">
        <f t="shared" si="264"/>
        <v>1.3521911317629329</v>
      </c>
      <c r="AO168">
        <f t="shared" si="230"/>
        <v>0.22804281239731483</v>
      </c>
      <c r="AP168" s="14">
        <f t="shared" si="265"/>
        <v>1.5596920309277842</v>
      </c>
      <c r="AQ168">
        <f t="shared" si="231"/>
        <v>0.28882897244627931</v>
      </c>
    </row>
    <row r="169" spans="1:43" s="29" customFormat="1" x14ac:dyDescent="0.25">
      <c r="A169" s="129">
        <v>0.3</v>
      </c>
      <c r="B169" s="275">
        <f>'Sub C_D_0'!AZ136</f>
        <v>4.8862687829755454E-2</v>
      </c>
      <c r="C169" s="275">
        <f>'C_L vs. α'!X422</f>
        <v>0.1148736684758787</v>
      </c>
      <c r="D169" s="247">
        <f>'C_L vs. α'!AB422</f>
        <v>0.57697940697139272</v>
      </c>
      <c r="E169" s="144">
        <v>6</v>
      </c>
      <c r="F169" s="14">
        <f t="shared" si="232"/>
        <v>0.74608738191984059</v>
      </c>
      <c r="G169" s="6">
        <f t="shared" si="233"/>
        <v>9.8666388392767826E-2</v>
      </c>
      <c r="H169" s="14">
        <f t="shared" si="234"/>
        <v>0.748568191673182</v>
      </c>
      <c r="I169" s="6">
        <f t="shared" si="235"/>
        <v>9.556028564749823E-2</v>
      </c>
      <c r="J169" s="14">
        <f t="shared" si="236"/>
        <v>0.75273494595293799</v>
      </c>
      <c r="K169" s="6">
        <f t="shared" si="237"/>
        <v>9.4308104919520477E-2</v>
      </c>
      <c r="L169" s="14">
        <f t="shared" si="238"/>
        <v>0.75867782481450841</v>
      </c>
      <c r="M169" s="6">
        <f t="shared" si="239"/>
        <v>9.387894158270052E-2</v>
      </c>
      <c r="N169" s="14">
        <f t="shared" si="240"/>
        <v>0.76652487526531243</v>
      </c>
      <c r="O169" s="6">
        <f t="shared" si="241"/>
        <v>9.3998739072182952E-2</v>
      </c>
      <c r="P169" s="14">
        <f t="shared" si="242"/>
        <v>0.77643858538933552</v>
      </c>
      <c r="Q169" s="6">
        <f t="shared" si="243"/>
        <v>9.5047939339213114E-2</v>
      </c>
      <c r="R169" s="14">
        <f t="shared" si="244"/>
        <v>0.7886823630416866</v>
      </c>
      <c r="S169" s="6">
        <f t="shared" si="245"/>
        <v>9.6045468580039026E-2</v>
      </c>
      <c r="T169" s="14">
        <f t="shared" si="246"/>
        <v>0.8035548502467178</v>
      </c>
      <c r="U169" s="6">
        <f t="shared" si="247"/>
        <v>9.7496484884059695E-2</v>
      </c>
      <c r="V169" s="14">
        <f t="shared" si="248"/>
        <v>0.82147055983591277</v>
      </c>
      <c r="W169" s="6">
        <f t="shared" si="249"/>
        <v>9.9452279724802209E-2</v>
      </c>
      <c r="X169" s="14">
        <f t="shared" si="250"/>
        <v>0.84298263815030339</v>
      </c>
      <c r="Y169" s="6">
        <f t="shared" si="251"/>
        <v>0.10199963145338496</v>
      </c>
      <c r="Z169" s="14">
        <f t="shared" si="252"/>
        <v>0.86883893806260781</v>
      </c>
      <c r="AA169" s="6">
        <f t="shared" si="253"/>
        <v>0.10527066767539797</v>
      </c>
      <c r="AB169" s="14">
        <f t="shared" si="254"/>
        <v>0.90006986822749224</v>
      </c>
      <c r="AC169" s="6">
        <f t="shared" si="255"/>
        <v>0.10946228994596365</v>
      </c>
      <c r="AD169" s="14">
        <f t="shared" si="256"/>
        <v>0.93813617521587767</v>
      </c>
      <c r="AE169" s="6">
        <f t="shared" si="257"/>
        <v>0.11534369773653877</v>
      </c>
      <c r="AF169" s="14">
        <f t="shared" si="258"/>
        <v>0.98516051850855402</v>
      </c>
      <c r="AG169" s="6">
        <f t="shared" si="259"/>
        <v>0.12242621068501799</v>
      </c>
      <c r="AH169" s="14">
        <f t="shared" si="260"/>
        <v>1.0443650853701723</v>
      </c>
      <c r="AI169" s="6">
        <f t="shared" si="261"/>
        <v>0.13193176523924197</v>
      </c>
      <c r="AJ169" s="14">
        <f t="shared" si="262"/>
        <v>1.1208868631499371</v>
      </c>
      <c r="AK169">
        <f t="shared" si="228"/>
        <v>0.17024393785828504</v>
      </c>
      <c r="AL169" s="14">
        <f t="shared" si="263"/>
        <v>1.2235213130884368</v>
      </c>
      <c r="AM169">
        <f t="shared" si="229"/>
        <v>0.19478638099941969</v>
      </c>
      <c r="AN169" s="14">
        <f t="shared" si="264"/>
        <v>1.3674606719506859</v>
      </c>
      <c r="AO169">
        <f t="shared" si="230"/>
        <v>0.23223186882942687</v>
      </c>
      <c r="AP169" s="14">
        <f t="shared" si="265"/>
        <v>1.574097630659115</v>
      </c>
      <c r="AQ169">
        <f t="shared" si="231"/>
        <v>0.29338281628417689</v>
      </c>
    </row>
    <row r="170" spans="1:43" s="29" customFormat="1" x14ac:dyDescent="0.25">
      <c r="A170" s="139">
        <v>0.35</v>
      </c>
      <c r="B170" s="275">
        <f>'Sub C_D_0'!AZ137</f>
        <v>4.8226591362938838E-2</v>
      </c>
      <c r="C170" s="275">
        <f>'C_L vs. α'!X423</f>
        <v>0.11841223714928488</v>
      </c>
      <c r="D170" s="247">
        <f>'C_L vs. α'!AB423</f>
        <v>0.58602300954865816</v>
      </c>
      <c r="E170" s="144">
        <v>8</v>
      </c>
      <c r="F170" s="14">
        <f t="shared" si="232"/>
        <v>0.75661706412738461</v>
      </c>
      <c r="G170" s="6">
        <f t="shared" si="233"/>
        <v>9.9956644910044939E-2</v>
      </c>
      <c r="H170" s="14">
        <f t="shared" si="234"/>
        <v>0.75912754072651911</v>
      </c>
      <c r="I170" s="6">
        <f t="shared" si="235"/>
        <v>9.6858483668480391E-2</v>
      </c>
      <c r="J170" s="14">
        <f t="shared" si="236"/>
        <v>0.76333792037224901</v>
      </c>
      <c r="K170" s="6">
        <f t="shared" si="237"/>
        <v>9.5618914518428147E-2</v>
      </c>
      <c r="L170" s="14">
        <f t="shared" si="238"/>
        <v>0.76934079627730267</v>
      </c>
      <c r="M170" s="6">
        <f t="shared" si="239"/>
        <v>9.5207559415366572E-2</v>
      </c>
      <c r="N170" s="14">
        <f t="shared" si="240"/>
        <v>0.77726624881595063</v>
      </c>
      <c r="O170" s="6">
        <f t="shared" si="241"/>
        <v>9.5350945239663615E-2</v>
      </c>
      <c r="P170" s="14">
        <f t="shared" si="242"/>
        <v>0.78727532891582275</v>
      </c>
      <c r="Q170" s="6">
        <f t="shared" si="243"/>
        <v>9.642975653119272E-2</v>
      </c>
      <c r="R170" s="14">
        <f t="shared" si="244"/>
        <v>0.79964239731370534</v>
      </c>
      <c r="S170" s="6">
        <f t="shared" si="245"/>
        <v>9.7465010488699183E-2</v>
      </c>
      <c r="T170" s="14">
        <f t="shared" si="246"/>
        <v>0.81466608899714266</v>
      </c>
      <c r="U170" s="6">
        <f t="shared" si="247"/>
        <v>9.8962710820381355E-2</v>
      </c>
      <c r="V170" s="14">
        <f t="shared" si="248"/>
        <v>0.83276626323105452</v>
      </c>
      <c r="W170" s="6">
        <f t="shared" si="249"/>
        <v>0.10097604043696032</v>
      </c>
      <c r="X170" s="14">
        <f t="shared" si="250"/>
        <v>0.8545032548686663</v>
      </c>
      <c r="Y170" s="6">
        <f t="shared" si="251"/>
        <v>0.10359439082826301</v>
      </c>
      <c r="Z170" s="14">
        <f t="shared" si="252"/>
        <v>0.88063471351151323</v>
      </c>
      <c r="AA170" s="6">
        <f t="shared" si="253"/>
        <v>0.10695356524235222</v>
      </c>
      <c r="AB170" s="14">
        <f t="shared" si="254"/>
        <v>0.91220461463808022</v>
      </c>
      <c r="AC170" s="6">
        <f t="shared" si="255"/>
        <v>0.11125575561914501</v>
      </c>
      <c r="AD170" s="14">
        <f t="shared" si="256"/>
        <v>0.95069428663822397</v>
      </c>
      <c r="AE170" s="6">
        <f t="shared" si="257"/>
        <v>0.11727823098325323</v>
      </c>
      <c r="AF170" s="14">
        <f t="shared" si="258"/>
        <v>0.99825375604154687</v>
      </c>
      <c r="AG170" s="6">
        <f t="shared" si="259"/>
        <v>0.12454431353117279</v>
      </c>
      <c r="AH170" s="14">
        <f t="shared" si="260"/>
        <v>1.0581449556623224</v>
      </c>
      <c r="AI170" s="6">
        <f t="shared" si="261"/>
        <v>0.13429499322535929</v>
      </c>
      <c r="AJ170" s="14">
        <f t="shared" si="262"/>
        <v>1.1355604416274148</v>
      </c>
      <c r="AK170">
        <f t="shared" si="228"/>
        <v>0.17358387413975274</v>
      </c>
      <c r="AL170" s="14">
        <f t="shared" si="263"/>
        <v>1.2393892160754376</v>
      </c>
      <c r="AM170">
        <f t="shared" si="229"/>
        <v>0.19872863968441914</v>
      </c>
      <c r="AN170" s="14">
        <f t="shared" si="264"/>
        <v>1.3846797636250738</v>
      </c>
      <c r="AO170">
        <f t="shared" si="230"/>
        <v>0.23701219770428567</v>
      </c>
      <c r="AP170" s="14">
        <f t="shared" si="265"/>
        <v>1.5904527818770811</v>
      </c>
      <c r="AQ170">
        <f t="shared" si="231"/>
        <v>0.29860369409440146</v>
      </c>
    </row>
    <row r="171" spans="1:43" s="29" customFormat="1" x14ac:dyDescent="0.25">
      <c r="A171" s="129">
        <v>0.4</v>
      </c>
      <c r="B171" s="275">
        <f>'Sub C_D_0'!AZ138</f>
        <v>4.7692510430682039E-2</v>
      </c>
      <c r="C171" s="275">
        <f>'C_L vs. α'!X424</f>
        <v>0.12275233554771042</v>
      </c>
      <c r="D171" s="247">
        <f>'C_L vs. α'!AB424</f>
        <v>0.59700438372333264</v>
      </c>
      <c r="E171" s="144">
        <v>10</v>
      </c>
      <c r="F171" s="14">
        <f t="shared" si="232"/>
        <v>0.76909629782156352</v>
      </c>
      <c r="G171" s="6">
        <f t="shared" si="233"/>
        <v>0.101514754237539</v>
      </c>
      <c r="H171" s="14">
        <f t="shared" si="234"/>
        <v>0.77163644126649111</v>
      </c>
      <c r="I171" s="6">
        <f t="shared" si="235"/>
        <v>9.8425473282584719E-2</v>
      </c>
      <c r="J171" s="14">
        <f t="shared" si="236"/>
        <v>0.77589044627819503</v>
      </c>
      <c r="K171" s="6">
        <f t="shared" si="237"/>
        <v>9.7200060408360919E-2</v>
      </c>
      <c r="L171" s="14">
        <f t="shared" si="238"/>
        <v>0.78195331922673184</v>
      </c>
      <c r="M171" s="6">
        <f t="shared" si="239"/>
        <v>9.6808706170025127E-2</v>
      </c>
      <c r="N171" s="14">
        <f t="shared" si="240"/>
        <v>0.78995717385322373</v>
      </c>
      <c r="O171" s="6">
        <f t="shared" si="241"/>
        <v>9.6978573346885963E-2</v>
      </c>
      <c r="P171" s="14">
        <f t="shared" si="242"/>
        <v>0.80006162392894487</v>
      </c>
      <c r="Q171" s="6">
        <f t="shared" si="243"/>
        <v>9.8090634300976878E-2</v>
      </c>
      <c r="R171" s="14">
        <f t="shared" si="244"/>
        <v>0.81255198307235899</v>
      </c>
      <c r="S171" s="6">
        <f t="shared" si="245"/>
        <v>9.9168141844891616E-2</v>
      </c>
      <c r="T171" s="14">
        <f t="shared" si="246"/>
        <v>0.82772687923420241</v>
      </c>
      <c r="U171" s="6">
        <f t="shared" si="247"/>
        <v>0.10071804360580312</v>
      </c>
      <c r="V171" s="14">
        <f t="shared" si="248"/>
        <v>0.84601151811283104</v>
      </c>
      <c r="W171" s="6">
        <f t="shared" si="249"/>
        <v>0.10279557956904038</v>
      </c>
      <c r="X171" s="14">
        <f t="shared" si="250"/>
        <v>0.8679734230736641</v>
      </c>
      <c r="Y171" s="6">
        <f t="shared" si="251"/>
        <v>0.10549297695747083</v>
      </c>
      <c r="Z171" s="14">
        <f t="shared" si="252"/>
        <v>0.89438004044705344</v>
      </c>
      <c r="AA171" s="6">
        <f t="shared" si="253"/>
        <v>0.1089500181040627</v>
      </c>
      <c r="AB171" s="14">
        <f t="shared" si="254"/>
        <v>0.92628891253530321</v>
      </c>
      <c r="AC171" s="6">
        <f t="shared" si="255"/>
        <v>0.11337460722790621</v>
      </c>
      <c r="AD171" s="14">
        <f t="shared" si="256"/>
        <v>0.96520194954720517</v>
      </c>
      <c r="AE171" s="6">
        <f t="shared" si="257"/>
        <v>0.1195526949235647</v>
      </c>
      <c r="AF171" s="14">
        <f t="shared" si="258"/>
        <v>1.0132965450611746</v>
      </c>
      <c r="AG171" s="6">
        <f t="shared" si="259"/>
        <v>0.12702049090303152</v>
      </c>
      <c r="AH171" s="14">
        <f t="shared" si="260"/>
        <v>1.0738743774411073</v>
      </c>
      <c r="AI171" s="6">
        <f t="shared" si="261"/>
        <v>0.13703938833659884</v>
      </c>
      <c r="AJ171" s="14">
        <f t="shared" si="262"/>
        <v>1.152183571591527</v>
      </c>
      <c r="AK171">
        <f t="shared" si="228"/>
        <v>0.17742003821938257</v>
      </c>
      <c r="AL171" s="14">
        <f t="shared" si="263"/>
        <v>1.2572066705490732</v>
      </c>
      <c r="AM171">
        <f t="shared" si="229"/>
        <v>0.20321579244624188</v>
      </c>
      <c r="AN171" s="14">
        <f t="shared" si="264"/>
        <v>1.4038484067860963</v>
      </c>
      <c r="AO171">
        <f t="shared" si="230"/>
        <v>0.24240411665643649</v>
      </c>
      <c r="AP171" s="14">
        <f t="shared" si="265"/>
        <v>1.6087574845816819</v>
      </c>
      <c r="AQ171">
        <f t="shared" si="231"/>
        <v>0.3045109041065962</v>
      </c>
    </row>
    <row r="172" spans="1:43" s="29" customFormat="1" x14ac:dyDescent="0.25">
      <c r="A172" s="139">
        <v>0.45</v>
      </c>
      <c r="B172" s="275">
        <f>'Sub C_D_0'!AZ139</f>
        <v>4.7233984893153447E-2</v>
      </c>
      <c r="C172" s="275">
        <f>'C_L vs. α'!X425</f>
        <v>0.1280478239991962</v>
      </c>
      <c r="D172" s="247">
        <f>'C_L vs. α'!AB425</f>
        <v>0.61022655878285847</v>
      </c>
      <c r="E172" s="144">
        <v>12</v>
      </c>
      <c r="F172" s="14">
        <f t="shared" si="232"/>
        <v>0.78352508300237744</v>
      </c>
      <c r="G172" s="6">
        <f t="shared" si="233"/>
        <v>0.10335544122336621</v>
      </c>
      <c r="H172" s="14">
        <f t="shared" si="234"/>
        <v>0.78609489329309812</v>
      </c>
      <c r="I172" s="6">
        <f t="shared" si="235"/>
        <v>0.10027601434326591</v>
      </c>
      <c r="J172" s="14">
        <f t="shared" si="236"/>
        <v>0.79039252367077606</v>
      </c>
      <c r="K172" s="6">
        <f t="shared" si="237"/>
        <v>9.9066353918441125E-2</v>
      </c>
      <c r="L172" s="14">
        <f t="shared" si="238"/>
        <v>0.796515393662796</v>
      </c>
      <c r="M172" s="6">
        <f t="shared" si="239"/>
        <v>9.8697263969196161E-2</v>
      </c>
      <c r="N172" s="14">
        <f t="shared" si="240"/>
        <v>0.80459765037713193</v>
      </c>
      <c r="O172" s="6">
        <f t="shared" si="241"/>
        <v>9.8896598026764773E-2</v>
      </c>
      <c r="P172" s="14">
        <f t="shared" si="242"/>
        <v>0.8147974704287021</v>
      </c>
      <c r="Q172" s="6">
        <f t="shared" si="243"/>
        <v>0.10004565981310241</v>
      </c>
      <c r="R172" s="14">
        <f t="shared" si="244"/>
        <v>0.82741112031764763</v>
      </c>
      <c r="S172" s="6">
        <f t="shared" si="245"/>
        <v>0.10117009528983437</v>
      </c>
      <c r="T172" s="14">
        <f t="shared" si="246"/>
        <v>0.84273722095789705</v>
      </c>
      <c r="U172" s="6">
        <f t="shared" si="247"/>
        <v>0.10277789429498037</v>
      </c>
      <c r="V172" s="14">
        <f t="shared" si="248"/>
        <v>0.86120632448124257</v>
      </c>
      <c r="W172" s="6">
        <f t="shared" si="249"/>
        <v>0.10492652583440527</v>
      </c>
      <c r="X172" s="14">
        <f t="shared" si="250"/>
        <v>0.88339314276529701</v>
      </c>
      <c r="Y172" s="6">
        <f t="shared" si="251"/>
        <v>0.10771128394042022</v>
      </c>
      <c r="Z172" s="14">
        <f t="shared" si="252"/>
        <v>0.91007491886922864</v>
      </c>
      <c r="AA172" s="6">
        <f t="shared" si="253"/>
        <v>0.11127624503296318</v>
      </c>
      <c r="AB172" s="14">
        <f t="shared" si="254"/>
        <v>0.94232276191916109</v>
      </c>
      <c r="AC172" s="6">
        <f t="shared" si="255"/>
        <v>0.11583546351282402</v>
      </c>
      <c r="AD172" s="14">
        <f t="shared" si="256"/>
        <v>0.98165916394282138</v>
      </c>
      <c r="AE172" s="6">
        <f t="shared" si="257"/>
        <v>0.12218420784679219</v>
      </c>
      <c r="AF172" s="14">
        <f t="shared" si="258"/>
        <v>1.0302888855674373</v>
      </c>
      <c r="AG172" s="6">
        <f t="shared" si="259"/>
        <v>0.12987249251095201</v>
      </c>
      <c r="AH172" s="14">
        <f t="shared" si="260"/>
        <v>1.0915533507065269</v>
      </c>
      <c r="AI172" s="6">
        <f t="shared" si="261"/>
        <v>0.14018351047433944</v>
      </c>
      <c r="AJ172" s="14">
        <f t="shared" si="262"/>
        <v>1.1707562530422742</v>
      </c>
      <c r="AK172">
        <f t="shared" si="228"/>
        <v>0.18177204452783088</v>
      </c>
      <c r="AL172" s="14">
        <f t="shared" si="263"/>
        <v>1.2769736765093433</v>
      </c>
      <c r="AM172">
        <f t="shared" si="229"/>
        <v>0.2082688629564827</v>
      </c>
      <c r="AN172" s="14">
        <f t="shared" si="264"/>
        <v>1.4249666014337539</v>
      </c>
      <c r="AO172">
        <f t="shared" si="230"/>
        <v>0.24843024369000191</v>
      </c>
      <c r="AP172" s="14">
        <f t="shared" si="265"/>
        <v>1.6290117387729175</v>
      </c>
      <c r="AQ172">
        <f t="shared" si="231"/>
        <v>0.31112604491998125</v>
      </c>
    </row>
    <row r="173" spans="1:43" s="29" customFormat="1" x14ac:dyDescent="0.25">
      <c r="A173" s="129">
        <v>0.5</v>
      </c>
      <c r="B173" s="275">
        <f>'Sub C_D_0'!AZ140</f>
        <v>4.6833480894565377E-2</v>
      </c>
      <c r="C173" s="275">
        <f>'C_L vs. α'!X426</f>
        <v>0.13450579701764889</v>
      </c>
      <c r="D173" s="247">
        <f>'C_L vs. α'!AB426</f>
        <v>0.6260937673204966</v>
      </c>
      <c r="E173" s="144">
        <v>14</v>
      </c>
      <c r="F173" s="14">
        <f t="shared" si="232"/>
        <v>0.79990341966982614</v>
      </c>
      <c r="G173" s="6">
        <f t="shared" si="233"/>
        <v>0.10549573108521981</v>
      </c>
      <c r="H173" s="14">
        <f t="shared" si="234"/>
        <v>0.80250289680634002</v>
      </c>
      <c r="I173" s="6">
        <f t="shared" si="235"/>
        <v>0.10242716707355556</v>
      </c>
      <c r="J173" s="14">
        <f t="shared" si="236"/>
        <v>0.80684415254999198</v>
      </c>
      <c r="K173" s="6">
        <f t="shared" si="237"/>
        <v>0.10123490674736829</v>
      </c>
      <c r="L173" s="14">
        <f t="shared" si="238"/>
        <v>0.81302701958549495</v>
      </c>
      <c r="M173" s="6">
        <f t="shared" si="239"/>
        <v>0.10089041530497678</v>
      </c>
      <c r="N173" s="14">
        <f t="shared" si="240"/>
        <v>0.82118767838767492</v>
      </c>
      <c r="O173" s="6">
        <f t="shared" si="241"/>
        <v>0.10112229428179187</v>
      </c>
      <c r="P173" s="14">
        <f t="shared" si="242"/>
        <v>0.83148286841509411</v>
      </c>
      <c r="Q173" s="6">
        <f t="shared" si="243"/>
        <v>0.10231222060168316</v>
      </c>
      <c r="R173" s="14">
        <f t="shared" si="244"/>
        <v>0.84421980904957117</v>
      </c>
      <c r="S173" s="6">
        <f t="shared" si="245"/>
        <v>0.10348840383432253</v>
      </c>
      <c r="T173" s="14">
        <f t="shared" si="246"/>
        <v>0.85969711416822669</v>
      </c>
      <c r="U173" s="6">
        <f t="shared" si="247"/>
        <v>0.10515997431214559</v>
      </c>
      <c r="V173" s="14">
        <f t="shared" si="248"/>
        <v>0.87835068233628899</v>
      </c>
      <c r="W173" s="6">
        <f t="shared" si="249"/>
        <v>0.10738680831599497</v>
      </c>
      <c r="X173" s="14">
        <f t="shared" si="250"/>
        <v>0.90076241394356471</v>
      </c>
      <c r="Y173" s="6">
        <f t="shared" si="251"/>
        <v>0.11026750624610003</v>
      </c>
      <c r="Z173" s="14">
        <f t="shared" si="252"/>
        <v>0.92771934877803874</v>
      </c>
      <c r="AA173" s="6">
        <f t="shared" si="253"/>
        <v>0.11395076517106449</v>
      </c>
      <c r="AB173" s="14">
        <f t="shared" si="254"/>
        <v>0.96030616278965386</v>
      </c>
      <c r="AC173" s="6">
        <f t="shared" si="255"/>
        <v>0.1186572435840522</v>
      </c>
      <c r="AD173" s="14">
        <f t="shared" si="256"/>
        <v>1.0000659298250725</v>
      </c>
      <c r="AE173" s="6">
        <f t="shared" si="257"/>
        <v>0.12519218841183172</v>
      </c>
      <c r="AF173" s="14">
        <f t="shared" si="258"/>
        <v>1.0492307775603349</v>
      </c>
      <c r="AG173" s="6">
        <f t="shared" si="259"/>
        <v>0.13312036843486894</v>
      </c>
      <c r="AH173" s="14">
        <f t="shared" si="260"/>
        <v>1.1111818754585818</v>
      </c>
      <c r="AI173" s="6">
        <f t="shared" si="261"/>
        <v>0.14374821990953723</v>
      </c>
      <c r="AJ173" s="14">
        <f t="shared" si="262"/>
        <v>1.1912784859796564</v>
      </c>
      <c r="AK173">
        <f t="shared" si="228"/>
        <v>0.18666180786533101</v>
      </c>
      <c r="AL173" s="14">
        <f t="shared" si="263"/>
        <v>1.2986902339562489</v>
      </c>
      <c r="AM173">
        <f t="shared" si="229"/>
        <v>0.21391117525631376</v>
      </c>
      <c r="AN173" s="14">
        <f t="shared" si="264"/>
        <v>1.4480343475680464</v>
      </c>
      <c r="AO173">
        <f t="shared" si="230"/>
        <v>0.25511549717868143</v>
      </c>
      <c r="AP173" s="14">
        <f t="shared" si="265"/>
        <v>1.6512155444507881</v>
      </c>
      <c r="AQ173">
        <f t="shared" si="231"/>
        <v>0.31847301550335433</v>
      </c>
    </row>
    <row r="174" spans="1:43" s="29" customFormat="1" x14ac:dyDescent="0.25">
      <c r="A174" s="139">
        <v>0.55000000000000004</v>
      </c>
      <c r="B174" s="275">
        <f>'Sub C_D_0'!AZ141</f>
        <v>4.6478816091499217E-2</v>
      </c>
      <c r="C174" s="275">
        <f>'C_L vs. α'!X427</f>
        <v>0.142408805830194</v>
      </c>
      <c r="D174" s="247">
        <f>'C_L vs. α'!AB427</f>
        <v>0.64515232241407749</v>
      </c>
      <c r="E174" s="144">
        <v>16</v>
      </c>
      <c r="F174" s="14">
        <f t="shared" si="232"/>
        <v>0.81823130782390985</v>
      </c>
      <c r="G174" s="6">
        <f t="shared" si="233"/>
        <v>0.10795494941037022</v>
      </c>
      <c r="H174" s="14">
        <f t="shared" si="234"/>
        <v>0.82086045180621681</v>
      </c>
      <c r="I174" s="6">
        <f t="shared" si="235"/>
        <v>0.10489829206606248</v>
      </c>
      <c r="J174" s="14">
        <f t="shared" si="236"/>
        <v>0.82524533291584279</v>
      </c>
      <c r="K174" s="6">
        <f t="shared" si="237"/>
        <v>0.10372513096341895</v>
      </c>
      <c r="L174" s="14">
        <f t="shared" si="238"/>
        <v>0.8314881969948289</v>
      </c>
      <c r="M174" s="6">
        <f t="shared" si="239"/>
        <v>0.10340764303904118</v>
      </c>
      <c r="N174" s="14">
        <f t="shared" si="240"/>
        <v>0.83972725788485292</v>
      </c>
      <c r="O174" s="6">
        <f t="shared" si="241"/>
        <v>0.10367523748403623</v>
      </c>
      <c r="P174" s="14">
        <f t="shared" si="242"/>
        <v>0.85011781788812113</v>
      </c>
      <c r="Q174" s="6">
        <f t="shared" si="243"/>
        <v>0.1049100045704101</v>
      </c>
      <c r="R174" s="14">
        <f t="shared" si="244"/>
        <v>0.8629780492681296</v>
      </c>
      <c r="S174" s="6">
        <f t="shared" si="245"/>
        <v>0.10614290085872828</v>
      </c>
      <c r="T174" s="14">
        <f t="shared" si="246"/>
        <v>0.87860655886519123</v>
      </c>
      <c r="U174" s="6">
        <f t="shared" si="247"/>
        <v>0.10788429545110832</v>
      </c>
      <c r="V174" s="14">
        <f t="shared" si="248"/>
        <v>0.8974445916779703</v>
      </c>
      <c r="W174" s="6">
        <f t="shared" si="249"/>
        <v>0.11019665646632645</v>
      </c>
      <c r="X174" s="14">
        <f t="shared" si="250"/>
        <v>0.9200812366084673</v>
      </c>
      <c r="Y174" s="6">
        <f t="shared" si="251"/>
        <v>0.11318213871307627</v>
      </c>
      <c r="Z174" s="14">
        <f t="shared" si="252"/>
        <v>0.94731333017348385</v>
      </c>
      <c r="AA174" s="6">
        <f t="shared" si="253"/>
        <v>0.11699439802995458</v>
      </c>
      <c r="AB174" s="14">
        <f t="shared" si="254"/>
        <v>0.98023911514678153</v>
      </c>
      <c r="AC174" s="6">
        <f t="shared" si="255"/>
        <v>0.12186116692132166</v>
      </c>
      <c r="AD174" s="14">
        <f t="shared" si="256"/>
        <v>1.0204222471939586</v>
      </c>
      <c r="AE174" s="6">
        <f t="shared" si="257"/>
        <v>0.12859835564715646</v>
      </c>
      <c r="AF174" s="14">
        <f t="shared" si="258"/>
        <v>1.0701222210398673</v>
      </c>
      <c r="AG174" s="6">
        <f t="shared" si="259"/>
        <v>0.13678646912429432</v>
      </c>
      <c r="AH174" s="14">
        <f t="shared" si="260"/>
        <v>1.1327599516972715</v>
      </c>
      <c r="AI174" s="6">
        <f t="shared" si="261"/>
        <v>0.14775667728272515</v>
      </c>
      <c r="AJ174" s="14">
        <f t="shared" si="262"/>
        <v>1.2137502704036736</v>
      </c>
      <c r="AK174">
        <f t="shared" si="228"/>
        <v>0.19211354340169332</v>
      </c>
      <c r="AL174" s="14">
        <f t="shared" si="263"/>
        <v>1.3223563428897893</v>
      </c>
      <c r="AM174">
        <f t="shared" si="229"/>
        <v>0.22016835375648389</v>
      </c>
      <c r="AN174" s="14">
        <f t="shared" si="264"/>
        <v>1.4730516451889739</v>
      </c>
      <c r="AO174">
        <f t="shared" si="230"/>
        <v>0.26248709586575164</v>
      </c>
      <c r="AP174" s="14">
        <f t="shared" si="265"/>
        <v>1.6753689016152937</v>
      </c>
      <c r="AQ174">
        <f t="shared" si="231"/>
        <v>0.32657801519508978</v>
      </c>
    </row>
    <row r="175" spans="1:43" s="29" customFormat="1" x14ac:dyDescent="0.25">
      <c r="A175" s="129">
        <v>0.6</v>
      </c>
      <c r="B175" s="275">
        <f>'Sub C_D_0'!AZ142</f>
        <v>4.6161203018676635E-2</v>
      </c>
      <c r="C175" s="275">
        <f>'C_L vs. α'!X428</f>
        <v>0.1521486942707525</v>
      </c>
      <c r="D175" s="247">
        <f>'C_L vs. α'!AB428</f>
        <v>0.66815476260936835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s="29" customFormat="1" x14ac:dyDescent="0.25">
      <c r="A176" s="139">
        <v>0.65</v>
      </c>
      <c r="B176" s="275">
        <f>'Sub C_D_0'!AZ143</f>
        <v>4.6393742184188735E-2</v>
      </c>
      <c r="C176" s="275">
        <f>'C_L vs. α'!X429</f>
        <v>0.16432263391237623</v>
      </c>
      <c r="D176" s="247">
        <f>'C_L vs. α'!AB429</f>
        <v>0.69616430046180855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s="29" customFormat="1" x14ac:dyDescent="0.25">
      <c r="A177" s="129">
        <v>0.7</v>
      </c>
      <c r="B177" s="275">
        <f>'Sub C_D_0'!AZ144</f>
        <v>4.6126479402609347E-2</v>
      </c>
      <c r="C177" s="275">
        <f>'C_L vs. α'!X430</f>
        <v>0.17972569982754277</v>
      </c>
      <c r="D177" s="247">
        <f>'C_L vs. α'!AB430</f>
        <v>0.73073273471171618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s="29" customFormat="1" x14ac:dyDescent="0.25">
      <c r="A178" s="139">
        <v>0.75</v>
      </c>
      <c r="B178" s="275">
        <f>'Sub C_D_0'!AZ145</f>
        <v>4.5881340041746516E-2</v>
      </c>
      <c r="C178" s="275">
        <f>'C_L vs. α'!X431</f>
        <v>0.19951920020227676</v>
      </c>
      <c r="D178" s="247">
        <f>'C_L vs. α'!AB431</f>
        <v>0.7742205053262986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s="29" customFormat="1" x14ac:dyDescent="0.25">
      <c r="A179" s="129">
        <v>0.8</v>
      </c>
      <c r="B179" s="275">
        <f>'Sub C_D_0'!AZ146</f>
        <v>4.5655178017251163E-2</v>
      </c>
      <c r="C179" s="275">
        <f>'C_L vs. α'!X432</f>
        <v>0.22534803643651791</v>
      </c>
      <c r="D179" s="247">
        <f>'C_L vs. α'!AB432</f>
        <v>0.83041164474938745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s="29" customFormat="1" x14ac:dyDescent="0.25">
      <c r="A180" s="139">
        <v>0.85</v>
      </c>
      <c r="B180" s="275">
        <f>'Sub C_D_0'!AZ147</f>
        <v>4.5944862036707203E-2</v>
      </c>
      <c r="C180" s="275">
        <f>'C_L vs. α'!X433</f>
        <v>0.26006487277268031</v>
      </c>
      <c r="D180" s="247">
        <f>'C_L vs. α'!AB433</f>
        <v>0.90578940361991822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s="29" customFormat="1" x14ac:dyDescent="0.25">
      <c r="A181" s="129">
        <v>0.9</v>
      </c>
      <c r="B181" s="275">
        <f>'Sub C_D_0'!AZ148</f>
        <v>4.5745345037129619E-2</v>
      </c>
      <c r="C181" s="275">
        <f>'C_L vs. α'!X434</f>
        <v>0.30003896469964619</v>
      </c>
      <c r="D181" s="247">
        <f>'C_L vs. α'!AB434</f>
        <v>1.012370337747668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s="29" customFormat="1" x14ac:dyDescent="0.25">
      <c r="A182" s="139">
        <v>0.95</v>
      </c>
      <c r="B182" s="275">
        <f>'Sub C_D_0'!AZ149</f>
        <v>4.5558757456442327E-2</v>
      </c>
      <c r="C182" s="275">
        <f>'C_L vs. α'!X435</f>
        <v>0.28036111166088074</v>
      </c>
      <c r="D182" s="247">
        <f>'C_L vs. α'!AB435</f>
        <v>1.1728890272208958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s="29" customFormat="1" x14ac:dyDescent="0.25">
      <c r="A183" s="11"/>
      <c r="B183" s="271"/>
      <c r="C183" s="271"/>
      <c r="D183" s="11"/>
    </row>
    <row r="185" spans="1:43" x14ac:dyDescent="0.25">
      <c r="A185" s="122" t="s">
        <v>537</v>
      </c>
      <c r="B185" s="267" t="s">
        <v>294</v>
      </c>
    </row>
    <row r="186" spans="1:43" x14ac:dyDescent="0.25">
      <c r="A186" s="122" t="s">
        <v>202</v>
      </c>
      <c r="B186" s="274">
        <v>30000</v>
      </c>
      <c r="C186" s="267" t="s">
        <v>538</v>
      </c>
      <c r="D186" s="122" t="s">
        <v>539</v>
      </c>
      <c r="F186" s="1" t="s">
        <v>536</v>
      </c>
      <c r="G186" s="140">
        <v>0.05</v>
      </c>
      <c r="H186" s="1" t="s">
        <v>536</v>
      </c>
      <c r="I186" s="140">
        <v>0.1</v>
      </c>
      <c r="J186" s="1" t="s">
        <v>536</v>
      </c>
      <c r="K186" s="140">
        <v>0.15</v>
      </c>
      <c r="L186" s="1" t="s">
        <v>536</v>
      </c>
      <c r="M186" s="140">
        <v>0.2</v>
      </c>
      <c r="N186" t="s">
        <v>536</v>
      </c>
      <c r="O186" s="141">
        <v>0.25</v>
      </c>
      <c r="P186" t="s">
        <v>536</v>
      </c>
      <c r="Q186" s="141">
        <v>0.3</v>
      </c>
      <c r="R186" t="s">
        <v>536</v>
      </c>
      <c r="S186" s="141">
        <v>0.35</v>
      </c>
      <c r="T186" t="s">
        <v>536</v>
      </c>
      <c r="U186" s="141">
        <v>0.4</v>
      </c>
      <c r="V186" t="s">
        <v>536</v>
      </c>
      <c r="W186" s="141">
        <v>0.45</v>
      </c>
      <c r="X186" t="s">
        <v>536</v>
      </c>
      <c r="Y186" s="141">
        <v>0.5</v>
      </c>
      <c r="Z186" t="s">
        <v>536</v>
      </c>
      <c r="AA186" s="141">
        <v>0.55000000000000004</v>
      </c>
      <c r="AB186" t="s">
        <v>536</v>
      </c>
      <c r="AC186" s="141">
        <v>0.6</v>
      </c>
      <c r="AD186" t="s">
        <v>536</v>
      </c>
      <c r="AE186" s="141">
        <v>0.65</v>
      </c>
      <c r="AF186" t="s">
        <v>536</v>
      </c>
      <c r="AG186" s="141">
        <v>0.7</v>
      </c>
      <c r="AH186" t="s">
        <v>536</v>
      </c>
      <c r="AI186" s="141">
        <v>0.75</v>
      </c>
      <c r="AJ186" t="s">
        <v>536</v>
      </c>
      <c r="AK186" s="141">
        <v>0.8</v>
      </c>
      <c r="AL186" t="s">
        <v>536</v>
      </c>
      <c r="AM186" s="141">
        <v>0.85</v>
      </c>
      <c r="AN186" t="s">
        <v>536</v>
      </c>
      <c r="AO186" s="141">
        <v>0.9</v>
      </c>
      <c r="AP186" t="s">
        <v>536</v>
      </c>
      <c r="AQ186" s="141">
        <v>0.95</v>
      </c>
    </row>
    <row r="187" spans="1:43" x14ac:dyDescent="0.25">
      <c r="A187" s="121" t="s">
        <v>182</v>
      </c>
      <c r="B187" s="269" t="s">
        <v>534</v>
      </c>
      <c r="C187" s="269" t="s">
        <v>535</v>
      </c>
      <c r="D187" s="248" t="s">
        <v>1126</v>
      </c>
      <c r="E187" s="121" t="s">
        <v>421</v>
      </c>
      <c r="F187" s="14" t="s">
        <v>244</v>
      </c>
      <c r="G187" s="6" t="s">
        <v>245</v>
      </c>
      <c r="H187" s="14" t="s">
        <v>244</v>
      </c>
      <c r="I187" s="6" t="s">
        <v>245</v>
      </c>
      <c r="J187" s="14" t="s">
        <v>244</v>
      </c>
      <c r="K187" s="6" t="s">
        <v>245</v>
      </c>
      <c r="L187" s="14" t="s">
        <v>244</v>
      </c>
      <c r="M187" s="6" t="s">
        <v>245</v>
      </c>
      <c r="N187" t="s">
        <v>244</v>
      </c>
      <c r="O187" t="s">
        <v>245</v>
      </c>
      <c r="P187" t="s">
        <v>244</v>
      </c>
      <c r="Q187" t="s">
        <v>245</v>
      </c>
      <c r="R187" t="s">
        <v>244</v>
      </c>
      <c r="S187" t="s">
        <v>245</v>
      </c>
      <c r="T187" t="s">
        <v>244</v>
      </c>
      <c r="U187" t="s">
        <v>245</v>
      </c>
      <c r="V187" t="s">
        <v>244</v>
      </c>
      <c r="W187" t="s">
        <v>245</v>
      </c>
      <c r="X187" t="s">
        <v>244</v>
      </c>
      <c r="Y187" t="s">
        <v>245</v>
      </c>
      <c r="Z187" t="s">
        <v>244</v>
      </c>
      <c r="AA187" t="s">
        <v>245</v>
      </c>
      <c r="AB187" t="s">
        <v>244</v>
      </c>
      <c r="AC187" t="s">
        <v>245</v>
      </c>
      <c r="AD187" t="s">
        <v>244</v>
      </c>
      <c r="AE187" t="s">
        <v>245</v>
      </c>
      <c r="AF187" t="s">
        <v>244</v>
      </c>
      <c r="AG187" t="s">
        <v>245</v>
      </c>
      <c r="AH187" t="s">
        <v>244</v>
      </c>
      <c r="AI187" t="s">
        <v>245</v>
      </c>
      <c r="AJ187" t="s">
        <v>244</v>
      </c>
      <c r="AK187" t="s">
        <v>245</v>
      </c>
      <c r="AL187" t="s">
        <v>244</v>
      </c>
      <c r="AM187" t="s">
        <v>245</v>
      </c>
      <c r="AN187" t="s">
        <v>244</v>
      </c>
      <c r="AO187" t="s">
        <v>245</v>
      </c>
      <c r="AP187" t="s">
        <v>244</v>
      </c>
      <c r="AQ187" t="s">
        <v>245</v>
      </c>
    </row>
    <row r="188" spans="1:43" x14ac:dyDescent="0.25">
      <c r="A188" s="129">
        <v>0</v>
      </c>
      <c r="B188" s="270" t="e">
        <f>'Sub C_D_0'!AZ160</f>
        <v>#DIV/0!</v>
      </c>
      <c r="C188" s="270" t="e">
        <f>'C_L vs. α'!X441</f>
        <v>#NUM!</v>
      </c>
      <c r="D188" s="247">
        <f>'C_L vs. α'!AB441</f>
        <v>0.55396232552297364</v>
      </c>
      <c r="E188" s="144">
        <v>-6</v>
      </c>
      <c r="F188" s="14">
        <f>$D$19+$C$19*(RADIANS(E188-$B$12))+$E$10*RADIANS(E188)^2</f>
        <v>0.72384986989391042</v>
      </c>
      <c r="G188" s="6">
        <f>$B$189+$B$7*F188^2+$B$8*(F188-F$191)^2</f>
        <v>9.539329119017835E-2</v>
      </c>
      <c r="H188" s="14">
        <f>$D$20+$C$20*(RADIANS(E188-$B$12))+$E$10*RADIANS(E188)^2</f>
        <v>0.72615267857249299</v>
      </c>
      <c r="I188" s="6">
        <f>$B$190+$B$7*H188^2+$B$8*(H188-H$191)^2</f>
        <v>9.2348593930830877E-2</v>
      </c>
      <c r="J188" s="14">
        <f>$D$21+$C$21*(RADIANS(E188-$B$12))+$E$10*RADIANS(E188)^2</f>
        <v>0.73005768065640497</v>
      </c>
      <c r="K188" s="6">
        <f>$B$191+$B$7*J188^2+$B$8*(J188-J$191)^2</f>
        <v>9.1095821478045305E-2</v>
      </c>
      <c r="L188" s="14">
        <f>$D$22+$C$22*(RADIANS(E188-$B$12))+$E$10*RADIANS(E188)^2</f>
        <v>0.73564057725707677</v>
      </c>
      <c r="M188" s="6">
        <f>$B$192+$B$7*L188^2+$B$8*(L188-L$191)^2</f>
        <v>9.0631188068389157E-2</v>
      </c>
      <c r="N188" s="14">
        <f>$D$23+$C$23*(RADIANS(E188-$B$12))+$E$10*RADIANS(E188)^2</f>
        <v>0.74301721518081665</v>
      </c>
      <c r="O188" s="6">
        <f>$B$193+$B$7*N188^2+$B$8*(N188-N$191)^2</f>
        <v>9.0686208978555963E-2</v>
      </c>
      <c r="P188" s="14">
        <f>$D$24+$C$24*(RADIANS(E188-$B$12))+$E$10*RADIANS(E188)^2</f>
        <v>0.75235870544974559</v>
      </c>
      <c r="Q188" s="6">
        <f>$B$194+$B$7*P188^2+$B$8*(P188-P$191)^2</f>
        <v>9.1635868162630404E-2</v>
      </c>
      <c r="R188" s="14">
        <f>$D$25+$C$25*(RADIANS(E188-$B$12))+$E$10*RADIANS(E188)^2</f>
        <v>0.76386273862890797</v>
      </c>
      <c r="S188" s="6">
        <f>$B$195+$B$7*R188^2+$B$8*(R188-R$191)^2</f>
        <v>9.2507506841874518E-2</v>
      </c>
      <c r="T188" s="14">
        <f>$D$26+$C$26*(RADIANS(E188-$B$12))+$E$10*RADIANS(E188)^2</f>
        <v>0.77782799896350252</v>
      </c>
      <c r="U188" s="6">
        <f>$B$196+$B$7*T188^2+$B$8*(T188-T$191)^2</f>
        <v>9.3795546883126663E-2</v>
      </c>
      <c r="V188" s="14">
        <f>$D$27+$C$27*(RADIANS(E188-$B$12))+$E$10*RADIANS(E188)^2</f>
        <v>0.79463692068439673</v>
      </c>
      <c r="W188" s="6">
        <f>$B$197+$B$7*V188^2+$B$8*(V188-V$191)^2</f>
        <v>9.5543649749233434E-2</v>
      </c>
      <c r="X188" s="14">
        <f>$D$28+$C$28*(RADIANS(E188-$B$12))+$E$10*RADIANS(E188)^2</f>
        <v>0.81479951905945946</v>
      </c>
      <c r="Y188" s="6">
        <f>$B$198+$B$7*X188^2+$B$8*(X188-X$191)^2</f>
        <v>9.782750514335127E-2</v>
      </c>
      <c r="Z188" s="14">
        <f>$D$29+$C$29*(RADIANS(E188-$B$12))+$E$10*RADIANS(E188)^2</f>
        <v>0.83900486658850959</v>
      </c>
      <c r="AA188" s="6">
        <f>$B$199+$B$7*Z188^2+$B$8*(Z188-Z$191)^2</f>
        <v>0.10076318165425457</v>
      </c>
      <c r="AB188" s="14">
        <f>$D$30+$C$30*(RADIANS(E188-$B$12))+$E$10*RADIANS(E188)^2</f>
        <v>0.86820197098329788</v>
      </c>
      <c r="AC188" s="6">
        <f>$B$200+$B$7*AB188^2+$B$8*(AB188-AB$191)^2</f>
        <v>0.1045239955285466</v>
      </c>
      <c r="AD188" s="14">
        <f>$D$31+$C$31*(RADIANS(E188-$B$12))+$E$10*RADIANS(E188)^2</f>
        <v>0.90372808790113346</v>
      </c>
      <c r="AE188" s="6">
        <f>$B$201+$B$7*AD188^2+$B$8*(AD188-AD$191)^2</f>
        <v>0.10983442309086669</v>
      </c>
      <c r="AF188" s="14">
        <f>$D$32+$C$32*(RADIANS(E188-$B$12))+$E$10*RADIANS(E188)^2</f>
        <v>0.94754167452993099</v>
      </c>
      <c r="AG188" s="6">
        <f>$B$202+$B$7*AF188^2+$B$8*(AF188-AF$191)^2</f>
        <v>0.11616665220937579</v>
      </c>
      <c r="AH188" s="14">
        <f>$D$33+$C$33*(RADIANS(E188-$B$12))+$E$10*RADIANS(E188)^2</f>
        <v>1.0026264448366058</v>
      </c>
      <c r="AI188" s="6">
        <f>$B$203+$B$7*AH188^2+$B$8*(AH188-AH$191)^2</f>
        <v>0.12464603264513995</v>
      </c>
      <c r="AJ188" s="14">
        <f>$D$34+$C$34*(RADIANS(E188-$B$12))+$E$10*RADIANS(E188)^2</f>
        <v>1.0737859735044064</v>
      </c>
      <c r="AK188">
        <f t="shared" ref="AK188:AK199" si="266">$B$204+$B$9*AJ188^2</f>
        <v>0.15945977697966821</v>
      </c>
      <c r="AL188" s="14">
        <f>$D$35+$C$35*(RADIANS(E188-$B$12))+$E$10*RADIANS(E188)^2</f>
        <v>1.1692544763857668</v>
      </c>
      <c r="AM188">
        <f t="shared" ref="AM188:AM199" si="267">$B$205+$B$9*AL188^2</f>
        <v>0.18132808180464591</v>
      </c>
      <c r="AN188" s="14">
        <f>$D$36+$C$36*(RADIANS(E188-$B$12))+$E$10*RADIANS(E188)^2</f>
        <v>1.3050867031236932</v>
      </c>
      <c r="AO188">
        <f t="shared" ref="AO188:AO199" si="268">$B$206+$B$9*AN188^2</f>
        <v>0.21506051705701898</v>
      </c>
      <c r="AP188" s="14">
        <f>$D$37+$C$37*(RADIANS(E188-$B$12))+$E$10*RADIANS(E188)^2</f>
        <v>1.5169073045706536</v>
      </c>
      <c r="AQ188">
        <f t="shared" ref="AQ188:AQ199" si="269">$B$207+$B$9*AP188^2</f>
        <v>0.27519860604952517</v>
      </c>
    </row>
    <row r="189" spans="1:43" x14ac:dyDescent="0.25">
      <c r="A189" s="139">
        <v>0.05</v>
      </c>
      <c r="B189" s="275">
        <f>'Sub C_D_0'!AZ161</f>
        <v>5.3018829961841159E-2</v>
      </c>
      <c r="C189" s="275">
        <f>'C_L vs. α'!X442</f>
        <v>0.10625252697195428</v>
      </c>
      <c r="D189" s="247">
        <f>'C_L vs. α'!AB442</f>
        <v>0.55456498931698928</v>
      </c>
      <c r="E189" s="144">
        <v>-4</v>
      </c>
      <c r="F189" s="14">
        <f t="shared" ref="F189:F199" si="270">$D$19+$C$19*(RADIANS(E189-$B$12))+$E$10*RADIANS(E189)^2</f>
        <v>0.72268224318164487</v>
      </c>
      <c r="G189" s="6">
        <f t="shared" ref="G189:G199" si="271">$B$189+$B$7*F189^2+$B$8*(F189-F$191)^2</f>
        <v>9.5256831960277427E-2</v>
      </c>
      <c r="H189" s="14">
        <f t="shared" ref="H189:H199" si="272">$D$20+$C$20*(RADIANS(E189-$B$12))+$E$10*RADIANS(E189)^2</f>
        <v>0.72501471870602052</v>
      </c>
      <c r="I189" s="6">
        <f t="shared" ref="I189:I199" si="273">$B$190+$B$7*H189^2+$B$8*(H189-H$191)^2</f>
        <v>9.2215178619309654E-2</v>
      </c>
      <c r="J189" s="14">
        <f t="shared" ref="J189:J199" si="274">$D$21+$C$21*(RADIANS(E189-$B$12))+$E$10*RADIANS(E189)^2</f>
        <v>0.72896334615590652</v>
      </c>
      <c r="K189" s="6">
        <f t="shared" ref="K189:K199" si="275">$B$191+$B$7*J189^2+$B$8*(J189-J$191)^2</f>
        <v>9.0966830546056185E-2</v>
      </c>
      <c r="L189" s="14">
        <f t="shared" ref="L189:L199" si="276">$D$22+$C$22*(RADIANS(E189-$B$12))+$E$10*RADIANS(E189)^2</f>
        <v>0.73460623980006134</v>
      </c>
      <c r="M189" s="6">
        <f t="shared" ref="M189:M199" si="277">$B$192+$B$7*L189^2+$B$8*(L189-L$191)^2</f>
        <v>9.0508336245703411E-2</v>
      </c>
      <c r="N189" s="14">
        <f t="shared" ref="N189:N199" si="278">$D$23+$C$23*(RADIANS(E189-$B$12))+$E$10*RADIANS(E189)^2</f>
        <v>0.74206127981164527</v>
      </c>
      <c r="O189" s="6">
        <f t="shared" ref="O189:O199" si="279">$B$193+$B$7*N189^2+$B$8*(N189-N$191)^2</f>
        <v>9.0571530102480008E-2</v>
      </c>
      <c r="P189" s="14">
        <f t="shared" ref="P189:P199" si="280">$D$24+$C$24*(RADIANS(E189-$B$12))+$E$10*RADIANS(E189)^2</f>
        <v>0.75149814005642324</v>
      </c>
      <c r="Q189" s="6">
        <f t="shared" ref="Q189:Q199" si="281">$B$194+$B$7*P189^2+$B$8*(P189-P$191)^2</f>
        <v>9.1531331646738601E-2</v>
      </c>
      <c r="R189" s="14">
        <f t="shared" ref="R189:R199" si="282">$D$25+$C$25*(RADIANS(E189-$B$12))+$E$10*RADIANS(E189)^2</f>
        <v>0.76312546398111714</v>
      </c>
      <c r="S189" s="6">
        <f t="shared" ref="S189:S199" si="283">$B$195+$B$7*R189^2+$B$8*(R189-R$191)^2</f>
        <v>9.2416576834602721E-2</v>
      </c>
      <c r="T189" s="14">
        <f t="shared" ref="T189:T199" si="284">$D$26+$C$26*(RADIANS(E189-$B$12))+$E$10*RADIANS(E189)^2</f>
        <v>0.7772419287941178</v>
      </c>
      <c r="U189" s="6">
        <f t="shared" ref="U189:U199" si="285">$B$196+$B$7*T189^2+$B$8*(T189-T$191)^2</f>
        <v>9.3721943176294037E-2</v>
      </c>
      <c r="V189" s="14">
        <f t="shared" ref="V189:V199" si="286">$D$27+$C$27*(RADIANS(E189-$B$12))+$E$10*RADIANS(E189)^2</f>
        <v>0.79423531515972878</v>
      </c>
      <c r="W189" s="6">
        <f t="shared" ref="W189:W199" si="287">$B$197+$B$7*V189^2+$B$8*(V189-V$191)^2</f>
        <v>9.5492122226163212E-2</v>
      </c>
      <c r="X189" s="14">
        <f t="shared" ref="X189:X199" si="288">$D$28+$C$28*(RADIANS(E189-$B$12))+$E$10*RADIANS(E189)^2</f>
        <v>0.81462282685801291</v>
      </c>
      <c r="Y189" s="6">
        <f t="shared" ref="Y189:Y199" si="289">$B$198+$B$7*X189^2+$B$8*(X189-X$191)^2</f>
        <v>9.7804259383581671E-2</v>
      </c>
      <c r="Z189" s="14">
        <f t="shared" ref="Z189:Z199" si="290">$D$29+$C$29*(RADIANS(E189-$B$12))+$E$10*RADIANS(E189)^2</f>
        <v>0.83910333311760532</v>
      </c>
      <c r="AA189" s="6">
        <f t="shared" ref="AA189:AA199" si="291">$B$199+$B$7*Z189^2+$B$8*(Z189-Z$191)^2</f>
        <v>0.10077652097746315</v>
      </c>
      <c r="AB189" s="14">
        <f t="shared" ref="AB189:AB199" si="292">$D$30+$C$30*(RADIANS(E189-$B$12))+$E$10*RADIANS(E189)^2</f>
        <v>0.86863940847407639</v>
      </c>
      <c r="AC189" s="6">
        <f t="shared" ref="AC189:AC199" si="293">$B$200+$B$7*AB189^2+$B$8*(AB189-AB$191)^2</f>
        <v>0.10458531844404355</v>
      </c>
      <c r="AD189" s="14">
        <f t="shared" ref="AD189:AD199" si="294">$D$31+$C$31*(RADIANS(E189-$B$12))+$E$10*RADIANS(E189)^2</f>
        <v>0.90458889040367019</v>
      </c>
      <c r="AE189" s="6">
        <f t="shared" ref="AE189:AE199" si="295">$B$201+$B$7*AD189^2+$B$8*(AD189-AD$191)^2</f>
        <v>0.10996003555538021</v>
      </c>
      <c r="AF189" s="14">
        <f t="shared" ref="AF189:AF199" si="296">$D$32+$C$32*(RADIANS(E189-$B$12))+$E$10*RADIANS(E189)^2</f>
        <v>0.94893760314311415</v>
      </c>
      <c r="AG189" s="6">
        <f t="shared" ref="AG189:AG199" si="297">$B$202+$B$7*AF189^2+$B$8*(AF189-AF$191)^2</f>
        <v>0.11638023112250243</v>
      </c>
      <c r="AH189" s="14">
        <f t="shared" ref="AH189:AH199" si="298">$D$33+$C$33*(RADIANS(E189-$B$12))+$E$10*RADIANS(E189)^2</f>
        <v>1.0047090062089461</v>
      </c>
      <c r="AI189" s="6">
        <f t="shared" ref="AI189:AI199" si="299">$B$203+$B$7*AH189^2+$B$8*(AH189-AH$191)^2</f>
        <v>0.12498319511316443</v>
      </c>
      <c r="AJ189" s="14">
        <f t="shared" ref="AJ189:AJ199" si="300">$D$34+$C$34*(RADIANS(E189-$B$12))+$E$10*RADIANS(E189)^2</f>
        <v>1.076762243062074</v>
      </c>
      <c r="AK189">
        <f t="shared" si="266"/>
        <v>0.16010542881962672</v>
      </c>
      <c r="AL189" s="14">
        <f t="shared" ref="AL189:AL199" si="301">$D$35+$C$35*(RADIANS(E189-$B$12))+$E$10*RADIANS(E189)^2</f>
        <v>1.1734250704529579</v>
      </c>
      <c r="AM189">
        <f t="shared" si="267"/>
        <v>0.18231365243588013</v>
      </c>
      <c r="AN189" s="14">
        <f t="shared" ref="AN189:AN199" si="302">$D$36+$C$36*(RADIANS(E189-$B$12))+$E$10*RADIANS(E189)^2</f>
        <v>1.3106084858782712</v>
      </c>
      <c r="AO189">
        <f t="shared" si="268"/>
        <v>0.21651746285837931</v>
      </c>
      <c r="AP189" s="14">
        <f t="shared" ref="AP189:AP199" si="303">$D$37+$C$37*(RADIANS(E189-$B$12))+$E$10*RADIANS(E189)^2</f>
        <v>1.5215651468688098</v>
      </c>
      <c r="AQ189">
        <f t="shared" si="269"/>
        <v>0.27662624053523927</v>
      </c>
    </row>
    <row r="190" spans="1:43" x14ac:dyDescent="0.25">
      <c r="A190" s="129">
        <v>0.1</v>
      </c>
      <c r="B190" s="275">
        <f>'Sub C_D_0'!AZ162</f>
        <v>4.9704081342865893E-2</v>
      </c>
      <c r="C190" s="275">
        <f>'C_L vs. α'!X443</f>
        <v>0.10710313787004169</v>
      </c>
      <c r="D190" s="247">
        <f>'C_L vs. α'!AB443</f>
        <v>0.55638482940940404</v>
      </c>
      <c r="E190" s="144">
        <v>-2</v>
      </c>
      <c r="F190" s="14">
        <f t="shared" si="270"/>
        <v>0.7234641679560142</v>
      </c>
      <c r="G190" s="6">
        <f t="shared" si="271"/>
        <v>9.5348184213014983E-2</v>
      </c>
      <c r="H190" s="14">
        <f t="shared" si="272"/>
        <v>0.72582631032618294</v>
      </c>
      <c r="I190" s="6">
        <f t="shared" si="273"/>
        <v>9.2310303541301791E-2</v>
      </c>
      <c r="J190" s="14">
        <f t="shared" si="274"/>
        <v>0.72981856314204296</v>
      </c>
      <c r="K190" s="6">
        <f t="shared" si="275"/>
        <v>9.1067615691476506E-2</v>
      </c>
      <c r="L190" s="14">
        <f t="shared" si="276"/>
        <v>0.73552145382968093</v>
      </c>
      <c r="M190" s="6">
        <f t="shared" si="277"/>
        <v>9.0617028371008962E-2</v>
      </c>
      <c r="N190" s="14">
        <f t="shared" si="278"/>
        <v>0.74305489592910889</v>
      </c>
      <c r="O190" s="6">
        <f t="shared" si="279"/>
        <v>9.069073312977588E-2</v>
      </c>
      <c r="P190" s="14">
        <f t="shared" si="280"/>
        <v>0.75258712614973589</v>
      </c>
      <c r="Q190" s="6">
        <f t="shared" si="281"/>
        <v>9.1663640482549366E-2</v>
      </c>
      <c r="R190" s="14">
        <f t="shared" si="282"/>
        <v>0.7643377408199612</v>
      </c>
      <c r="S190" s="6">
        <f t="shared" si="283"/>
        <v>9.2566148188673827E-2</v>
      </c>
      <c r="T190" s="14">
        <f t="shared" si="284"/>
        <v>0.77860541011136797</v>
      </c>
      <c r="U190" s="6">
        <f t="shared" si="285"/>
        <v>9.3893287751747961E-2</v>
      </c>
      <c r="V190" s="14">
        <f t="shared" si="286"/>
        <v>0.79578326112169573</v>
      </c>
      <c r="W190" s="6">
        <f t="shared" si="287"/>
        <v>9.5690908603956515E-2</v>
      </c>
      <c r="X190" s="14">
        <f t="shared" si="288"/>
        <v>0.81639568614320113</v>
      </c>
      <c r="Y190" s="6">
        <f t="shared" si="289"/>
        <v>9.8037783542789858E-2</v>
      </c>
      <c r="Z190" s="14">
        <f t="shared" si="290"/>
        <v>0.84115135113333594</v>
      </c>
      <c r="AA190" s="6">
        <f t="shared" si="291"/>
        <v>0.10105441072194427</v>
      </c>
      <c r="AB190" s="14">
        <f t="shared" si="292"/>
        <v>0.87102639745148969</v>
      </c>
      <c r="AC190" s="6">
        <f t="shared" si="293"/>
        <v>0.10492062261277868</v>
      </c>
      <c r="AD190" s="14">
        <f t="shared" si="294"/>
        <v>0.90739924439284181</v>
      </c>
      <c r="AE190" s="6">
        <f t="shared" si="295"/>
        <v>0.11037117673869586</v>
      </c>
      <c r="AF190" s="14">
        <f t="shared" si="296"/>
        <v>0.95228308324293232</v>
      </c>
      <c r="AG190" s="6">
        <f t="shared" si="297"/>
        <v>0.11689369406030543</v>
      </c>
      <c r="AH190" s="14">
        <f t="shared" si="298"/>
        <v>1.0087411190679214</v>
      </c>
      <c r="AI190" s="6">
        <f t="shared" si="299"/>
        <v>0.12563847305915646</v>
      </c>
      <c r="AJ190" s="14">
        <f t="shared" si="300"/>
        <v>1.0816880641063769</v>
      </c>
      <c r="AK190">
        <f t="shared" si="266"/>
        <v>0.16117792963492888</v>
      </c>
      <c r="AL190" s="14">
        <f t="shared" si="301"/>
        <v>1.1795452160067839</v>
      </c>
      <c r="AM190">
        <f t="shared" si="267"/>
        <v>0.18376628287548744</v>
      </c>
      <c r="AN190" s="14">
        <f t="shared" si="302"/>
        <v>1.3180798201194843</v>
      </c>
      <c r="AO190">
        <f t="shared" si="268"/>
        <v>0.21849859847341604</v>
      </c>
      <c r="AP190" s="14">
        <f t="shared" si="303"/>
        <v>1.5281725406536011</v>
      </c>
      <c r="AQ190">
        <f t="shared" si="269"/>
        <v>0.27865892338872034</v>
      </c>
    </row>
    <row r="191" spans="1:43" s="99" customFormat="1" x14ac:dyDescent="0.25">
      <c r="A191" s="139">
        <v>0.15</v>
      </c>
      <c r="B191" s="275">
        <f>'Sub C_D_0'!AZ163</f>
        <v>4.799140846978913E-2</v>
      </c>
      <c r="C191" s="275">
        <f>'C_L vs. α'!X444</f>
        <v>0.10834922633532522</v>
      </c>
      <c r="D191" s="247">
        <f>'C_L vs. α'!AB444</f>
        <v>0.55945804426909762</v>
      </c>
      <c r="E191" s="143">
        <v>0</v>
      </c>
      <c r="F191" s="14">
        <f t="shared" si="270"/>
        <v>0.72619564421701832</v>
      </c>
      <c r="G191" s="6">
        <f t="shared" si="271"/>
        <v>9.5668270579044701E-2</v>
      </c>
      <c r="H191" s="14">
        <f t="shared" si="272"/>
        <v>0.72858745343298037</v>
      </c>
      <c r="I191" s="6">
        <f t="shared" si="273"/>
        <v>9.2634926332799419E-2</v>
      </c>
      <c r="J191" s="14">
        <f t="shared" si="274"/>
        <v>0.7326233316148143</v>
      </c>
      <c r="K191" s="6">
        <f t="shared" si="275"/>
        <v>9.1399186025966195E-2</v>
      </c>
      <c r="L191" s="14">
        <f t="shared" si="276"/>
        <v>0.7383862193459354</v>
      </c>
      <c r="M191" s="6">
        <f t="shared" si="277"/>
        <v>9.0958344349363285E-2</v>
      </c>
      <c r="N191" s="14">
        <f t="shared" si="278"/>
        <v>0.7459980635332073</v>
      </c>
      <c r="O191" s="6">
        <f t="shared" si="279"/>
        <v>9.1044990475895843E-2</v>
      </c>
      <c r="P191" s="14">
        <f t="shared" si="280"/>
        <v>0.75562566372968332</v>
      </c>
      <c r="Q191" s="6">
        <f t="shared" si="281"/>
        <v>9.2034079617136971E-2</v>
      </c>
      <c r="R191" s="14">
        <f t="shared" si="282"/>
        <v>0.76749956914544015</v>
      </c>
      <c r="S191" s="6">
        <f t="shared" si="283"/>
        <v>9.2957651327843394E-2</v>
      </c>
      <c r="T191" s="14">
        <f t="shared" si="284"/>
        <v>0.78191844291525292</v>
      </c>
      <c r="U191" s="6">
        <f t="shared" si="285"/>
        <v>9.4311189446681348E-2</v>
      </c>
      <c r="V191" s="14">
        <f t="shared" si="286"/>
        <v>0.79928075857029757</v>
      </c>
      <c r="W191" s="6">
        <f t="shared" si="287"/>
        <v>9.6141835378513729E-2</v>
      </c>
      <c r="X191" s="14">
        <f t="shared" si="288"/>
        <v>0.82011809691502424</v>
      </c>
      <c r="Y191" s="6">
        <f t="shared" si="289"/>
        <v>9.8530169502925091E-2</v>
      </c>
      <c r="Z191" s="14">
        <f t="shared" si="290"/>
        <v>0.84514892063570157</v>
      </c>
      <c r="AA191" s="6">
        <f t="shared" si="291"/>
        <v>0.1015992674426692</v>
      </c>
      <c r="AB191" s="14">
        <f t="shared" si="292"/>
        <v>0.87536293791553788</v>
      </c>
      <c r="AC191" s="6">
        <f t="shared" si="293"/>
        <v>0.10553272455786628</v>
      </c>
      <c r="AD191" s="14">
        <f t="shared" si="294"/>
        <v>0.91215914986864843</v>
      </c>
      <c r="AE191" s="6">
        <f t="shared" si="295"/>
        <v>0.11107116271266998</v>
      </c>
      <c r="AF191" s="14">
        <f t="shared" si="296"/>
        <v>0.95757811482938526</v>
      </c>
      <c r="AG191" s="6">
        <f t="shared" si="297"/>
        <v>0.11771098851567999</v>
      </c>
      <c r="AH191" s="14">
        <f t="shared" si="298"/>
        <v>1.0147227834135317</v>
      </c>
      <c r="AI191" s="6">
        <f t="shared" si="299"/>
        <v>0.1266166241670324</v>
      </c>
      <c r="AJ191" s="14">
        <f t="shared" si="300"/>
        <v>1.0885634366373145</v>
      </c>
      <c r="AK191" s="99">
        <f t="shared" si="266"/>
        <v>0.16268309163876835</v>
      </c>
      <c r="AL191" s="14">
        <f t="shared" si="301"/>
        <v>1.1876149130472446</v>
      </c>
      <c r="AM191" s="99">
        <f t="shared" si="267"/>
        <v>0.18569319457760014</v>
      </c>
      <c r="AN191" s="14">
        <f t="shared" si="302"/>
        <v>1.3275007058473323</v>
      </c>
      <c r="AO191" s="99">
        <f t="shared" si="268"/>
        <v>0.2210127396887889</v>
      </c>
      <c r="AP191" s="14">
        <f t="shared" si="303"/>
        <v>1.5367294859250271</v>
      </c>
      <c r="AQ191" s="99">
        <f t="shared" si="269"/>
        <v>0.28130445099172602</v>
      </c>
    </row>
    <row r="192" spans="1:43" x14ac:dyDescent="0.25">
      <c r="A192" s="129">
        <v>0.2</v>
      </c>
      <c r="B192" s="275">
        <f>'Sub C_D_0'!AZ164</f>
        <v>4.6864981154458349E-2</v>
      </c>
      <c r="C192" s="275">
        <f>'C_L vs. α'!X445</f>
        <v>0.11006380135905318</v>
      </c>
      <c r="D192" s="247">
        <f>'C_L vs. α'!AB445</f>
        <v>0.56384721039314389</v>
      </c>
      <c r="E192" s="144">
        <v>2</v>
      </c>
      <c r="F192" s="14">
        <f t="shared" si="270"/>
        <v>0.73087667196465755</v>
      </c>
      <c r="G192" s="6">
        <f t="shared" si="271"/>
        <v>9.6220314058597434E-2</v>
      </c>
      <c r="H192" s="14">
        <f t="shared" si="272"/>
        <v>0.73329814802641269</v>
      </c>
      <c r="I192" s="6">
        <f t="shared" si="273"/>
        <v>9.3192304999371714E-2</v>
      </c>
      <c r="J192" s="14">
        <f t="shared" si="274"/>
        <v>0.73737765157422064</v>
      </c>
      <c r="K192" s="6">
        <f t="shared" si="275"/>
        <v>9.1964851030762212E-2</v>
      </c>
      <c r="L192" s="14">
        <f t="shared" si="276"/>
        <v>0.74320053634882488</v>
      </c>
      <c r="M192" s="6">
        <f t="shared" si="277"/>
        <v>9.153566445540097E-2</v>
      </c>
      <c r="N192" s="14">
        <f t="shared" si="278"/>
        <v>0.75089078262394082</v>
      </c>
      <c r="O192" s="6">
        <f t="shared" si="279"/>
        <v>9.1637774925869261E-2</v>
      </c>
      <c r="P192" s="14">
        <f t="shared" si="280"/>
        <v>0.76061375279626586</v>
      </c>
      <c r="Q192" s="6">
        <f t="shared" si="281"/>
        <v>9.264623436715283E-2</v>
      </c>
      <c r="R192" s="14">
        <f t="shared" si="282"/>
        <v>0.77261094895755411</v>
      </c>
      <c r="S192" s="6">
        <f t="shared" si="283"/>
        <v>9.3594817045444006E-2</v>
      </c>
      <c r="T192" s="14">
        <f t="shared" si="284"/>
        <v>0.78718102720577299</v>
      </c>
      <c r="U192" s="6">
        <f t="shared" si="285"/>
        <v>9.4979557467864156E-2</v>
      </c>
      <c r="V192" s="14">
        <f t="shared" si="286"/>
        <v>0.80472780750553441</v>
      </c>
      <c r="W192" s="6">
        <f t="shared" si="287"/>
        <v>9.6849029415312288E-2</v>
      </c>
      <c r="X192" s="14">
        <f t="shared" si="288"/>
        <v>0.82579005917348236</v>
      </c>
      <c r="Y192" s="6">
        <f t="shared" si="289"/>
        <v>9.9285809515513759E-2</v>
      </c>
      <c r="Z192" s="14">
        <f t="shared" si="290"/>
        <v>0.85109604162470209</v>
      </c>
      <c r="AA192" s="6">
        <f t="shared" si="291"/>
        <v>0.10241580806418629</v>
      </c>
      <c r="AB192" s="14">
        <f t="shared" si="292"/>
        <v>0.88164902986622107</v>
      </c>
      <c r="AC192" s="6">
        <f t="shared" si="293"/>
        <v>0.10642674117199766</v>
      </c>
      <c r="AD192" s="14">
        <f t="shared" si="294"/>
        <v>0.91886860683108995</v>
      </c>
      <c r="AE192" s="6">
        <f t="shared" si="295"/>
        <v>0.11206560991873622</v>
      </c>
      <c r="AF192" s="14">
        <f t="shared" si="296"/>
        <v>0.96482269790247333</v>
      </c>
      <c r="AG192" s="6">
        <f t="shared" si="297"/>
        <v>0.11883836235109844</v>
      </c>
      <c r="AH192" s="14">
        <f t="shared" si="298"/>
        <v>1.0226539992457768</v>
      </c>
      <c r="AI192" s="6">
        <f t="shared" si="299"/>
        <v>0.12792470649028576</v>
      </c>
      <c r="AJ192" s="14">
        <f t="shared" si="300"/>
        <v>1.0973883606548871</v>
      </c>
      <c r="AK192">
        <f t="shared" si="266"/>
        <v>0.16462902741391591</v>
      </c>
      <c r="AL192" s="14">
        <f t="shared" si="301"/>
        <v>1.1976341615743404</v>
      </c>
      <c r="AM192">
        <f t="shared" si="267"/>
        <v>0.18810390936592769</v>
      </c>
      <c r="AN192" s="14">
        <f t="shared" si="302"/>
        <v>1.3388711430618152</v>
      </c>
      <c r="AO192">
        <f t="shared" si="268"/>
        <v>0.22407100266073504</v>
      </c>
      <c r="AP192" s="14">
        <f t="shared" si="303"/>
        <v>1.5472359826830882</v>
      </c>
      <c r="AQ192">
        <f t="shared" si="269"/>
        <v>0.28457292009559132</v>
      </c>
    </row>
    <row r="193" spans="1:43" x14ac:dyDescent="0.25">
      <c r="A193" s="139">
        <v>0.25</v>
      </c>
      <c r="B193" s="275">
        <f>'Sub C_D_0'!AZ165</f>
        <v>4.6037845915903979E-2</v>
      </c>
      <c r="C193" s="275">
        <f>'C_L vs. α'!X446</f>
        <v>0.11230550836416338</v>
      </c>
      <c r="D193" s="247">
        <f>'C_L vs. α'!AB446</f>
        <v>0.56964491335588441</v>
      </c>
      <c r="E193" s="144">
        <v>4</v>
      </c>
      <c r="F193" s="14">
        <f t="shared" si="270"/>
        <v>0.73750725119893168</v>
      </c>
      <c r="G193" s="6">
        <f t="shared" si="271"/>
        <v>9.7009838021480957E-2</v>
      </c>
      <c r="H193" s="14">
        <f t="shared" si="272"/>
        <v>0.7399583941064799</v>
      </c>
      <c r="I193" s="6">
        <f t="shared" si="273"/>
        <v>9.3987997916164898E-2</v>
      </c>
      <c r="J193" s="14">
        <f t="shared" si="274"/>
        <v>0.74408152302026187</v>
      </c>
      <c r="K193" s="6">
        <f t="shared" si="275"/>
        <v>9.2770220556678634E-2</v>
      </c>
      <c r="L193" s="14">
        <f t="shared" si="276"/>
        <v>0.74996440483834914</v>
      </c>
      <c r="M193" s="6">
        <f t="shared" si="277"/>
        <v>9.2354669333333625E-2</v>
      </c>
      <c r="N193" s="14">
        <f t="shared" si="278"/>
        <v>0.75773305320130913</v>
      </c>
      <c r="O193" s="6">
        <f t="shared" si="279"/>
        <v>9.2474859634302548E-2</v>
      </c>
      <c r="P193" s="14">
        <f t="shared" si="280"/>
        <v>0.76755139334948319</v>
      </c>
      <c r="Q193" s="6">
        <f t="shared" si="281"/>
        <v>9.3505990418825333E-2</v>
      </c>
      <c r="R193" s="14">
        <f t="shared" si="282"/>
        <v>0.77967188025630296</v>
      </c>
      <c r="S193" s="6">
        <f t="shared" si="283"/>
        <v>9.4483676504385314E-2</v>
      </c>
      <c r="T193" s="14">
        <f t="shared" si="284"/>
        <v>0.79439316298292795</v>
      </c>
      <c r="U193" s="6">
        <f t="shared" si="285"/>
        <v>9.5904601391643418E-2</v>
      </c>
      <c r="V193" s="14">
        <f t="shared" si="286"/>
        <v>0.81212440792740614</v>
      </c>
      <c r="W193" s="6">
        <f t="shared" si="287"/>
        <v>9.7818917949406711E-2</v>
      </c>
      <c r="X193" s="14">
        <f t="shared" si="288"/>
        <v>0.83341157291857548</v>
      </c>
      <c r="Y193" s="6">
        <f t="shared" si="289"/>
        <v>0.10031139620165933</v>
      </c>
      <c r="Z193" s="14">
        <f t="shared" si="290"/>
        <v>0.85899271410033751</v>
      </c>
      <c r="AA193" s="6">
        <f t="shared" si="291"/>
        <v>0.10351104988062088</v>
      </c>
      <c r="AB193" s="14">
        <f t="shared" si="292"/>
        <v>0.88988467330353926</v>
      </c>
      <c r="AC193" s="6">
        <f t="shared" si="293"/>
        <v>0.10761008971744118</v>
      </c>
      <c r="AD193" s="14">
        <f t="shared" si="294"/>
        <v>0.92752761528016636</v>
      </c>
      <c r="AE193" s="6">
        <f t="shared" si="295"/>
        <v>0.11336243516790509</v>
      </c>
      <c r="AF193" s="14">
        <f t="shared" si="296"/>
        <v>0.97401683246219617</v>
      </c>
      <c r="AG193" s="6">
        <f t="shared" si="297"/>
        <v>0.12028436379861017</v>
      </c>
      <c r="AH193" s="14">
        <f t="shared" si="298"/>
        <v>1.0325347665646569</v>
      </c>
      <c r="AI193" s="6">
        <f t="shared" si="299"/>
        <v>0.12957207845198707</v>
      </c>
      <c r="AJ193" s="14">
        <f t="shared" si="300"/>
        <v>1.1081628361590945</v>
      </c>
      <c r="AK193">
        <f t="shared" si="266"/>
        <v>0.16702614991271944</v>
      </c>
      <c r="AL193" s="14">
        <f t="shared" si="301"/>
        <v>1.2096029615880712</v>
      </c>
      <c r="AM193">
        <f t="shared" si="267"/>
        <v>0.19101024943375661</v>
      </c>
      <c r="AN193" s="14">
        <f t="shared" si="302"/>
        <v>1.3521911317629329</v>
      </c>
      <c r="AO193">
        <f t="shared" si="268"/>
        <v>0.22768680391506846</v>
      </c>
      <c r="AP193" s="14">
        <f t="shared" si="303"/>
        <v>1.5596920309277842</v>
      </c>
      <c r="AQ193">
        <f t="shared" si="269"/>
        <v>0.28847672782122835</v>
      </c>
    </row>
    <row r="194" spans="1:43" x14ac:dyDescent="0.25">
      <c r="A194" s="129">
        <v>0.3</v>
      </c>
      <c r="B194" s="275">
        <f>'Sub C_D_0'!AZ166</f>
        <v>4.5857744688328338E-2</v>
      </c>
      <c r="C194" s="275">
        <f>'C_L vs. α'!X447</f>
        <v>0.11503720196674827</v>
      </c>
      <c r="D194" s="247">
        <f>'C_L vs. α'!AB447</f>
        <v>0.57697940697139272</v>
      </c>
      <c r="E194" s="144">
        <v>6</v>
      </c>
      <c r="F194" s="14">
        <f t="shared" si="270"/>
        <v>0.74608738191984059</v>
      </c>
      <c r="G194" s="6">
        <f t="shared" si="271"/>
        <v>9.8044666207080272E-2</v>
      </c>
      <c r="H194" s="14">
        <f t="shared" si="272"/>
        <v>0.748568191673182</v>
      </c>
      <c r="I194" s="6">
        <f t="shared" si="273"/>
        <v>9.5029863827902364E-2</v>
      </c>
      <c r="J194" s="14">
        <f t="shared" si="274"/>
        <v>0.75273494595293799</v>
      </c>
      <c r="K194" s="6">
        <f t="shared" si="275"/>
        <v>9.3823204824106568E-2</v>
      </c>
      <c r="L194" s="14">
        <f t="shared" si="276"/>
        <v>0.75867782481450841</v>
      </c>
      <c r="M194" s="6">
        <f t="shared" si="277"/>
        <v>9.3423339996950086E-2</v>
      </c>
      <c r="N194" s="14">
        <f t="shared" si="278"/>
        <v>0.76652487526531243</v>
      </c>
      <c r="O194" s="6">
        <f t="shared" si="279"/>
        <v>9.3564318125379214E-2</v>
      </c>
      <c r="P194" s="14">
        <f t="shared" si="280"/>
        <v>0.77643858538933552</v>
      </c>
      <c r="Q194" s="6">
        <f t="shared" si="281"/>
        <v>9.4621533827960069E-2</v>
      </c>
      <c r="R194" s="14">
        <f t="shared" si="282"/>
        <v>0.7886823630416866</v>
      </c>
      <c r="S194" s="6">
        <f t="shared" si="283"/>
        <v>9.5632561237154093E-2</v>
      </c>
      <c r="T194" s="14">
        <f t="shared" si="284"/>
        <v>0.8035548502467178</v>
      </c>
      <c r="U194" s="6">
        <f t="shared" si="285"/>
        <v>9.7094831163943282E-2</v>
      </c>
      <c r="V194" s="14">
        <f t="shared" si="286"/>
        <v>0.82147055983591277</v>
      </c>
      <c r="W194" s="6">
        <f t="shared" si="287"/>
        <v>9.9060228585428609E-2</v>
      </c>
      <c r="X194" s="14">
        <f t="shared" si="288"/>
        <v>0.84298263815030339</v>
      </c>
      <c r="Y194" s="6">
        <f t="shared" si="289"/>
        <v>0.10161592255204231</v>
      </c>
      <c r="Z194" s="14">
        <f t="shared" si="290"/>
        <v>0.86883893806260781</v>
      </c>
      <c r="AA194" s="6">
        <f t="shared" si="291"/>
        <v>0.10489431055567551</v>
      </c>
      <c r="AB194" s="14">
        <f t="shared" si="292"/>
        <v>0.90006986822749224</v>
      </c>
      <c r="AC194" s="6">
        <f t="shared" si="293"/>
        <v>0.10909248782604233</v>
      </c>
      <c r="AD194" s="14">
        <f t="shared" si="294"/>
        <v>0.93813617521587767</v>
      </c>
      <c r="AE194" s="6">
        <f t="shared" si="295"/>
        <v>0.11497185564076437</v>
      </c>
      <c r="AF194" s="14">
        <f t="shared" si="296"/>
        <v>0.98516051850855402</v>
      </c>
      <c r="AG194" s="6">
        <f t="shared" si="297"/>
        <v>0.12205984145984164</v>
      </c>
      <c r="AH194" s="14">
        <f t="shared" si="298"/>
        <v>1.0443650853701723</v>
      </c>
      <c r="AI194" s="6">
        <f t="shared" si="299"/>
        <v>0.13157039884478411</v>
      </c>
      <c r="AJ194" s="14">
        <f t="shared" si="300"/>
        <v>1.1208868631499371</v>
      </c>
      <c r="AK194">
        <f t="shared" si="266"/>
        <v>0.16988717245710405</v>
      </c>
      <c r="AL194" s="14">
        <f t="shared" si="301"/>
        <v>1.2235213130884368</v>
      </c>
      <c r="AM194">
        <f t="shared" si="267"/>
        <v>0.19442633734395037</v>
      </c>
      <c r="AN194" s="14">
        <f t="shared" si="302"/>
        <v>1.3674606719506859</v>
      </c>
      <c r="AO194">
        <f t="shared" si="268"/>
        <v>0.2318758603471805</v>
      </c>
      <c r="AP194" s="14">
        <f t="shared" si="303"/>
        <v>1.574097630659115</v>
      </c>
      <c r="AQ194">
        <f t="shared" si="269"/>
        <v>0.29303057165912594</v>
      </c>
    </row>
    <row r="195" spans="1:43" x14ac:dyDescent="0.25">
      <c r="A195" s="139">
        <v>0.35</v>
      </c>
      <c r="B195" s="275">
        <f>'Sub C_D_0'!AZ167</f>
        <v>4.5318683768149848E-2</v>
      </c>
      <c r="C195" s="275">
        <f>'C_L vs. α'!X448</f>
        <v>0.11856448920169711</v>
      </c>
      <c r="D195" s="247">
        <f>'C_L vs. α'!AB448</f>
        <v>0.58602300954865816</v>
      </c>
      <c r="E195" s="144">
        <v>8</v>
      </c>
      <c r="F195" s="14">
        <f t="shared" si="270"/>
        <v>0.75661706412738461</v>
      </c>
      <c r="G195" s="6">
        <f t="shared" si="271"/>
        <v>9.93349227243574E-2</v>
      </c>
      <c r="H195" s="14">
        <f t="shared" si="272"/>
        <v>0.75912754072651911</v>
      </c>
      <c r="I195" s="6">
        <f t="shared" si="273"/>
        <v>9.6328061848884511E-2</v>
      </c>
      <c r="J195" s="14">
        <f t="shared" si="274"/>
        <v>0.76333792037224901</v>
      </c>
      <c r="K195" s="6">
        <f t="shared" si="275"/>
        <v>9.5134014423014238E-2</v>
      </c>
      <c r="L195" s="14">
        <f t="shared" si="276"/>
        <v>0.76934079627730267</v>
      </c>
      <c r="M195" s="6">
        <f t="shared" si="277"/>
        <v>9.4751957829616124E-2</v>
      </c>
      <c r="N195" s="14">
        <f t="shared" si="278"/>
        <v>0.77726624881595063</v>
      </c>
      <c r="O195" s="6">
        <f t="shared" si="279"/>
        <v>9.4916524292859877E-2</v>
      </c>
      <c r="P195" s="14">
        <f t="shared" si="280"/>
        <v>0.78727532891582275</v>
      </c>
      <c r="Q195" s="6">
        <f t="shared" si="281"/>
        <v>9.6003351019939676E-2</v>
      </c>
      <c r="R195" s="14">
        <f t="shared" si="282"/>
        <v>0.79964239731370534</v>
      </c>
      <c r="S195" s="6">
        <f t="shared" si="283"/>
        <v>9.7052103145814264E-2</v>
      </c>
      <c r="T195" s="14">
        <f t="shared" si="284"/>
        <v>0.81466608899714266</v>
      </c>
      <c r="U195" s="6">
        <f t="shared" si="285"/>
        <v>9.8561057100264943E-2</v>
      </c>
      <c r="V195" s="14">
        <f t="shared" si="286"/>
        <v>0.83276626323105452</v>
      </c>
      <c r="W195" s="6">
        <f t="shared" si="287"/>
        <v>0.10058398929758672</v>
      </c>
      <c r="X195" s="14">
        <f t="shared" si="288"/>
        <v>0.8545032548686663</v>
      </c>
      <c r="Y195" s="6">
        <f t="shared" si="289"/>
        <v>0.10321068192692036</v>
      </c>
      <c r="Z195" s="14">
        <f t="shared" si="290"/>
        <v>0.88063471351151323</v>
      </c>
      <c r="AA195" s="6">
        <f t="shared" si="291"/>
        <v>0.10657720812262975</v>
      </c>
      <c r="AB195" s="14">
        <f t="shared" si="292"/>
        <v>0.91220461463808022</v>
      </c>
      <c r="AC195" s="6">
        <f t="shared" si="293"/>
        <v>0.1108859534992237</v>
      </c>
      <c r="AD195" s="14">
        <f t="shared" si="294"/>
        <v>0.95069428663822397</v>
      </c>
      <c r="AE195" s="6">
        <f t="shared" si="295"/>
        <v>0.11690638888747881</v>
      </c>
      <c r="AF195" s="14">
        <f t="shared" si="296"/>
        <v>0.99825375604154687</v>
      </c>
      <c r="AG195" s="6">
        <f t="shared" si="297"/>
        <v>0.12417794430599645</v>
      </c>
      <c r="AH195" s="14">
        <f t="shared" si="298"/>
        <v>1.0581449556623224</v>
      </c>
      <c r="AI195" s="6">
        <f t="shared" si="299"/>
        <v>0.13393362683090146</v>
      </c>
      <c r="AJ195" s="14">
        <f t="shared" si="300"/>
        <v>1.1355604416274148</v>
      </c>
      <c r="AK195">
        <f t="shared" si="266"/>
        <v>0.17322710873857175</v>
      </c>
      <c r="AL195" s="14">
        <f t="shared" si="301"/>
        <v>1.2393892160754376</v>
      </c>
      <c r="AM195">
        <f t="shared" si="267"/>
        <v>0.19836859602894982</v>
      </c>
      <c r="AN195" s="14">
        <f t="shared" si="302"/>
        <v>1.3846797636250738</v>
      </c>
      <c r="AO195">
        <f t="shared" si="268"/>
        <v>0.23665618922203929</v>
      </c>
      <c r="AP195" s="14">
        <f t="shared" si="303"/>
        <v>1.5904527818770811</v>
      </c>
      <c r="AQ195">
        <f t="shared" si="269"/>
        <v>0.2982514494693505</v>
      </c>
    </row>
    <row r="196" spans="1:43" x14ac:dyDescent="0.25">
      <c r="A196" s="129">
        <v>0.4</v>
      </c>
      <c r="B196" s="275">
        <f>'Sub C_D_0'!AZ168</f>
        <v>4.4865438867692682E-2</v>
      </c>
      <c r="C196" s="275">
        <f>'C_L vs. α'!X449</f>
        <v>0.12289042432176656</v>
      </c>
      <c r="D196" s="247">
        <f>'C_L vs. α'!AB449</f>
        <v>0.59700438372333264</v>
      </c>
      <c r="E196" s="144">
        <v>10</v>
      </c>
      <c r="F196" s="14">
        <f t="shared" si="270"/>
        <v>0.76909629782156352</v>
      </c>
      <c r="G196" s="6">
        <f t="shared" si="271"/>
        <v>0.10089303205185146</v>
      </c>
      <c r="H196" s="14">
        <f t="shared" si="272"/>
        <v>0.77163644126649111</v>
      </c>
      <c r="I196" s="6">
        <f t="shared" si="273"/>
        <v>9.7895051462988852E-2</v>
      </c>
      <c r="J196" s="14">
        <f t="shared" si="274"/>
        <v>0.77589044627819503</v>
      </c>
      <c r="K196" s="6">
        <f t="shared" si="275"/>
        <v>9.6715160312946996E-2</v>
      </c>
      <c r="L196" s="14">
        <f t="shared" si="276"/>
        <v>0.78195331922673184</v>
      </c>
      <c r="M196" s="6">
        <f t="shared" si="277"/>
        <v>9.6353104584274679E-2</v>
      </c>
      <c r="N196" s="14">
        <f t="shared" si="278"/>
        <v>0.78995717385322373</v>
      </c>
      <c r="O196" s="6">
        <f t="shared" si="279"/>
        <v>9.6544152400082225E-2</v>
      </c>
      <c r="P196" s="14">
        <f t="shared" si="280"/>
        <v>0.80006162392894487</v>
      </c>
      <c r="Q196" s="6">
        <f t="shared" si="281"/>
        <v>9.7664228789723848E-2</v>
      </c>
      <c r="R196" s="14">
        <f t="shared" si="282"/>
        <v>0.81255198307235899</v>
      </c>
      <c r="S196" s="6">
        <f t="shared" si="283"/>
        <v>9.8755234502006697E-2</v>
      </c>
      <c r="T196" s="14">
        <f t="shared" si="284"/>
        <v>0.82772687923420241</v>
      </c>
      <c r="U196" s="6">
        <f t="shared" si="285"/>
        <v>0.10031638988568671</v>
      </c>
      <c r="V196" s="14">
        <f t="shared" si="286"/>
        <v>0.84601151811283104</v>
      </c>
      <c r="W196" s="6">
        <f t="shared" si="287"/>
        <v>0.10240352842966678</v>
      </c>
      <c r="X196" s="14">
        <f t="shared" si="288"/>
        <v>0.8679734230736641</v>
      </c>
      <c r="Y196" s="6">
        <f t="shared" si="289"/>
        <v>0.10510926805612818</v>
      </c>
      <c r="Z196" s="14">
        <f t="shared" si="290"/>
        <v>0.89438004044705344</v>
      </c>
      <c r="AA196" s="6">
        <f t="shared" si="291"/>
        <v>0.10857366098434022</v>
      </c>
      <c r="AB196" s="14">
        <f t="shared" si="292"/>
        <v>0.92628891253530321</v>
      </c>
      <c r="AC196" s="6">
        <f t="shared" si="293"/>
        <v>0.11300480510798491</v>
      </c>
      <c r="AD196" s="14">
        <f t="shared" si="294"/>
        <v>0.96520194954720517</v>
      </c>
      <c r="AE196" s="6">
        <f t="shared" si="295"/>
        <v>0.1191808528277903</v>
      </c>
      <c r="AF196" s="14">
        <f t="shared" si="296"/>
        <v>1.0132965450611746</v>
      </c>
      <c r="AG196" s="6">
        <f t="shared" si="297"/>
        <v>0.1266541216778552</v>
      </c>
      <c r="AH196" s="14">
        <f t="shared" si="298"/>
        <v>1.0738743774411073</v>
      </c>
      <c r="AI196" s="6">
        <f t="shared" si="299"/>
        <v>0.13667802194214099</v>
      </c>
      <c r="AJ196" s="14">
        <f t="shared" si="300"/>
        <v>1.152183571591527</v>
      </c>
      <c r="AK196">
        <f t="shared" si="266"/>
        <v>0.17706327281820158</v>
      </c>
      <c r="AL196" s="14">
        <f t="shared" si="301"/>
        <v>1.2572066705490732</v>
      </c>
      <c r="AM196">
        <f t="shared" si="267"/>
        <v>0.20285574879077256</v>
      </c>
      <c r="AN196" s="14">
        <f t="shared" si="302"/>
        <v>1.4038484067860963</v>
      </c>
      <c r="AO196">
        <f t="shared" si="268"/>
        <v>0.24204810817419012</v>
      </c>
      <c r="AP196" s="14">
        <f t="shared" si="303"/>
        <v>1.6087574845816819</v>
      </c>
      <c r="AQ196">
        <f t="shared" si="269"/>
        <v>0.30415865948154525</v>
      </c>
    </row>
    <row r="197" spans="1:43" x14ac:dyDescent="0.25">
      <c r="A197" s="139">
        <v>0.45</v>
      </c>
      <c r="B197" s="275">
        <f>'Sub C_D_0'!AZ169</f>
        <v>4.4475842900688158E-2</v>
      </c>
      <c r="C197" s="275">
        <f>'C_L vs. α'!X450</f>
        <v>0.12816770096166333</v>
      </c>
      <c r="D197" s="247">
        <f>'C_L vs. α'!AB450</f>
        <v>0.61022655878285847</v>
      </c>
      <c r="E197" s="144">
        <v>12</v>
      </c>
      <c r="F197" s="14">
        <f t="shared" si="270"/>
        <v>0.78352508300237744</v>
      </c>
      <c r="G197" s="6">
        <f t="shared" si="271"/>
        <v>0.10273371903767865</v>
      </c>
      <c r="H197" s="14">
        <f t="shared" si="272"/>
        <v>0.78609489329309812</v>
      </c>
      <c r="I197" s="6">
        <f t="shared" si="273"/>
        <v>9.9745592523670046E-2</v>
      </c>
      <c r="J197" s="14">
        <f t="shared" si="274"/>
        <v>0.79039252367077606</v>
      </c>
      <c r="K197" s="6">
        <f t="shared" si="275"/>
        <v>9.8581453823027215E-2</v>
      </c>
      <c r="L197" s="14">
        <f t="shared" si="276"/>
        <v>0.796515393662796</v>
      </c>
      <c r="M197" s="6">
        <f t="shared" si="277"/>
        <v>9.8241662383445727E-2</v>
      </c>
      <c r="N197" s="14">
        <f t="shared" si="278"/>
        <v>0.80459765037713193</v>
      </c>
      <c r="O197" s="6">
        <f t="shared" si="279"/>
        <v>9.8462177079961036E-2</v>
      </c>
      <c r="P197" s="14">
        <f t="shared" si="280"/>
        <v>0.8147974704287021</v>
      </c>
      <c r="Q197" s="6">
        <f t="shared" si="281"/>
        <v>9.9619254301849383E-2</v>
      </c>
      <c r="R197" s="14">
        <f t="shared" si="282"/>
        <v>0.82741112031764763</v>
      </c>
      <c r="S197" s="6">
        <f t="shared" si="283"/>
        <v>0.10075718794694945</v>
      </c>
      <c r="T197" s="14">
        <f t="shared" si="284"/>
        <v>0.84273722095789705</v>
      </c>
      <c r="U197" s="6">
        <f t="shared" si="285"/>
        <v>0.10237624057486397</v>
      </c>
      <c r="V197" s="14">
        <f t="shared" si="286"/>
        <v>0.86120632448124257</v>
      </c>
      <c r="W197" s="6">
        <f t="shared" si="287"/>
        <v>0.10453447469503167</v>
      </c>
      <c r="X197" s="14">
        <f t="shared" si="288"/>
        <v>0.88339314276529701</v>
      </c>
      <c r="Y197" s="6">
        <f t="shared" si="289"/>
        <v>0.10732757503907757</v>
      </c>
      <c r="Z197" s="14">
        <f t="shared" si="290"/>
        <v>0.91007491886922864</v>
      </c>
      <c r="AA197" s="6">
        <f t="shared" si="291"/>
        <v>0.11089988791324071</v>
      </c>
      <c r="AB197" s="14">
        <f t="shared" si="292"/>
        <v>0.94232276191916109</v>
      </c>
      <c r="AC197" s="6">
        <f t="shared" si="293"/>
        <v>0.11546566139290272</v>
      </c>
      <c r="AD197" s="14">
        <f t="shared" si="294"/>
        <v>0.98165916394282138</v>
      </c>
      <c r="AE197" s="6">
        <f t="shared" si="295"/>
        <v>0.12181236575101778</v>
      </c>
      <c r="AF197" s="14">
        <f t="shared" si="296"/>
        <v>1.0302888855674373</v>
      </c>
      <c r="AG197" s="6">
        <f t="shared" si="297"/>
        <v>0.12950612328577565</v>
      </c>
      <c r="AH197" s="14">
        <f t="shared" si="298"/>
        <v>1.0915533507065269</v>
      </c>
      <c r="AI197" s="6">
        <f t="shared" si="299"/>
        <v>0.13982214407988161</v>
      </c>
      <c r="AJ197" s="14">
        <f t="shared" si="300"/>
        <v>1.1707562530422742</v>
      </c>
      <c r="AK197">
        <f t="shared" si="266"/>
        <v>0.1814152791266499</v>
      </c>
      <c r="AL197" s="14">
        <f t="shared" si="301"/>
        <v>1.2769736765093433</v>
      </c>
      <c r="AM197">
        <f t="shared" si="267"/>
        <v>0.20790881930101338</v>
      </c>
      <c r="AN197" s="14">
        <f t="shared" si="302"/>
        <v>1.4249666014337539</v>
      </c>
      <c r="AO197">
        <f t="shared" si="268"/>
        <v>0.24807423520775554</v>
      </c>
      <c r="AP197" s="14">
        <f t="shared" si="303"/>
        <v>1.6290117387729175</v>
      </c>
      <c r="AQ197">
        <f t="shared" si="269"/>
        <v>0.31077380029493029</v>
      </c>
    </row>
    <row r="198" spans="1:43" x14ac:dyDescent="0.25">
      <c r="A198" s="129">
        <v>0.5</v>
      </c>
      <c r="B198" s="275">
        <f>'Sub C_D_0'!AZ170</f>
        <v>4.413518584716293E-2</v>
      </c>
      <c r="C198" s="275">
        <f>'C_L vs. α'!X451</f>
        <v>0.13460151309406465</v>
      </c>
      <c r="D198" s="247">
        <f>'C_L vs. α'!AB451</f>
        <v>0.6260937673204966</v>
      </c>
      <c r="E198" s="144">
        <v>14</v>
      </c>
      <c r="F198" s="14">
        <f t="shared" si="270"/>
        <v>0.79990341966982614</v>
      </c>
      <c r="G198" s="6">
        <f t="shared" si="271"/>
        <v>0.10487400889953227</v>
      </c>
      <c r="H198" s="14">
        <f t="shared" si="272"/>
        <v>0.80250289680634002</v>
      </c>
      <c r="I198" s="6">
        <f t="shared" si="273"/>
        <v>0.10189674525395968</v>
      </c>
      <c r="J198" s="14">
        <f t="shared" si="274"/>
        <v>0.80684415254999198</v>
      </c>
      <c r="K198" s="6">
        <f t="shared" si="275"/>
        <v>0.10075000665195437</v>
      </c>
      <c r="L198" s="14">
        <f t="shared" si="276"/>
        <v>0.81302701958549495</v>
      </c>
      <c r="M198" s="6">
        <f t="shared" si="277"/>
        <v>0.10043481371922634</v>
      </c>
      <c r="N198" s="14">
        <f t="shared" si="278"/>
        <v>0.82118767838767492</v>
      </c>
      <c r="O198" s="6">
        <f t="shared" si="279"/>
        <v>0.10068787333498813</v>
      </c>
      <c r="P198" s="14">
        <f t="shared" si="280"/>
        <v>0.83148286841509411</v>
      </c>
      <c r="Q198" s="6">
        <f t="shared" si="281"/>
        <v>0.10188581509043013</v>
      </c>
      <c r="R198" s="14">
        <f t="shared" si="282"/>
        <v>0.84421980904957117</v>
      </c>
      <c r="S198" s="6">
        <f t="shared" si="283"/>
        <v>0.10307549649143762</v>
      </c>
      <c r="T198" s="14">
        <f t="shared" si="284"/>
        <v>0.85969711416822669</v>
      </c>
      <c r="U198" s="6">
        <f t="shared" si="285"/>
        <v>0.10475832059202918</v>
      </c>
      <c r="V198" s="14">
        <f t="shared" si="286"/>
        <v>0.87835068233628899</v>
      </c>
      <c r="W198" s="6">
        <f t="shared" si="287"/>
        <v>0.10699475717662137</v>
      </c>
      <c r="X198" s="14">
        <f t="shared" si="288"/>
        <v>0.90076241394356471</v>
      </c>
      <c r="Y198" s="6">
        <f t="shared" si="289"/>
        <v>0.10988379734475738</v>
      </c>
      <c r="Z198" s="14">
        <f t="shared" si="290"/>
        <v>0.92771934877803874</v>
      </c>
      <c r="AA198" s="6">
        <f t="shared" si="291"/>
        <v>0.11357440805134203</v>
      </c>
      <c r="AB198" s="14">
        <f t="shared" si="292"/>
        <v>0.96030616278965386</v>
      </c>
      <c r="AC198" s="6">
        <f t="shared" si="293"/>
        <v>0.11828744146413089</v>
      </c>
      <c r="AD198" s="14">
        <f t="shared" si="294"/>
        <v>1.0000659298250725</v>
      </c>
      <c r="AE198" s="6">
        <f t="shared" si="295"/>
        <v>0.12482034631605732</v>
      </c>
      <c r="AF198" s="14">
        <f t="shared" si="296"/>
        <v>1.0492307775603349</v>
      </c>
      <c r="AG198" s="6">
        <f t="shared" si="297"/>
        <v>0.13275399920969261</v>
      </c>
      <c r="AH198" s="14">
        <f t="shared" si="298"/>
        <v>1.1111818754585818</v>
      </c>
      <c r="AI198" s="6">
        <f t="shared" si="299"/>
        <v>0.14338685351507938</v>
      </c>
      <c r="AJ198" s="14">
        <f t="shared" si="300"/>
        <v>1.1912784859796564</v>
      </c>
      <c r="AK198">
        <f t="shared" si="266"/>
        <v>0.18630504246415003</v>
      </c>
      <c r="AL198" s="14">
        <f t="shared" si="301"/>
        <v>1.2986902339562489</v>
      </c>
      <c r="AM198">
        <f t="shared" si="267"/>
        <v>0.21355113160084443</v>
      </c>
      <c r="AN198" s="14">
        <f t="shared" si="302"/>
        <v>1.4480343475680464</v>
      </c>
      <c r="AO198">
        <f t="shared" si="268"/>
        <v>0.25475948869643505</v>
      </c>
      <c r="AP198" s="14">
        <f t="shared" si="303"/>
        <v>1.6512155444507881</v>
      </c>
      <c r="AQ198">
        <f t="shared" si="269"/>
        <v>0.31812077087830337</v>
      </c>
    </row>
    <row r="199" spans="1:43" x14ac:dyDescent="0.25">
      <c r="A199" s="139">
        <v>0.55000000000000004</v>
      </c>
      <c r="B199" s="275">
        <f>'Sub C_D_0'!AZ171</f>
        <v>4.3833234654861053E-2</v>
      </c>
      <c r="C199" s="275">
        <f>'C_L vs. α'!X452</f>
        <v>0.1424713281741227</v>
      </c>
      <c r="D199" s="247">
        <f>'C_L vs. α'!AB452</f>
        <v>0.64515232241407749</v>
      </c>
      <c r="E199" s="144">
        <v>16</v>
      </c>
      <c r="F199" s="14">
        <f t="shared" si="270"/>
        <v>0.81823130782390985</v>
      </c>
      <c r="G199" s="6">
        <f t="shared" si="271"/>
        <v>0.10733322722468266</v>
      </c>
      <c r="H199" s="14">
        <f t="shared" si="272"/>
        <v>0.82086045180621681</v>
      </c>
      <c r="I199" s="6">
        <f t="shared" si="273"/>
        <v>0.10436787024646661</v>
      </c>
      <c r="J199" s="14">
        <f t="shared" si="274"/>
        <v>0.82524533291584279</v>
      </c>
      <c r="K199" s="6">
        <f t="shared" si="275"/>
        <v>0.10324023086800503</v>
      </c>
      <c r="L199" s="14">
        <f t="shared" si="276"/>
        <v>0.8314881969948289</v>
      </c>
      <c r="M199" s="6">
        <f t="shared" si="277"/>
        <v>0.10295204145329075</v>
      </c>
      <c r="N199" s="14">
        <f t="shared" si="278"/>
        <v>0.83972725788485292</v>
      </c>
      <c r="O199" s="6">
        <f t="shared" si="279"/>
        <v>0.10324081653723249</v>
      </c>
      <c r="P199" s="14">
        <f t="shared" si="280"/>
        <v>0.85011781788812113</v>
      </c>
      <c r="Q199" s="6">
        <f t="shared" si="281"/>
        <v>0.10448359905915706</v>
      </c>
      <c r="R199" s="14">
        <f t="shared" si="282"/>
        <v>0.8629780492681296</v>
      </c>
      <c r="S199" s="6">
        <f t="shared" si="283"/>
        <v>0.10572999351584336</v>
      </c>
      <c r="T199" s="14">
        <f t="shared" si="284"/>
        <v>0.87860655886519123</v>
      </c>
      <c r="U199" s="6">
        <f t="shared" si="285"/>
        <v>0.10748264173099191</v>
      </c>
      <c r="V199" s="14">
        <f t="shared" si="286"/>
        <v>0.8974445916779703</v>
      </c>
      <c r="W199" s="6">
        <f t="shared" si="287"/>
        <v>0.10980460532695285</v>
      </c>
      <c r="X199" s="14">
        <f t="shared" si="288"/>
        <v>0.9200812366084673</v>
      </c>
      <c r="Y199" s="6">
        <f t="shared" si="289"/>
        <v>0.11279842981173362</v>
      </c>
      <c r="Z199" s="14">
        <f t="shared" si="290"/>
        <v>0.94731333017348385</v>
      </c>
      <c r="AA199" s="6">
        <f t="shared" si="291"/>
        <v>0.1166180409102321</v>
      </c>
      <c r="AB199" s="14">
        <f t="shared" si="292"/>
        <v>0.98023911514678153</v>
      </c>
      <c r="AC199" s="6">
        <f t="shared" si="293"/>
        <v>0.12149136480140037</v>
      </c>
      <c r="AD199" s="14">
        <f t="shared" si="294"/>
        <v>1.0204222471939586</v>
      </c>
      <c r="AE199" s="6">
        <f t="shared" si="295"/>
        <v>0.12822651355138204</v>
      </c>
      <c r="AF199" s="14">
        <f t="shared" si="296"/>
        <v>1.0701222210398673</v>
      </c>
      <c r="AG199" s="6">
        <f t="shared" si="297"/>
        <v>0.13642009989911796</v>
      </c>
      <c r="AH199" s="14">
        <f t="shared" si="298"/>
        <v>1.1327599516972715</v>
      </c>
      <c r="AI199" s="6">
        <f t="shared" si="299"/>
        <v>0.14739531088826729</v>
      </c>
      <c r="AJ199" s="14">
        <f t="shared" si="300"/>
        <v>1.2137502704036736</v>
      </c>
      <c r="AK199">
        <f t="shared" si="266"/>
        <v>0.19175677800051233</v>
      </c>
      <c r="AL199" s="14">
        <f t="shared" si="301"/>
        <v>1.3223563428897893</v>
      </c>
      <c r="AM199">
        <f t="shared" si="267"/>
        <v>0.21980831010101456</v>
      </c>
      <c r="AN199" s="14">
        <f t="shared" si="302"/>
        <v>1.4730516451889739</v>
      </c>
      <c r="AO199">
        <f t="shared" si="268"/>
        <v>0.26213108738350527</v>
      </c>
      <c r="AP199" s="14">
        <f t="shared" si="303"/>
        <v>1.6753689016152937</v>
      </c>
      <c r="AQ199">
        <f t="shared" si="269"/>
        <v>0.32622577057003882</v>
      </c>
    </row>
    <row r="200" spans="1:43" x14ac:dyDescent="0.25">
      <c r="A200" s="129">
        <v>0.6</v>
      </c>
      <c r="B200" s="275">
        <f>'Sub C_D_0'!AZ172</f>
        <v>4.3562599843946573E-2</v>
      </c>
      <c r="C200" s="275">
        <f>'C_L vs. α'!X453</f>
        <v>0.15216382998166197</v>
      </c>
      <c r="D200" s="247">
        <f>'C_L vs. α'!AB453</f>
        <v>0.66815476260936835</v>
      </c>
    </row>
    <row r="201" spans="1:43" x14ac:dyDescent="0.25">
      <c r="A201" s="139">
        <v>0.65</v>
      </c>
      <c r="B201" s="275">
        <f>'Sub C_D_0'!AZ173</f>
        <v>4.3781663231569061E-2</v>
      </c>
      <c r="C201" s="275">
        <f>'C_L vs. α'!X454</f>
        <v>0.16426336239313699</v>
      </c>
      <c r="D201" s="247">
        <f>'C_L vs. α'!AB454</f>
        <v>0.69616430046180855</v>
      </c>
    </row>
    <row r="202" spans="1:43" x14ac:dyDescent="0.25">
      <c r="A202" s="129">
        <v>0.7</v>
      </c>
      <c r="B202" s="275">
        <f>'Sub C_D_0'!AZ174</f>
        <v>4.3553590396013787E-2</v>
      </c>
      <c r="C202" s="275">
        <f>'C_L vs. α'!X455</f>
        <v>0.17954714628800661</v>
      </c>
      <c r="D202" s="247">
        <f>'C_L vs. α'!AB455</f>
        <v>0.73073273471171618</v>
      </c>
    </row>
    <row r="203" spans="1:43" x14ac:dyDescent="0.25">
      <c r="A203" s="139">
        <v>0.75</v>
      </c>
      <c r="B203" s="275">
        <f>'Sub C_D_0'!AZ175</f>
        <v>4.3344262189657749E-2</v>
      </c>
      <c r="C203" s="275">
        <f>'C_L vs. α'!X456</f>
        <v>0.19913965070149539</v>
      </c>
      <c r="D203" s="247">
        <f>'C_L vs. α'!AB456</f>
        <v>0.7742205053262986</v>
      </c>
    </row>
    <row r="204" spans="1:43" x14ac:dyDescent="0.25">
      <c r="A204" s="129">
        <v>0.8</v>
      </c>
      <c r="B204" s="275">
        <f>'Sub C_D_0'!AZ176</f>
        <v>4.3151023879006524E-2</v>
      </c>
      <c r="C204" s="275">
        <f>'C_L vs. α'!X457</f>
        <v>0.22459938383969194</v>
      </c>
      <c r="D204" s="247">
        <f>'C_L vs. α'!AB457</f>
        <v>0.83041164474938745</v>
      </c>
    </row>
    <row r="205" spans="1:43" x14ac:dyDescent="0.25">
      <c r="A205" s="139">
        <v>0.85</v>
      </c>
      <c r="B205" s="275">
        <f>'Sub C_D_0'!AZ177</f>
        <v>4.3418313419630754E-2</v>
      </c>
      <c r="C205" s="275">
        <f>'C_L vs. α'!X458</f>
        <v>0.25848095999507764</v>
      </c>
      <c r="D205" s="247">
        <f>'C_L vs. α'!AB458</f>
        <v>0.90578940361991822</v>
      </c>
    </row>
    <row r="206" spans="1:43" x14ac:dyDescent="0.25">
      <c r="A206" s="129">
        <v>0.9</v>
      </c>
      <c r="B206" s="275">
        <f>'Sub C_D_0'!AZ178</f>
        <v>4.3247653415878835E-2</v>
      </c>
      <c r="C206" s="275">
        <f>'C_L vs. α'!X459</f>
        <v>0.29637099638935421</v>
      </c>
      <c r="D206" s="247">
        <f>'C_L vs. α'!AB459</f>
        <v>1.012370337747668</v>
      </c>
    </row>
    <row r="207" spans="1:43" x14ac:dyDescent="0.25">
      <c r="A207" s="139">
        <v>0.95</v>
      </c>
      <c r="B207" s="275">
        <f>'Sub C_D_0'!AZ179</f>
        <v>4.3087975212032913E-2</v>
      </c>
      <c r="C207" s="275">
        <f>'C_L vs. α'!X460</f>
        <v>0.26834460027091589</v>
      </c>
      <c r="D207" s="247">
        <f>'C_L vs. α'!AB460</f>
        <v>1.1728890272208958</v>
      </c>
    </row>
    <row r="209" spans="1:43" x14ac:dyDescent="0.25">
      <c r="A209" s="122" t="s">
        <v>537</v>
      </c>
      <c r="B209" s="267" t="s">
        <v>294</v>
      </c>
    </row>
    <row r="210" spans="1:43" x14ac:dyDescent="0.25">
      <c r="A210" s="122" t="s">
        <v>202</v>
      </c>
      <c r="B210" s="274">
        <v>36000</v>
      </c>
      <c r="C210" s="267" t="s">
        <v>538</v>
      </c>
      <c r="D210" s="122" t="s">
        <v>539</v>
      </c>
      <c r="F210" s="1" t="s">
        <v>536</v>
      </c>
      <c r="G210" s="140">
        <v>0.05</v>
      </c>
      <c r="H210" s="1" t="s">
        <v>536</v>
      </c>
      <c r="I210" s="140">
        <v>0.1</v>
      </c>
      <c r="J210" s="1" t="s">
        <v>536</v>
      </c>
      <c r="K210" s="140">
        <v>0.15</v>
      </c>
      <c r="L210" s="1" t="s">
        <v>536</v>
      </c>
      <c r="M210" s="140">
        <v>0.2</v>
      </c>
      <c r="N210" t="s">
        <v>536</v>
      </c>
      <c r="O210" s="141">
        <v>0.25</v>
      </c>
      <c r="P210" t="s">
        <v>536</v>
      </c>
      <c r="Q210" s="141">
        <v>0.3</v>
      </c>
      <c r="R210" t="s">
        <v>536</v>
      </c>
      <c r="S210" s="141">
        <v>0.35</v>
      </c>
      <c r="T210" t="s">
        <v>536</v>
      </c>
      <c r="U210" s="141">
        <v>0.4</v>
      </c>
      <c r="V210" t="s">
        <v>536</v>
      </c>
      <c r="W210" s="141">
        <v>0.45</v>
      </c>
      <c r="X210" t="s">
        <v>536</v>
      </c>
      <c r="Y210" s="141">
        <v>0.5</v>
      </c>
      <c r="Z210" t="s">
        <v>536</v>
      </c>
      <c r="AA210" s="141">
        <v>0.55000000000000004</v>
      </c>
      <c r="AB210" t="s">
        <v>536</v>
      </c>
      <c r="AC210" s="141">
        <v>0.6</v>
      </c>
      <c r="AD210" t="s">
        <v>536</v>
      </c>
      <c r="AE210" s="141">
        <v>0.65</v>
      </c>
      <c r="AF210" t="s">
        <v>536</v>
      </c>
      <c r="AG210" s="141">
        <v>0.7</v>
      </c>
      <c r="AH210" t="s">
        <v>536</v>
      </c>
      <c r="AI210" s="141">
        <v>0.75</v>
      </c>
      <c r="AJ210" t="s">
        <v>536</v>
      </c>
      <c r="AK210" s="141">
        <v>0.8</v>
      </c>
      <c r="AL210" t="s">
        <v>536</v>
      </c>
      <c r="AM210" s="141">
        <v>0.85</v>
      </c>
      <c r="AN210" t="s">
        <v>536</v>
      </c>
      <c r="AO210" s="141">
        <v>0.9</v>
      </c>
      <c r="AP210" t="s">
        <v>536</v>
      </c>
      <c r="AQ210" s="141">
        <v>0.95</v>
      </c>
    </row>
    <row r="211" spans="1:43" x14ac:dyDescent="0.25">
      <c r="A211" s="121" t="s">
        <v>182</v>
      </c>
      <c r="B211" s="269" t="s">
        <v>534</v>
      </c>
      <c r="C211" s="269" t="s">
        <v>535</v>
      </c>
      <c r="D211" s="248" t="s">
        <v>1126</v>
      </c>
      <c r="E211" s="121" t="s">
        <v>421</v>
      </c>
      <c r="F211" s="14" t="s">
        <v>244</v>
      </c>
      <c r="G211" s="6" t="s">
        <v>245</v>
      </c>
      <c r="H211" s="14" t="s">
        <v>244</v>
      </c>
      <c r="I211" s="6" t="s">
        <v>245</v>
      </c>
      <c r="J211" s="14" t="s">
        <v>244</v>
      </c>
      <c r="K211" s="6" t="s">
        <v>245</v>
      </c>
      <c r="L211" s="14" t="s">
        <v>244</v>
      </c>
      <c r="M211" s="6" t="s">
        <v>245</v>
      </c>
      <c r="N211" t="s">
        <v>244</v>
      </c>
      <c r="O211" t="s">
        <v>245</v>
      </c>
      <c r="P211" t="s">
        <v>244</v>
      </c>
      <c r="Q211" t="s">
        <v>245</v>
      </c>
      <c r="R211" t="s">
        <v>244</v>
      </c>
      <c r="S211" t="s">
        <v>245</v>
      </c>
      <c r="T211" t="s">
        <v>244</v>
      </c>
      <c r="U211" t="s">
        <v>245</v>
      </c>
      <c r="V211" t="s">
        <v>244</v>
      </c>
      <c r="W211" t="s">
        <v>245</v>
      </c>
      <c r="X211" t="s">
        <v>244</v>
      </c>
      <c r="Y211" t="s">
        <v>245</v>
      </c>
      <c r="Z211" t="s">
        <v>244</v>
      </c>
      <c r="AA211" t="s">
        <v>245</v>
      </c>
      <c r="AB211" t="s">
        <v>244</v>
      </c>
      <c r="AC211" t="s">
        <v>245</v>
      </c>
      <c r="AD211" t="s">
        <v>244</v>
      </c>
      <c r="AE211" t="s">
        <v>245</v>
      </c>
      <c r="AF211" t="s">
        <v>244</v>
      </c>
      <c r="AG211" t="s">
        <v>245</v>
      </c>
      <c r="AH211" t="s">
        <v>244</v>
      </c>
      <c r="AI211" t="s">
        <v>245</v>
      </c>
      <c r="AJ211" t="s">
        <v>244</v>
      </c>
      <c r="AK211" t="s">
        <v>245</v>
      </c>
      <c r="AL211" t="s">
        <v>244</v>
      </c>
      <c r="AM211" t="s">
        <v>245</v>
      </c>
      <c r="AN211" t="s">
        <v>244</v>
      </c>
      <c r="AO211" t="s">
        <v>245</v>
      </c>
      <c r="AP211" t="s">
        <v>244</v>
      </c>
      <c r="AQ211" t="s">
        <v>245</v>
      </c>
    </row>
    <row r="212" spans="1:43" x14ac:dyDescent="0.25">
      <c r="A212" s="129">
        <v>0</v>
      </c>
      <c r="B212" s="270" t="e">
        <f>'Sub C_D_0'!AZ190</f>
        <v>#DIV/0!</v>
      </c>
      <c r="C212" s="270" t="e">
        <f>'C_L vs. α'!X466</f>
        <v>#NUM!</v>
      </c>
      <c r="D212" s="247">
        <f>'C_L vs. α'!AB466</f>
        <v>0.55396232552297364</v>
      </c>
      <c r="E212" s="144">
        <v>-6</v>
      </c>
      <c r="F212" s="14">
        <f>$D$19+$C$19*(RADIANS(E212-$B$12))+$E$10*RADIANS(E212)^2</f>
        <v>0.72384986989391042</v>
      </c>
      <c r="G212" s="6">
        <f>$B$213+$B$7*F212^2+$B$8*(F212-F$215)^2</f>
        <v>9.5298261635762119E-2</v>
      </c>
      <c r="H212" s="14">
        <f>$D$20+$C$20*(RADIANS(E212-$B$12))+$E$10*RADIANS(E212)^2</f>
        <v>0.72615267857249299</v>
      </c>
      <c r="I212" s="6">
        <f>$B$214+$B$7*H212^2+$B$8*(H212-H$215)^2</f>
        <v>9.2267462862642424E-2</v>
      </c>
      <c r="J212" s="14">
        <f>$D$21+$C$21*(RADIANS(E212-$B$12))+$E$10*RADIANS(E212)^2</f>
        <v>0.73005768065640497</v>
      </c>
      <c r="K212" s="6">
        <f>$B$215+$B$7*J212^2+$B$8*(J212-J$215)^2</f>
        <v>9.1021624961740183E-2</v>
      </c>
      <c r="L212" s="14">
        <f>$D$22+$C$22*(RADIANS(E212-$B$12))+$E$10*RADIANS(E212)^2</f>
        <v>0.73564057725707677</v>
      </c>
      <c r="M212" s="6">
        <f>$B$216+$B$7*L212^2+$B$8*(L212-L$215)^2</f>
        <v>9.056145658730945E-2</v>
      </c>
      <c r="N212" s="14">
        <f>$D$23+$C$23*(RADIANS(E212-$B$12))+$E$10*RADIANS(E212)^2</f>
        <v>0.74301721518081665</v>
      </c>
      <c r="O212" s="6">
        <f>$B$217+$B$7*N212^2+$B$8*(N212-N$215)^2</f>
        <v>9.061970633039293E-2</v>
      </c>
      <c r="P212" s="14">
        <f>$D$24+$C$24*(RADIANS(E212-$B$12))+$E$10*RADIANS(E212)^2</f>
        <v>0.75235870544974559</v>
      </c>
      <c r="Q212" s="6">
        <f>$B$218+$B$7*P212^2+$B$8*(P212-P$215)^2</f>
        <v>9.1570582239795709E-2</v>
      </c>
      <c r="R212" s="14">
        <f>$D$25+$C$25*(RADIANS(E212-$B$12))+$E$10*RADIANS(E212)^2</f>
        <v>0.76386273862890797</v>
      </c>
      <c r="S212" s="6">
        <f>$B$219+$B$7*R212^2+$B$8*(R212-R$215)^2</f>
        <v>9.2444279464086912E-2</v>
      </c>
      <c r="T212" s="14">
        <f>$D$26+$C$26*(RADIANS(E212-$B$12))+$E$10*RADIANS(E212)^2</f>
        <v>0.77782799896350252</v>
      </c>
      <c r="U212" s="6">
        <f>$B$220+$B$7*T212^2+$B$8*(T212-T$215)^2</f>
        <v>9.3734036008280994E-2</v>
      </c>
      <c r="V212" s="14">
        <f>$D$27+$C$27*(RADIANS(E212-$B$12))+$E$10*RADIANS(E212)^2</f>
        <v>0.79463692068439673</v>
      </c>
      <c r="W212" s="6">
        <f>$B$221+$B$7*V212^2+$B$8*(V212-V$215)^2</f>
        <v>9.5483603738957659E-2</v>
      </c>
      <c r="X212" s="14">
        <f>$D$28+$C$28*(RADIANS(E212-$B$12))+$E$10*RADIANS(E212)^2</f>
        <v>0.81479951905945946</v>
      </c>
      <c r="Y212" s="6">
        <f>$B$222+$B$7*X212^2+$B$8*(X212-X$215)^2</f>
        <v>9.7768731880604545E-2</v>
      </c>
      <c r="Z212" s="14">
        <f>$D$29+$C$29*(RADIANS(E212-$B$12))+$E$10*RADIANS(E212)^2</f>
        <v>0.83900486658850959</v>
      </c>
      <c r="AA212" s="6">
        <f>$B$223+$B$7*Z212^2+$B$8*(Z212-Z$215)^2</f>
        <v>0.1007055301435073</v>
      </c>
      <c r="AB212" s="14">
        <f>$D$30+$C$30*(RADIANS(E212-$B$12))+$E$10*RADIANS(E212)^2</f>
        <v>0.86820197098329788</v>
      </c>
      <c r="AC212" s="6">
        <f>$B$224+$B$7*AB212^2+$B$8*(AB212-AB$215)^2</f>
        <v>0.1044673442872011</v>
      </c>
      <c r="AD212" s="14">
        <f>$D$31+$C$31*(RADIANS(E212-$B$12))+$E$10*RADIANS(E212)^2</f>
        <v>0.90372808790113346</v>
      </c>
      <c r="AE212" s="6">
        <f>$B$225+$B$7*AD212^2+$B$8*(AD212-AD$215)^2</f>
        <v>0.10977745566648246</v>
      </c>
      <c r="AF212" s="14">
        <f>$D$32+$C$32*(RADIANS(E212-$B$12))+$E$10*RADIANS(E212)^2</f>
        <v>0.94754167452993099</v>
      </c>
      <c r="AG212" s="6">
        <f>$B$226+$B$7*AF212^2+$B$8*(AF212-AF$215)^2</f>
        <v>0.11611052006184366</v>
      </c>
      <c r="AH212" s="14">
        <f>$D$33+$C$33*(RADIANS(E212-$B$12))+$E$10*RADIANS(E212)^2</f>
        <v>1.0026264448366058</v>
      </c>
      <c r="AI212" s="6">
        <f>$B$227+$B$7*AH212^2+$B$8*(AH212-AH$215)^2</f>
        <v>0.12459066409006954</v>
      </c>
      <c r="AJ212" s="14">
        <f>$D$34+$C$34*(RADIANS(E212-$B$12))+$E$10*RADIANS(E212)^2</f>
        <v>1.0737859735044064</v>
      </c>
      <c r="AK212">
        <f t="shared" ref="AK212:AK223" si="304">$B$228+$B$9*AJ212^2</f>
        <v>0.15940511072952529</v>
      </c>
      <c r="AL212" s="14">
        <f>$D$35+$C$35*(RADIANS(E212-$B$12))+$E$10*RADIANS(E212)^2</f>
        <v>1.1692544763857668</v>
      </c>
      <c r="AM212">
        <f t="shared" ref="AM212:AM223" si="305">$B$229+$B$9*AL212^2</f>
        <v>0.18127291059812123</v>
      </c>
      <c r="AN212" s="14">
        <f>$D$36+$C$36*(RADIANS(E212-$B$12))+$E$10*RADIANS(E212)^2</f>
        <v>1.3050867031236932</v>
      </c>
      <c r="AO212">
        <f t="shared" ref="AO212:AO223" si="306">$B$230+$B$9*AN212^2</f>
        <v>0.21500596186160559</v>
      </c>
      <c r="AP212" s="14">
        <f>$D$37+$C$37*(RADIANS(E212-$B$12))+$E$10*RADIANS(E212)^2</f>
        <v>1.5169073045706536</v>
      </c>
      <c r="AQ212">
        <f t="shared" ref="AQ212:AQ223" si="307">$B$231+$B$9*AP212^2</f>
        <v>0.27514462547654583</v>
      </c>
    </row>
    <row r="213" spans="1:43" x14ac:dyDescent="0.25">
      <c r="A213" s="139">
        <v>0.05</v>
      </c>
      <c r="B213" s="275">
        <f>'Sub C_D_0'!AZ191</f>
        <v>5.2923800407424941E-2</v>
      </c>
      <c r="C213" s="275">
        <f>'C_L vs. α'!X467</f>
        <v>0.10625707059841116</v>
      </c>
      <c r="D213" s="247">
        <f>'C_L vs. α'!AB467</f>
        <v>0.55456498931698928</v>
      </c>
      <c r="E213" s="144">
        <v>-4</v>
      </c>
      <c r="F213" s="14">
        <f t="shared" ref="F213:F223" si="308">$D$19+$C$19*(RADIANS(E213-$B$12))+$E$10*RADIANS(E213)^2</f>
        <v>0.72268224318164487</v>
      </c>
      <c r="G213" s="6">
        <f t="shared" ref="G213:G223" si="309">$B$213+$B$7*F213^2+$B$8*(F213-F$215)^2</f>
        <v>9.5161802405861196E-2</v>
      </c>
      <c r="H213" s="14">
        <f t="shared" ref="H213:H223" si="310">$D$20+$C$20*(RADIANS(E213-$B$12))+$E$10*RADIANS(E213)^2</f>
        <v>0.72501471870602052</v>
      </c>
      <c r="I213" s="6">
        <f t="shared" ref="I213:I223" si="311">$B$214+$B$7*H213^2+$B$8*(H213-H$215)^2</f>
        <v>9.2134047551121187E-2</v>
      </c>
      <c r="J213" s="14">
        <f t="shared" ref="J213:J223" si="312">$D$21+$C$21*(RADIANS(E213-$B$12))+$E$10*RADIANS(E213)^2</f>
        <v>0.72896334615590652</v>
      </c>
      <c r="K213" s="6">
        <f t="shared" ref="K213:K223" si="313">$B$215+$B$7*J213^2+$B$8*(J213-J$215)^2</f>
        <v>9.0892634029751049E-2</v>
      </c>
      <c r="L213" s="14">
        <f t="shared" ref="L213:L223" si="314">$D$22+$C$22*(RADIANS(E213-$B$12))+$E$10*RADIANS(E213)^2</f>
        <v>0.73460623980006134</v>
      </c>
      <c r="M213" s="6">
        <f t="shared" ref="M213:M223" si="315">$B$216+$B$7*L213^2+$B$8*(L213-L$215)^2</f>
        <v>9.0438604764623703E-2</v>
      </c>
      <c r="N213" s="14">
        <f t="shared" ref="N213:N223" si="316">$D$23+$C$23*(RADIANS(E213-$B$12))+$E$10*RADIANS(E213)^2</f>
        <v>0.74206127981164527</v>
      </c>
      <c r="O213" s="6">
        <f t="shared" ref="O213:O223" si="317">$B$217+$B$7*N213^2+$B$8*(N213-N$215)^2</f>
        <v>9.0505027454316989E-2</v>
      </c>
      <c r="P213" s="14">
        <f t="shared" ref="P213:P223" si="318">$D$24+$C$24*(RADIANS(E213-$B$12))+$E$10*RADIANS(E213)^2</f>
        <v>0.75149814005642324</v>
      </c>
      <c r="Q213" s="6">
        <f t="shared" ref="Q213:Q223" si="319">$B$218+$B$7*P213^2+$B$8*(P213-P$215)^2</f>
        <v>9.1466045723903905E-2</v>
      </c>
      <c r="R213" s="14">
        <f t="shared" ref="R213:R223" si="320">$D$25+$C$25*(RADIANS(E213-$B$12))+$E$10*RADIANS(E213)^2</f>
        <v>0.76312546398111714</v>
      </c>
      <c r="S213" s="6">
        <f t="shared" ref="S213:S223" si="321">$B$219+$B$7*R213^2+$B$8*(R213-R$215)^2</f>
        <v>9.2353349456815101E-2</v>
      </c>
      <c r="T213" s="14">
        <f t="shared" ref="T213:T223" si="322">$D$26+$C$26*(RADIANS(E213-$B$12))+$E$10*RADIANS(E213)^2</f>
        <v>0.7772419287941178</v>
      </c>
      <c r="U213" s="6">
        <f t="shared" ref="U213:U223" si="323">$B$220+$B$7*T213^2+$B$8*(T213-T$215)^2</f>
        <v>9.3660432301448368E-2</v>
      </c>
      <c r="V213" s="14">
        <f t="shared" ref="V213:V223" si="324">$D$27+$C$27*(RADIANS(E213-$B$12))+$E$10*RADIANS(E213)^2</f>
        <v>0.79423531515972878</v>
      </c>
      <c r="W213" s="6">
        <f t="shared" ref="W213:W223" si="325">$B$221+$B$7*V213^2+$B$8*(V213-V$215)^2</f>
        <v>9.5432076215887437E-2</v>
      </c>
      <c r="X213" s="14">
        <f t="shared" ref="X213:X223" si="326">$D$28+$C$28*(RADIANS(E213-$B$12))+$E$10*RADIANS(E213)^2</f>
        <v>0.81462282685801291</v>
      </c>
      <c r="Y213" s="6">
        <f t="shared" ref="Y213:Y223" si="327">$B$222+$B$7*X213^2+$B$8*(X213-X$215)^2</f>
        <v>9.7745486120834973E-2</v>
      </c>
      <c r="Z213" s="14">
        <f t="shared" ref="Z213:Z223" si="328">$D$29+$C$29*(RADIANS(E213-$B$12))+$E$10*RADIANS(E213)^2</f>
        <v>0.83910333311760532</v>
      </c>
      <c r="AA213" s="6">
        <f t="shared" ref="AA213:AA223" si="329">$B$223+$B$7*Z213^2+$B$8*(Z213-Z$215)^2</f>
        <v>0.10071886946671588</v>
      </c>
      <c r="AB213" s="14">
        <f t="shared" ref="AB213:AB223" si="330">$D$30+$C$30*(RADIANS(E213-$B$12))+$E$10*RADIANS(E213)^2</f>
        <v>0.86863940847407639</v>
      </c>
      <c r="AC213" s="6">
        <f t="shared" ref="AC213:AC223" si="331">$B$224+$B$7*AB213^2+$B$8*(AB213-AB$215)^2</f>
        <v>0.10452866720269803</v>
      </c>
      <c r="AD213" s="14">
        <f t="shared" ref="AD213:AD223" si="332">$D$31+$C$31*(RADIANS(E213-$B$12))+$E$10*RADIANS(E213)^2</f>
        <v>0.90458889040367019</v>
      </c>
      <c r="AE213" s="6">
        <f t="shared" ref="AE213:AE223" si="333">$B$225+$B$7*AD213^2+$B$8*(AD213-AD$215)^2</f>
        <v>0.109903068130996</v>
      </c>
      <c r="AF213" s="14">
        <f t="shared" ref="AF213:AF223" si="334">$D$32+$C$32*(RADIANS(E213-$B$12))+$E$10*RADIANS(E213)^2</f>
        <v>0.94893760314311415</v>
      </c>
      <c r="AG213" s="6">
        <f t="shared" ref="AG213:AG223" si="335">$B$226+$B$7*AF213^2+$B$8*(AF213-AF$215)^2</f>
        <v>0.1163240989749703</v>
      </c>
      <c r="AH213" s="14">
        <f t="shared" ref="AH213:AH223" si="336">$D$33+$C$33*(RADIANS(E213-$B$12))+$E$10*RADIANS(E213)^2</f>
        <v>1.0047090062089461</v>
      </c>
      <c r="AI213" s="6">
        <f t="shared" ref="AI213:AI223" si="337">$B$227+$B$7*AH213^2+$B$8*(AH213-AH$215)^2</f>
        <v>0.12492782655809402</v>
      </c>
      <c r="AJ213" s="14">
        <f t="shared" ref="AJ213:AJ223" si="338">$D$34+$C$34*(RADIANS(E213-$B$12))+$E$10*RADIANS(E213)^2</f>
        <v>1.076762243062074</v>
      </c>
      <c r="AK213">
        <f t="shared" si="304"/>
        <v>0.16005076256948381</v>
      </c>
      <c r="AL213" s="14">
        <f t="shared" ref="AL213:AL223" si="339">$D$35+$C$35*(RADIANS(E213-$B$12))+$E$10*RADIANS(E213)^2</f>
        <v>1.1734250704529579</v>
      </c>
      <c r="AM213">
        <f t="shared" si="305"/>
        <v>0.18225848122935545</v>
      </c>
      <c r="AN213" s="14">
        <f t="shared" ref="AN213:AN223" si="340">$D$36+$C$36*(RADIANS(E213-$B$12))+$E$10*RADIANS(E213)^2</f>
        <v>1.3106084858782712</v>
      </c>
      <c r="AO213">
        <f t="shared" si="306"/>
        <v>0.21646290766296591</v>
      </c>
      <c r="AP213" s="14">
        <f t="shared" ref="AP213:AP223" si="341">$D$37+$C$37*(RADIANS(E213-$B$12))+$E$10*RADIANS(E213)^2</f>
        <v>1.5215651468688098</v>
      </c>
      <c r="AQ213">
        <f t="shared" si="307"/>
        <v>0.27657225996225987</v>
      </c>
    </row>
    <row r="214" spans="1:43" x14ac:dyDescent="0.25">
      <c r="A214" s="129">
        <v>0.1</v>
      </c>
      <c r="B214" s="275">
        <f>'Sub C_D_0'!AZ192</f>
        <v>4.9622950274677433E-2</v>
      </c>
      <c r="C214" s="275">
        <f>'C_L vs. α'!X468</f>
        <v>0.10710759633970311</v>
      </c>
      <c r="D214" s="247">
        <f>'C_L vs. α'!AB468</f>
        <v>0.55638482940940404</v>
      </c>
      <c r="E214" s="144">
        <v>-2</v>
      </c>
      <c r="F214" s="14">
        <f t="shared" si="308"/>
        <v>0.7234641679560142</v>
      </c>
      <c r="G214" s="6">
        <f t="shared" si="309"/>
        <v>9.5253154658598765E-2</v>
      </c>
      <c r="H214" s="14">
        <f t="shared" si="310"/>
        <v>0.72582631032618294</v>
      </c>
      <c r="I214" s="6">
        <f t="shared" si="311"/>
        <v>9.2229172473113338E-2</v>
      </c>
      <c r="J214" s="14">
        <f t="shared" si="312"/>
        <v>0.72981856314204296</v>
      </c>
      <c r="K214" s="6">
        <f t="shared" si="313"/>
        <v>9.0993419175171369E-2</v>
      </c>
      <c r="L214" s="14">
        <f t="shared" si="314"/>
        <v>0.73552145382968093</v>
      </c>
      <c r="M214" s="6">
        <f t="shared" si="315"/>
        <v>9.0547296889929241E-2</v>
      </c>
      <c r="N214" s="14">
        <f t="shared" si="316"/>
        <v>0.74305489592910889</v>
      </c>
      <c r="O214" s="6">
        <f t="shared" si="317"/>
        <v>9.0624230481612861E-2</v>
      </c>
      <c r="P214" s="14">
        <f t="shared" si="318"/>
        <v>0.75258712614973589</v>
      </c>
      <c r="Q214" s="6">
        <f t="shared" si="319"/>
        <v>9.159835455971467E-2</v>
      </c>
      <c r="R214" s="14">
        <f t="shared" si="320"/>
        <v>0.7643377408199612</v>
      </c>
      <c r="S214" s="6">
        <f t="shared" si="321"/>
        <v>9.2502920810886208E-2</v>
      </c>
      <c r="T214" s="14">
        <f t="shared" si="322"/>
        <v>0.77860541011136797</v>
      </c>
      <c r="U214" s="6">
        <f t="shared" si="323"/>
        <v>9.3831776876902306E-2</v>
      </c>
      <c r="V214" s="14">
        <f t="shared" si="324"/>
        <v>0.79578326112169573</v>
      </c>
      <c r="W214" s="6">
        <f t="shared" si="325"/>
        <v>9.5630862593680754E-2</v>
      </c>
      <c r="X214" s="14">
        <f t="shared" si="326"/>
        <v>0.81639568614320113</v>
      </c>
      <c r="Y214" s="6">
        <f t="shared" si="327"/>
        <v>9.7979010280043161E-2</v>
      </c>
      <c r="Z214" s="14">
        <f t="shared" si="328"/>
        <v>0.84115135113333594</v>
      </c>
      <c r="AA214" s="6">
        <f t="shared" si="329"/>
        <v>0.100996759211197</v>
      </c>
      <c r="AB214" s="14">
        <f t="shared" si="330"/>
        <v>0.87102639745148969</v>
      </c>
      <c r="AC214" s="6">
        <f t="shared" si="331"/>
        <v>0.10486397137143316</v>
      </c>
      <c r="AD214" s="14">
        <f t="shared" si="332"/>
        <v>0.90739924439284181</v>
      </c>
      <c r="AE214" s="6">
        <f t="shared" si="333"/>
        <v>0.11031420931431163</v>
      </c>
      <c r="AF214" s="14">
        <f t="shared" si="334"/>
        <v>0.95228308324293232</v>
      </c>
      <c r="AG214" s="6">
        <f t="shared" si="335"/>
        <v>0.11683756191277331</v>
      </c>
      <c r="AH214" s="14">
        <f t="shared" si="336"/>
        <v>1.0087411190679214</v>
      </c>
      <c r="AI214" s="6">
        <f t="shared" si="337"/>
        <v>0.12558310450408605</v>
      </c>
      <c r="AJ214" s="14">
        <f t="shared" si="338"/>
        <v>1.0816880641063769</v>
      </c>
      <c r="AK214">
        <f t="shared" si="304"/>
        <v>0.16112326338478597</v>
      </c>
      <c r="AL214" s="14">
        <f t="shared" si="339"/>
        <v>1.1795452160067839</v>
      </c>
      <c r="AM214">
        <f t="shared" si="305"/>
        <v>0.18371111166896276</v>
      </c>
      <c r="AN214" s="14">
        <f t="shared" si="340"/>
        <v>1.3180798201194843</v>
      </c>
      <c r="AO214">
        <f t="shared" si="306"/>
        <v>0.21844404327800265</v>
      </c>
      <c r="AP214" s="14">
        <f t="shared" si="341"/>
        <v>1.5281725406536011</v>
      </c>
      <c r="AQ214">
        <f t="shared" si="307"/>
        <v>0.27860494281574094</v>
      </c>
    </row>
    <row r="215" spans="1:43" s="99" customFormat="1" x14ac:dyDescent="0.25">
      <c r="A215" s="139">
        <v>0.15</v>
      </c>
      <c r="B215" s="275">
        <f>'Sub C_D_0'!AZ193</f>
        <v>4.7917211953484001E-2</v>
      </c>
      <c r="C215" s="275">
        <f>'C_L vs. α'!X469</f>
        <v>0.10835342453251325</v>
      </c>
      <c r="D215" s="247">
        <f>'C_L vs. α'!AB469</f>
        <v>0.55945804426909762</v>
      </c>
      <c r="E215" s="143">
        <v>0</v>
      </c>
      <c r="F215" s="14">
        <f t="shared" si="308"/>
        <v>0.72619564421701832</v>
      </c>
      <c r="G215" s="6">
        <f t="shared" si="309"/>
        <v>9.5573241024628497E-2</v>
      </c>
      <c r="H215" s="14">
        <f t="shared" si="310"/>
        <v>0.72858745343298037</v>
      </c>
      <c r="I215" s="6">
        <f t="shared" si="311"/>
        <v>9.2553795264610966E-2</v>
      </c>
      <c r="J215" s="14">
        <f t="shared" si="312"/>
        <v>0.7326233316148143</v>
      </c>
      <c r="K215" s="6">
        <f t="shared" si="313"/>
        <v>9.1324989509661073E-2</v>
      </c>
      <c r="L215" s="14">
        <f t="shared" si="314"/>
        <v>0.7383862193459354</v>
      </c>
      <c r="M215" s="6">
        <f t="shared" si="315"/>
        <v>9.0888612868283564E-2</v>
      </c>
      <c r="N215" s="14">
        <f t="shared" si="316"/>
        <v>0.7459980635332073</v>
      </c>
      <c r="O215" s="6">
        <f t="shared" si="317"/>
        <v>9.0978487827732824E-2</v>
      </c>
      <c r="P215" s="14">
        <f t="shared" si="318"/>
        <v>0.75562566372968332</v>
      </c>
      <c r="Q215" s="6">
        <f t="shared" si="319"/>
        <v>9.1968793694302275E-2</v>
      </c>
      <c r="R215" s="14">
        <f t="shared" si="320"/>
        <v>0.76749956914544015</v>
      </c>
      <c r="S215" s="6">
        <f t="shared" si="321"/>
        <v>9.2894423950055774E-2</v>
      </c>
      <c r="T215" s="14">
        <f t="shared" si="322"/>
        <v>0.78191844291525292</v>
      </c>
      <c r="U215" s="6">
        <f t="shared" si="323"/>
        <v>9.4249678571835679E-2</v>
      </c>
      <c r="V215" s="14">
        <f t="shared" si="324"/>
        <v>0.79928075857029757</v>
      </c>
      <c r="W215" s="6">
        <f t="shared" si="325"/>
        <v>9.6081789368237955E-2</v>
      </c>
      <c r="X215" s="14">
        <f t="shared" si="326"/>
        <v>0.82011809691502424</v>
      </c>
      <c r="Y215" s="6">
        <f t="shared" si="327"/>
        <v>9.847139624017838E-2</v>
      </c>
      <c r="Z215" s="14">
        <f t="shared" si="328"/>
        <v>0.84514892063570157</v>
      </c>
      <c r="AA215" s="6">
        <f t="shared" si="329"/>
        <v>0.10154161593192194</v>
      </c>
      <c r="AB215" s="14">
        <f t="shared" si="330"/>
        <v>0.87536293791553788</v>
      </c>
      <c r="AC215" s="6">
        <f t="shared" si="331"/>
        <v>0.10547607331652076</v>
      </c>
      <c r="AD215" s="14">
        <f t="shared" si="332"/>
        <v>0.91215914986864843</v>
      </c>
      <c r="AE215" s="6">
        <f t="shared" si="333"/>
        <v>0.11101419528828577</v>
      </c>
      <c r="AF215" s="14">
        <f t="shared" si="334"/>
        <v>0.95757811482938526</v>
      </c>
      <c r="AG215" s="6">
        <f t="shared" si="335"/>
        <v>0.11765485636814785</v>
      </c>
      <c r="AH215" s="14">
        <f t="shared" si="336"/>
        <v>1.0147227834135317</v>
      </c>
      <c r="AI215" s="6">
        <f t="shared" si="337"/>
        <v>0.12656125561196199</v>
      </c>
      <c r="AJ215" s="14">
        <f t="shared" si="338"/>
        <v>1.0885634366373145</v>
      </c>
      <c r="AK215" s="99">
        <f t="shared" si="304"/>
        <v>0.16262842538862543</v>
      </c>
      <c r="AL215" s="14">
        <f t="shared" si="339"/>
        <v>1.1876149130472446</v>
      </c>
      <c r="AM215" s="99">
        <f t="shared" si="305"/>
        <v>0.18563802337107543</v>
      </c>
      <c r="AN215" s="14">
        <f t="shared" si="340"/>
        <v>1.3275007058473323</v>
      </c>
      <c r="AO215" s="99">
        <f t="shared" si="306"/>
        <v>0.22095818449337551</v>
      </c>
      <c r="AP215" s="14">
        <f t="shared" si="341"/>
        <v>1.5367294859250271</v>
      </c>
      <c r="AQ215" s="99">
        <f t="shared" si="307"/>
        <v>0.28125047041874662</v>
      </c>
    </row>
    <row r="216" spans="1:43" x14ac:dyDescent="0.25">
      <c r="A216" s="129">
        <v>0.2</v>
      </c>
      <c r="B216" s="275">
        <f>'Sub C_D_0'!AZ194</f>
        <v>4.6795249673378635E-2</v>
      </c>
      <c r="C216" s="275">
        <f>'C_L vs. α'!X470</f>
        <v>0.11006773279048564</v>
      </c>
      <c r="D216" s="247">
        <f>'C_L vs. α'!AB470</f>
        <v>0.56384721039314389</v>
      </c>
      <c r="E216" s="144">
        <v>2</v>
      </c>
      <c r="F216" s="14">
        <f t="shared" si="308"/>
        <v>0.73087667196465755</v>
      </c>
      <c r="G216" s="6">
        <f t="shared" si="309"/>
        <v>9.6125284504181202E-2</v>
      </c>
      <c r="H216" s="14">
        <f t="shared" si="310"/>
        <v>0.73329814802641269</v>
      </c>
      <c r="I216" s="6">
        <f t="shared" si="311"/>
        <v>9.3111173931183247E-2</v>
      </c>
      <c r="J216" s="14">
        <f t="shared" si="312"/>
        <v>0.73737765157422064</v>
      </c>
      <c r="K216" s="6">
        <f t="shared" si="313"/>
        <v>9.189065451445709E-2</v>
      </c>
      <c r="L216" s="14">
        <f t="shared" si="314"/>
        <v>0.74320053634882488</v>
      </c>
      <c r="M216" s="6">
        <f t="shared" si="315"/>
        <v>9.1465932974321248E-2</v>
      </c>
      <c r="N216" s="14">
        <f t="shared" si="316"/>
        <v>0.75089078262394082</v>
      </c>
      <c r="O216" s="6">
        <f t="shared" si="317"/>
        <v>9.1571272277706242E-2</v>
      </c>
      <c r="P216" s="14">
        <f t="shared" si="318"/>
        <v>0.76061375279626586</v>
      </c>
      <c r="Q216" s="6">
        <f t="shared" si="319"/>
        <v>9.2580948444318134E-2</v>
      </c>
      <c r="R216" s="14">
        <f t="shared" si="320"/>
        <v>0.77261094895755411</v>
      </c>
      <c r="S216" s="6">
        <f t="shared" si="321"/>
        <v>9.3531589667656373E-2</v>
      </c>
      <c r="T216" s="14">
        <f t="shared" si="322"/>
        <v>0.78718102720577299</v>
      </c>
      <c r="U216" s="6">
        <f t="shared" si="323"/>
        <v>9.4918046593018487E-2</v>
      </c>
      <c r="V216" s="14">
        <f t="shared" si="324"/>
        <v>0.80472780750553441</v>
      </c>
      <c r="W216" s="6">
        <f t="shared" si="325"/>
        <v>9.6788983405036499E-2</v>
      </c>
      <c r="X216" s="14">
        <f t="shared" si="326"/>
        <v>0.82579005917348236</v>
      </c>
      <c r="Y216" s="6">
        <f t="shared" si="327"/>
        <v>9.9227036252767048E-2</v>
      </c>
      <c r="Z216" s="14">
        <f t="shared" si="328"/>
        <v>0.85109604162470209</v>
      </c>
      <c r="AA216" s="6">
        <f t="shared" si="329"/>
        <v>0.10235815655343902</v>
      </c>
      <c r="AB216" s="14">
        <f t="shared" si="330"/>
        <v>0.88164902986622107</v>
      </c>
      <c r="AC216" s="6">
        <f t="shared" si="331"/>
        <v>0.10637008993065215</v>
      </c>
      <c r="AD216" s="14">
        <f t="shared" si="332"/>
        <v>0.91886860683108995</v>
      </c>
      <c r="AE216" s="6">
        <f t="shared" si="333"/>
        <v>0.112008642494352</v>
      </c>
      <c r="AF216" s="14">
        <f t="shared" si="334"/>
        <v>0.96482269790247333</v>
      </c>
      <c r="AG216" s="6">
        <f t="shared" si="335"/>
        <v>0.11878223020356632</v>
      </c>
      <c r="AH216" s="14">
        <f t="shared" si="336"/>
        <v>1.0226539992457768</v>
      </c>
      <c r="AI216" s="6">
        <f t="shared" si="337"/>
        <v>0.12786933793521535</v>
      </c>
      <c r="AJ216" s="14">
        <f t="shared" si="338"/>
        <v>1.0973883606548871</v>
      </c>
      <c r="AK216">
        <f t="shared" si="304"/>
        <v>0.164574361163773</v>
      </c>
      <c r="AL216" s="14">
        <f t="shared" si="339"/>
        <v>1.1976341615743404</v>
      </c>
      <c r="AM216">
        <f t="shared" si="305"/>
        <v>0.18804873815940298</v>
      </c>
      <c r="AN216" s="14">
        <f t="shared" si="340"/>
        <v>1.3388711430618152</v>
      </c>
      <c r="AO216">
        <f t="shared" si="306"/>
        <v>0.22401644746532165</v>
      </c>
      <c r="AP216" s="14">
        <f t="shared" si="341"/>
        <v>1.5472359826830882</v>
      </c>
      <c r="AQ216">
        <f t="shared" si="307"/>
        <v>0.28451893952261192</v>
      </c>
    </row>
    <row r="217" spans="1:43" x14ac:dyDescent="0.25">
      <c r="A217" s="139">
        <v>0.25</v>
      </c>
      <c r="B217" s="275">
        <f>'Sub C_D_0'!AZ195</f>
        <v>4.5971343267740952E-2</v>
      </c>
      <c r="C217" s="275">
        <f>'C_L vs. α'!X471</f>
        <v>0.11230917617435043</v>
      </c>
      <c r="D217" s="247">
        <f>'C_L vs. α'!AB471</f>
        <v>0.56964491335588441</v>
      </c>
      <c r="E217" s="144">
        <v>4</v>
      </c>
      <c r="F217" s="14">
        <f t="shared" si="308"/>
        <v>0.73750725119893168</v>
      </c>
      <c r="G217" s="6">
        <f t="shared" si="309"/>
        <v>9.6914808467064753E-2</v>
      </c>
      <c r="H217" s="14">
        <f t="shared" si="310"/>
        <v>0.7399583941064799</v>
      </c>
      <c r="I217" s="6">
        <f t="shared" si="311"/>
        <v>9.3906866847976445E-2</v>
      </c>
      <c r="J217" s="14">
        <f t="shared" si="312"/>
        <v>0.74408152302026187</v>
      </c>
      <c r="K217" s="6">
        <f t="shared" si="313"/>
        <v>9.2696024040373512E-2</v>
      </c>
      <c r="L217" s="14">
        <f t="shared" si="314"/>
        <v>0.74996440483834914</v>
      </c>
      <c r="M217" s="6">
        <f t="shared" si="315"/>
        <v>9.2284937852253918E-2</v>
      </c>
      <c r="N217" s="14">
        <f t="shared" si="316"/>
        <v>0.75773305320130913</v>
      </c>
      <c r="O217" s="6">
        <f t="shared" si="317"/>
        <v>9.2408356986139528E-2</v>
      </c>
      <c r="P217" s="14">
        <f t="shared" si="318"/>
        <v>0.76755139334948319</v>
      </c>
      <c r="Q217" s="6">
        <f t="shared" si="319"/>
        <v>9.3440704495990637E-2</v>
      </c>
      <c r="R217" s="14">
        <f t="shared" si="320"/>
        <v>0.77967188025630296</v>
      </c>
      <c r="S217" s="6">
        <f t="shared" si="321"/>
        <v>9.442044912659768E-2</v>
      </c>
      <c r="T217" s="14">
        <f t="shared" si="322"/>
        <v>0.79439316298292795</v>
      </c>
      <c r="U217" s="6">
        <f t="shared" si="323"/>
        <v>9.5843090516797763E-2</v>
      </c>
      <c r="V217" s="14">
        <f t="shared" si="324"/>
        <v>0.81212440792740614</v>
      </c>
      <c r="W217" s="6">
        <f t="shared" si="325"/>
        <v>9.7758871939130923E-2</v>
      </c>
      <c r="X217" s="14">
        <f t="shared" si="326"/>
        <v>0.83341157291857548</v>
      </c>
      <c r="Y217" s="6">
        <f t="shared" si="327"/>
        <v>0.10025262293891261</v>
      </c>
      <c r="Z217" s="14">
        <f t="shared" si="328"/>
        <v>0.85899271410033751</v>
      </c>
      <c r="AA217" s="6">
        <f t="shared" si="329"/>
        <v>0.10345339836987362</v>
      </c>
      <c r="AB217" s="14">
        <f t="shared" si="330"/>
        <v>0.88988467330353926</v>
      </c>
      <c r="AC217" s="6">
        <f t="shared" si="331"/>
        <v>0.10755343847609566</v>
      </c>
      <c r="AD217" s="14">
        <f t="shared" si="332"/>
        <v>0.92752761528016636</v>
      </c>
      <c r="AE217" s="6">
        <f t="shared" si="333"/>
        <v>0.11330546774352088</v>
      </c>
      <c r="AF217" s="14">
        <f t="shared" si="334"/>
        <v>0.97401683246219617</v>
      </c>
      <c r="AG217" s="6">
        <f t="shared" si="335"/>
        <v>0.12022823165107803</v>
      </c>
      <c r="AH217" s="14">
        <f t="shared" si="336"/>
        <v>1.0325347665646569</v>
      </c>
      <c r="AI217" s="6">
        <f t="shared" si="337"/>
        <v>0.12951670989691666</v>
      </c>
      <c r="AJ217" s="14">
        <f t="shared" si="338"/>
        <v>1.1081628361590945</v>
      </c>
      <c r="AK217">
        <f t="shared" si="304"/>
        <v>0.16697148366257653</v>
      </c>
      <c r="AL217" s="14">
        <f t="shared" si="339"/>
        <v>1.2096029615880712</v>
      </c>
      <c r="AM217">
        <f t="shared" si="305"/>
        <v>0.1909550782272319</v>
      </c>
      <c r="AN217" s="14">
        <f t="shared" si="340"/>
        <v>1.3521911317629329</v>
      </c>
      <c r="AO217">
        <f t="shared" si="306"/>
        <v>0.22763224871965507</v>
      </c>
      <c r="AP217" s="14">
        <f t="shared" si="341"/>
        <v>1.5596920309277842</v>
      </c>
      <c r="AQ217">
        <f t="shared" si="307"/>
        <v>0.28842274724824896</v>
      </c>
    </row>
    <row r="218" spans="1:43" x14ac:dyDescent="0.25">
      <c r="A218" s="129">
        <v>0.3</v>
      </c>
      <c r="B218" s="275">
        <f>'Sub C_D_0'!AZ196</f>
        <v>4.5792458765493642E-2</v>
      </c>
      <c r="C218" s="275">
        <f>'C_L vs. α'!X472</f>
        <v>0.11504087309189787</v>
      </c>
      <c r="D218" s="247">
        <f>'C_L vs. α'!AB472</f>
        <v>0.57697940697139272</v>
      </c>
      <c r="E218" s="144">
        <v>6</v>
      </c>
      <c r="F218" s="14">
        <f t="shared" si="308"/>
        <v>0.74608738191984059</v>
      </c>
      <c r="G218" s="6">
        <f t="shared" si="309"/>
        <v>9.7949636652664054E-2</v>
      </c>
      <c r="H218" s="14">
        <f t="shared" si="310"/>
        <v>0.748568191673182</v>
      </c>
      <c r="I218" s="6">
        <f t="shared" si="311"/>
        <v>9.4948732759713897E-2</v>
      </c>
      <c r="J218" s="14">
        <f t="shared" si="312"/>
        <v>0.75273494595293799</v>
      </c>
      <c r="K218" s="6">
        <f t="shared" si="313"/>
        <v>9.3749008307801432E-2</v>
      </c>
      <c r="L218" s="14">
        <f t="shared" si="314"/>
        <v>0.75867782481450841</v>
      </c>
      <c r="M218" s="6">
        <f t="shared" si="315"/>
        <v>9.3353608515870379E-2</v>
      </c>
      <c r="N218" s="14">
        <f t="shared" si="316"/>
        <v>0.76652487526531243</v>
      </c>
      <c r="O218" s="6">
        <f t="shared" si="317"/>
        <v>9.3497815477216195E-2</v>
      </c>
      <c r="P218" s="14">
        <f t="shared" si="318"/>
        <v>0.77643858538933552</v>
      </c>
      <c r="Q218" s="6">
        <f t="shared" si="319"/>
        <v>9.4556247905125373E-2</v>
      </c>
      <c r="R218" s="14">
        <f t="shared" si="320"/>
        <v>0.7886823630416866</v>
      </c>
      <c r="S218" s="6">
        <f t="shared" si="321"/>
        <v>9.5569333859366487E-2</v>
      </c>
      <c r="T218" s="14">
        <f t="shared" si="322"/>
        <v>0.8035548502467178</v>
      </c>
      <c r="U218" s="6">
        <f t="shared" si="323"/>
        <v>9.7033320289097627E-2</v>
      </c>
      <c r="V218" s="14">
        <f t="shared" si="324"/>
        <v>0.82147055983591277</v>
      </c>
      <c r="W218" s="6">
        <f t="shared" si="325"/>
        <v>9.9000182575152848E-2</v>
      </c>
      <c r="X218" s="14">
        <f t="shared" si="326"/>
        <v>0.84298263815030339</v>
      </c>
      <c r="Y218" s="6">
        <f t="shared" si="327"/>
        <v>0.1015571492892956</v>
      </c>
      <c r="Z218" s="14">
        <f t="shared" si="328"/>
        <v>0.86883893806260781</v>
      </c>
      <c r="AA218" s="6">
        <f t="shared" si="329"/>
        <v>0.10483665904492825</v>
      </c>
      <c r="AB218" s="14">
        <f t="shared" si="330"/>
        <v>0.90006986822749224</v>
      </c>
      <c r="AC218" s="6">
        <f t="shared" si="331"/>
        <v>0.10903583658469683</v>
      </c>
      <c r="AD218" s="14">
        <f t="shared" si="332"/>
        <v>0.93813617521587767</v>
      </c>
      <c r="AE218" s="6">
        <f t="shared" si="333"/>
        <v>0.11491488821638014</v>
      </c>
      <c r="AF218" s="14">
        <f t="shared" si="334"/>
        <v>0.98516051850855402</v>
      </c>
      <c r="AG218" s="6">
        <f t="shared" si="335"/>
        <v>0.12200370931230951</v>
      </c>
      <c r="AH218" s="14">
        <f t="shared" si="336"/>
        <v>1.0443650853701723</v>
      </c>
      <c r="AI218" s="6">
        <f t="shared" si="337"/>
        <v>0.1315150302897137</v>
      </c>
      <c r="AJ218" s="14">
        <f t="shared" si="338"/>
        <v>1.1208868631499371</v>
      </c>
      <c r="AK218">
        <f t="shared" si="304"/>
        <v>0.16983250620696114</v>
      </c>
      <c r="AL218" s="14">
        <f t="shared" si="339"/>
        <v>1.2235213130884368</v>
      </c>
      <c r="AM218">
        <f t="shared" si="305"/>
        <v>0.19437116613742567</v>
      </c>
      <c r="AN218" s="14">
        <f t="shared" si="340"/>
        <v>1.3674606719506859</v>
      </c>
      <c r="AO218">
        <f t="shared" si="306"/>
        <v>0.2318213051517671</v>
      </c>
      <c r="AP218" s="14">
        <f t="shared" si="341"/>
        <v>1.574097630659115</v>
      </c>
      <c r="AQ218">
        <f t="shared" si="307"/>
        <v>0.2929765910861466</v>
      </c>
    </row>
    <row r="219" spans="1:43" x14ac:dyDescent="0.25">
      <c r="A219" s="139">
        <v>0.35</v>
      </c>
      <c r="B219" s="275">
        <f>'Sub C_D_0'!AZ197</f>
        <v>4.5255456390362228E-2</v>
      </c>
      <c r="C219" s="275">
        <f>'C_L vs. α'!X473</f>
        <v>0.11856787945531404</v>
      </c>
      <c r="D219" s="247">
        <f>'C_L vs. α'!AB473</f>
        <v>0.58602300954865816</v>
      </c>
      <c r="E219" s="144">
        <v>8</v>
      </c>
      <c r="F219" s="14">
        <f t="shared" si="308"/>
        <v>0.75661706412738461</v>
      </c>
      <c r="G219" s="6">
        <f t="shared" si="309"/>
        <v>9.9239893169941168E-2</v>
      </c>
      <c r="H219" s="14">
        <f t="shared" si="310"/>
        <v>0.75912754072651911</v>
      </c>
      <c r="I219" s="6">
        <f t="shared" si="311"/>
        <v>9.6246930780696058E-2</v>
      </c>
      <c r="J219" s="14">
        <f t="shared" si="312"/>
        <v>0.76333792037224901</v>
      </c>
      <c r="K219" s="6">
        <f t="shared" si="313"/>
        <v>9.5059817906709101E-2</v>
      </c>
      <c r="L219" s="14">
        <f t="shared" si="314"/>
        <v>0.76934079627730267</v>
      </c>
      <c r="M219" s="6">
        <f t="shared" si="315"/>
        <v>9.4682226348536402E-2</v>
      </c>
      <c r="N219" s="14">
        <f t="shared" si="316"/>
        <v>0.77726624881595063</v>
      </c>
      <c r="O219" s="6">
        <f t="shared" si="317"/>
        <v>9.4850021644696858E-2</v>
      </c>
      <c r="P219" s="14">
        <f t="shared" si="318"/>
        <v>0.78727532891582275</v>
      </c>
      <c r="Q219" s="6">
        <f t="shared" si="319"/>
        <v>9.593806509710498E-2</v>
      </c>
      <c r="R219" s="14">
        <f t="shared" si="320"/>
        <v>0.79964239731370534</v>
      </c>
      <c r="S219" s="6">
        <f t="shared" si="321"/>
        <v>9.6988875768026644E-2</v>
      </c>
      <c r="T219" s="14">
        <f t="shared" si="322"/>
        <v>0.81466608899714266</v>
      </c>
      <c r="U219" s="6">
        <f t="shared" si="323"/>
        <v>9.8499546225419288E-2</v>
      </c>
      <c r="V219" s="14">
        <f t="shared" si="324"/>
        <v>0.83276626323105452</v>
      </c>
      <c r="W219" s="6">
        <f t="shared" si="325"/>
        <v>0.10052394328731094</v>
      </c>
      <c r="X219" s="14">
        <f t="shared" si="326"/>
        <v>0.8545032548686663</v>
      </c>
      <c r="Y219" s="6">
        <f t="shared" si="327"/>
        <v>0.10315190866417365</v>
      </c>
      <c r="Z219" s="14">
        <f t="shared" si="328"/>
        <v>0.88063471351151323</v>
      </c>
      <c r="AA219" s="6">
        <f t="shared" si="329"/>
        <v>0.10651955661188248</v>
      </c>
      <c r="AB219" s="14">
        <f t="shared" si="330"/>
        <v>0.91220461463808022</v>
      </c>
      <c r="AC219" s="6">
        <f t="shared" si="331"/>
        <v>0.1108293022578782</v>
      </c>
      <c r="AD219" s="14">
        <f t="shared" si="332"/>
        <v>0.95069428663822397</v>
      </c>
      <c r="AE219" s="6">
        <f t="shared" si="333"/>
        <v>0.1168494214630946</v>
      </c>
      <c r="AF219" s="14">
        <f t="shared" si="334"/>
        <v>0.99825375604154687</v>
      </c>
      <c r="AG219" s="6">
        <f t="shared" si="335"/>
        <v>0.12412181215846431</v>
      </c>
      <c r="AH219" s="14">
        <f t="shared" si="336"/>
        <v>1.0581449556623224</v>
      </c>
      <c r="AI219" s="6">
        <f t="shared" si="337"/>
        <v>0.13387825827583105</v>
      </c>
      <c r="AJ219" s="14">
        <f t="shared" si="338"/>
        <v>1.1355604416274148</v>
      </c>
      <c r="AK219">
        <f t="shared" si="304"/>
        <v>0.17317244248842883</v>
      </c>
      <c r="AL219" s="14">
        <f t="shared" si="339"/>
        <v>1.2393892160754376</v>
      </c>
      <c r="AM219">
        <f t="shared" si="305"/>
        <v>0.19831342482242514</v>
      </c>
      <c r="AN219" s="14">
        <f t="shared" si="340"/>
        <v>1.3846797636250738</v>
      </c>
      <c r="AO219">
        <f t="shared" si="306"/>
        <v>0.2366016340266259</v>
      </c>
      <c r="AP219" s="14">
        <f t="shared" si="341"/>
        <v>1.5904527818770811</v>
      </c>
      <c r="AQ219">
        <f t="shared" si="307"/>
        <v>0.29819746889637111</v>
      </c>
    </row>
    <row r="220" spans="1:43" x14ac:dyDescent="0.25">
      <c r="A220" s="129">
        <v>0.4</v>
      </c>
      <c r="B220" s="275">
        <f>'Sub C_D_0'!AZ198</f>
        <v>4.480392799284702E-2</v>
      </c>
      <c r="C220" s="275">
        <f>'C_L vs. α'!X474</f>
        <v>0.12289347916831057</v>
      </c>
      <c r="D220" s="247">
        <f>'C_L vs. α'!AB474</f>
        <v>0.59700438372333264</v>
      </c>
      <c r="E220" s="144">
        <v>10</v>
      </c>
      <c r="F220" s="14">
        <f t="shared" si="308"/>
        <v>0.76909629782156352</v>
      </c>
      <c r="G220" s="6">
        <f t="shared" si="309"/>
        <v>0.10079800249743523</v>
      </c>
      <c r="H220" s="14">
        <f t="shared" si="310"/>
        <v>0.77163644126649111</v>
      </c>
      <c r="I220" s="6">
        <f t="shared" si="311"/>
        <v>9.7813920394800385E-2</v>
      </c>
      <c r="J220" s="14">
        <f t="shared" si="312"/>
        <v>0.77589044627819503</v>
      </c>
      <c r="K220" s="6">
        <f t="shared" si="313"/>
        <v>9.6640963796641874E-2</v>
      </c>
      <c r="L220" s="14">
        <f t="shared" si="314"/>
        <v>0.78195331922673184</v>
      </c>
      <c r="M220" s="6">
        <f t="shared" si="315"/>
        <v>9.6283373103194958E-2</v>
      </c>
      <c r="N220" s="14">
        <f t="shared" si="316"/>
        <v>0.78995717385322373</v>
      </c>
      <c r="O220" s="6">
        <f t="shared" si="317"/>
        <v>9.6477649751919206E-2</v>
      </c>
      <c r="P220" s="14">
        <f t="shared" si="318"/>
        <v>0.80006162392894487</v>
      </c>
      <c r="Q220" s="6">
        <f t="shared" si="319"/>
        <v>9.7598942866889152E-2</v>
      </c>
      <c r="R220" s="14">
        <f t="shared" si="320"/>
        <v>0.81255198307235899</v>
      </c>
      <c r="S220" s="6">
        <f t="shared" si="321"/>
        <v>9.8692007124219078E-2</v>
      </c>
      <c r="T220" s="14">
        <f t="shared" si="322"/>
        <v>0.82772687923420241</v>
      </c>
      <c r="U220" s="6">
        <f t="shared" si="323"/>
        <v>0.10025487901084106</v>
      </c>
      <c r="V220" s="14">
        <f t="shared" si="324"/>
        <v>0.84601151811283104</v>
      </c>
      <c r="W220" s="6">
        <f t="shared" si="325"/>
        <v>0.10234348241939099</v>
      </c>
      <c r="X220" s="14">
        <f t="shared" si="326"/>
        <v>0.8679734230736641</v>
      </c>
      <c r="Y220" s="6">
        <f t="shared" si="327"/>
        <v>0.10505049479338147</v>
      </c>
      <c r="Z220" s="14">
        <f t="shared" si="328"/>
        <v>0.89438004044705344</v>
      </c>
      <c r="AA220" s="6">
        <f t="shared" si="329"/>
        <v>0.10851600947359295</v>
      </c>
      <c r="AB220" s="14">
        <f t="shared" si="330"/>
        <v>0.92628891253530321</v>
      </c>
      <c r="AC220" s="6">
        <f t="shared" si="331"/>
        <v>0.11294815386663939</v>
      </c>
      <c r="AD220" s="14">
        <f t="shared" si="332"/>
        <v>0.96520194954720517</v>
      </c>
      <c r="AE220" s="6">
        <f t="shared" si="333"/>
        <v>0.11912388540340607</v>
      </c>
      <c r="AF220" s="14">
        <f t="shared" si="334"/>
        <v>1.0132965450611746</v>
      </c>
      <c r="AG220" s="6">
        <f t="shared" si="335"/>
        <v>0.12659798953032306</v>
      </c>
      <c r="AH220" s="14">
        <f t="shared" si="336"/>
        <v>1.0738743774411073</v>
      </c>
      <c r="AI220" s="6">
        <f t="shared" si="337"/>
        <v>0.13662265338707058</v>
      </c>
      <c r="AJ220" s="14">
        <f t="shared" si="338"/>
        <v>1.152183571591527</v>
      </c>
      <c r="AK220">
        <f t="shared" si="304"/>
        <v>0.17700860656805867</v>
      </c>
      <c r="AL220" s="14">
        <f t="shared" si="339"/>
        <v>1.2572066705490732</v>
      </c>
      <c r="AM220">
        <f t="shared" si="305"/>
        <v>0.20280057758424785</v>
      </c>
      <c r="AN220" s="14">
        <f t="shared" si="340"/>
        <v>1.4038484067860963</v>
      </c>
      <c r="AO220">
        <f t="shared" si="306"/>
        <v>0.24199355297877673</v>
      </c>
      <c r="AP220" s="14">
        <f t="shared" si="341"/>
        <v>1.6087574845816819</v>
      </c>
      <c r="AQ220">
        <f t="shared" si="307"/>
        <v>0.30410467890856585</v>
      </c>
    </row>
    <row r="221" spans="1:43" x14ac:dyDescent="0.25">
      <c r="A221" s="139">
        <v>0.45</v>
      </c>
      <c r="B221" s="275">
        <f>'Sub C_D_0'!AZ199</f>
        <v>4.4415796890412383E-2</v>
      </c>
      <c r="C221" s="275">
        <f>'C_L vs. α'!X475</f>
        <v>0.12817033856003718</v>
      </c>
      <c r="D221" s="247">
        <f>'C_L vs. α'!AB475</f>
        <v>0.61022655878285847</v>
      </c>
      <c r="E221" s="144">
        <v>12</v>
      </c>
      <c r="F221" s="14">
        <f t="shared" si="308"/>
        <v>0.78352508300237744</v>
      </c>
      <c r="G221" s="6">
        <f t="shared" si="309"/>
        <v>0.10263868948326244</v>
      </c>
      <c r="H221" s="14">
        <f t="shared" si="310"/>
        <v>0.78609489329309812</v>
      </c>
      <c r="I221" s="6">
        <f t="shared" si="311"/>
        <v>9.9664461455481579E-2</v>
      </c>
      <c r="J221" s="14">
        <f t="shared" si="312"/>
        <v>0.79039252367077606</v>
      </c>
      <c r="K221" s="6">
        <f t="shared" si="313"/>
        <v>9.8507257306722079E-2</v>
      </c>
      <c r="L221" s="14">
        <f t="shared" si="314"/>
        <v>0.796515393662796</v>
      </c>
      <c r="M221" s="6">
        <f t="shared" si="315"/>
        <v>9.8171930902366006E-2</v>
      </c>
      <c r="N221" s="14">
        <f t="shared" si="316"/>
        <v>0.80459765037713193</v>
      </c>
      <c r="O221" s="6">
        <f t="shared" si="317"/>
        <v>9.8395674431798016E-2</v>
      </c>
      <c r="P221" s="14">
        <f t="shared" si="318"/>
        <v>0.8147974704287021</v>
      </c>
      <c r="Q221" s="6">
        <f t="shared" si="319"/>
        <v>9.9553968379014687E-2</v>
      </c>
      <c r="R221" s="14">
        <f t="shared" si="320"/>
        <v>0.82741112031764763</v>
      </c>
      <c r="S221" s="6">
        <f t="shared" si="321"/>
        <v>0.10069396056916183</v>
      </c>
      <c r="T221" s="14">
        <f t="shared" si="322"/>
        <v>0.84273722095789705</v>
      </c>
      <c r="U221" s="6">
        <f t="shared" si="323"/>
        <v>0.10231472970001831</v>
      </c>
      <c r="V221" s="14">
        <f t="shared" si="324"/>
        <v>0.86120632448124257</v>
      </c>
      <c r="W221" s="6">
        <f t="shared" si="325"/>
        <v>0.1044744286847559</v>
      </c>
      <c r="X221" s="14">
        <f t="shared" si="326"/>
        <v>0.88339314276529701</v>
      </c>
      <c r="Y221" s="6">
        <f t="shared" si="327"/>
        <v>0.10726880177633086</v>
      </c>
      <c r="Z221" s="14">
        <f t="shared" si="328"/>
        <v>0.91007491886922864</v>
      </c>
      <c r="AA221" s="6">
        <f t="shared" si="329"/>
        <v>0.11084223640249344</v>
      </c>
      <c r="AB221" s="14">
        <f t="shared" si="330"/>
        <v>0.94232276191916109</v>
      </c>
      <c r="AC221" s="6">
        <f t="shared" si="331"/>
        <v>0.1154090101515572</v>
      </c>
      <c r="AD221" s="14">
        <f t="shared" si="332"/>
        <v>0.98165916394282138</v>
      </c>
      <c r="AE221" s="6">
        <f t="shared" si="333"/>
        <v>0.12175539832663357</v>
      </c>
      <c r="AF221" s="14">
        <f t="shared" si="334"/>
        <v>1.0302888855674373</v>
      </c>
      <c r="AG221" s="6">
        <f t="shared" si="335"/>
        <v>0.12944999113824351</v>
      </c>
      <c r="AH221" s="14">
        <f t="shared" si="336"/>
        <v>1.0915533507065269</v>
      </c>
      <c r="AI221" s="6">
        <f t="shared" si="337"/>
        <v>0.1397667755248112</v>
      </c>
      <c r="AJ221" s="14">
        <f t="shared" si="338"/>
        <v>1.1707562530422742</v>
      </c>
      <c r="AK221">
        <f t="shared" si="304"/>
        <v>0.18136061287650698</v>
      </c>
      <c r="AL221" s="14">
        <f t="shared" si="339"/>
        <v>1.2769736765093433</v>
      </c>
      <c r="AM221">
        <f t="shared" si="305"/>
        <v>0.2078536480944887</v>
      </c>
      <c r="AN221" s="14">
        <f t="shared" si="340"/>
        <v>1.4249666014337539</v>
      </c>
      <c r="AO221">
        <f t="shared" si="306"/>
        <v>0.24801968001234215</v>
      </c>
      <c r="AP221" s="14">
        <f t="shared" si="341"/>
        <v>1.6290117387729175</v>
      </c>
      <c r="AQ221">
        <f t="shared" si="307"/>
        <v>0.31071981972195095</v>
      </c>
    </row>
    <row r="222" spans="1:43" x14ac:dyDescent="0.25">
      <c r="A222" s="129">
        <v>0.5</v>
      </c>
      <c r="B222" s="275">
        <f>'Sub C_D_0'!AZ200</f>
        <v>4.4076412584416219E-2</v>
      </c>
      <c r="C222" s="275">
        <f>'C_L vs. α'!X476</f>
        <v>0.13460360938569085</v>
      </c>
      <c r="D222" s="247">
        <f>'C_L vs. α'!AB476</f>
        <v>0.6260937673204966</v>
      </c>
      <c r="E222" s="144">
        <v>14</v>
      </c>
      <c r="F222" s="14">
        <f t="shared" si="308"/>
        <v>0.79990341966982614</v>
      </c>
      <c r="G222" s="6">
        <f t="shared" si="309"/>
        <v>0.10477897934511604</v>
      </c>
      <c r="H222" s="14">
        <f t="shared" si="310"/>
        <v>0.80250289680634002</v>
      </c>
      <c r="I222" s="6">
        <f t="shared" si="311"/>
        <v>0.10181561418577123</v>
      </c>
      <c r="J222" s="14">
        <f t="shared" si="312"/>
        <v>0.80684415254999198</v>
      </c>
      <c r="K222" s="6">
        <f t="shared" si="313"/>
        <v>0.10067581013564925</v>
      </c>
      <c r="L222" s="14">
        <f t="shared" si="314"/>
        <v>0.81302701958549495</v>
      </c>
      <c r="M222" s="6">
        <f t="shared" si="315"/>
        <v>0.10036508223814664</v>
      </c>
      <c r="N222" s="14">
        <f t="shared" si="316"/>
        <v>0.82118767838767492</v>
      </c>
      <c r="O222" s="6">
        <f t="shared" si="317"/>
        <v>0.10062137068682511</v>
      </c>
      <c r="P222" s="14">
        <f t="shared" si="318"/>
        <v>0.83148286841509411</v>
      </c>
      <c r="Q222" s="6">
        <f t="shared" si="319"/>
        <v>0.10182052916759543</v>
      </c>
      <c r="R222" s="14">
        <f t="shared" si="320"/>
        <v>0.84421980904957117</v>
      </c>
      <c r="S222" s="6">
        <f t="shared" si="321"/>
        <v>0.10301226911365</v>
      </c>
      <c r="T222" s="14">
        <f t="shared" si="322"/>
        <v>0.85969711416822669</v>
      </c>
      <c r="U222" s="6">
        <f t="shared" si="323"/>
        <v>0.10469680971718352</v>
      </c>
      <c r="V222" s="14">
        <f t="shared" si="324"/>
        <v>0.87835068233628899</v>
      </c>
      <c r="W222" s="6">
        <f t="shared" si="325"/>
        <v>0.10693471116634559</v>
      </c>
      <c r="X222" s="14">
        <f t="shared" si="326"/>
        <v>0.90076241394356471</v>
      </c>
      <c r="Y222" s="6">
        <f t="shared" si="327"/>
        <v>0.10982502408201067</v>
      </c>
      <c r="Z222" s="14">
        <f t="shared" si="328"/>
        <v>0.92771934877803874</v>
      </c>
      <c r="AA222" s="6">
        <f t="shared" si="329"/>
        <v>0.11351675654059477</v>
      </c>
      <c r="AB222" s="14">
        <f t="shared" si="330"/>
        <v>0.96030616278965386</v>
      </c>
      <c r="AC222" s="6">
        <f t="shared" si="331"/>
        <v>0.11823079022278539</v>
      </c>
      <c r="AD222" s="14">
        <f t="shared" si="332"/>
        <v>1.0000659298250725</v>
      </c>
      <c r="AE222" s="6">
        <f t="shared" si="333"/>
        <v>0.1247633788916731</v>
      </c>
      <c r="AF222" s="14">
        <f t="shared" si="334"/>
        <v>1.0492307775603349</v>
      </c>
      <c r="AG222" s="6">
        <f t="shared" si="335"/>
        <v>0.13269786706216047</v>
      </c>
      <c r="AH222" s="14">
        <f t="shared" si="336"/>
        <v>1.1111818754585818</v>
      </c>
      <c r="AI222" s="6">
        <f t="shared" si="337"/>
        <v>0.14333148496000897</v>
      </c>
      <c r="AJ222" s="14">
        <f t="shared" si="338"/>
        <v>1.1912784859796564</v>
      </c>
      <c r="AK222">
        <f t="shared" si="304"/>
        <v>0.18625037621400711</v>
      </c>
      <c r="AL222" s="14">
        <f t="shared" si="339"/>
        <v>1.2986902339562489</v>
      </c>
      <c r="AM222">
        <f t="shared" si="305"/>
        <v>0.21349596039431973</v>
      </c>
      <c r="AN222" s="14">
        <f t="shared" si="340"/>
        <v>1.4480343475680464</v>
      </c>
      <c r="AO222">
        <f t="shared" si="306"/>
        <v>0.25470493350102164</v>
      </c>
      <c r="AP222" s="14">
        <f t="shared" si="341"/>
        <v>1.6512155444507881</v>
      </c>
      <c r="AQ222">
        <f t="shared" si="307"/>
        <v>0.31806679030532403</v>
      </c>
    </row>
    <row r="223" spans="1:43" x14ac:dyDescent="0.25">
      <c r="A223" s="139">
        <v>0.55000000000000004</v>
      </c>
      <c r="B223" s="275">
        <f>'Sub C_D_0'!AZ201</f>
        <v>4.377558314411379E-2</v>
      </c>
      <c r="C223" s="275">
        <f>'C_L vs. α'!X477</f>
        <v>0.14247269201428012</v>
      </c>
      <c r="D223" s="247">
        <f>'C_L vs. α'!AB477</f>
        <v>0.64515232241407749</v>
      </c>
      <c r="E223" s="144">
        <v>16</v>
      </c>
      <c r="F223" s="14">
        <f t="shared" si="308"/>
        <v>0.81823130782390985</v>
      </c>
      <c r="G223" s="6">
        <f t="shared" si="309"/>
        <v>0.10723819767026645</v>
      </c>
      <c r="H223" s="14">
        <f t="shared" si="310"/>
        <v>0.82086045180621681</v>
      </c>
      <c r="I223" s="6">
        <f t="shared" si="311"/>
        <v>0.10428673917827815</v>
      </c>
      <c r="J223" s="14">
        <f t="shared" si="312"/>
        <v>0.82524533291584279</v>
      </c>
      <c r="K223" s="6">
        <f t="shared" si="313"/>
        <v>0.10316603435169991</v>
      </c>
      <c r="L223" s="14">
        <f t="shared" si="314"/>
        <v>0.8314881969948289</v>
      </c>
      <c r="M223" s="6">
        <f t="shared" si="315"/>
        <v>0.10288230997221103</v>
      </c>
      <c r="N223" s="14">
        <f t="shared" si="316"/>
        <v>0.83972725788485292</v>
      </c>
      <c r="O223" s="6">
        <f t="shared" si="317"/>
        <v>0.10317431388906946</v>
      </c>
      <c r="P223" s="14">
        <f t="shared" si="318"/>
        <v>0.85011781788812113</v>
      </c>
      <c r="Q223" s="6">
        <f t="shared" si="319"/>
        <v>0.10441831313632237</v>
      </c>
      <c r="R223" s="14">
        <f t="shared" si="320"/>
        <v>0.8629780492681296</v>
      </c>
      <c r="S223" s="6">
        <f t="shared" si="321"/>
        <v>0.10566676613805574</v>
      </c>
      <c r="T223" s="14">
        <f t="shared" si="322"/>
        <v>0.87860655886519123</v>
      </c>
      <c r="U223" s="6">
        <f t="shared" si="323"/>
        <v>0.10742113085614625</v>
      </c>
      <c r="V223" s="14">
        <f t="shared" si="324"/>
        <v>0.8974445916779703</v>
      </c>
      <c r="W223" s="6">
        <f t="shared" si="325"/>
        <v>0.10974455931667709</v>
      </c>
      <c r="X223" s="14">
        <f t="shared" si="326"/>
        <v>0.9200812366084673</v>
      </c>
      <c r="Y223" s="6">
        <f t="shared" si="327"/>
        <v>0.11273965654898691</v>
      </c>
      <c r="Z223" s="14">
        <f t="shared" si="328"/>
        <v>0.94731333017348385</v>
      </c>
      <c r="AA223" s="6">
        <f t="shared" si="329"/>
        <v>0.11656038939948483</v>
      </c>
      <c r="AB223" s="14">
        <f t="shared" si="330"/>
        <v>0.98023911514678153</v>
      </c>
      <c r="AC223" s="6">
        <f t="shared" si="331"/>
        <v>0.12143471356005485</v>
      </c>
      <c r="AD223" s="14">
        <f t="shared" si="332"/>
        <v>1.0204222471939586</v>
      </c>
      <c r="AE223" s="6">
        <f t="shared" si="333"/>
        <v>0.12816954612699782</v>
      </c>
      <c r="AF223" s="14">
        <f t="shared" si="334"/>
        <v>1.0701222210398673</v>
      </c>
      <c r="AG223" s="6">
        <f t="shared" si="335"/>
        <v>0.13636396775158585</v>
      </c>
      <c r="AH223" s="14">
        <f t="shared" si="336"/>
        <v>1.1327599516972715</v>
      </c>
      <c r="AI223" s="6">
        <f t="shared" si="337"/>
        <v>0.14733994233319689</v>
      </c>
      <c r="AJ223" s="14">
        <f t="shared" si="338"/>
        <v>1.2137502704036736</v>
      </c>
      <c r="AK223">
        <f t="shared" si="304"/>
        <v>0.19170211175036941</v>
      </c>
      <c r="AL223" s="14">
        <f t="shared" si="339"/>
        <v>1.3223563428897893</v>
      </c>
      <c r="AM223">
        <f t="shared" si="305"/>
        <v>0.21975313889448989</v>
      </c>
      <c r="AN223" s="14">
        <f t="shared" si="340"/>
        <v>1.4730516451889739</v>
      </c>
      <c r="AO223">
        <f t="shared" si="306"/>
        <v>0.2620765321880919</v>
      </c>
      <c r="AP223" s="14">
        <f t="shared" si="341"/>
        <v>1.6753689016152937</v>
      </c>
      <c r="AQ223">
        <f t="shared" si="307"/>
        <v>0.32617178999705942</v>
      </c>
    </row>
    <row r="224" spans="1:43" x14ac:dyDescent="0.25">
      <c r="A224" s="129">
        <v>0.6</v>
      </c>
      <c r="B224" s="275">
        <f>'Sub C_D_0'!AZ202</f>
        <v>4.3505948602601062E-2</v>
      </c>
      <c r="C224" s="275">
        <f>'C_L vs. α'!X478</f>
        <v>0.15216415898605515</v>
      </c>
      <c r="D224" s="247">
        <f>'C_L vs. α'!AB478</f>
        <v>0.66815476260936835</v>
      </c>
    </row>
    <row r="225" spans="1:43" x14ac:dyDescent="0.25">
      <c r="A225" s="139">
        <v>0.65</v>
      </c>
      <c r="B225" s="275">
        <f>'Sub C_D_0'!AZ203</f>
        <v>4.3724695807184841E-2</v>
      </c>
      <c r="C225" s="275">
        <f>'C_L vs. α'!X479</f>
        <v>0.16426204337183825</v>
      </c>
      <c r="D225" s="247">
        <f>'C_L vs. α'!AB479</f>
        <v>0.69616430046180855</v>
      </c>
    </row>
    <row r="226" spans="1:43" x14ac:dyDescent="0.25">
      <c r="A226" s="129">
        <v>0.7</v>
      </c>
      <c r="B226" s="275">
        <f>'Sub C_D_0'!AZ204</f>
        <v>4.3497458248481655E-2</v>
      </c>
      <c r="C226" s="275">
        <f>'C_L vs. α'!X480</f>
        <v>0.17954318610687942</v>
      </c>
      <c r="D226" s="247">
        <f>'C_L vs. α'!AB480</f>
        <v>0.73073273471171618</v>
      </c>
    </row>
    <row r="227" spans="1:43" x14ac:dyDescent="0.25">
      <c r="A227" s="139">
        <v>0.75</v>
      </c>
      <c r="B227" s="275">
        <f>'Sub C_D_0'!AZ205</f>
        <v>4.3288893634587343E-2</v>
      </c>
      <c r="C227" s="275">
        <f>'C_L vs. α'!X481</f>
        <v>0.19913125802093698</v>
      </c>
      <c r="D227" s="247">
        <f>'C_L vs. α'!AB481</f>
        <v>0.7742205053262986</v>
      </c>
    </row>
    <row r="228" spans="1:43" x14ac:dyDescent="0.25">
      <c r="A228" s="129">
        <v>0.8</v>
      </c>
      <c r="B228" s="275">
        <f>'Sub C_D_0'!AZ206</f>
        <v>4.3096357628863602E-2</v>
      </c>
      <c r="C228" s="275">
        <f>'C_L vs. α'!X482</f>
        <v>0.22458287489423459</v>
      </c>
      <c r="D228" s="247">
        <f>'C_L vs. α'!AB482</f>
        <v>0.83041164474938745</v>
      </c>
    </row>
    <row r="229" spans="1:43" x14ac:dyDescent="0.25">
      <c r="A229" s="139">
        <v>0.85</v>
      </c>
      <c r="B229" s="275">
        <f>'Sub C_D_0'!AZ207</f>
        <v>4.3363142213106068E-2</v>
      </c>
      <c r="C229" s="275">
        <f>'C_L vs. α'!X483</f>
        <v>0.25844520127575266</v>
      </c>
      <c r="D229" s="247">
        <f>'C_L vs. α'!AB483</f>
        <v>0.90578940361991822</v>
      </c>
    </row>
    <row r="230" spans="1:43" x14ac:dyDescent="0.25">
      <c r="A230" s="129">
        <v>0.9</v>
      </c>
      <c r="B230" s="275">
        <f>'Sub C_D_0'!AZ208</f>
        <v>4.3193098220465444E-2</v>
      </c>
      <c r="C230" s="275">
        <f>'C_L vs. α'!X484</f>
        <v>0.29628841861566135</v>
      </c>
      <c r="D230" s="247">
        <f>'C_L vs. α'!AB484</f>
        <v>1.012370337747668</v>
      </c>
    </row>
    <row r="231" spans="1:43" x14ac:dyDescent="0.25">
      <c r="A231" s="139">
        <v>0.95</v>
      </c>
      <c r="B231" s="275">
        <f>'Sub C_D_0'!AZ209</f>
        <v>4.3033994639053524E-2</v>
      </c>
      <c r="C231" s="275">
        <f>'C_L vs. α'!X485</f>
        <v>0.2680747639849661</v>
      </c>
      <c r="D231" s="247">
        <f>'C_L vs. α'!AB485</f>
        <v>1.1728890272208958</v>
      </c>
    </row>
    <row r="233" spans="1:43" x14ac:dyDescent="0.25">
      <c r="A233" s="122" t="s">
        <v>537</v>
      </c>
      <c r="B233" s="267" t="s">
        <v>294</v>
      </c>
    </row>
    <row r="234" spans="1:43" x14ac:dyDescent="0.25">
      <c r="A234" s="122" t="s">
        <v>202</v>
      </c>
      <c r="B234" s="274">
        <v>40000</v>
      </c>
      <c r="C234" s="267" t="s">
        <v>538</v>
      </c>
      <c r="D234" s="122" t="s">
        <v>539</v>
      </c>
      <c r="F234" s="1" t="s">
        <v>536</v>
      </c>
      <c r="G234" s="140">
        <v>0.05</v>
      </c>
      <c r="H234" s="1" t="s">
        <v>536</v>
      </c>
      <c r="I234" s="140">
        <v>0.1</v>
      </c>
      <c r="J234" s="1" t="s">
        <v>536</v>
      </c>
      <c r="K234" s="140">
        <v>0.15</v>
      </c>
      <c r="L234" s="1" t="s">
        <v>536</v>
      </c>
      <c r="M234" s="140">
        <v>0.2</v>
      </c>
      <c r="N234" t="s">
        <v>536</v>
      </c>
      <c r="O234" s="141">
        <v>0.25</v>
      </c>
      <c r="P234" t="s">
        <v>536</v>
      </c>
      <c r="Q234" s="141">
        <v>0.3</v>
      </c>
      <c r="R234" t="s">
        <v>536</v>
      </c>
      <c r="S234" s="141">
        <v>0.35</v>
      </c>
      <c r="T234" t="s">
        <v>536</v>
      </c>
      <c r="U234" s="141">
        <v>0.4</v>
      </c>
      <c r="V234" t="s">
        <v>536</v>
      </c>
      <c r="W234" s="141">
        <v>0.45</v>
      </c>
      <c r="X234" t="s">
        <v>536</v>
      </c>
      <c r="Y234" s="141">
        <v>0.5</v>
      </c>
      <c r="Z234" t="s">
        <v>536</v>
      </c>
      <c r="AA234" s="141">
        <v>0.55000000000000004</v>
      </c>
      <c r="AB234" t="s">
        <v>536</v>
      </c>
      <c r="AC234" s="141">
        <v>0.6</v>
      </c>
      <c r="AD234" t="s">
        <v>536</v>
      </c>
      <c r="AE234" s="141">
        <v>0.65</v>
      </c>
      <c r="AF234" t="s">
        <v>536</v>
      </c>
      <c r="AG234" s="141">
        <v>0.7</v>
      </c>
      <c r="AH234" t="s">
        <v>536</v>
      </c>
      <c r="AI234" s="141">
        <v>0.75</v>
      </c>
      <c r="AJ234" t="s">
        <v>536</v>
      </c>
      <c r="AK234" s="141">
        <v>0.8</v>
      </c>
      <c r="AL234" t="s">
        <v>536</v>
      </c>
      <c r="AM234" s="141">
        <v>0.85</v>
      </c>
      <c r="AN234" t="s">
        <v>536</v>
      </c>
      <c r="AO234" s="141">
        <v>0.9</v>
      </c>
      <c r="AP234" t="s">
        <v>536</v>
      </c>
      <c r="AQ234" s="141">
        <v>0.95</v>
      </c>
    </row>
    <row r="235" spans="1:43" x14ac:dyDescent="0.25">
      <c r="A235" s="121" t="s">
        <v>182</v>
      </c>
      <c r="B235" s="269" t="s">
        <v>534</v>
      </c>
      <c r="C235" s="269" t="s">
        <v>535</v>
      </c>
      <c r="D235" s="248" t="s">
        <v>1126</v>
      </c>
      <c r="E235" s="121" t="s">
        <v>421</v>
      </c>
      <c r="F235" s="14" t="s">
        <v>244</v>
      </c>
      <c r="G235" s="6" t="s">
        <v>245</v>
      </c>
      <c r="H235" s="14" t="s">
        <v>244</v>
      </c>
      <c r="I235" s="6" t="s">
        <v>245</v>
      </c>
      <c r="J235" s="14" t="s">
        <v>244</v>
      </c>
      <c r="K235" s="6" t="s">
        <v>245</v>
      </c>
      <c r="L235" s="14" t="s">
        <v>244</v>
      </c>
      <c r="M235" s="6" t="s">
        <v>245</v>
      </c>
      <c r="N235" t="s">
        <v>244</v>
      </c>
      <c r="O235" t="s">
        <v>245</v>
      </c>
      <c r="P235" t="s">
        <v>244</v>
      </c>
      <c r="Q235" t="s">
        <v>245</v>
      </c>
      <c r="R235" t="s">
        <v>244</v>
      </c>
      <c r="S235" t="s">
        <v>245</v>
      </c>
      <c r="T235" t="s">
        <v>244</v>
      </c>
      <c r="U235" t="s">
        <v>245</v>
      </c>
      <c r="V235" t="s">
        <v>244</v>
      </c>
      <c r="W235" t="s">
        <v>245</v>
      </c>
      <c r="X235" t="s">
        <v>244</v>
      </c>
      <c r="Y235" t="s">
        <v>245</v>
      </c>
      <c r="Z235" t="s">
        <v>244</v>
      </c>
      <c r="AA235" t="s">
        <v>245</v>
      </c>
      <c r="AB235" t="s">
        <v>244</v>
      </c>
      <c r="AC235" t="s">
        <v>245</v>
      </c>
      <c r="AD235" t="s">
        <v>244</v>
      </c>
      <c r="AE235" t="s">
        <v>245</v>
      </c>
      <c r="AF235" t="s">
        <v>244</v>
      </c>
      <c r="AG235" t="s">
        <v>245</v>
      </c>
      <c r="AH235" t="s">
        <v>244</v>
      </c>
      <c r="AI235" t="s">
        <v>245</v>
      </c>
      <c r="AJ235" t="s">
        <v>244</v>
      </c>
      <c r="AK235" t="s">
        <v>245</v>
      </c>
      <c r="AL235" t="s">
        <v>244</v>
      </c>
      <c r="AM235" t="s">
        <v>245</v>
      </c>
      <c r="AN235" t="s">
        <v>244</v>
      </c>
      <c r="AO235" t="s">
        <v>245</v>
      </c>
      <c r="AP235" t="s">
        <v>244</v>
      </c>
      <c r="AQ235" t="s">
        <v>245</v>
      </c>
    </row>
    <row r="236" spans="1:43" x14ac:dyDescent="0.25">
      <c r="A236" s="129">
        <v>0</v>
      </c>
      <c r="B236" s="270" t="e">
        <f>'Sub C_D_0'!AZ220</f>
        <v>#DIV/0!</v>
      </c>
      <c r="C236" s="270" t="e">
        <f>'C_L vs. α'!X491</f>
        <v>#NUM!</v>
      </c>
      <c r="D236" s="247">
        <f>'C_L vs. α'!AB491</f>
        <v>0.55396232552297364</v>
      </c>
      <c r="E236" s="144">
        <v>-6</v>
      </c>
      <c r="F236" s="14">
        <f>$D$19+$C$19*(RADIANS(E236-$B$12))+$E$10*RADIANS(E236)^2</f>
        <v>0.72384986989391042</v>
      </c>
      <c r="G236" s="6">
        <f>$B$237+$B$7*F236^2+$B$8*(F236-F$239)^2</f>
        <v>9.4738890099517525E-2</v>
      </c>
      <c r="H236" s="14">
        <f>$D$20+$C$20*(RADIANS(E236-$B$12))+$E$10*RADIANS(E236)^2</f>
        <v>0.72615267857249299</v>
      </c>
      <c r="I236" s="6">
        <f>$B$238+$B$7*H236^2+$B$8*(H236-H$239)^2</f>
        <v>9.1789594398555774E-2</v>
      </c>
      <c r="J236" s="14">
        <f>$D$21+$C$21*(RADIANS(E236-$B$12))+$E$10*RADIANS(E236)^2</f>
        <v>0.73005768065640497</v>
      </c>
      <c r="K236" s="6">
        <f>$B$239+$B$7*J236^2+$B$8*(J236-J$239)^2</f>
        <v>9.0584448121391159E-2</v>
      </c>
      <c r="L236" s="14">
        <f>$D$22+$C$22*(RADIANS(E236-$B$12))+$E$10*RADIANS(E236)^2</f>
        <v>0.73564057725707677</v>
      </c>
      <c r="M236" s="6">
        <f>$B$240+$B$7*L236^2+$B$8*(L236-L$239)^2</f>
        <v>9.0150490335968378E-2</v>
      </c>
      <c r="N236" s="14">
        <f>$D$23+$C$23*(RADIANS(E236-$B$12))+$E$10*RADIANS(E236)^2</f>
        <v>0.74301721518081665</v>
      </c>
      <c r="O236" s="6">
        <f>$B$241+$B$7*N236^2+$B$8*(N236-N$239)^2</f>
        <v>9.0227699037654582E-2</v>
      </c>
      <c r="P236" s="14">
        <f>$D$24+$C$24*(RADIANS(E236-$B$12))+$E$10*RADIANS(E236)^2</f>
        <v>0.75235870544974559</v>
      </c>
      <c r="Q236" s="6">
        <f>$B$242+$B$7*P236^2+$B$8*(P236-P$239)^2</f>
        <v>9.1185691036729799E-2</v>
      </c>
      <c r="R236" s="14">
        <f>$D$25+$C$25*(RADIANS(E236-$B$12))+$E$10*RADIANS(E236)^2</f>
        <v>0.76386273862890797</v>
      </c>
      <c r="S236" s="6">
        <f>$B$243+$B$7*R236^2+$B$8*(R236-R$239)^2</f>
        <v>9.2071480148021467E-2</v>
      </c>
      <c r="T236" s="14">
        <f>$D$26+$C$26*(RADIANS(E236-$B$12))+$E$10*RADIANS(E236)^2</f>
        <v>0.77782799896350252</v>
      </c>
      <c r="U236" s="6">
        <f>$B$244+$B$7*T236^2+$B$8*(T236-T$239)^2</f>
        <v>9.3371320850310191E-2</v>
      </c>
      <c r="V236" s="14">
        <f>$D$27+$C$27*(RADIANS(E236-$B$12))+$E$10*RADIANS(E236)^2</f>
        <v>0.79463692068439673</v>
      </c>
      <c r="W236" s="6">
        <f>$B$245+$B$7*V236^2+$B$8*(V236-V$239)^2</f>
        <v>9.512949545308115E-2</v>
      </c>
      <c r="X236" s="14">
        <f>$D$28+$C$28*(RADIANS(E236-$B$12))+$E$10*RADIANS(E236)^2</f>
        <v>0.81479951905945946</v>
      </c>
      <c r="Y236" s="6">
        <f>$B$246+$B$7*X236^2+$B$8*(X236-X$239)^2</f>
        <v>9.7422102471117406E-2</v>
      </c>
      <c r="Z236" s="14">
        <f>$D$29+$C$29*(RADIANS(E236-$B$12))+$E$10*RADIANS(E236)^2</f>
        <v>0.83900486658850959</v>
      </c>
      <c r="AA236" s="6">
        <f>$B$247+$B$7*Z236^2+$B$8*(Z236-Z$239)^2</f>
        <v>0.10036549295872232</v>
      </c>
      <c r="AB236" s="14">
        <f>$D$30+$C$30*(RADIANS(E236-$B$12))+$E$10*RADIANS(E236)^2</f>
        <v>0.86820197098329788</v>
      </c>
      <c r="AC236" s="6">
        <f>$B$248+$B$7*AB236^2+$B$8*(AB236-AB$239)^2</f>
        <v>0.10413318590706434</v>
      </c>
      <c r="AD236" s="14">
        <f>$D$31+$C$31*(RADIANS(E236-$B$12))+$E$10*RADIANS(E236)^2</f>
        <v>0.90372808790113346</v>
      </c>
      <c r="AE236" s="6">
        <f>$B$249+$B$7*AD236^2+$B$8*(AD236-AD$239)^2</f>
        <v>0.1094414122799498</v>
      </c>
      <c r="AF236" s="14">
        <f>$D$32+$C$32*(RADIANS(E236-$B$12))+$E$10*RADIANS(E236)^2</f>
        <v>0.94754167452993099</v>
      </c>
      <c r="AG236" s="6">
        <f>$B$250+$B$7*AF236^2+$B$8*(AF236-AF$239)^2</f>
        <v>0.11577938652136223</v>
      </c>
      <c r="AH236" s="14">
        <f>$D$33+$C$33*(RADIANS(E236-$B$12))+$E$10*RADIANS(E236)^2</f>
        <v>1.0026264448366058</v>
      </c>
      <c r="AI236" s="6">
        <f>$B$251+$B$7*AH236^2+$B$8*(AH236-AH$239)^2</f>
        <v>0.12426401931822541</v>
      </c>
      <c r="AJ236" s="14">
        <f>$D$34+$C$34*(RADIANS(E236-$B$12))+$E$10*RADIANS(E236)^2</f>
        <v>1.0737859735044064</v>
      </c>
      <c r="AK236">
        <f t="shared" ref="AK236:AK247" si="342">$B$252+$B$9*AJ236^2</f>
        <v>0.15908259469619287</v>
      </c>
      <c r="AL236" s="14">
        <f>$D$35+$C$35*(RADIANS(E236-$B$12))+$E$10*RADIANS(E236)^2</f>
        <v>1.1692544763857668</v>
      </c>
      <c r="AM236">
        <f t="shared" ref="AM236:AM247" si="343">$B$253+$B$9*AL236^2</f>
        <v>0.18094740108976626</v>
      </c>
      <c r="AN236" s="14">
        <f>$D$36+$C$36*(RADIANS(E236-$B$12))+$E$10*RADIANS(E236)^2</f>
        <v>1.3050867031236932</v>
      </c>
      <c r="AO236">
        <f t="shared" ref="AO236:AO247" si="344">$B$254+$B$9*AN236^2</f>
        <v>0.21468407418572377</v>
      </c>
      <c r="AP236" s="14">
        <f>$D$37+$C$37*(RADIANS(E236-$B$12))+$E$10*RADIANS(E236)^2</f>
        <v>1.5169073045706536</v>
      </c>
      <c r="AQ236">
        <f t="shared" ref="AQ236:AQ247" si="345">$B$255+$B$9*AP236^2</f>
        <v>0.27482611645421412</v>
      </c>
    </row>
    <row r="237" spans="1:43" x14ac:dyDescent="0.25">
      <c r="A237" s="139">
        <v>0.05</v>
      </c>
      <c r="B237" s="275">
        <f>'Sub C_D_0'!AZ221</f>
        <v>5.2364428871180341E-2</v>
      </c>
      <c r="C237" s="275">
        <f>'C_L vs. α'!X492</f>
        <v>0.10628431328737685</v>
      </c>
      <c r="D237" s="247">
        <f>'C_L vs. α'!AB492</f>
        <v>0.55456498931698928</v>
      </c>
      <c r="E237" s="144">
        <v>-4</v>
      </c>
      <c r="F237" s="14">
        <f t="shared" ref="F237:F247" si="346">$D$19+$C$19*(RADIANS(E237-$B$12))+$E$10*RADIANS(E237)^2</f>
        <v>0.72268224318164487</v>
      </c>
      <c r="G237" s="6">
        <f t="shared" ref="G237" si="347">$B$213+$B$7*F237^2+$B$8*(F237-F$215)^2</f>
        <v>9.5161802405861196E-2</v>
      </c>
      <c r="H237" s="14">
        <f t="shared" ref="H237:H247" si="348">$D$20+$C$20*(RADIANS(E237-$B$12))+$E$10*RADIANS(E237)^2</f>
        <v>0.72501471870602052</v>
      </c>
      <c r="I237" s="6">
        <f t="shared" ref="I237:I247" si="349">$B$238+$B$7*H237^2+$B$8*(H237-H$239)^2</f>
        <v>9.1656179087034537E-2</v>
      </c>
      <c r="J237" s="14">
        <f t="shared" ref="J237:J247" si="350">$D$21+$C$21*(RADIANS(E237-$B$12))+$E$10*RADIANS(E237)^2</f>
        <v>0.72896334615590652</v>
      </c>
      <c r="K237" s="6">
        <f t="shared" ref="K237:K247" si="351">$B$239+$B$7*J237^2+$B$8*(J237-J$239)^2</f>
        <v>9.0455457189402025E-2</v>
      </c>
      <c r="L237" s="14">
        <f t="shared" ref="L237:L247" si="352">$D$22+$C$22*(RADIANS(E237-$B$12))+$E$10*RADIANS(E237)^2</f>
        <v>0.73460623980006134</v>
      </c>
      <c r="M237" s="6">
        <f t="shared" ref="M237:M247" si="353">$B$240+$B$7*L237^2+$B$8*(L237-L$239)^2</f>
        <v>9.0027638513282632E-2</v>
      </c>
      <c r="N237" s="14">
        <f t="shared" ref="N237:N247" si="354">$D$23+$C$23*(RADIANS(E237-$B$12))+$E$10*RADIANS(E237)^2</f>
        <v>0.74206127981164527</v>
      </c>
      <c r="O237" s="6">
        <f t="shared" ref="O237:O247" si="355">$B$241+$B$7*N237^2+$B$8*(N237-N$239)^2</f>
        <v>9.0113020161578627E-2</v>
      </c>
      <c r="P237" s="14">
        <f t="shared" ref="P237:P247" si="356">$D$24+$C$24*(RADIANS(E237-$B$12))+$E$10*RADIANS(E237)^2</f>
        <v>0.75149814005642324</v>
      </c>
      <c r="Q237" s="6">
        <f t="shared" ref="Q237:Q247" si="357">$B$242+$B$7*P237^2+$B$8*(P237-P$239)^2</f>
        <v>9.1081154520837981E-2</v>
      </c>
      <c r="R237" s="14">
        <f t="shared" ref="R237:R247" si="358">$D$25+$C$25*(RADIANS(E237-$B$12))+$E$10*RADIANS(E237)^2</f>
        <v>0.76312546398111714</v>
      </c>
      <c r="S237" s="6">
        <f t="shared" ref="S237:S247" si="359">$B$243+$B$7*R237^2+$B$8*(R237-R$239)^2</f>
        <v>9.198055014074967E-2</v>
      </c>
      <c r="T237" s="14">
        <f t="shared" ref="T237:T247" si="360">$D$26+$C$26*(RADIANS(E237-$B$12))+$E$10*RADIANS(E237)^2</f>
        <v>0.7772419287941178</v>
      </c>
      <c r="U237" s="6">
        <f t="shared" ref="U237:U247" si="361">$B$244+$B$7*T237^2+$B$8*(T237-T$239)^2</f>
        <v>9.3297717143477565E-2</v>
      </c>
      <c r="V237" s="14">
        <f t="shared" ref="V237:V247" si="362">$D$27+$C$27*(RADIANS(E237-$B$12))+$E$10*RADIANS(E237)^2</f>
        <v>0.79423531515972878</v>
      </c>
      <c r="W237" s="6">
        <f t="shared" ref="W237:W247" si="363">$B$245+$B$7*V237^2+$B$8*(V237-V$239)^2</f>
        <v>9.5077967930010929E-2</v>
      </c>
      <c r="X237" s="14">
        <f t="shared" ref="X237:X247" si="364">$D$28+$C$28*(RADIANS(E237-$B$12))+$E$10*RADIANS(E237)^2</f>
        <v>0.81462282685801291</v>
      </c>
      <c r="Y237" s="6">
        <f t="shared" ref="Y237:Y247" si="365">$B$246+$B$7*X237^2+$B$8*(X237-X$239)^2</f>
        <v>9.739885671134782E-2</v>
      </c>
      <c r="Z237" s="14">
        <f t="shared" ref="Z237:Z247" si="366">$D$29+$C$29*(RADIANS(E237-$B$12))+$E$10*RADIANS(E237)^2</f>
        <v>0.83910333311760532</v>
      </c>
      <c r="AA237" s="6">
        <f t="shared" ref="AA237:AA247" si="367">$B$247+$B$7*Z237^2+$B$8*(Z237-Z$239)^2</f>
        <v>0.1003788322819309</v>
      </c>
      <c r="AB237" s="14">
        <f t="shared" ref="AB237:AB247" si="368">$D$30+$C$30*(RADIANS(E237-$B$12))+$E$10*RADIANS(E237)^2</f>
        <v>0.86863940847407639</v>
      </c>
      <c r="AC237" s="6">
        <f t="shared" ref="AC237:AC247" si="369">$B$248+$B$7*AB237^2+$B$8*(AB237-AB$239)^2</f>
        <v>0.10419450882256129</v>
      </c>
      <c r="AD237" s="14">
        <f t="shared" ref="AD237:AD247" si="370">$D$31+$C$31*(RADIANS(E237-$B$12))+$E$10*RADIANS(E237)^2</f>
        <v>0.90458889040367019</v>
      </c>
      <c r="AE237" s="6">
        <f t="shared" ref="AE237:AE247" si="371">$B$249+$B$7*AD237^2+$B$8*(AD237-AD$239)^2</f>
        <v>0.10956702474446334</v>
      </c>
      <c r="AF237" s="14">
        <f t="shared" ref="AF237:AF247" si="372">$D$32+$C$32*(RADIANS(E237-$B$12))+$E$10*RADIANS(E237)^2</f>
        <v>0.94893760314311415</v>
      </c>
      <c r="AG237" s="6">
        <f t="shared" ref="AG237:AG247" si="373">$B$250+$B$7*AF237^2+$B$8*(AF237-AF$239)^2</f>
        <v>0.11599296543448886</v>
      </c>
      <c r="AH237" s="14">
        <f t="shared" ref="AH237:AH247" si="374">$D$33+$C$33*(RADIANS(E237-$B$12))+$E$10*RADIANS(E237)^2</f>
        <v>1.0047090062089461</v>
      </c>
      <c r="AI237" s="6">
        <f t="shared" ref="AI237" si="375">$B$240+$B$7*AH237^2+$B$8*(AH237-AH$239)^2</f>
        <v>0.12802321634554426</v>
      </c>
      <c r="AJ237" s="14">
        <f t="shared" ref="AJ237:AJ247" si="376">$D$34+$C$34*(RADIANS(E237-$B$12))+$E$10*RADIANS(E237)^2</f>
        <v>1.076762243062074</v>
      </c>
      <c r="AK237">
        <f t="shared" si="342"/>
        <v>0.15972824653615139</v>
      </c>
      <c r="AL237" s="14">
        <f t="shared" ref="AL237:AL247" si="377">$D$35+$C$35*(RADIANS(E237-$B$12))+$E$10*RADIANS(E237)^2</f>
        <v>1.1734250704529579</v>
      </c>
      <c r="AM237">
        <f t="shared" si="343"/>
        <v>0.18193297172100048</v>
      </c>
      <c r="AN237" s="14">
        <f t="shared" ref="AN237:AN247" si="378">$D$36+$C$36*(RADIANS(E237-$B$12))+$E$10*RADIANS(E237)^2</f>
        <v>1.3106084858782712</v>
      </c>
      <c r="AO237">
        <f t="shared" si="344"/>
        <v>0.2161410199870841</v>
      </c>
      <c r="AP237" s="14">
        <f t="shared" ref="AP237:AP247" si="379">$D$37+$C$37*(RADIANS(E237-$B$12))+$E$10*RADIANS(E237)^2</f>
        <v>1.5215651468688098</v>
      </c>
      <c r="AQ237">
        <f t="shared" si="345"/>
        <v>0.27625375093992821</v>
      </c>
    </row>
    <row r="238" spans="1:43" x14ac:dyDescent="0.25">
      <c r="A238" s="129">
        <v>0.1</v>
      </c>
      <c r="B238" s="275">
        <f>'Sub C_D_0'!AZ222</f>
        <v>4.9145081810590782E-2</v>
      </c>
      <c r="C238" s="275">
        <f>'C_L vs. α'!X493</f>
        <v>0.10713407049224531</v>
      </c>
      <c r="D238" s="247">
        <f>'C_L vs. α'!AB493</f>
        <v>0.55638482940940404</v>
      </c>
      <c r="E238" s="144">
        <v>-2</v>
      </c>
      <c r="F238" s="14">
        <f t="shared" si="346"/>
        <v>0.7234641679560142</v>
      </c>
      <c r="G238" s="6">
        <f t="shared" ref="G238" si="380">$B$213+$B$7*F238^2+$B$8*(F238-F$215)^2</f>
        <v>9.5253154658598765E-2</v>
      </c>
      <c r="H238" s="14">
        <f t="shared" si="348"/>
        <v>0.72582631032618294</v>
      </c>
      <c r="I238" s="6">
        <f t="shared" si="349"/>
        <v>9.1751304009026688E-2</v>
      </c>
      <c r="J238" s="14">
        <f t="shared" si="350"/>
        <v>0.72981856314204296</v>
      </c>
      <c r="K238" s="6">
        <f t="shared" si="351"/>
        <v>9.0556242334822346E-2</v>
      </c>
      <c r="L238" s="14">
        <f t="shared" si="352"/>
        <v>0.73552145382968093</v>
      </c>
      <c r="M238" s="6">
        <f t="shared" si="353"/>
        <v>9.0136330638588183E-2</v>
      </c>
      <c r="N238" s="14">
        <f t="shared" si="354"/>
        <v>0.74305489592910889</v>
      </c>
      <c r="O238" s="6">
        <f t="shared" si="355"/>
        <v>9.02322231888745E-2</v>
      </c>
      <c r="P238" s="14">
        <f t="shared" si="356"/>
        <v>0.75258712614973589</v>
      </c>
      <c r="Q238" s="6">
        <f t="shared" si="357"/>
        <v>9.1213463356648747E-2</v>
      </c>
      <c r="R238" s="14">
        <f t="shared" si="358"/>
        <v>0.7643377408199612</v>
      </c>
      <c r="S238" s="6">
        <f t="shared" si="359"/>
        <v>9.2130121494820777E-2</v>
      </c>
      <c r="T238" s="14">
        <f t="shared" si="360"/>
        <v>0.77860541011136797</v>
      </c>
      <c r="U238" s="6">
        <f t="shared" si="361"/>
        <v>9.3469061718931518E-2</v>
      </c>
      <c r="V238" s="14">
        <f t="shared" si="362"/>
        <v>0.79578326112169573</v>
      </c>
      <c r="W238" s="6">
        <f t="shared" si="363"/>
        <v>9.5276754307804232E-2</v>
      </c>
      <c r="X238" s="14">
        <f t="shared" si="364"/>
        <v>0.81639568614320113</v>
      </c>
      <c r="Y238" s="6">
        <f t="shared" si="365"/>
        <v>9.7632380870556007E-2</v>
      </c>
      <c r="Z238" s="14">
        <f t="shared" si="366"/>
        <v>0.84115135113333594</v>
      </c>
      <c r="AA238" s="6">
        <f t="shared" si="367"/>
        <v>0.10065672202641202</v>
      </c>
      <c r="AB238" s="14">
        <f t="shared" si="368"/>
        <v>0.87102639745148969</v>
      </c>
      <c r="AC238" s="6">
        <f t="shared" si="369"/>
        <v>0.10452981299129643</v>
      </c>
      <c r="AD238" s="14">
        <f t="shared" si="370"/>
        <v>0.90739924439284181</v>
      </c>
      <c r="AE238" s="6">
        <f t="shared" si="371"/>
        <v>0.10997816592777897</v>
      </c>
      <c r="AF238" s="14">
        <f t="shared" si="372"/>
        <v>0.95228308324293232</v>
      </c>
      <c r="AG238" s="6">
        <f t="shared" si="373"/>
        <v>0.11650642837229187</v>
      </c>
      <c r="AH238" s="14">
        <f t="shared" si="374"/>
        <v>1.0087411190679214</v>
      </c>
      <c r="AI238" s="6">
        <f t="shared" ref="AI238" si="381">$B$240+$B$7*AH238^2+$B$8*(AH238-AH$239)^2</f>
        <v>0.12867849429153627</v>
      </c>
      <c r="AJ238" s="14">
        <f t="shared" si="376"/>
        <v>1.0816880641063769</v>
      </c>
      <c r="AK238">
        <f t="shared" si="342"/>
        <v>0.16080074735145355</v>
      </c>
      <c r="AL238" s="14">
        <f t="shared" si="377"/>
        <v>1.1795452160067839</v>
      </c>
      <c r="AM238">
        <f t="shared" si="343"/>
        <v>0.18338560216060779</v>
      </c>
      <c r="AN238" s="14">
        <f t="shared" si="378"/>
        <v>1.3180798201194843</v>
      </c>
      <c r="AO238">
        <f t="shared" si="344"/>
        <v>0.21812215560212084</v>
      </c>
      <c r="AP238" s="14">
        <f t="shared" si="379"/>
        <v>1.5281725406536011</v>
      </c>
      <c r="AQ238">
        <f t="shared" si="345"/>
        <v>0.27828643379340923</v>
      </c>
    </row>
    <row r="239" spans="1:43" s="99" customFormat="1" x14ac:dyDescent="0.25">
      <c r="A239" s="139">
        <v>0.15</v>
      </c>
      <c r="B239" s="275">
        <f>'Sub C_D_0'!AZ223</f>
        <v>4.7480035113134977E-2</v>
      </c>
      <c r="C239" s="275">
        <f>'C_L vs. α'!X494</f>
        <v>0.10837825688305214</v>
      </c>
      <c r="D239" s="247">
        <f>'C_L vs. α'!AB494</f>
        <v>0.55945804426909762</v>
      </c>
      <c r="E239" s="143">
        <v>0</v>
      </c>
      <c r="F239" s="14">
        <f t="shared" si="346"/>
        <v>0.72619564421701832</v>
      </c>
      <c r="G239" s="6">
        <f t="shared" ref="G239" si="382">$B$213+$B$7*F239^2+$B$8*(F239-F$215)^2</f>
        <v>9.5573241024628497E-2</v>
      </c>
      <c r="H239" s="14">
        <f t="shared" si="348"/>
        <v>0.72858745343298037</v>
      </c>
      <c r="I239" s="6">
        <f t="shared" si="349"/>
        <v>9.2075926800524316E-2</v>
      </c>
      <c r="J239" s="14">
        <f t="shared" si="350"/>
        <v>0.7326233316148143</v>
      </c>
      <c r="K239" s="6">
        <f t="shared" si="351"/>
        <v>9.0887812669312049E-2</v>
      </c>
      <c r="L239" s="14">
        <f t="shared" si="352"/>
        <v>0.7383862193459354</v>
      </c>
      <c r="M239" s="6">
        <f t="shared" si="353"/>
        <v>9.0477646616942506E-2</v>
      </c>
      <c r="N239" s="14">
        <f t="shared" si="354"/>
        <v>0.7459980635332073</v>
      </c>
      <c r="O239" s="6">
        <f t="shared" si="355"/>
        <v>9.0586480534994476E-2</v>
      </c>
      <c r="P239" s="14">
        <f t="shared" si="356"/>
        <v>0.75562566372968332</v>
      </c>
      <c r="Q239" s="6">
        <f t="shared" si="357"/>
        <v>9.1583902491236352E-2</v>
      </c>
      <c r="R239" s="14">
        <f t="shared" si="358"/>
        <v>0.76749956914544015</v>
      </c>
      <c r="S239" s="6">
        <f t="shared" si="359"/>
        <v>9.2521624633990329E-2</v>
      </c>
      <c r="T239" s="14">
        <f t="shared" si="360"/>
        <v>0.78191844291525292</v>
      </c>
      <c r="U239" s="6">
        <f t="shared" si="361"/>
        <v>9.3886963413864877E-2</v>
      </c>
      <c r="V239" s="14">
        <f t="shared" si="362"/>
        <v>0.79928075857029757</v>
      </c>
      <c r="W239" s="6">
        <f t="shared" si="363"/>
        <v>9.5727681082361432E-2</v>
      </c>
      <c r="X239" s="14">
        <f t="shared" si="364"/>
        <v>0.82011809691502424</v>
      </c>
      <c r="Y239" s="6">
        <f t="shared" si="365"/>
        <v>9.812476683069124E-2</v>
      </c>
      <c r="Z239" s="14">
        <f t="shared" si="366"/>
        <v>0.84514892063570157</v>
      </c>
      <c r="AA239" s="6">
        <f t="shared" si="367"/>
        <v>0.10120157874713696</v>
      </c>
      <c r="AB239" s="14">
        <f t="shared" si="368"/>
        <v>0.87536293791553788</v>
      </c>
      <c r="AC239" s="6">
        <f t="shared" si="369"/>
        <v>0.10514191493638403</v>
      </c>
      <c r="AD239" s="14">
        <f t="shared" si="370"/>
        <v>0.91215914986864843</v>
      </c>
      <c r="AE239" s="6">
        <f t="shared" si="371"/>
        <v>0.11067815190175311</v>
      </c>
      <c r="AF239" s="14">
        <f t="shared" si="372"/>
        <v>0.95757811482938526</v>
      </c>
      <c r="AG239" s="6">
        <f t="shared" si="373"/>
        <v>0.11732372282766643</v>
      </c>
      <c r="AH239" s="14">
        <f t="shared" si="374"/>
        <v>1.0147227834135317</v>
      </c>
      <c r="AI239" s="6">
        <f t="shared" ref="AI239" si="383">$B$240+$B$7*AH239^2+$B$8*(AH239-AH$239)^2</f>
        <v>0.12965664539941224</v>
      </c>
      <c r="AJ239" s="14">
        <f t="shared" si="376"/>
        <v>1.0885634366373145</v>
      </c>
      <c r="AK239" s="99">
        <f t="shared" si="342"/>
        <v>0.16230590935529302</v>
      </c>
      <c r="AL239" s="14">
        <f t="shared" si="377"/>
        <v>1.1876149130472446</v>
      </c>
      <c r="AM239" s="99">
        <f t="shared" si="343"/>
        <v>0.18531251386272046</v>
      </c>
      <c r="AN239" s="14">
        <f t="shared" si="378"/>
        <v>1.3275007058473323</v>
      </c>
      <c r="AO239" s="99">
        <f t="shared" si="344"/>
        <v>0.22063629681749369</v>
      </c>
      <c r="AP239" s="14">
        <f t="shared" si="379"/>
        <v>1.5367294859250271</v>
      </c>
      <c r="AQ239" s="99">
        <f t="shared" si="345"/>
        <v>0.28093196139641491</v>
      </c>
    </row>
    <row r="240" spans="1:43" x14ac:dyDescent="0.25">
      <c r="A240" s="129">
        <v>0.2</v>
      </c>
      <c r="B240" s="275">
        <f>'Sub C_D_0'!AZ224</f>
        <v>4.638428342203757E-2</v>
      </c>
      <c r="C240" s="275">
        <f>'C_L vs. α'!X495</f>
        <v>0.11009093451775737</v>
      </c>
      <c r="D240" s="247">
        <f>'C_L vs. α'!AB495</f>
        <v>0.56384721039314389</v>
      </c>
      <c r="E240" s="144">
        <v>2</v>
      </c>
      <c r="F240" s="14">
        <f t="shared" si="346"/>
        <v>0.73087667196465755</v>
      </c>
      <c r="G240" s="6">
        <f t="shared" ref="G240" si="384">$B$213+$B$7*F240^2+$B$8*(F240-F$215)^2</f>
        <v>9.6125284504181202E-2</v>
      </c>
      <c r="H240" s="14">
        <f t="shared" si="348"/>
        <v>0.73329814802641269</v>
      </c>
      <c r="I240" s="6">
        <f t="shared" si="349"/>
        <v>9.2633305467096597E-2</v>
      </c>
      <c r="J240" s="14">
        <f t="shared" si="350"/>
        <v>0.73737765157422064</v>
      </c>
      <c r="K240" s="6">
        <f t="shared" si="351"/>
        <v>9.1453477674108066E-2</v>
      </c>
      <c r="L240" s="14">
        <f t="shared" si="352"/>
        <v>0.74320053634882488</v>
      </c>
      <c r="M240" s="6">
        <f t="shared" si="353"/>
        <v>9.1054966722980177E-2</v>
      </c>
      <c r="N240" s="14">
        <f t="shared" si="354"/>
        <v>0.75089078262394082</v>
      </c>
      <c r="O240" s="6">
        <f t="shared" si="355"/>
        <v>9.1179264984967881E-2</v>
      </c>
      <c r="P240" s="14">
        <f t="shared" si="356"/>
        <v>0.76061375279626586</v>
      </c>
      <c r="Q240" s="6">
        <f t="shared" si="357"/>
        <v>9.2196057241252224E-2</v>
      </c>
      <c r="R240" s="14">
        <f t="shared" si="358"/>
        <v>0.77261094895755411</v>
      </c>
      <c r="S240" s="6">
        <f t="shared" si="359"/>
        <v>9.3158790351590942E-2</v>
      </c>
      <c r="T240" s="14">
        <f t="shared" si="360"/>
        <v>0.78718102720577299</v>
      </c>
      <c r="U240" s="6">
        <f t="shared" si="361"/>
        <v>9.4555331435047699E-2</v>
      </c>
      <c r="V240" s="14">
        <f t="shared" si="362"/>
        <v>0.80472780750553441</v>
      </c>
      <c r="W240" s="6">
        <f t="shared" si="363"/>
        <v>9.6434875119159991E-2</v>
      </c>
      <c r="X240" s="14">
        <f t="shared" si="364"/>
        <v>0.82579005917348236</v>
      </c>
      <c r="Y240" s="6">
        <f t="shared" si="365"/>
        <v>9.8880406843279894E-2</v>
      </c>
      <c r="Z240" s="14">
        <f t="shared" si="366"/>
        <v>0.85109604162470209</v>
      </c>
      <c r="AA240" s="6">
        <f t="shared" si="367"/>
        <v>0.10201811936865404</v>
      </c>
      <c r="AB240" s="14">
        <f t="shared" si="368"/>
        <v>0.88164902986622107</v>
      </c>
      <c r="AC240" s="6">
        <f t="shared" si="369"/>
        <v>0.1060359315505154</v>
      </c>
      <c r="AD240" s="14">
        <f t="shared" si="370"/>
        <v>0.91886860683108995</v>
      </c>
      <c r="AE240" s="6">
        <f t="shared" si="371"/>
        <v>0.11167259910781933</v>
      </c>
      <c r="AF240" s="14">
        <f t="shared" si="372"/>
        <v>0.96482269790247333</v>
      </c>
      <c r="AG240" s="6">
        <f t="shared" si="373"/>
        <v>0.11845109666308488</v>
      </c>
      <c r="AH240" s="14">
        <f t="shared" si="374"/>
        <v>1.0226539992457768</v>
      </c>
      <c r="AI240" s="6">
        <f t="shared" ref="AI240" si="385">$B$240+$B$7*AH240^2+$B$8*(AH240-AH$239)^2</f>
        <v>0.13096472772266557</v>
      </c>
      <c r="AJ240" s="14">
        <f t="shared" si="376"/>
        <v>1.0973883606548871</v>
      </c>
      <c r="AK240">
        <f t="shared" si="342"/>
        <v>0.16425184513044058</v>
      </c>
      <c r="AL240" s="14">
        <f t="shared" si="377"/>
        <v>1.1976341615743404</v>
      </c>
      <c r="AM240">
        <f t="shared" si="343"/>
        <v>0.18772322865104801</v>
      </c>
      <c r="AN240" s="14">
        <f t="shared" si="378"/>
        <v>1.3388711430618152</v>
      </c>
      <c r="AO240">
        <f t="shared" si="344"/>
        <v>0.22369455978943983</v>
      </c>
      <c r="AP240" s="14">
        <f t="shared" si="379"/>
        <v>1.5472359826830882</v>
      </c>
      <c r="AQ240">
        <f t="shared" si="345"/>
        <v>0.28420043050028021</v>
      </c>
    </row>
    <row r="241" spans="1:43" x14ac:dyDescent="0.25">
      <c r="A241" s="139">
        <v>0.25</v>
      </c>
      <c r="B241" s="275">
        <f>'Sub C_D_0'!AZ225</f>
        <v>4.5579335975002605E-2</v>
      </c>
      <c r="C241" s="275">
        <f>'C_L vs. α'!X496</f>
        <v>0.11233078839786849</v>
      </c>
      <c r="D241" s="247">
        <f>'C_L vs. α'!AB496</f>
        <v>0.56964491335588441</v>
      </c>
      <c r="E241" s="144">
        <v>4</v>
      </c>
      <c r="F241" s="14">
        <f t="shared" si="346"/>
        <v>0.73750725119893168</v>
      </c>
      <c r="G241" s="6">
        <f t="shared" ref="G241" si="386">$B$213+$B$7*F241^2+$B$8*(F241-F$215)^2</f>
        <v>9.6914808467064753E-2</v>
      </c>
      <c r="H241" s="14">
        <f t="shared" si="348"/>
        <v>0.7399583941064799</v>
      </c>
      <c r="I241" s="6">
        <f t="shared" si="349"/>
        <v>9.3428998383889794E-2</v>
      </c>
      <c r="J241" s="14">
        <f t="shared" si="350"/>
        <v>0.74408152302026187</v>
      </c>
      <c r="K241" s="6">
        <f t="shared" si="351"/>
        <v>9.2258847200024488E-2</v>
      </c>
      <c r="L241" s="14">
        <f t="shared" si="352"/>
        <v>0.74996440483834914</v>
      </c>
      <c r="M241" s="6">
        <f t="shared" si="353"/>
        <v>9.187397160091286E-2</v>
      </c>
      <c r="N241" s="14">
        <f t="shared" si="354"/>
        <v>0.75773305320130913</v>
      </c>
      <c r="O241" s="6">
        <f t="shared" si="355"/>
        <v>9.2016349693401167E-2</v>
      </c>
      <c r="P241" s="14">
        <f t="shared" si="356"/>
        <v>0.76755139334948319</v>
      </c>
      <c r="Q241" s="6">
        <f t="shared" si="357"/>
        <v>9.3055813292924713E-2</v>
      </c>
      <c r="R241" s="14">
        <f t="shared" si="358"/>
        <v>0.77967188025630296</v>
      </c>
      <c r="S241" s="6">
        <f t="shared" si="359"/>
        <v>9.4047649810532249E-2</v>
      </c>
      <c r="T241" s="14">
        <f t="shared" si="360"/>
        <v>0.79439316298292795</v>
      </c>
      <c r="U241" s="6">
        <f t="shared" si="361"/>
        <v>9.5480375358826974E-2</v>
      </c>
      <c r="V241" s="14">
        <f t="shared" si="362"/>
        <v>0.81212440792740614</v>
      </c>
      <c r="W241" s="6">
        <f t="shared" si="363"/>
        <v>9.7404763653254414E-2</v>
      </c>
      <c r="X241" s="14">
        <f t="shared" si="364"/>
        <v>0.83341157291857548</v>
      </c>
      <c r="Y241" s="6">
        <f t="shared" si="365"/>
        <v>9.990599352942546E-2</v>
      </c>
      <c r="Z241" s="14">
        <f t="shared" si="366"/>
        <v>0.85899271410033751</v>
      </c>
      <c r="AA241" s="6">
        <f t="shared" si="367"/>
        <v>0.10311336118508864</v>
      </c>
      <c r="AB241" s="14">
        <f t="shared" si="368"/>
        <v>0.88988467330353926</v>
      </c>
      <c r="AC241" s="6">
        <f t="shared" si="369"/>
        <v>0.10721928009595894</v>
      </c>
      <c r="AD241" s="14">
        <f t="shared" si="370"/>
        <v>0.92752761528016636</v>
      </c>
      <c r="AE241" s="6">
        <f t="shared" si="371"/>
        <v>0.11296942435698822</v>
      </c>
      <c r="AF241" s="14">
        <f t="shared" si="372"/>
        <v>0.97401683246219617</v>
      </c>
      <c r="AG241" s="6">
        <f t="shared" si="373"/>
        <v>0.11989709811059661</v>
      </c>
      <c r="AH241" s="14">
        <f t="shared" si="374"/>
        <v>1.0325347665646569</v>
      </c>
      <c r="AI241" s="6">
        <f t="shared" ref="AI241" si="387">$B$240+$B$7*AH241^2+$B$8*(AH241-AH$239)^2</f>
        <v>0.13261209968436688</v>
      </c>
      <c r="AJ241" s="14">
        <f t="shared" si="376"/>
        <v>1.1081628361590945</v>
      </c>
      <c r="AK241">
        <f t="shared" si="342"/>
        <v>0.16664896762924411</v>
      </c>
      <c r="AL241" s="14">
        <f t="shared" si="377"/>
        <v>1.2096029615880712</v>
      </c>
      <c r="AM241">
        <f t="shared" si="343"/>
        <v>0.19062956871887693</v>
      </c>
      <c r="AN241" s="14">
        <f t="shared" si="378"/>
        <v>1.3521911317629329</v>
      </c>
      <c r="AO241">
        <f t="shared" si="344"/>
        <v>0.22731036104377325</v>
      </c>
      <c r="AP241" s="14">
        <f t="shared" si="379"/>
        <v>1.5596920309277842</v>
      </c>
      <c r="AQ241">
        <f t="shared" si="345"/>
        <v>0.28810423822591724</v>
      </c>
    </row>
    <row r="242" spans="1:43" x14ac:dyDescent="0.25">
      <c r="A242" s="129">
        <v>0.3</v>
      </c>
      <c r="B242" s="275">
        <f>'Sub C_D_0'!AZ226</f>
        <v>4.5407567562427725E-2</v>
      </c>
      <c r="C242" s="275">
        <f>'C_L vs. α'!X497</f>
        <v>0.11506256822064728</v>
      </c>
      <c r="D242" s="247">
        <f>'C_L vs. α'!AB497</f>
        <v>0.57697940697139272</v>
      </c>
      <c r="E242" s="144">
        <v>6</v>
      </c>
      <c r="F242" s="14">
        <f t="shared" si="346"/>
        <v>0.74608738191984059</v>
      </c>
      <c r="G242" s="6">
        <f t="shared" ref="G242" si="388">$B$213+$B$7*F242^2+$B$8*(F242-F$215)^2</f>
        <v>9.7949636652664054E-2</v>
      </c>
      <c r="H242" s="14">
        <f t="shared" si="348"/>
        <v>0.748568191673182</v>
      </c>
      <c r="I242" s="6">
        <f t="shared" si="349"/>
        <v>9.4470864295627247E-2</v>
      </c>
      <c r="J242" s="14">
        <f t="shared" si="350"/>
        <v>0.75273494595293799</v>
      </c>
      <c r="K242" s="6">
        <f t="shared" si="351"/>
        <v>9.3311831467452408E-2</v>
      </c>
      <c r="L242" s="14">
        <f t="shared" si="352"/>
        <v>0.75867782481450841</v>
      </c>
      <c r="M242" s="6">
        <f t="shared" si="353"/>
        <v>9.2942642264529307E-2</v>
      </c>
      <c r="N242" s="14">
        <f t="shared" si="354"/>
        <v>0.76652487526531243</v>
      </c>
      <c r="O242" s="6">
        <f t="shared" si="355"/>
        <v>9.3105808184477834E-2</v>
      </c>
      <c r="P242" s="14">
        <f t="shared" si="356"/>
        <v>0.77643858538933552</v>
      </c>
      <c r="Q242" s="6">
        <f t="shared" si="357"/>
        <v>9.4171356702059464E-2</v>
      </c>
      <c r="R242" s="14">
        <f t="shared" si="358"/>
        <v>0.7886823630416866</v>
      </c>
      <c r="S242" s="6">
        <f t="shared" si="359"/>
        <v>9.5196534543301042E-2</v>
      </c>
      <c r="T242" s="14">
        <f t="shared" si="360"/>
        <v>0.8035548502467178</v>
      </c>
      <c r="U242" s="6">
        <f t="shared" si="361"/>
        <v>9.6670605131126838E-2</v>
      </c>
      <c r="V242" s="14">
        <f t="shared" si="362"/>
        <v>0.82147055983591277</v>
      </c>
      <c r="W242" s="6">
        <f t="shared" si="363"/>
        <v>9.8646074289276325E-2</v>
      </c>
      <c r="X242" s="14">
        <f t="shared" si="364"/>
        <v>0.84298263815030339</v>
      </c>
      <c r="Y242" s="6">
        <f t="shared" si="365"/>
        <v>0.10121051987980846</v>
      </c>
      <c r="Z242" s="14">
        <f t="shared" si="366"/>
        <v>0.86883893806260781</v>
      </c>
      <c r="AA242" s="6">
        <f t="shared" si="367"/>
        <v>0.10449662186014327</v>
      </c>
      <c r="AB242" s="14">
        <f t="shared" si="368"/>
        <v>0.90006986822749224</v>
      </c>
      <c r="AC242" s="6">
        <f t="shared" si="369"/>
        <v>0.10870167820456007</v>
      </c>
      <c r="AD242" s="14">
        <f t="shared" si="370"/>
        <v>0.93813617521587767</v>
      </c>
      <c r="AE242" s="6">
        <f t="shared" si="371"/>
        <v>0.11457884482984748</v>
      </c>
      <c r="AF242" s="14">
        <f t="shared" si="372"/>
        <v>0.98516051850855402</v>
      </c>
      <c r="AG242" s="6">
        <f t="shared" si="373"/>
        <v>0.12167257577182808</v>
      </c>
      <c r="AH242" s="14">
        <f t="shared" si="374"/>
        <v>1.0443650853701723</v>
      </c>
      <c r="AI242" s="6">
        <f t="shared" ref="AI242" si="389">$B$240+$B$7*AH242^2+$B$8*(AH242-AH$239)^2</f>
        <v>0.13461042007716392</v>
      </c>
      <c r="AJ242" s="14">
        <f t="shared" si="376"/>
        <v>1.1208868631499371</v>
      </c>
      <c r="AK242">
        <f t="shared" si="342"/>
        <v>0.16950999017362872</v>
      </c>
      <c r="AL242" s="14">
        <f t="shared" si="377"/>
        <v>1.2235213130884368</v>
      </c>
      <c r="AM242">
        <f t="shared" si="343"/>
        <v>0.1940456566290707</v>
      </c>
      <c r="AN242" s="14">
        <f t="shared" si="378"/>
        <v>1.3674606719506859</v>
      </c>
      <c r="AO242">
        <f t="shared" si="344"/>
        <v>0.23149941747588529</v>
      </c>
      <c r="AP242" s="14">
        <f t="shared" si="379"/>
        <v>1.574097630659115</v>
      </c>
      <c r="AQ242">
        <f t="shared" si="345"/>
        <v>0.29265808206381488</v>
      </c>
    </row>
    <row r="243" spans="1:43" x14ac:dyDescent="0.25">
      <c r="A243" s="139">
        <v>0.35</v>
      </c>
      <c r="B243" s="275">
        <f>'Sub C_D_0'!AZ227</f>
        <v>4.488265707429679E-2</v>
      </c>
      <c r="C243" s="275">
        <f>'C_L vs. α'!X498</f>
        <v>0.1185878928284851</v>
      </c>
      <c r="D243" s="247">
        <f>'C_L vs. α'!AB498</f>
        <v>0.58602300954865816</v>
      </c>
      <c r="E243" s="144">
        <v>8</v>
      </c>
      <c r="F243" s="14">
        <f t="shared" si="346"/>
        <v>0.75661706412738461</v>
      </c>
      <c r="G243" s="6">
        <f t="shared" ref="G243" si="390">$B$213+$B$7*F243^2+$B$8*(F243-F$215)^2</f>
        <v>9.9239893169941168E-2</v>
      </c>
      <c r="H243" s="14">
        <f t="shared" si="348"/>
        <v>0.75912754072651911</v>
      </c>
      <c r="I243" s="6">
        <f t="shared" si="349"/>
        <v>9.5769062316609407E-2</v>
      </c>
      <c r="J243" s="14">
        <f t="shared" si="350"/>
        <v>0.76333792037224901</v>
      </c>
      <c r="K243" s="6">
        <f t="shared" si="351"/>
        <v>9.4622641066360078E-2</v>
      </c>
      <c r="L243" s="14">
        <f t="shared" si="352"/>
        <v>0.76934079627730267</v>
      </c>
      <c r="M243" s="6">
        <f t="shared" si="353"/>
        <v>9.4271260097195345E-2</v>
      </c>
      <c r="N243" s="14">
        <f t="shared" si="354"/>
        <v>0.77726624881595063</v>
      </c>
      <c r="O243" s="6">
        <f t="shared" si="355"/>
        <v>9.4458014351958497E-2</v>
      </c>
      <c r="P243" s="14">
        <f t="shared" si="356"/>
        <v>0.78727532891582275</v>
      </c>
      <c r="Q243" s="6">
        <f t="shared" si="357"/>
        <v>9.555317389403907E-2</v>
      </c>
      <c r="R243" s="14">
        <f t="shared" si="358"/>
        <v>0.79964239731370534</v>
      </c>
      <c r="S243" s="6">
        <f t="shared" si="359"/>
        <v>9.66160764519612E-2</v>
      </c>
      <c r="T243" s="14">
        <f t="shared" si="360"/>
        <v>0.81466608899714266</v>
      </c>
      <c r="U243" s="6">
        <f t="shared" si="361"/>
        <v>9.8136831067448499E-2</v>
      </c>
      <c r="V243" s="14">
        <f t="shared" si="362"/>
        <v>0.83276626323105452</v>
      </c>
      <c r="W243" s="6">
        <f t="shared" si="363"/>
        <v>0.10016983500143442</v>
      </c>
      <c r="X243" s="14">
        <f t="shared" si="364"/>
        <v>0.8545032548686663</v>
      </c>
      <c r="Y243" s="6">
        <f t="shared" si="365"/>
        <v>0.10280527925468651</v>
      </c>
      <c r="Z243" s="14">
        <f t="shared" si="366"/>
        <v>0.88063471351151323</v>
      </c>
      <c r="AA243" s="6">
        <f t="shared" si="367"/>
        <v>0.1061795194270975</v>
      </c>
      <c r="AB243" s="14">
        <f t="shared" si="368"/>
        <v>0.91220461463808022</v>
      </c>
      <c r="AC243" s="6">
        <f t="shared" si="369"/>
        <v>0.11049514387774144</v>
      </c>
      <c r="AD243" s="14">
        <f t="shared" si="370"/>
        <v>0.95069428663822397</v>
      </c>
      <c r="AE243" s="6">
        <f t="shared" si="371"/>
        <v>0.11651337807656194</v>
      </c>
      <c r="AF243" s="14">
        <f t="shared" si="372"/>
        <v>0.99825375604154687</v>
      </c>
      <c r="AG243" s="6">
        <f t="shared" si="373"/>
        <v>0.12379067861798289</v>
      </c>
      <c r="AH243" s="14">
        <f t="shared" si="374"/>
        <v>1.0581449556623224</v>
      </c>
      <c r="AI243" s="6">
        <f t="shared" ref="AI243" si="391">$B$240+$B$7*AH243^2+$B$8*(AH243-AH$239)^2</f>
        <v>0.13697364806328127</v>
      </c>
      <c r="AJ243" s="14">
        <f t="shared" si="376"/>
        <v>1.1355604416274148</v>
      </c>
      <c r="AK243">
        <f t="shared" si="342"/>
        <v>0.17284992645509642</v>
      </c>
      <c r="AL243" s="14">
        <f t="shared" si="377"/>
        <v>1.2393892160754376</v>
      </c>
      <c r="AM243">
        <f t="shared" si="343"/>
        <v>0.19798791531407017</v>
      </c>
      <c r="AN243" s="14">
        <f t="shared" si="378"/>
        <v>1.3846797636250738</v>
      </c>
      <c r="AO243">
        <f t="shared" si="344"/>
        <v>0.23627974635074409</v>
      </c>
      <c r="AP243" s="14">
        <f t="shared" si="379"/>
        <v>1.5904527818770811</v>
      </c>
      <c r="AQ243">
        <f t="shared" si="345"/>
        <v>0.29787895987403945</v>
      </c>
    </row>
    <row r="244" spans="1:43" x14ac:dyDescent="0.25">
      <c r="A244" s="129">
        <v>0.4</v>
      </c>
      <c r="B244" s="275">
        <f>'Sub C_D_0'!AZ228</f>
        <v>4.4441212834876224E-2</v>
      </c>
      <c r="C244" s="275">
        <f>'C_L vs. α'!X499</f>
        <v>0.1229114965628397</v>
      </c>
      <c r="D244" s="247">
        <f>'C_L vs. α'!AB499</f>
        <v>0.59700438372333264</v>
      </c>
      <c r="E244" s="144">
        <v>10</v>
      </c>
      <c r="F244" s="14">
        <f t="shared" si="346"/>
        <v>0.76909629782156352</v>
      </c>
      <c r="G244" s="6">
        <f t="shared" ref="G244" si="392">$B$213+$B$7*F244^2+$B$8*(F244-F$215)^2</f>
        <v>0.10079800249743523</v>
      </c>
      <c r="H244" s="14">
        <f t="shared" si="348"/>
        <v>0.77163644126649111</v>
      </c>
      <c r="I244" s="6">
        <f t="shared" si="349"/>
        <v>9.7336051930713735E-2</v>
      </c>
      <c r="J244" s="14">
        <f t="shared" si="350"/>
        <v>0.77589044627819503</v>
      </c>
      <c r="K244" s="6">
        <f t="shared" si="351"/>
        <v>9.620378695629285E-2</v>
      </c>
      <c r="L244" s="14">
        <f t="shared" si="352"/>
        <v>0.78195331922673184</v>
      </c>
      <c r="M244" s="6">
        <f t="shared" si="353"/>
        <v>9.58724068518539E-2</v>
      </c>
      <c r="N244" s="14">
        <f t="shared" si="354"/>
        <v>0.78995717385322373</v>
      </c>
      <c r="O244" s="6">
        <f t="shared" si="355"/>
        <v>9.6085642459180859E-2</v>
      </c>
      <c r="P244" s="14">
        <f t="shared" si="356"/>
        <v>0.80006162392894487</v>
      </c>
      <c r="Q244" s="6">
        <f t="shared" si="357"/>
        <v>9.7214051663823228E-2</v>
      </c>
      <c r="R244" s="14">
        <f t="shared" si="358"/>
        <v>0.81255198307235899</v>
      </c>
      <c r="S244" s="6">
        <f t="shared" si="359"/>
        <v>9.8319207808153633E-2</v>
      </c>
      <c r="T244" s="14">
        <f t="shared" si="360"/>
        <v>0.82772687923420241</v>
      </c>
      <c r="U244" s="6">
        <f t="shared" si="361"/>
        <v>9.9892163852870267E-2</v>
      </c>
      <c r="V244" s="14">
        <f t="shared" si="362"/>
        <v>0.84601151811283104</v>
      </c>
      <c r="W244" s="6">
        <f t="shared" si="363"/>
        <v>0.10198937413351448</v>
      </c>
      <c r="X244" s="14">
        <f t="shared" si="364"/>
        <v>0.8679734230736641</v>
      </c>
      <c r="Y244" s="6">
        <f t="shared" si="365"/>
        <v>0.10470386538389431</v>
      </c>
      <c r="Z244" s="14">
        <f t="shared" si="366"/>
        <v>0.89438004044705344</v>
      </c>
      <c r="AA244" s="6">
        <f t="shared" si="367"/>
        <v>0.10817597228880797</v>
      </c>
      <c r="AB244" s="14">
        <f t="shared" si="368"/>
        <v>0.92628891253530321</v>
      </c>
      <c r="AC244" s="6">
        <f t="shared" si="369"/>
        <v>0.11261399548650267</v>
      </c>
      <c r="AD244" s="14">
        <f t="shared" si="370"/>
        <v>0.96520194954720517</v>
      </c>
      <c r="AE244" s="6">
        <f t="shared" si="371"/>
        <v>0.11878784201687341</v>
      </c>
      <c r="AF244" s="14">
        <f t="shared" si="372"/>
        <v>1.0132965450611746</v>
      </c>
      <c r="AG244" s="6">
        <f t="shared" si="373"/>
        <v>0.12626685598984164</v>
      </c>
      <c r="AH244" s="14">
        <f t="shared" si="374"/>
        <v>1.0738743774411073</v>
      </c>
      <c r="AI244" s="6">
        <f t="shared" ref="AI244" si="393">$B$240+$B$7*AH244^2+$B$8*(AH244-AH$239)^2</f>
        <v>0.1397180431745208</v>
      </c>
      <c r="AJ244" s="14">
        <f t="shared" si="376"/>
        <v>1.152183571591527</v>
      </c>
      <c r="AK244">
        <f t="shared" si="342"/>
        <v>0.17668609053472625</v>
      </c>
      <c r="AL244" s="14">
        <f t="shared" si="377"/>
        <v>1.2572066705490732</v>
      </c>
      <c r="AM244">
        <f t="shared" si="343"/>
        <v>0.20247506807589288</v>
      </c>
      <c r="AN244" s="14">
        <f t="shared" si="378"/>
        <v>1.4038484067860963</v>
      </c>
      <c r="AO244">
        <f t="shared" si="344"/>
        <v>0.24167166530289491</v>
      </c>
      <c r="AP244" s="14">
        <f t="shared" si="379"/>
        <v>1.6087574845816819</v>
      </c>
      <c r="AQ244">
        <f t="shared" si="345"/>
        <v>0.30378616988623419</v>
      </c>
    </row>
    <row r="245" spans="1:43" x14ac:dyDescent="0.25">
      <c r="A245" s="139">
        <v>0.45</v>
      </c>
      <c r="B245" s="275">
        <f>'Sub C_D_0'!AZ229</f>
        <v>4.4061688604535867E-2</v>
      </c>
      <c r="C245" s="275">
        <f>'C_L vs. α'!X500</f>
        <v>0.12818588349115431</v>
      </c>
      <c r="D245" s="247">
        <f>'C_L vs. α'!AB500</f>
        <v>0.61022655878285847</v>
      </c>
      <c r="E245" s="144">
        <v>12</v>
      </c>
      <c r="F245" s="14">
        <f t="shared" si="346"/>
        <v>0.78352508300237744</v>
      </c>
      <c r="G245" s="6">
        <f t="shared" ref="G245" si="394">$B$213+$B$7*F245^2+$B$8*(F245-F$215)^2</f>
        <v>0.10263868948326244</v>
      </c>
      <c r="H245" s="14">
        <f t="shared" si="348"/>
        <v>0.78609489329309812</v>
      </c>
      <c r="I245" s="6">
        <f t="shared" si="349"/>
        <v>9.9186592991394928E-2</v>
      </c>
      <c r="J245" s="14">
        <f t="shared" si="350"/>
        <v>0.79039252367077606</v>
      </c>
      <c r="K245" s="6">
        <f t="shared" si="351"/>
        <v>9.8070080466373055E-2</v>
      </c>
      <c r="L245" s="14">
        <f t="shared" si="352"/>
        <v>0.796515393662796</v>
      </c>
      <c r="M245" s="6">
        <f t="shared" si="353"/>
        <v>9.7760964651024934E-2</v>
      </c>
      <c r="N245" s="14">
        <f t="shared" si="354"/>
        <v>0.80459765037713193</v>
      </c>
      <c r="O245" s="6">
        <f t="shared" si="355"/>
        <v>9.8003667139059655E-2</v>
      </c>
      <c r="P245" s="14">
        <f t="shared" si="356"/>
        <v>0.8147974704287021</v>
      </c>
      <c r="Q245" s="6">
        <f t="shared" si="357"/>
        <v>9.9169077175948764E-2</v>
      </c>
      <c r="R245" s="14">
        <f t="shared" si="358"/>
        <v>0.82741112031764763</v>
      </c>
      <c r="S245" s="6">
        <f t="shared" si="359"/>
        <v>0.1003211612530964</v>
      </c>
      <c r="T245" s="14">
        <f t="shared" si="360"/>
        <v>0.84273722095789705</v>
      </c>
      <c r="U245" s="6">
        <f t="shared" si="361"/>
        <v>0.10195201454204751</v>
      </c>
      <c r="V245" s="14">
        <f t="shared" si="362"/>
        <v>0.86120632448124257</v>
      </c>
      <c r="W245" s="6">
        <f t="shared" si="363"/>
        <v>0.10412032039887939</v>
      </c>
      <c r="X245" s="14">
        <f t="shared" si="364"/>
        <v>0.88339314276529701</v>
      </c>
      <c r="Y245" s="6">
        <f t="shared" si="365"/>
        <v>0.1069221723668437</v>
      </c>
      <c r="Z245" s="14">
        <f t="shared" si="366"/>
        <v>0.91007491886922864</v>
      </c>
      <c r="AA245" s="6">
        <f t="shared" si="367"/>
        <v>0.11050219921770846</v>
      </c>
      <c r="AB245" s="14">
        <f t="shared" si="368"/>
        <v>0.94232276191916109</v>
      </c>
      <c r="AC245" s="6">
        <f t="shared" si="369"/>
        <v>0.11507485177142047</v>
      </c>
      <c r="AD245" s="14">
        <f t="shared" si="370"/>
        <v>0.98165916394282138</v>
      </c>
      <c r="AE245" s="6">
        <f t="shared" si="371"/>
        <v>0.12141935494010091</v>
      </c>
      <c r="AF245" s="14">
        <f t="shared" si="372"/>
        <v>1.0302888855674373</v>
      </c>
      <c r="AG245" s="6">
        <f t="shared" si="373"/>
        <v>0.12911885759776209</v>
      </c>
      <c r="AH245" s="14">
        <f t="shared" si="374"/>
        <v>1.0915533507065269</v>
      </c>
      <c r="AI245" s="6">
        <f t="shared" ref="AI245" si="395">$B$240+$B$7*AH245^2+$B$8*(AH245-AH$239)^2</f>
        <v>0.14286216531226142</v>
      </c>
      <c r="AJ245" s="14">
        <f t="shared" si="376"/>
        <v>1.1707562530422742</v>
      </c>
      <c r="AK245">
        <f t="shared" si="342"/>
        <v>0.18103809684317457</v>
      </c>
      <c r="AL245" s="14">
        <f t="shared" si="377"/>
        <v>1.2769736765093433</v>
      </c>
      <c r="AM245">
        <f t="shared" si="343"/>
        <v>0.20752813858613373</v>
      </c>
      <c r="AN245" s="14">
        <f t="shared" si="378"/>
        <v>1.4249666014337539</v>
      </c>
      <c r="AO245">
        <f t="shared" si="344"/>
        <v>0.24769779233646033</v>
      </c>
      <c r="AP245" s="14">
        <f t="shared" si="379"/>
        <v>1.6290117387729175</v>
      </c>
      <c r="AQ245">
        <f t="shared" si="345"/>
        <v>0.31040131069961924</v>
      </c>
    </row>
    <row r="246" spans="1:43" x14ac:dyDescent="0.25">
      <c r="A246" s="129">
        <v>0.5</v>
      </c>
      <c r="B246" s="275">
        <f>'Sub C_D_0'!AZ230</f>
        <v>4.3729783174929072E-2</v>
      </c>
      <c r="C246" s="275">
        <f>'C_L vs. α'!X501</f>
        <v>0.13461595622817585</v>
      </c>
      <c r="D246" s="247">
        <f>'C_L vs. α'!AB501</f>
        <v>0.6260937673204966</v>
      </c>
      <c r="E246" s="144">
        <v>14</v>
      </c>
      <c r="F246" s="14">
        <f t="shared" si="346"/>
        <v>0.79990341966982614</v>
      </c>
      <c r="G246" s="6">
        <f t="shared" ref="G246" si="396">$B$213+$B$7*F246^2+$B$8*(F246-F$215)^2</f>
        <v>0.10477897934511604</v>
      </c>
      <c r="H246" s="14">
        <f t="shared" si="348"/>
        <v>0.80250289680634002</v>
      </c>
      <c r="I246" s="6">
        <f t="shared" si="349"/>
        <v>0.10133774572168458</v>
      </c>
      <c r="J246" s="14">
        <f t="shared" si="350"/>
        <v>0.80684415254999198</v>
      </c>
      <c r="K246" s="6">
        <f t="shared" si="351"/>
        <v>0.10023863329530022</v>
      </c>
      <c r="L246" s="14">
        <f t="shared" si="352"/>
        <v>0.81302701958549495</v>
      </c>
      <c r="M246" s="6">
        <f t="shared" si="353"/>
        <v>9.9954115986805564E-2</v>
      </c>
      <c r="N246" s="14">
        <f t="shared" si="354"/>
        <v>0.82118767838767492</v>
      </c>
      <c r="O246" s="6">
        <f t="shared" si="355"/>
        <v>0.10022936339408675</v>
      </c>
      <c r="P246" s="14">
        <f t="shared" si="356"/>
        <v>0.83148286841509411</v>
      </c>
      <c r="Q246" s="6">
        <f t="shared" si="357"/>
        <v>0.10143563796452951</v>
      </c>
      <c r="R246" s="14">
        <f t="shared" si="358"/>
        <v>0.84421980904957117</v>
      </c>
      <c r="S246" s="6">
        <f t="shared" si="359"/>
        <v>0.10263946979758455</v>
      </c>
      <c r="T246" s="14">
        <f t="shared" si="360"/>
        <v>0.85969711416822669</v>
      </c>
      <c r="U246" s="6">
        <f t="shared" si="361"/>
        <v>0.10433409455921273</v>
      </c>
      <c r="V246" s="14">
        <f t="shared" si="362"/>
        <v>0.87835068233628899</v>
      </c>
      <c r="W246" s="6">
        <f t="shared" si="363"/>
        <v>0.10658060288046907</v>
      </c>
      <c r="X246" s="14">
        <f t="shared" si="364"/>
        <v>0.90076241394356471</v>
      </c>
      <c r="Y246" s="6">
        <f t="shared" si="365"/>
        <v>0.10947839467252353</v>
      </c>
      <c r="Z246" s="14">
        <f t="shared" si="366"/>
        <v>0.92771934877803874</v>
      </c>
      <c r="AA246" s="6">
        <f t="shared" si="367"/>
        <v>0.11317671935580979</v>
      </c>
      <c r="AB246" s="14">
        <f t="shared" si="368"/>
        <v>0.96030616278965386</v>
      </c>
      <c r="AC246" s="6">
        <f t="shared" si="369"/>
        <v>0.11789663184264863</v>
      </c>
      <c r="AD246" s="14">
        <f t="shared" si="370"/>
        <v>1.0000659298250725</v>
      </c>
      <c r="AE246" s="6">
        <f t="shared" si="371"/>
        <v>0.12442733550514044</v>
      </c>
      <c r="AF246" s="14">
        <f t="shared" si="372"/>
        <v>1.0492307775603349</v>
      </c>
      <c r="AG246" s="6">
        <f t="shared" si="373"/>
        <v>0.13236673352167905</v>
      </c>
      <c r="AH246" s="14">
        <f t="shared" si="374"/>
        <v>1.1111818754585818</v>
      </c>
      <c r="AI246" s="6">
        <f t="shared" ref="AI246" si="397">$B$240+$B$7*AH246^2+$B$8*(AH246-AH$239)^2</f>
        <v>0.14642687474745919</v>
      </c>
      <c r="AJ246" s="14">
        <f t="shared" si="376"/>
        <v>1.1912784859796564</v>
      </c>
      <c r="AK246">
        <f t="shared" si="342"/>
        <v>0.1859278601806747</v>
      </c>
      <c r="AL246" s="14">
        <f t="shared" si="377"/>
        <v>1.2986902339562489</v>
      </c>
      <c r="AM246">
        <f t="shared" si="343"/>
        <v>0.21317045088596476</v>
      </c>
      <c r="AN246" s="14">
        <f t="shared" si="378"/>
        <v>1.4480343475680464</v>
      </c>
      <c r="AO246">
        <f t="shared" si="344"/>
        <v>0.25438304582513982</v>
      </c>
      <c r="AP246" s="14">
        <f t="shared" si="379"/>
        <v>1.6512155444507881</v>
      </c>
      <c r="AQ246">
        <f t="shared" si="345"/>
        <v>0.31774828128299232</v>
      </c>
    </row>
    <row r="247" spans="1:43" x14ac:dyDescent="0.25">
      <c r="A247" s="139">
        <v>0.55000000000000004</v>
      </c>
      <c r="B247" s="275">
        <f>'Sub C_D_0'!AZ231</f>
        <v>4.343554595932881E-2</v>
      </c>
      <c r="C247" s="275">
        <f>'C_L vs. α'!X502</f>
        <v>0.1424807203828512</v>
      </c>
      <c r="D247" s="247">
        <f>'C_L vs. α'!AB502</f>
        <v>0.64515232241407749</v>
      </c>
      <c r="E247" s="144">
        <v>16</v>
      </c>
      <c r="F247" s="14">
        <f t="shared" si="346"/>
        <v>0.81823130782390985</v>
      </c>
      <c r="G247" s="6">
        <f t="shared" ref="G247" si="398">$B$213+$B$7*F247^2+$B$8*(F247-F$215)^2</f>
        <v>0.10723819767026645</v>
      </c>
      <c r="H247" s="14">
        <f t="shared" si="348"/>
        <v>0.82086045180621681</v>
      </c>
      <c r="I247" s="6">
        <f t="shared" si="349"/>
        <v>0.1038088707141915</v>
      </c>
      <c r="J247" s="14">
        <f t="shared" si="350"/>
        <v>0.82524533291584279</v>
      </c>
      <c r="K247" s="6">
        <f t="shared" si="351"/>
        <v>0.10272885751135089</v>
      </c>
      <c r="L247" s="14">
        <f t="shared" si="352"/>
        <v>0.8314881969948289</v>
      </c>
      <c r="M247" s="6">
        <f t="shared" si="353"/>
        <v>0.10247134372086995</v>
      </c>
      <c r="N247" s="14">
        <f t="shared" si="354"/>
        <v>0.83972725788485292</v>
      </c>
      <c r="O247" s="6">
        <f t="shared" si="355"/>
        <v>0.10278230659633111</v>
      </c>
      <c r="P247" s="14">
        <f t="shared" si="356"/>
        <v>0.85011781788812113</v>
      </c>
      <c r="Q247" s="6">
        <f t="shared" si="357"/>
        <v>0.10403342193325645</v>
      </c>
      <c r="R247" s="14">
        <f t="shared" si="358"/>
        <v>0.8629780492681296</v>
      </c>
      <c r="S247" s="6">
        <f t="shared" si="359"/>
        <v>0.1052939668219903</v>
      </c>
      <c r="T247" s="14">
        <f t="shared" si="360"/>
        <v>0.87860655886519123</v>
      </c>
      <c r="U247" s="6">
        <f t="shared" si="361"/>
        <v>0.10705841569817547</v>
      </c>
      <c r="V247" s="14">
        <f t="shared" si="362"/>
        <v>0.8974445916779703</v>
      </c>
      <c r="W247" s="6">
        <f t="shared" si="363"/>
        <v>0.10939045103080057</v>
      </c>
      <c r="X247" s="14">
        <f t="shared" si="364"/>
        <v>0.9200812366084673</v>
      </c>
      <c r="Y247" s="6">
        <f t="shared" si="365"/>
        <v>0.11239302713949977</v>
      </c>
      <c r="Z247" s="14">
        <f t="shared" si="366"/>
        <v>0.94731333017348385</v>
      </c>
      <c r="AA247" s="6">
        <f t="shared" si="367"/>
        <v>0.11622035221469985</v>
      </c>
      <c r="AB247" s="14">
        <f t="shared" si="368"/>
        <v>0.98023911514678153</v>
      </c>
      <c r="AC247" s="6">
        <f t="shared" si="369"/>
        <v>0.12110055517991812</v>
      </c>
      <c r="AD247" s="14">
        <f t="shared" si="370"/>
        <v>1.0204222471939586</v>
      </c>
      <c r="AE247" s="6">
        <f t="shared" si="371"/>
        <v>0.12783350274046515</v>
      </c>
      <c r="AF247" s="14">
        <f t="shared" si="372"/>
        <v>1.0701222210398673</v>
      </c>
      <c r="AG247" s="6">
        <f t="shared" si="373"/>
        <v>0.1360328342111044</v>
      </c>
      <c r="AH247" s="14">
        <f t="shared" si="374"/>
        <v>1.1327599516972715</v>
      </c>
      <c r="AI247" s="6">
        <f t="shared" ref="AI247" si="399">$B$240+$B$7*AH247^2+$B$8*(AH247-AH$239)^2</f>
        <v>0.15043533212064711</v>
      </c>
      <c r="AJ247" s="14">
        <f t="shared" si="376"/>
        <v>1.2137502704036736</v>
      </c>
      <c r="AK247">
        <f t="shared" si="342"/>
        <v>0.191379595717037</v>
      </c>
      <c r="AL247" s="14">
        <f t="shared" si="377"/>
        <v>1.3223563428897893</v>
      </c>
      <c r="AM247">
        <f t="shared" si="343"/>
        <v>0.21942762938613491</v>
      </c>
      <c r="AN247" s="14">
        <f t="shared" si="378"/>
        <v>1.4730516451889739</v>
      </c>
      <c r="AO247">
        <f t="shared" si="344"/>
        <v>0.26175464451221003</v>
      </c>
      <c r="AP247" s="14">
        <f t="shared" si="379"/>
        <v>1.6753689016152937</v>
      </c>
      <c r="AQ247">
        <f t="shared" si="345"/>
        <v>0.32585328097472777</v>
      </c>
    </row>
    <row r="248" spans="1:43" x14ac:dyDescent="0.25">
      <c r="A248" s="129">
        <v>0.6</v>
      </c>
      <c r="B248" s="275">
        <f>'Sub C_D_0'!AZ232</f>
        <v>4.3171790222464319E-2</v>
      </c>
      <c r="C248" s="275">
        <f>'C_L vs. α'!X503</f>
        <v>0.15216609475301043</v>
      </c>
      <c r="D248" s="247">
        <f>'C_L vs. α'!AB503</f>
        <v>0.66815476260936835</v>
      </c>
    </row>
    <row r="249" spans="1:43" x14ac:dyDescent="0.25">
      <c r="A249" s="139">
        <v>0.65</v>
      </c>
      <c r="B249" s="275">
        <f>'Sub C_D_0'!AZ233</f>
        <v>4.338865242065218E-2</v>
      </c>
      <c r="C249" s="275">
        <f>'C_L vs. α'!X504</f>
        <v>0.16425425612326591</v>
      </c>
      <c r="D249" s="247">
        <f>'C_L vs. α'!AB504</f>
        <v>0.69616430046180855</v>
      </c>
    </row>
    <row r="250" spans="1:43" x14ac:dyDescent="0.25">
      <c r="A250" s="129">
        <v>0.7</v>
      </c>
      <c r="B250" s="275">
        <f>'Sub C_D_0'!AZ234</f>
        <v>4.3166324708000227E-2</v>
      </c>
      <c r="C250" s="275">
        <f>'C_L vs. α'!X505</f>
        <v>0.17951981669565989</v>
      </c>
      <c r="D250" s="247">
        <f>'C_L vs. α'!AB505</f>
        <v>0.73073273471171618</v>
      </c>
    </row>
    <row r="251" spans="1:43" x14ac:dyDescent="0.25">
      <c r="A251" s="139">
        <v>0.75</v>
      </c>
      <c r="B251" s="275">
        <f>'Sub C_D_0'!AZ235</f>
        <v>4.2962248862743198E-2</v>
      </c>
      <c r="C251" s="275">
        <f>'C_L vs. α'!X506</f>
        <v>0.19908175256385252</v>
      </c>
      <c r="D251" s="247">
        <f>'C_L vs. α'!AB506</f>
        <v>0.7742205053262986</v>
      </c>
    </row>
    <row r="252" spans="1:43" x14ac:dyDescent="0.25">
      <c r="A252" s="129">
        <v>0.8</v>
      </c>
      <c r="B252" s="275">
        <f>'Sub C_D_0'!AZ236</f>
        <v>4.2773841595531194E-2</v>
      </c>
      <c r="C252" s="275">
        <f>'C_L vs. α'!X507</f>
        <v>0.22448553128454779</v>
      </c>
      <c r="D252" s="247">
        <f>'C_L vs. α'!AB507</f>
        <v>0.83041164474938745</v>
      </c>
    </row>
    <row r="253" spans="1:43" x14ac:dyDescent="0.25">
      <c r="A253" s="139">
        <v>0.85</v>
      </c>
      <c r="B253" s="275">
        <f>'Sub C_D_0'!AZ237</f>
        <v>4.3037632704751097E-2</v>
      </c>
      <c r="C253" s="275">
        <f>'C_L vs. α'!X508</f>
        <v>0.25823364087638484</v>
      </c>
      <c r="D253" s="247">
        <f>'C_L vs. α'!AB508</f>
        <v>0.90578940361991822</v>
      </c>
    </row>
    <row r="254" spans="1:43" x14ac:dyDescent="0.25">
      <c r="A254" s="129">
        <v>0.9</v>
      </c>
      <c r="B254" s="275">
        <f>'Sub C_D_0'!AZ238</f>
        <v>4.2871210544583614E-2</v>
      </c>
      <c r="C254" s="275">
        <f>'C_L vs. α'!X509</f>
        <v>0.29580004617636996</v>
      </c>
      <c r="D254" s="247">
        <f>'C_L vs. α'!AB509</f>
        <v>1.012370337747668</v>
      </c>
    </row>
    <row r="255" spans="1:43" x14ac:dyDescent="0.25">
      <c r="A255" s="139">
        <v>0.95</v>
      </c>
      <c r="B255" s="275">
        <f>'Sub C_D_0'!AZ239</f>
        <v>4.2715485616721831E-2</v>
      </c>
      <c r="C255" s="275">
        <f>'C_L vs. α'!X510</f>
        <v>0.26647948485822331</v>
      </c>
      <c r="D255" s="247">
        <f>'C_L vs. α'!AB510</f>
        <v>1.1728890272208958</v>
      </c>
    </row>
    <row r="257" spans="1:43" x14ac:dyDescent="0.25">
      <c r="A257" s="122" t="s">
        <v>537</v>
      </c>
      <c r="B257" s="267" t="s">
        <v>294</v>
      </c>
    </row>
    <row r="258" spans="1:43" x14ac:dyDescent="0.25">
      <c r="A258" s="122" t="s">
        <v>202</v>
      </c>
      <c r="B258" s="274">
        <v>45000</v>
      </c>
      <c r="C258" s="267" t="s">
        <v>538</v>
      </c>
      <c r="D258" s="122" t="s">
        <v>539</v>
      </c>
      <c r="F258" s="1" t="s">
        <v>536</v>
      </c>
      <c r="G258" s="140">
        <v>0.05</v>
      </c>
      <c r="H258" s="1" t="s">
        <v>536</v>
      </c>
      <c r="I258" s="140">
        <v>0.1</v>
      </c>
      <c r="J258" s="1" t="s">
        <v>536</v>
      </c>
      <c r="K258" s="140">
        <v>0.15</v>
      </c>
      <c r="L258" s="1" t="s">
        <v>536</v>
      </c>
      <c r="M258" s="140">
        <v>0.2</v>
      </c>
      <c r="N258" t="s">
        <v>536</v>
      </c>
      <c r="O258" s="141">
        <v>0.25</v>
      </c>
      <c r="P258" t="s">
        <v>536</v>
      </c>
      <c r="Q258" s="141">
        <v>0.3</v>
      </c>
      <c r="R258" t="s">
        <v>536</v>
      </c>
      <c r="S258" s="141">
        <v>0.35</v>
      </c>
      <c r="T258" t="s">
        <v>536</v>
      </c>
      <c r="U258" s="141">
        <v>0.4</v>
      </c>
      <c r="V258" t="s">
        <v>536</v>
      </c>
      <c r="W258" s="141">
        <v>0.45</v>
      </c>
      <c r="X258" t="s">
        <v>536</v>
      </c>
      <c r="Y258" s="141">
        <v>0.5</v>
      </c>
      <c r="Z258" t="s">
        <v>536</v>
      </c>
      <c r="AA258" s="141">
        <v>0.55000000000000004</v>
      </c>
      <c r="AB258" t="s">
        <v>536</v>
      </c>
      <c r="AC258" s="141">
        <v>0.6</v>
      </c>
      <c r="AD258" t="s">
        <v>536</v>
      </c>
      <c r="AE258" s="141">
        <v>0.65</v>
      </c>
      <c r="AF258" t="s">
        <v>536</v>
      </c>
      <c r="AG258" s="141">
        <v>0.7</v>
      </c>
      <c r="AH258" t="s">
        <v>536</v>
      </c>
      <c r="AI258" s="141">
        <v>0.75</v>
      </c>
      <c r="AJ258" t="s">
        <v>536</v>
      </c>
      <c r="AK258" s="141">
        <v>0.8</v>
      </c>
      <c r="AL258" t="s">
        <v>536</v>
      </c>
      <c r="AM258" s="141">
        <v>0.85</v>
      </c>
      <c r="AN258" t="s">
        <v>536</v>
      </c>
      <c r="AO258" s="141">
        <v>0.9</v>
      </c>
      <c r="AP258" t="s">
        <v>536</v>
      </c>
      <c r="AQ258" s="141">
        <v>0.95</v>
      </c>
    </row>
    <row r="259" spans="1:43" x14ac:dyDescent="0.25">
      <c r="A259" s="121" t="s">
        <v>182</v>
      </c>
      <c r="B259" s="269" t="s">
        <v>534</v>
      </c>
      <c r="C259" s="269" t="s">
        <v>535</v>
      </c>
      <c r="D259" s="248" t="s">
        <v>1126</v>
      </c>
      <c r="E259" s="121" t="s">
        <v>421</v>
      </c>
      <c r="F259" s="14" t="s">
        <v>244</v>
      </c>
      <c r="G259" s="6" t="s">
        <v>245</v>
      </c>
      <c r="H259" s="14" t="s">
        <v>244</v>
      </c>
      <c r="I259" s="6" t="s">
        <v>245</v>
      </c>
      <c r="J259" s="14" t="s">
        <v>244</v>
      </c>
      <c r="K259" s="6" t="s">
        <v>245</v>
      </c>
      <c r="L259" s="14" t="s">
        <v>244</v>
      </c>
      <c r="M259" s="6" t="s">
        <v>245</v>
      </c>
      <c r="N259" t="s">
        <v>244</v>
      </c>
      <c r="O259" t="s">
        <v>245</v>
      </c>
      <c r="P259" t="s">
        <v>244</v>
      </c>
      <c r="Q259" t="s">
        <v>245</v>
      </c>
      <c r="R259" t="s">
        <v>244</v>
      </c>
      <c r="S259" t="s">
        <v>245</v>
      </c>
      <c r="T259" t="s">
        <v>244</v>
      </c>
      <c r="U259" t="s">
        <v>245</v>
      </c>
      <c r="V259" t="s">
        <v>244</v>
      </c>
      <c r="W259" t="s">
        <v>245</v>
      </c>
      <c r="X259" t="s">
        <v>244</v>
      </c>
      <c r="Y259" t="s">
        <v>245</v>
      </c>
      <c r="Z259" t="s">
        <v>244</v>
      </c>
      <c r="AA259" t="s">
        <v>245</v>
      </c>
      <c r="AB259" t="s">
        <v>244</v>
      </c>
      <c r="AC259" t="s">
        <v>245</v>
      </c>
      <c r="AD259" t="s">
        <v>244</v>
      </c>
      <c r="AE259" t="s">
        <v>245</v>
      </c>
      <c r="AF259" t="s">
        <v>244</v>
      </c>
      <c r="AG259" t="s">
        <v>245</v>
      </c>
      <c r="AH259" t="s">
        <v>244</v>
      </c>
      <c r="AI259" t="s">
        <v>245</v>
      </c>
      <c r="AJ259" t="s">
        <v>244</v>
      </c>
      <c r="AK259" t="s">
        <v>245</v>
      </c>
      <c r="AL259" t="s">
        <v>244</v>
      </c>
      <c r="AM259" t="s">
        <v>245</v>
      </c>
      <c r="AN259" t="s">
        <v>244</v>
      </c>
      <c r="AO259" t="s">
        <v>245</v>
      </c>
      <c r="AP259" t="s">
        <v>244</v>
      </c>
      <c r="AQ259" t="s">
        <v>245</v>
      </c>
    </row>
    <row r="260" spans="1:43" x14ac:dyDescent="0.25">
      <c r="A260" s="129">
        <v>0</v>
      </c>
      <c r="B260" s="270" t="e">
        <f>'Sub C_D_0'!AZ250</f>
        <v>#DIV/0!</v>
      </c>
      <c r="C260" s="270" t="e">
        <f>'C_L vs. α'!X516</f>
        <v>#NUM!</v>
      </c>
      <c r="D260" s="247">
        <f>'C_L vs. α'!AB516</f>
        <v>0.55396232552297364</v>
      </c>
      <c r="E260" s="144">
        <v>-6</v>
      </c>
      <c r="F260" s="14">
        <f>$D$19+$C$19*(RADIANS(E260-$B$12))+$E$10*RADIANS(E260)^2</f>
        <v>0.72384986989391042</v>
      </c>
      <c r="G260" s="6">
        <f>$B$261+$B$7*F260^2+$B$8*(F260-F$263)^2</f>
        <v>9.3791909528166933E-2</v>
      </c>
      <c r="H260" s="14">
        <f>$D$20+$C$20*(RADIANS(E260-$B$12))+$E$10*RADIANS(E260)^2</f>
        <v>0.72615267857249299</v>
      </c>
      <c r="I260" s="6">
        <f>$B$262+$B$7*H260^2+$B$8*(H260-H$263)^2</f>
        <v>9.0979380793670128E-2</v>
      </c>
      <c r="J260" s="14">
        <f>$D$21+$C$21*(RADIANS(E260-$B$12))+$E$10*RADIANS(E260)^2</f>
        <v>0.73005768065640497</v>
      </c>
      <c r="K260" s="6">
        <f>$B$263+$B$7*J260^2+$B$8*(J260-J$263)^2</f>
        <v>8.9842620065729795E-2</v>
      </c>
      <c r="L260" s="14">
        <f>$D$22+$C$22*(RADIANS(E260-$B$12))+$E$10*RADIANS(E260)^2</f>
        <v>0.73564057725707677</v>
      </c>
      <c r="M260" s="6">
        <f>$B$264+$B$7*L260^2+$B$8*(L260-L$263)^2</f>
        <v>8.9452750339071394E-2</v>
      </c>
      <c r="N260" s="14">
        <f>$D$23+$C$23*(RADIANS(E260-$B$12))+$E$10*RADIANS(E260)^2</f>
        <v>0.74301721518081665</v>
      </c>
      <c r="O260" s="6">
        <f>$B$265+$B$7*N260^2+$B$8*(N260-N$263)^2</f>
        <v>8.9561869366782274E-2</v>
      </c>
      <c r="P260" s="14">
        <f>$D$24+$C$24*(RADIANS(E260-$B$12))+$E$10*RADIANS(E260)^2</f>
        <v>0.75235870544974559</v>
      </c>
      <c r="Q260" s="6">
        <f>$B$266+$B$7*P260^2+$B$8*(P260-P$263)^2</f>
        <v>9.0531726368059118E-2</v>
      </c>
      <c r="R260" s="14">
        <f>$D$25+$C$25*(RADIANS(E260-$B$12))+$E$10*RADIANS(E260)^2</f>
        <v>0.76386273862890797</v>
      </c>
      <c r="S260" s="6">
        <f>$B$267+$B$7*R260^2+$B$8*(R260-R$263)^2</f>
        <v>9.1437885655925963E-2</v>
      </c>
      <c r="T260" s="14">
        <f>$D$26+$C$26*(RADIANS(E260-$B$12))+$E$10*RADIANS(E260)^2</f>
        <v>0.77782799896350252</v>
      </c>
      <c r="U260" s="6">
        <f>$B$268+$B$7*T260^2+$B$8*(T260-T$263)^2</f>
        <v>9.2754719880925762E-2</v>
      </c>
      <c r="V260" s="14">
        <f>$D$27+$C$27*(RADIANS(E260-$B$12))+$E$10*RADIANS(E260)^2</f>
        <v>0.79463692068439673</v>
      </c>
      <c r="W260" s="6">
        <f>$B$269+$B$7*V260^2+$B$8*(V260-V$263)^2</f>
        <v>9.4527402636729194E-2</v>
      </c>
      <c r="X260" s="14">
        <f>$D$28+$C$28*(RADIANS(E260-$B$12))+$E$10*RADIANS(E260)^2</f>
        <v>0.81479951905945946</v>
      </c>
      <c r="Y260" s="6">
        <f>$B$270+$B$7*X260^2+$B$8*(X260-X$263)^2</f>
        <v>9.6832619532015593E-2</v>
      </c>
      <c r="Z260" s="14">
        <f>$D$29+$C$29*(RADIANS(E260-$B$12))+$E$10*RADIANS(E260)^2</f>
        <v>0.83900486658850959</v>
      </c>
      <c r="AA260" s="6">
        <f>$B$271+$B$7*Z260^2+$B$8*(Z260-Z$263)^2</f>
        <v>9.978712739340298E-2</v>
      </c>
      <c r="AB260" s="14">
        <f>$D$30+$C$30*(RADIANS(E260-$B$12))+$E$10*RADIANS(E260)^2</f>
        <v>0.86820197098329788</v>
      </c>
      <c r="AC260" s="6">
        <f>$B$272+$B$7*AB260^2+$B$8*(AB260-AB$263)^2</f>
        <v>0.10356473654087341</v>
      </c>
      <c r="AD260" s="14">
        <f>$D$31+$C$31*(RADIANS(E260-$B$12))+$E$10*RADIANS(E260)^2</f>
        <v>0.90372808790113346</v>
      </c>
      <c r="AE260" s="6">
        <f>$B$273+$B$7*AD260^2+$B$8*(AD260-AD$263)^2</f>
        <v>0.1088696769637891</v>
      </c>
      <c r="AF260" s="14">
        <f>$D$32+$C$32*(RADIANS(E260-$B$12))+$E$10*RADIANS(E260)^2</f>
        <v>0.94754167452993099</v>
      </c>
      <c r="AG260" s="6">
        <f>$B$274+$B$7*AF260^2+$B$8*(AF260-AF$263)^2</f>
        <v>0.11521593589975435</v>
      </c>
      <c r="AH260" s="14">
        <f>$D$33+$C$33*(RADIANS(E260-$B$12))+$E$10*RADIANS(E260)^2</f>
        <v>1.0026264448366058</v>
      </c>
      <c r="AI260" s="6">
        <f>$B$275+$B$7*AH260^2+$B$8*(AH260-AH$263)^2</f>
        <v>0.12370814402565666</v>
      </c>
      <c r="AJ260" s="14">
        <f>$D$34+$C$34*(RADIANS(E260-$B$12))+$E$10*RADIANS(E260)^2</f>
        <v>1.0737859735044064</v>
      </c>
      <c r="AK260">
        <f t="shared" ref="AK260:AK271" si="400">$B$276+$B$9*AJ260^2</f>
        <v>0.15853368811457447</v>
      </c>
      <c r="AL260" s="14">
        <f>$D$35+$C$35*(RADIANS(E260-$B$12))+$E$10*RADIANS(E260)^2</f>
        <v>1.1692544763857668</v>
      </c>
      <c r="AM260">
        <f t="shared" ref="AM260:AM271" si="401">$B$277+$B$9*AL260^2</f>
        <v>0.18039334273639407</v>
      </c>
      <c r="AN260" s="14">
        <f>$D$36+$C$36*(RADIANS(E260-$B$12))+$E$10*RADIANS(E260)^2</f>
        <v>1.3050867031236932</v>
      </c>
      <c r="AO260">
        <f t="shared" ref="AO260:AO271" si="402">$B$278+$B$9*AN260^2</f>
        <v>0.21413613053989994</v>
      </c>
      <c r="AP260" s="14">
        <f>$D$37+$C$37*(RADIANS(E260-$B$12))+$E$10*RADIANS(E260)^2</f>
        <v>1.5169073045706536</v>
      </c>
      <c r="AQ260">
        <f t="shared" ref="AQ260:AQ271" si="403">$B$279+$B$9*AP260^2</f>
        <v>0.27428387761064238</v>
      </c>
    </row>
    <row r="261" spans="1:43" x14ac:dyDescent="0.25">
      <c r="A261" s="139">
        <v>0.05</v>
      </c>
      <c r="B261" s="275">
        <f>'Sub C_D_0'!AZ251</f>
        <v>5.1417448299829749E-2</v>
      </c>
      <c r="C261" s="275">
        <f>'C_L vs. α'!X517</f>
        <v>0.10633226209403525</v>
      </c>
      <c r="D261" s="247">
        <f>'C_L vs. α'!AB517</f>
        <v>0.55456498931698928</v>
      </c>
      <c r="E261" s="144">
        <v>-4</v>
      </c>
      <c r="F261" s="14">
        <f t="shared" ref="F261:F271" si="404">$D$19+$C$19*(RADIANS(E261-$B$12))+$E$10*RADIANS(E261)^2</f>
        <v>0.72268224318164487</v>
      </c>
      <c r="G261" s="6">
        <f t="shared" ref="G261:G271" si="405">$B$261+$B$7*F261^2+$B$8*(F261-F$263)^2</f>
        <v>9.365545029826601E-2</v>
      </c>
      <c r="H261" s="14">
        <f t="shared" ref="H261:H271" si="406">$D$20+$C$20*(RADIANS(E261-$B$12))+$E$10*RADIANS(E261)^2</f>
        <v>0.72501471870602052</v>
      </c>
      <c r="I261" s="6">
        <f t="shared" ref="I261:I271" si="407">$B$262+$B$7*H261^2+$B$8*(H261-H$263)^2</f>
        <v>9.0845965482148891E-2</v>
      </c>
      <c r="J261" s="14">
        <f t="shared" ref="J261:J271" si="408">$D$21+$C$21*(RADIANS(E261-$B$12))+$E$10*RADIANS(E261)^2</f>
        <v>0.72896334615590652</v>
      </c>
      <c r="K261" s="6">
        <f t="shared" ref="K261:K271" si="409">$B$263+$B$7*J261^2+$B$8*(J261-J$263)^2</f>
        <v>8.9713629133740688E-2</v>
      </c>
      <c r="L261" s="14">
        <f t="shared" ref="L261:L271" si="410">$D$22+$C$22*(RADIANS(E261-$B$12))+$E$10*RADIANS(E261)^2</f>
        <v>0.73460623980006134</v>
      </c>
      <c r="M261" s="6">
        <f t="shared" ref="M261:M271" si="411">$B$264+$B$7*L261^2+$B$8*(L261-L$263)^2</f>
        <v>8.9329898516385647E-2</v>
      </c>
      <c r="N261" s="14">
        <f t="shared" ref="N261:N271" si="412">$D$23+$C$23*(RADIANS(E261-$B$12))+$E$10*RADIANS(E261)^2</f>
        <v>0.74206127981164527</v>
      </c>
      <c r="O261" s="6">
        <f t="shared" ref="O261:O271" si="413">$B$265+$B$7*N261^2+$B$8*(N261-N$263)^2</f>
        <v>8.9447190490706319E-2</v>
      </c>
      <c r="P261" s="14">
        <f t="shared" ref="P261:P271" si="414">$D$24+$C$24*(RADIANS(E261-$B$12))+$E$10*RADIANS(E261)^2</f>
        <v>0.75149814005642324</v>
      </c>
      <c r="Q261" s="6">
        <f t="shared" ref="Q261:Q271" si="415">$B$266+$B$7*P261^2+$B$8*(P261-P$263)^2</f>
        <v>9.04271898521673E-2</v>
      </c>
      <c r="R261" s="14">
        <f t="shared" ref="R261:R271" si="416">$D$25+$C$25*(RADIANS(E261-$B$12))+$E$10*RADIANS(E261)^2</f>
        <v>0.76312546398111714</v>
      </c>
      <c r="S261" s="6">
        <f t="shared" ref="S261:S271" si="417">$B$267+$B$7*R261^2+$B$8*(R261-R$263)^2</f>
        <v>9.1346955648654152E-2</v>
      </c>
      <c r="T261" s="14">
        <f t="shared" ref="T261:T271" si="418">$D$26+$C$26*(RADIANS(E261-$B$12))+$E$10*RADIANS(E261)^2</f>
        <v>0.7772419287941178</v>
      </c>
      <c r="U261" s="6">
        <f t="shared" ref="U261:U271" si="419">$B$268+$B$7*T261^2+$B$8*(T261-T$263)^2</f>
        <v>9.2681116174093137E-2</v>
      </c>
      <c r="V261" s="14">
        <f t="shared" ref="V261:V271" si="420">$D$27+$C$27*(RADIANS(E261-$B$12))+$E$10*RADIANS(E261)^2</f>
        <v>0.79423531515972878</v>
      </c>
      <c r="W261" s="6">
        <f t="shared" ref="W261:W271" si="421">$B$269+$B$7*V261^2+$B$8*(V261-V$263)^2</f>
        <v>9.4475875113658972E-2</v>
      </c>
      <c r="X261" s="14">
        <f t="shared" ref="X261:X271" si="422">$D$28+$C$28*(RADIANS(E261-$B$12))+$E$10*RADIANS(E261)^2</f>
        <v>0.81462282685801291</v>
      </c>
      <c r="Y261" s="6">
        <f t="shared" ref="Y261:Y271" si="423">$B$270+$B$7*X261^2+$B$8*(X261-X$263)^2</f>
        <v>9.6809373772245993E-2</v>
      </c>
      <c r="Z261" s="14">
        <f t="shared" ref="Z261:Z271" si="424">$D$29+$C$29*(RADIANS(E261-$B$12))+$E$10*RADIANS(E261)^2</f>
        <v>0.83910333311760532</v>
      </c>
      <c r="AA261" s="6">
        <f t="shared" ref="AA261:AA271" si="425">$B$271+$B$7*Z261^2+$B$8*(Z261-Z$263)^2</f>
        <v>9.9800466716611552E-2</v>
      </c>
      <c r="AB261" s="14">
        <f t="shared" ref="AB261:AB271" si="426">$D$30+$C$30*(RADIANS(E261-$B$12))+$E$10*RADIANS(E261)^2</f>
        <v>0.86863940847407639</v>
      </c>
      <c r="AC261" s="6">
        <f t="shared" ref="AC261:AC271" si="427">$B$272+$B$7*AB261^2+$B$8*(AB261-AB$263)^2</f>
        <v>0.10362605945637034</v>
      </c>
      <c r="AD261" s="14">
        <f t="shared" ref="AD261:AD271" si="428">$D$31+$C$31*(RADIANS(E261-$B$12))+$E$10*RADIANS(E261)^2</f>
        <v>0.90458889040367019</v>
      </c>
      <c r="AE261" s="6">
        <f t="shared" ref="AE261:AE271" si="429">$B$273+$B$7*AD261^2+$B$8*(AD261-AD$263)^2</f>
        <v>0.10899528942830265</v>
      </c>
      <c r="AF261" s="14">
        <f t="shared" ref="AF261:AF271" si="430">$D$32+$C$32*(RADIANS(E261-$B$12))+$E$10*RADIANS(E261)^2</f>
        <v>0.94893760314311415</v>
      </c>
      <c r="AG261" s="6">
        <f t="shared" ref="AG261:AG271" si="431">$B$274+$B$7*AF261^2+$B$8*(AF261-AF$263)^2</f>
        <v>0.11542951481288098</v>
      </c>
      <c r="AH261" s="14">
        <f t="shared" ref="AH261:AH271" si="432">$D$33+$C$33*(RADIANS(E261-$B$12))+$E$10*RADIANS(E261)^2</f>
        <v>1.0047090062089461</v>
      </c>
      <c r="AI261" s="6">
        <f t="shared" ref="AI261:AI271" si="433">$B$275+$B$7*AH261^2+$B$8*(AH261-AH$263)^2</f>
        <v>0.12404530649368115</v>
      </c>
      <c r="AJ261" s="14">
        <f t="shared" ref="AJ261:AJ271" si="434">$D$34+$C$34*(RADIANS(E261-$B$12))+$E$10*RADIANS(E261)^2</f>
        <v>1.076762243062074</v>
      </c>
      <c r="AK261">
        <f t="shared" si="400"/>
        <v>0.15917933995453298</v>
      </c>
      <c r="AL261" s="14">
        <f t="shared" ref="AL261:AL271" si="435">$D$35+$C$35*(RADIANS(E261-$B$12))+$E$10*RADIANS(E261)^2</f>
        <v>1.1734250704529579</v>
      </c>
      <c r="AM261">
        <f t="shared" si="401"/>
        <v>0.18137891336762829</v>
      </c>
      <c r="AN261" s="14">
        <f t="shared" ref="AN261:AN271" si="436">$D$36+$C$36*(RADIANS(E261-$B$12))+$E$10*RADIANS(E261)^2</f>
        <v>1.3106084858782712</v>
      </c>
      <c r="AO261">
        <f t="shared" si="402"/>
        <v>0.21559307634126026</v>
      </c>
      <c r="AP261" s="14">
        <f t="shared" ref="AP261:AP271" si="437">$D$37+$C$37*(RADIANS(E261-$B$12))+$E$10*RADIANS(E261)^2</f>
        <v>1.5215651468688098</v>
      </c>
      <c r="AQ261">
        <f t="shared" si="403"/>
        <v>0.27571151209635647</v>
      </c>
    </row>
    <row r="262" spans="1:43" x14ac:dyDescent="0.25">
      <c r="A262" s="129">
        <v>0.1</v>
      </c>
      <c r="B262" s="275">
        <f>'Sub C_D_0'!AZ252</f>
        <v>4.8334868205705143E-2</v>
      </c>
      <c r="C262" s="275">
        <f>'C_L vs. α'!X518</f>
        <v>0.10717969289227106</v>
      </c>
      <c r="D262" s="247">
        <f>'C_L vs. α'!AB518</f>
        <v>0.55638482940940404</v>
      </c>
      <c r="E262" s="144">
        <v>-2</v>
      </c>
      <c r="F262" s="14">
        <f t="shared" si="404"/>
        <v>0.7234641679560142</v>
      </c>
      <c r="G262" s="6">
        <f t="shared" si="405"/>
        <v>9.3746802551003566E-2</v>
      </c>
      <c r="H262" s="14">
        <f t="shared" si="406"/>
        <v>0.72582631032618294</v>
      </c>
      <c r="I262" s="6">
        <f t="shared" si="407"/>
        <v>9.0941090404141056E-2</v>
      </c>
      <c r="J262" s="14">
        <f t="shared" si="408"/>
        <v>0.72981856314204296</v>
      </c>
      <c r="K262" s="6">
        <f t="shared" si="409"/>
        <v>8.9814414279161009E-2</v>
      </c>
      <c r="L262" s="14">
        <f t="shared" si="410"/>
        <v>0.73552145382968093</v>
      </c>
      <c r="M262" s="6">
        <f t="shared" si="411"/>
        <v>8.9438590641691185E-2</v>
      </c>
      <c r="N262" s="14">
        <f t="shared" si="412"/>
        <v>0.74305489592910889</v>
      </c>
      <c r="O262" s="6">
        <f t="shared" si="413"/>
        <v>8.9566393518002191E-2</v>
      </c>
      <c r="P262" s="14">
        <f t="shared" si="414"/>
        <v>0.75258712614973589</v>
      </c>
      <c r="Q262" s="6">
        <f t="shared" si="415"/>
        <v>9.0559498687978066E-2</v>
      </c>
      <c r="R262" s="14">
        <f t="shared" si="416"/>
        <v>0.7643377408199612</v>
      </c>
      <c r="S262" s="6">
        <f t="shared" si="417"/>
        <v>9.1496527002725259E-2</v>
      </c>
      <c r="T262" s="14">
        <f t="shared" si="418"/>
        <v>0.77860541011136797</v>
      </c>
      <c r="U262" s="6">
        <f t="shared" si="419"/>
        <v>9.2852460749547089E-2</v>
      </c>
      <c r="V262" s="14">
        <f t="shared" si="420"/>
        <v>0.79578326112169573</v>
      </c>
      <c r="W262" s="6">
        <f t="shared" si="421"/>
        <v>9.4674661491452289E-2</v>
      </c>
      <c r="X262" s="14">
        <f t="shared" si="422"/>
        <v>0.81639568614320113</v>
      </c>
      <c r="Y262" s="6">
        <f t="shared" si="423"/>
        <v>9.7042897931454181E-2</v>
      </c>
      <c r="Z262" s="14">
        <f t="shared" si="424"/>
        <v>0.84115135113333594</v>
      </c>
      <c r="AA262" s="6">
        <f t="shared" si="425"/>
        <v>0.10007835646109267</v>
      </c>
      <c r="AB262" s="14">
        <f t="shared" si="426"/>
        <v>0.87102639745148969</v>
      </c>
      <c r="AC262" s="6">
        <f t="shared" si="427"/>
        <v>0.10396136362510548</v>
      </c>
      <c r="AD262" s="14">
        <f t="shared" si="428"/>
        <v>0.90739924439284181</v>
      </c>
      <c r="AE262" s="6">
        <f t="shared" si="429"/>
        <v>0.10940643061161827</v>
      </c>
      <c r="AF262" s="14">
        <f t="shared" si="430"/>
        <v>0.95228308324293232</v>
      </c>
      <c r="AG262" s="6">
        <f t="shared" si="431"/>
        <v>0.11594297775068399</v>
      </c>
      <c r="AH262" s="14">
        <f t="shared" si="432"/>
        <v>1.0087411190679214</v>
      </c>
      <c r="AI262" s="6">
        <f t="shared" si="433"/>
        <v>0.12470058443967316</v>
      </c>
      <c r="AJ262" s="14">
        <f t="shared" si="434"/>
        <v>1.0816880641063769</v>
      </c>
      <c r="AK262">
        <f t="shared" si="400"/>
        <v>0.16025184076983517</v>
      </c>
      <c r="AL262" s="14">
        <f t="shared" si="435"/>
        <v>1.1795452160067839</v>
      </c>
      <c r="AM262">
        <f t="shared" si="401"/>
        <v>0.1828315438072356</v>
      </c>
      <c r="AN262" s="14">
        <f t="shared" si="436"/>
        <v>1.3180798201194843</v>
      </c>
      <c r="AO262">
        <f t="shared" si="402"/>
        <v>0.217574211956297</v>
      </c>
      <c r="AP262" s="14">
        <f t="shared" si="437"/>
        <v>1.5281725406536011</v>
      </c>
      <c r="AQ262">
        <f t="shared" si="403"/>
        <v>0.27774419494983754</v>
      </c>
    </row>
    <row r="263" spans="1:43" s="99" customFormat="1" x14ac:dyDescent="0.25">
      <c r="A263" s="139">
        <v>0.15</v>
      </c>
      <c r="B263" s="275">
        <f>'Sub C_D_0'!AZ253</f>
        <v>4.6738207057473627E-2</v>
      </c>
      <c r="C263" s="275">
        <f>'C_L vs. α'!X519</f>
        <v>0.10842068391652951</v>
      </c>
      <c r="D263" s="247">
        <f>'C_L vs. α'!AB519</f>
        <v>0.55945804426909762</v>
      </c>
      <c r="E263" s="143">
        <v>0</v>
      </c>
      <c r="F263" s="14">
        <f t="shared" si="404"/>
        <v>0.72619564421701832</v>
      </c>
      <c r="G263" s="6">
        <f t="shared" si="405"/>
        <v>9.4066888917033298E-2</v>
      </c>
      <c r="H263" s="14">
        <f t="shared" si="406"/>
        <v>0.72858745343298037</v>
      </c>
      <c r="I263" s="6">
        <f t="shared" si="407"/>
        <v>9.126571319563867E-2</v>
      </c>
      <c r="J263" s="14">
        <f t="shared" si="408"/>
        <v>0.7326233316148143</v>
      </c>
      <c r="K263" s="6">
        <f t="shared" si="409"/>
        <v>9.0145984613650698E-2</v>
      </c>
      <c r="L263" s="14">
        <f t="shared" si="410"/>
        <v>0.7383862193459354</v>
      </c>
      <c r="M263" s="6">
        <f t="shared" si="411"/>
        <v>8.9779906620045508E-2</v>
      </c>
      <c r="N263" s="14">
        <f t="shared" si="412"/>
        <v>0.7459980635332073</v>
      </c>
      <c r="O263" s="6">
        <f t="shared" si="413"/>
        <v>8.9920650864122154E-2</v>
      </c>
      <c r="P263" s="14">
        <f t="shared" si="414"/>
        <v>0.75562566372968332</v>
      </c>
      <c r="Q263" s="6">
        <f t="shared" si="415"/>
        <v>9.0929937822565685E-2</v>
      </c>
      <c r="R263" s="14">
        <f t="shared" si="416"/>
        <v>0.76749956914544015</v>
      </c>
      <c r="S263" s="6">
        <f t="shared" si="417"/>
        <v>9.1888030141894839E-2</v>
      </c>
      <c r="T263" s="14">
        <f t="shared" si="418"/>
        <v>0.78191844291525292</v>
      </c>
      <c r="U263" s="6">
        <f t="shared" si="419"/>
        <v>9.3270362444480448E-2</v>
      </c>
      <c r="V263" s="14">
        <f t="shared" si="420"/>
        <v>0.79928075857029757</v>
      </c>
      <c r="W263" s="6">
        <f t="shared" si="421"/>
        <v>9.5125588266009503E-2</v>
      </c>
      <c r="X263" s="14">
        <f t="shared" si="422"/>
        <v>0.82011809691502424</v>
      </c>
      <c r="Y263" s="6">
        <f t="shared" si="423"/>
        <v>9.7535283891589414E-2</v>
      </c>
      <c r="Z263" s="14">
        <f t="shared" si="424"/>
        <v>0.84514892063570157</v>
      </c>
      <c r="AA263" s="6">
        <f t="shared" si="425"/>
        <v>0.10062321318181762</v>
      </c>
      <c r="AB263" s="14">
        <f t="shared" si="426"/>
        <v>0.87536293791553788</v>
      </c>
      <c r="AC263" s="6">
        <f t="shared" si="427"/>
        <v>0.10457346557019308</v>
      </c>
      <c r="AD263" s="14">
        <f t="shared" si="428"/>
        <v>0.91215914986864843</v>
      </c>
      <c r="AE263" s="6">
        <f t="shared" si="429"/>
        <v>0.11010641658559242</v>
      </c>
      <c r="AF263" s="14">
        <f t="shared" si="430"/>
        <v>0.95757811482938526</v>
      </c>
      <c r="AG263" s="6">
        <f t="shared" si="431"/>
        <v>0.11676027220605853</v>
      </c>
      <c r="AH263" s="14">
        <f t="shared" si="432"/>
        <v>1.0147227834135317</v>
      </c>
      <c r="AI263" s="6">
        <f t="shared" si="433"/>
        <v>0.1256787355475491</v>
      </c>
      <c r="AJ263" s="14">
        <f t="shared" si="434"/>
        <v>1.0885634366373145</v>
      </c>
      <c r="AK263" s="99">
        <f t="shared" si="400"/>
        <v>0.16175700277367461</v>
      </c>
      <c r="AL263" s="14">
        <f t="shared" si="435"/>
        <v>1.1876149130472446</v>
      </c>
      <c r="AM263" s="99">
        <f t="shared" si="401"/>
        <v>0.1847584555093483</v>
      </c>
      <c r="AN263" s="14">
        <f t="shared" si="436"/>
        <v>1.3275007058473323</v>
      </c>
      <c r="AO263" s="99">
        <f t="shared" si="402"/>
        <v>0.22008835317166986</v>
      </c>
      <c r="AP263" s="14">
        <f t="shared" si="437"/>
        <v>1.5367294859250271</v>
      </c>
      <c r="AQ263" s="99">
        <f t="shared" si="403"/>
        <v>0.28038972255284322</v>
      </c>
    </row>
    <row r="264" spans="1:43" x14ac:dyDescent="0.25">
      <c r="A264" s="129">
        <v>0.2</v>
      </c>
      <c r="B264" s="275">
        <f>'Sub C_D_0'!AZ254</f>
        <v>4.5686543425140579E-2</v>
      </c>
      <c r="C264" s="275">
        <f>'C_L vs. α'!X520</f>
        <v>0.1101303746094074</v>
      </c>
      <c r="D264" s="247">
        <f>'C_L vs. α'!AB520</f>
        <v>0.56384721039314389</v>
      </c>
      <c r="E264" s="144">
        <v>2</v>
      </c>
      <c r="F264" s="14">
        <f t="shared" si="404"/>
        <v>0.73087667196465755</v>
      </c>
      <c r="G264" s="6">
        <f t="shared" si="405"/>
        <v>9.4618932396586017E-2</v>
      </c>
      <c r="H264" s="14">
        <f t="shared" si="406"/>
        <v>0.73329814802641269</v>
      </c>
      <c r="I264" s="6">
        <f t="shared" si="407"/>
        <v>9.1823091862210965E-2</v>
      </c>
      <c r="J264" s="14">
        <f t="shared" si="408"/>
        <v>0.73737765157422064</v>
      </c>
      <c r="K264" s="6">
        <f t="shared" si="409"/>
        <v>9.0711649618446716E-2</v>
      </c>
      <c r="L264" s="14">
        <f t="shared" si="410"/>
        <v>0.74320053634882488</v>
      </c>
      <c r="M264" s="6">
        <f t="shared" si="411"/>
        <v>9.0357226726083192E-2</v>
      </c>
      <c r="N264" s="14">
        <f t="shared" si="412"/>
        <v>0.75089078262394082</v>
      </c>
      <c r="O264" s="6">
        <f t="shared" si="413"/>
        <v>9.0513435314095572E-2</v>
      </c>
      <c r="P264" s="14">
        <f t="shared" si="414"/>
        <v>0.76061375279626586</v>
      </c>
      <c r="Q264" s="6">
        <f t="shared" si="415"/>
        <v>9.1542092572581543E-2</v>
      </c>
      <c r="R264" s="14">
        <f t="shared" si="416"/>
        <v>0.77261094895755411</v>
      </c>
      <c r="S264" s="6">
        <f t="shared" si="417"/>
        <v>9.2525195859495438E-2</v>
      </c>
      <c r="T264" s="14">
        <f t="shared" si="418"/>
        <v>0.78718102720577299</v>
      </c>
      <c r="U264" s="6">
        <f t="shared" si="419"/>
        <v>9.393873046566327E-2</v>
      </c>
      <c r="V264" s="14">
        <f t="shared" si="420"/>
        <v>0.80472780750553441</v>
      </c>
      <c r="W264" s="6">
        <f t="shared" si="421"/>
        <v>9.5832782302808048E-2</v>
      </c>
      <c r="X264" s="14">
        <f t="shared" si="422"/>
        <v>0.82579005917348236</v>
      </c>
      <c r="Y264" s="6">
        <f t="shared" si="423"/>
        <v>9.8290923904178082E-2</v>
      </c>
      <c r="Z264" s="14">
        <f t="shared" si="424"/>
        <v>0.85109604162470209</v>
      </c>
      <c r="AA264" s="6">
        <f t="shared" si="425"/>
        <v>0.1014397538033347</v>
      </c>
      <c r="AB264" s="14">
        <f t="shared" si="426"/>
        <v>0.88164902986622107</v>
      </c>
      <c r="AC264" s="6">
        <f t="shared" si="427"/>
        <v>0.10546748218432446</v>
      </c>
      <c r="AD264" s="14">
        <f t="shared" si="428"/>
        <v>0.91886860683108995</v>
      </c>
      <c r="AE264" s="6">
        <f t="shared" si="429"/>
        <v>0.11110086379165864</v>
      </c>
      <c r="AF264" s="14">
        <f t="shared" si="430"/>
        <v>0.96482269790247333</v>
      </c>
      <c r="AG264" s="6">
        <f t="shared" si="431"/>
        <v>0.117887646041477</v>
      </c>
      <c r="AH264" s="14">
        <f t="shared" si="432"/>
        <v>1.0226539992457768</v>
      </c>
      <c r="AI264" s="6">
        <f t="shared" si="433"/>
        <v>0.12698681787080246</v>
      </c>
      <c r="AJ264" s="14">
        <f t="shared" si="434"/>
        <v>1.0973883606548871</v>
      </c>
      <c r="AK264">
        <f t="shared" si="400"/>
        <v>0.16370293854882217</v>
      </c>
      <c r="AL264" s="14">
        <f t="shared" si="435"/>
        <v>1.1976341615743404</v>
      </c>
      <c r="AM264">
        <f t="shared" si="401"/>
        <v>0.18716917029767585</v>
      </c>
      <c r="AN264" s="14">
        <f t="shared" si="436"/>
        <v>1.3388711430618152</v>
      </c>
      <c r="AO264">
        <f t="shared" si="402"/>
        <v>0.223146616143616</v>
      </c>
      <c r="AP264" s="14">
        <f t="shared" si="437"/>
        <v>1.5472359826830882</v>
      </c>
      <c r="AQ264">
        <f t="shared" si="403"/>
        <v>0.28365819165670852</v>
      </c>
    </row>
    <row r="265" spans="1:43" x14ac:dyDescent="0.25">
      <c r="A265" s="139">
        <v>0.25</v>
      </c>
      <c r="B265" s="275">
        <f>'Sub C_D_0'!AZ255</f>
        <v>4.4913506304130289E-2</v>
      </c>
      <c r="C265" s="275">
        <f>'C_L vs. α'!X521</f>
        <v>0.11236739765977473</v>
      </c>
      <c r="D265" s="247">
        <f>'C_L vs. α'!AB521</f>
        <v>0.56964491335588441</v>
      </c>
      <c r="E265" s="144">
        <v>4</v>
      </c>
      <c r="F265" s="14">
        <f t="shared" si="404"/>
        <v>0.73750725119893168</v>
      </c>
      <c r="G265" s="6">
        <f t="shared" si="405"/>
        <v>9.5408456359469554E-2</v>
      </c>
      <c r="H265" s="14">
        <f t="shared" si="406"/>
        <v>0.7399583941064799</v>
      </c>
      <c r="I265" s="6">
        <f t="shared" si="407"/>
        <v>9.2618784779004162E-2</v>
      </c>
      <c r="J265" s="14">
        <f t="shared" si="408"/>
        <v>0.74408152302026187</v>
      </c>
      <c r="K265" s="6">
        <f t="shared" si="409"/>
        <v>9.1517019144363124E-2</v>
      </c>
      <c r="L265" s="14">
        <f t="shared" si="410"/>
        <v>0.74996440483834914</v>
      </c>
      <c r="M265" s="6">
        <f t="shared" si="411"/>
        <v>9.1176231604015862E-2</v>
      </c>
      <c r="N265" s="14">
        <f t="shared" si="412"/>
        <v>0.75773305320130913</v>
      </c>
      <c r="O265" s="6">
        <f t="shared" si="413"/>
        <v>9.1350520022528858E-2</v>
      </c>
      <c r="P265" s="14">
        <f t="shared" si="414"/>
        <v>0.76755139334948319</v>
      </c>
      <c r="Q265" s="6">
        <f t="shared" si="415"/>
        <v>9.2401848624254046E-2</v>
      </c>
      <c r="R265" s="14">
        <f t="shared" si="416"/>
        <v>0.77967188025630296</v>
      </c>
      <c r="S265" s="6">
        <f t="shared" si="417"/>
        <v>9.3414055318436745E-2</v>
      </c>
      <c r="T265" s="14">
        <f t="shared" si="418"/>
        <v>0.79439316298292795</v>
      </c>
      <c r="U265" s="6">
        <f t="shared" si="419"/>
        <v>9.4863774389442546E-2</v>
      </c>
      <c r="V265" s="14">
        <f t="shared" si="420"/>
        <v>0.81212440792740614</v>
      </c>
      <c r="W265" s="6">
        <f t="shared" si="421"/>
        <v>9.6802670836902471E-2</v>
      </c>
      <c r="X265" s="14">
        <f t="shared" si="422"/>
        <v>0.83341157291857548</v>
      </c>
      <c r="Y265" s="6">
        <f t="shared" si="423"/>
        <v>9.9316510590323648E-2</v>
      </c>
      <c r="Z265" s="14">
        <f t="shared" si="424"/>
        <v>0.85899271410033751</v>
      </c>
      <c r="AA265" s="6">
        <f t="shared" si="425"/>
        <v>0.1025349956197693</v>
      </c>
      <c r="AB265" s="14">
        <f t="shared" si="426"/>
        <v>0.88988467330353926</v>
      </c>
      <c r="AC265" s="6">
        <f t="shared" si="427"/>
        <v>0.10665083072976798</v>
      </c>
      <c r="AD265" s="14">
        <f t="shared" si="428"/>
        <v>0.92752761528016636</v>
      </c>
      <c r="AE265" s="6">
        <f t="shared" si="429"/>
        <v>0.11239768904082753</v>
      </c>
      <c r="AF265" s="14">
        <f t="shared" si="430"/>
        <v>0.97401683246219617</v>
      </c>
      <c r="AG265" s="6">
        <f t="shared" si="431"/>
        <v>0.11933364748898871</v>
      </c>
      <c r="AH265" s="14">
        <f t="shared" si="432"/>
        <v>1.0325347665646569</v>
      </c>
      <c r="AI265" s="6">
        <f t="shared" si="433"/>
        <v>0.12863418983250377</v>
      </c>
      <c r="AJ265" s="14">
        <f t="shared" si="434"/>
        <v>1.1081628361590945</v>
      </c>
      <c r="AK265">
        <f t="shared" si="400"/>
        <v>0.1661000610476257</v>
      </c>
      <c r="AL265" s="14">
        <f t="shared" si="435"/>
        <v>1.2096029615880712</v>
      </c>
      <c r="AM265">
        <f t="shared" si="401"/>
        <v>0.19007551036550477</v>
      </c>
      <c r="AN265" s="14">
        <f t="shared" si="436"/>
        <v>1.3521911317629329</v>
      </c>
      <c r="AO265">
        <f t="shared" si="402"/>
        <v>0.22676241739794942</v>
      </c>
      <c r="AP265" s="14">
        <f t="shared" si="437"/>
        <v>1.5596920309277842</v>
      </c>
      <c r="AQ265">
        <f t="shared" si="403"/>
        <v>0.28756199938234556</v>
      </c>
    </row>
    <row r="266" spans="1:43" x14ac:dyDescent="0.25">
      <c r="A266" s="129">
        <v>0.3</v>
      </c>
      <c r="B266" s="275">
        <f>'Sub C_D_0'!AZ256</f>
        <v>4.4753602893757051E-2</v>
      </c>
      <c r="C266" s="275">
        <f>'C_L vs. α'!X522</f>
        <v>0.11509956629056074</v>
      </c>
      <c r="D266" s="247">
        <f>'C_L vs. α'!AB522</f>
        <v>0.57697940697139272</v>
      </c>
      <c r="E266" s="144">
        <v>6</v>
      </c>
      <c r="F266" s="14">
        <f t="shared" si="404"/>
        <v>0.74608738191984059</v>
      </c>
      <c r="G266" s="6">
        <f t="shared" si="405"/>
        <v>9.6443284545068855E-2</v>
      </c>
      <c r="H266" s="14">
        <f t="shared" si="406"/>
        <v>0.748568191673182</v>
      </c>
      <c r="I266" s="6">
        <f t="shared" si="407"/>
        <v>9.3660650690741601E-2</v>
      </c>
      <c r="J266" s="14">
        <f t="shared" si="408"/>
        <v>0.75273494595293799</v>
      </c>
      <c r="K266" s="6">
        <f t="shared" si="409"/>
        <v>9.2570003411791058E-2</v>
      </c>
      <c r="L266" s="14">
        <f t="shared" si="410"/>
        <v>0.75867782481450841</v>
      </c>
      <c r="M266" s="6">
        <f t="shared" si="411"/>
        <v>9.2244902267632323E-2</v>
      </c>
      <c r="N266" s="14">
        <f t="shared" si="412"/>
        <v>0.76652487526531243</v>
      </c>
      <c r="O266" s="6">
        <f t="shared" si="413"/>
        <v>9.2439978513605525E-2</v>
      </c>
      <c r="P266" s="14">
        <f t="shared" si="414"/>
        <v>0.77643858538933552</v>
      </c>
      <c r="Q266" s="6">
        <f t="shared" si="415"/>
        <v>9.3517392033388796E-2</v>
      </c>
      <c r="R266" s="14">
        <f t="shared" si="416"/>
        <v>0.7886823630416866</v>
      </c>
      <c r="S266" s="6">
        <f t="shared" si="417"/>
        <v>9.4562940051205538E-2</v>
      </c>
      <c r="T266" s="14">
        <f t="shared" si="418"/>
        <v>0.8035548502467178</v>
      </c>
      <c r="U266" s="6">
        <f t="shared" si="419"/>
        <v>9.605400416174241E-2</v>
      </c>
      <c r="V266" s="14">
        <f t="shared" si="420"/>
        <v>0.82147055983591277</v>
      </c>
      <c r="W266" s="6">
        <f t="shared" si="421"/>
        <v>9.8043981472924382E-2</v>
      </c>
      <c r="X266" s="14">
        <f t="shared" si="422"/>
        <v>0.84298263815030339</v>
      </c>
      <c r="Y266" s="6">
        <f t="shared" si="423"/>
        <v>0.10062103694070663</v>
      </c>
      <c r="Z266" s="14">
        <f t="shared" si="424"/>
        <v>0.86883893806260781</v>
      </c>
      <c r="AA266" s="6">
        <f t="shared" si="425"/>
        <v>0.10391825629482393</v>
      </c>
      <c r="AB266" s="14">
        <f t="shared" si="426"/>
        <v>0.90006986822749224</v>
      </c>
      <c r="AC266" s="6">
        <f t="shared" si="427"/>
        <v>0.10813322883836914</v>
      </c>
      <c r="AD266" s="14">
        <f t="shared" si="428"/>
        <v>0.93813617521587767</v>
      </c>
      <c r="AE266" s="6">
        <f t="shared" si="429"/>
        <v>0.11400710951368678</v>
      </c>
      <c r="AF266" s="14">
        <f t="shared" si="430"/>
        <v>0.98516051850855402</v>
      </c>
      <c r="AG266" s="6">
        <f t="shared" si="431"/>
        <v>0.1211091251502202</v>
      </c>
      <c r="AH266" s="14">
        <f t="shared" si="432"/>
        <v>1.0443650853701723</v>
      </c>
      <c r="AI266" s="6">
        <f t="shared" si="433"/>
        <v>0.13063251022530081</v>
      </c>
      <c r="AJ266" s="14">
        <f t="shared" si="434"/>
        <v>1.1208868631499371</v>
      </c>
      <c r="AK266">
        <f t="shared" si="400"/>
        <v>0.16896108359201034</v>
      </c>
      <c r="AL266" s="14">
        <f t="shared" si="435"/>
        <v>1.2235213130884368</v>
      </c>
      <c r="AM266">
        <f t="shared" si="401"/>
        <v>0.19349159827569853</v>
      </c>
      <c r="AN266" s="14">
        <f t="shared" si="436"/>
        <v>1.3674606719506859</v>
      </c>
      <c r="AO266">
        <f t="shared" si="402"/>
        <v>0.23095147383006145</v>
      </c>
      <c r="AP266" s="14">
        <f t="shared" si="437"/>
        <v>1.574097630659115</v>
      </c>
      <c r="AQ266">
        <f t="shared" si="403"/>
        <v>0.29211584322024314</v>
      </c>
    </row>
    <row r="267" spans="1:43" x14ac:dyDescent="0.25">
      <c r="A267" s="139">
        <v>0.35</v>
      </c>
      <c r="B267" s="275">
        <f>'Sub C_D_0'!AZ257</f>
        <v>4.4249062582201286E-2</v>
      </c>
      <c r="C267" s="275">
        <f>'C_L vs. α'!X523</f>
        <v>0.1186219390866687</v>
      </c>
      <c r="D267" s="247">
        <f>'C_L vs. α'!AB523</f>
        <v>0.58602300954865816</v>
      </c>
      <c r="E267" s="144">
        <v>8</v>
      </c>
      <c r="F267" s="14">
        <f t="shared" si="404"/>
        <v>0.75661706412738461</v>
      </c>
      <c r="G267" s="6">
        <f t="shared" si="405"/>
        <v>9.7733541062345983E-2</v>
      </c>
      <c r="H267" s="14">
        <f t="shared" si="406"/>
        <v>0.75912754072651911</v>
      </c>
      <c r="I267" s="6">
        <f t="shared" si="407"/>
        <v>9.4958848711723762E-2</v>
      </c>
      <c r="J267" s="14">
        <f t="shared" si="408"/>
        <v>0.76333792037224901</v>
      </c>
      <c r="K267" s="6">
        <f t="shared" si="409"/>
        <v>9.3880813010698727E-2</v>
      </c>
      <c r="L267" s="14">
        <f t="shared" si="410"/>
        <v>0.76934079627730267</v>
      </c>
      <c r="M267" s="6">
        <f t="shared" si="411"/>
        <v>9.3573520100298346E-2</v>
      </c>
      <c r="N267" s="14">
        <f t="shared" si="412"/>
        <v>0.77726624881595063</v>
      </c>
      <c r="O267" s="6">
        <f t="shared" si="413"/>
        <v>9.3792184681086188E-2</v>
      </c>
      <c r="P267" s="14">
        <f t="shared" si="414"/>
        <v>0.78727532891582275</v>
      </c>
      <c r="Q267" s="6">
        <f t="shared" si="415"/>
        <v>9.4899209225368389E-2</v>
      </c>
      <c r="R267" s="14">
        <f t="shared" si="416"/>
        <v>0.79964239731370534</v>
      </c>
      <c r="S267" s="6">
        <f t="shared" si="417"/>
        <v>9.5982481959865709E-2</v>
      </c>
      <c r="T267" s="14">
        <f t="shared" si="418"/>
        <v>0.81466608899714266</v>
      </c>
      <c r="U267" s="6">
        <f t="shared" si="419"/>
        <v>9.752023009806407E-2</v>
      </c>
      <c r="V267" s="14">
        <f t="shared" si="420"/>
        <v>0.83276626323105452</v>
      </c>
      <c r="W267" s="6">
        <f t="shared" si="421"/>
        <v>9.9567742185082492E-2</v>
      </c>
      <c r="X267" s="14">
        <f t="shared" si="422"/>
        <v>0.8545032548686663</v>
      </c>
      <c r="Y267" s="6">
        <f t="shared" si="423"/>
        <v>0.10221579631558468</v>
      </c>
      <c r="Z267" s="14">
        <f t="shared" si="424"/>
        <v>0.88063471351151323</v>
      </c>
      <c r="AA267" s="6">
        <f t="shared" si="425"/>
        <v>0.10560115386177815</v>
      </c>
      <c r="AB267" s="14">
        <f t="shared" si="426"/>
        <v>0.91220461463808022</v>
      </c>
      <c r="AC267" s="6">
        <f t="shared" si="427"/>
        <v>0.1099266945115505</v>
      </c>
      <c r="AD267" s="14">
        <f t="shared" si="428"/>
        <v>0.95069428663822397</v>
      </c>
      <c r="AE267" s="6">
        <f t="shared" si="429"/>
        <v>0.11594164276040125</v>
      </c>
      <c r="AF267" s="14">
        <f t="shared" si="430"/>
        <v>0.99825375604154687</v>
      </c>
      <c r="AG267" s="6">
        <f t="shared" si="431"/>
        <v>0.12322722799637499</v>
      </c>
      <c r="AH267" s="14">
        <f t="shared" si="432"/>
        <v>1.0581449556623224</v>
      </c>
      <c r="AI267" s="6">
        <f t="shared" si="433"/>
        <v>0.13299573821141816</v>
      </c>
      <c r="AJ267" s="14">
        <f t="shared" si="434"/>
        <v>1.1355604416274148</v>
      </c>
      <c r="AK267">
        <f t="shared" si="400"/>
        <v>0.17230101987347801</v>
      </c>
      <c r="AL267" s="14">
        <f t="shared" si="435"/>
        <v>1.2393892160754376</v>
      </c>
      <c r="AM267">
        <f t="shared" si="401"/>
        <v>0.19743385696069798</v>
      </c>
      <c r="AN267" s="14">
        <f t="shared" si="436"/>
        <v>1.3846797636250738</v>
      </c>
      <c r="AO267">
        <f t="shared" si="402"/>
        <v>0.23573180270492025</v>
      </c>
      <c r="AP267" s="14">
        <f t="shared" si="437"/>
        <v>1.5904527818770811</v>
      </c>
      <c r="AQ267">
        <f t="shared" si="403"/>
        <v>0.29733672103046771</v>
      </c>
    </row>
    <row r="268" spans="1:43" x14ac:dyDescent="0.25">
      <c r="A268" s="129">
        <v>0.4</v>
      </c>
      <c r="B268" s="275">
        <f>'Sub C_D_0'!AZ258</f>
        <v>4.3824611865491796E-2</v>
      </c>
      <c r="C268" s="275">
        <f>'C_L vs. α'!X524</f>
        <v>0.12294208600200296</v>
      </c>
      <c r="D268" s="247">
        <f>'C_L vs. α'!AB524</f>
        <v>0.59700438372333264</v>
      </c>
      <c r="E268" s="144">
        <v>10</v>
      </c>
      <c r="F268" s="14">
        <f t="shared" si="404"/>
        <v>0.76909629782156352</v>
      </c>
      <c r="G268" s="6">
        <f t="shared" si="405"/>
        <v>9.9291650389840044E-2</v>
      </c>
      <c r="H268" s="14">
        <f t="shared" si="406"/>
        <v>0.77163644126649111</v>
      </c>
      <c r="I268" s="6">
        <f t="shared" si="407"/>
        <v>9.6525838325828103E-2</v>
      </c>
      <c r="J268" s="14">
        <f t="shared" si="408"/>
        <v>0.77589044627819503</v>
      </c>
      <c r="K268" s="6">
        <f t="shared" si="409"/>
        <v>9.5461958900631499E-2</v>
      </c>
      <c r="L268" s="14">
        <f t="shared" si="410"/>
        <v>0.78195331922673184</v>
      </c>
      <c r="M268" s="6">
        <f t="shared" si="411"/>
        <v>9.5174666854956902E-2</v>
      </c>
      <c r="N268" s="14">
        <f t="shared" si="412"/>
        <v>0.78995717385322373</v>
      </c>
      <c r="O268" s="6">
        <f t="shared" si="413"/>
        <v>9.5419812788308536E-2</v>
      </c>
      <c r="P268" s="14">
        <f t="shared" si="414"/>
        <v>0.80006162392894487</v>
      </c>
      <c r="Q268" s="6">
        <f t="shared" si="415"/>
        <v>9.6560086995152547E-2</v>
      </c>
      <c r="R268" s="14">
        <f t="shared" si="416"/>
        <v>0.81255198307235899</v>
      </c>
      <c r="S268" s="6">
        <f t="shared" si="417"/>
        <v>9.7685613316058142E-2</v>
      </c>
      <c r="T268" s="14">
        <f t="shared" si="418"/>
        <v>0.82772687923420241</v>
      </c>
      <c r="U268" s="6">
        <f t="shared" si="419"/>
        <v>9.9275562883485838E-2</v>
      </c>
      <c r="V268" s="14">
        <f t="shared" si="420"/>
        <v>0.84601151811283104</v>
      </c>
      <c r="W268" s="6">
        <f t="shared" si="421"/>
        <v>0.10138728131716254</v>
      </c>
      <c r="X268" s="14">
        <f t="shared" si="422"/>
        <v>0.8679734230736641</v>
      </c>
      <c r="Y268" s="6">
        <f t="shared" si="423"/>
        <v>0.1041143824447925</v>
      </c>
      <c r="Z268" s="14">
        <f t="shared" si="424"/>
        <v>0.89438004044705344</v>
      </c>
      <c r="AA268" s="6">
        <f t="shared" si="425"/>
        <v>0.10759760672348863</v>
      </c>
      <c r="AB268" s="14">
        <f t="shared" si="426"/>
        <v>0.92628891253530321</v>
      </c>
      <c r="AC268" s="6">
        <f t="shared" si="427"/>
        <v>0.11204554612031171</v>
      </c>
      <c r="AD268" s="14">
        <f t="shared" si="428"/>
        <v>0.96520194954720517</v>
      </c>
      <c r="AE268" s="6">
        <f t="shared" si="429"/>
        <v>0.11821610670071271</v>
      </c>
      <c r="AF268" s="14">
        <f t="shared" si="430"/>
        <v>1.0132965450611746</v>
      </c>
      <c r="AG268" s="6">
        <f t="shared" si="431"/>
        <v>0.12570340536823374</v>
      </c>
      <c r="AH268" s="14">
        <f t="shared" si="432"/>
        <v>1.0738743774411073</v>
      </c>
      <c r="AI268" s="6">
        <f t="shared" si="433"/>
        <v>0.13574013332265769</v>
      </c>
      <c r="AJ268" s="14">
        <f t="shared" si="434"/>
        <v>1.152183571591527</v>
      </c>
      <c r="AK268">
        <f t="shared" si="400"/>
        <v>0.17613718395310785</v>
      </c>
      <c r="AL268" s="14">
        <f t="shared" si="435"/>
        <v>1.2572066705490732</v>
      </c>
      <c r="AM268">
        <f t="shared" si="401"/>
        <v>0.20192100972252072</v>
      </c>
      <c r="AN268" s="14">
        <f t="shared" si="436"/>
        <v>1.4038484067860963</v>
      </c>
      <c r="AO268">
        <f t="shared" si="402"/>
        <v>0.24112372165707108</v>
      </c>
      <c r="AP268" s="14">
        <f t="shared" si="437"/>
        <v>1.6087574845816819</v>
      </c>
      <c r="AQ268">
        <f t="shared" si="403"/>
        <v>0.30324393104266245</v>
      </c>
    </row>
    <row r="269" spans="1:43" x14ac:dyDescent="0.25">
      <c r="A269" s="139">
        <v>0.45</v>
      </c>
      <c r="B269" s="275">
        <f>'Sub C_D_0'!AZ259</f>
        <v>4.3459595788183925E-2</v>
      </c>
      <c r="C269" s="275">
        <f>'C_L vs. α'!X525</f>
        <v>0.12821223096247833</v>
      </c>
      <c r="D269" s="247">
        <f>'C_L vs. α'!AB525</f>
        <v>0.61022655878285847</v>
      </c>
      <c r="E269" s="144">
        <v>12</v>
      </c>
      <c r="F269" s="14">
        <f t="shared" si="404"/>
        <v>0.78352508300237744</v>
      </c>
      <c r="G269" s="6">
        <f t="shared" si="405"/>
        <v>0.10113233737566724</v>
      </c>
      <c r="H269" s="14">
        <f t="shared" si="406"/>
        <v>0.78609489329309812</v>
      </c>
      <c r="I269" s="6">
        <f t="shared" si="407"/>
        <v>9.8376379386509283E-2</v>
      </c>
      <c r="J269" s="14">
        <f t="shared" si="408"/>
        <v>0.79039252367077606</v>
      </c>
      <c r="K269" s="6">
        <f t="shared" si="409"/>
        <v>9.7328252410711719E-2</v>
      </c>
      <c r="L269" s="14">
        <f t="shared" si="410"/>
        <v>0.796515393662796</v>
      </c>
      <c r="M269" s="6">
        <f t="shared" si="411"/>
        <v>9.706322465412795E-2</v>
      </c>
      <c r="N269" s="14">
        <f t="shared" si="412"/>
        <v>0.80459765037713193</v>
      </c>
      <c r="O269" s="6">
        <f t="shared" si="413"/>
        <v>9.7337837468187347E-2</v>
      </c>
      <c r="P269" s="14">
        <f t="shared" si="414"/>
        <v>0.8147974704287021</v>
      </c>
      <c r="Q269" s="6">
        <f t="shared" si="415"/>
        <v>9.8515112507278083E-2</v>
      </c>
      <c r="R269" s="14">
        <f t="shared" si="416"/>
        <v>0.82741112031764763</v>
      </c>
      <c r="S269" s="6">
        <f t="shared" si="417"/>
        <v>9.9687566761000879E-2</v>
      </c>
      <c r="T269" s="14">
        <f t="shared" si="418"/>
        <v>0.84273722095789705</v>
      </c>
      <c r="U269" s="6">
        <f t="shared" si="419"/>
        <v>0.10133541357266308</v>
      </c>
      <c r="V269" s="14">
        <f t="shared" si="420"/>
        <v>0.86120632448124257</v>
      </c>
      <c r="W269" s="6">
        <f t="shared" si="421"/>
        <v>0.10351822758252743</v>
      </c>
      <c r="X269" s="14">
        <f t="shared" si="422"/>
        <v>0.88339314276529701</v>
      </c>
      <c r="Y269" s="6">
        <f t="shared" si="423"/>
        <v>0.10633268942774189</v>
      </c>
      <c r="Z269" s="14">
        <f t="shared" si="424"/>
        <v>0.91007491886922864</v>
      </c>
      <c r="AA269" s="6">
        <f t="shared" si="425"/>
        <v>0.10992383365238911</v>
      </c>
      <c r="AB269" s="14">
        <f t="shared" si="426"/>
        <v>0.94232276191916109</v>
      </c>
      <c r="AC269" s="6">
        <f t="shared" si="427"/>
        <v>0.11450640240522952</v>
      </c>
      <c r="AD269" s="14">
        <f t="shared" si="428"/>
        <v>0.98165916394282138</v>
      </c>
      <c r="AE269" s="6">
        <f t="shared" si="429"/>
        <v>0.12084761962394022</v>
      </c>
      <c r="AF269" s="14">
        <f t="shared" si="430"/>
        <v>1.0302888855674373</v>
      </c>
      <c r="AG269" s="6">
        <f t="shared" si="431"/>
        <v>0.1285554069761542</v>
      </c>
      <c r="AH269" s="14">
        <f t="shared" si="432"/>
        <v>1.0915533507065269</v>
      </c>
      <c r="AI269" s="6">
        <f t="shared" si="433"/>
        <v>0.13888425546039831</v>
      </c>
      <c r="AJ269" s="14">
        <f t="shared" si="434"/>
        <v>1.1707562530422742</v>
      </c>
      <c r="AK269">
        <f t="shared" si="400"/>
        <v>0.18048919026155619</v>
      </c>
      <c r="AL269" s="14">
        <f t="shared" si="435"/>
        <v>1.2769736765093433</v>
      </c>
      <c r="AM269">
        <f t="shared" si="401"/>
        <v>0.20697408023276154</v>
      </c>
      <c r="AN269" s="14">
        <f t="shared" si="436"/>
        <v>1.4249666014337539</v>
      </c>
      <c r="AO269">
        <f t="shared" si="402"/>
        <v>0.2471498486906365</v>
      </c>
      <c r="AP269" s="14">
        <f t="shared" si="437"/>
        <v>1.6290117387729175</v>
      </c>
      <c r="AQ269">
        <f t="shared" si="403"/>
        <v>0.3098590718560475</v>
      </c>
    </row>
    <row r="270" spans="1:43" x14ac:dyDescent="0.25">
      <c r="A270" s="129">
        <v>0.5</v>
      </c>
      <c r="B270" s="275">
        <f>'Sub C_D_0'!AZ260</f>
        <v>4.3140300235827253E-2</v>
      </c>
      <c r="C270" s="275">
        <f>'C_L vs. α'!X526</f>
        <v>0.13463685305510828</v>
      </c>
      <c r="D270" s="247">
        <f>'C_L vs. α'!AB526</f>
        <v>0.6260937673204966</v>
      </c>
      <c r="E270" s="144">
        <v>14</v>
      </c>
      <c r="F270" s="14">
        <f t="shared" si="404"/>
        <v>0.79990341966982614</v>
      </c>
      <c r="G270" s="6">
        <f t="shared" si="405"/>
        <v>0.10327262723752086</v>
      </c>
      <c r="H270" s="14">
        <f t="shared" si="406"/>
        <v>0.80250289680634002</v>
      </c>
      <c r="I270" s="6">
        <f t="shared" si="407"/>
        <v>0.10052753211679895</v>
      </c>
      <c r="J270" s="14">
        <f t="shared" si="408"/>
        <v>0.80684415254999198</v>
      </c>
      <c r="K270" s="6">
        <f t="shared" si="409"/>
        <v>9.9496805239638872E-2</v>
      </c>
      <c r="L270" s="14">
        <f t="shared" si="410"/>
        <v>0.81302701958549495</v>
      </c>
      <c r="M270" s="6">
        <f t="shared" si="411"/>
        <v>9.925637598990858E-2</v>
      </c>
      <c r="N270" s="14">
        <f t="shared" si="412"/>
        <v>0.82118767838767492</v>
      </c>
      <c r="O270" s="6">
        <f t="shared" si="413"/>
        <v>9.9563533723214442E-2</v>
      </c>
      <c r="P270" s="14">
        <f t="shared" si="414"/>
        <v>0.83148286841509411</v>
      </c>
      <c r="Q270" s="6">
        <f t="shared" si="415"/>
        <v>0.10078167329585883</v>
      </c>
      <c r="R270" s="14">
        <f t="shared" si="416"/>
        <v>0.84421980904957117</v>
      </c>
      <c r="S270" s="6">
        <f t="shared" si="417"/>
        <v>0.10200587530548906</v>
      </c>
      <c r="T270" s="14">
        <f t="shared" si="418"/>
        <v>0.85969711416822669</v>
      </c>
      <c r="U270" s="6">
        <f t="shared" si="419"/>
        <v>0.10371749358982831</v>
      </c>
      <c r="V270" s="14">
        <f t="shared" si="420"/>
        <v>0.87835068233628899</v>
      </c>
      <c r="W270" s="6">
        <f t="shared" si="421"/>
        <v>0.10597851006411714</v>
      </c>
      <c r="X270" s="14">
        <f t="shared" si="422"/>
        <v>0.90076241394356471</v>
      </c>
      <c r="Y270" s="6">
        <f t="shared" si="423"/>
        <v>0.1088889117334217</v>
      </c>
      <c r="Z270" s="14">
        <f t="shared" si="424"/>
        <v>0.92771934877803874</v>
      </c>
      <c r="AA270" s="6">
        <f t="shared" si="425"/>
        <v>0.11259835379049045</v>
      </c>
      <c r="AB270" s="14">
        <f t="shared" si="426"/>
        <v>0.96030616278965386</v>
      </c>
      <c r="AC270" s="6">
        <f t="shared" si="427"/>
        <v>0.1173281824764577</v>
      </c>
      <c r="AD270" s="14">
        <f t="shared" si="428"/>
        <v>1.0000659298250725</v>
      </c>
      <c r="AE270" s="6">
        <f t="shared" si="429"/>
        <v>0.12385560018897976</v>
      </c>
      <c r="AF270" s="14">
        <f t="shared" si="430"/>
        <v>1.0492307775603349</v>
      </c>
      <c r="AG270" s="6">
        <f t="shared" si="431"/>
        <v>0.13180328290007115</v>
      </c>
      <c r="AH270" s="14">
        <f t="shared" si="432"/>
        <v>1.1111818754585818</v>
      </c>
      <c r="AI270" s="6">
        <f t="shared" si="433"/>
        <v>0.14244896489559608</v>
      </c>
      <c r="AJ270" s="14">
        <f t="shared" si="434"/>
        <v>1.1912784859796564</v>
      </c>
      <c r="AK270">
        <f t="shared" si="400"/>
        <v>0.18537895359905632</v>
      </c>
      <c r="AL270" s="14">
        <f t="shared" si="435"/>
        <v>1.2986902339562489</v>
      </c>
      <c r="AM270">
        <f t="shared" si="401"/>
        <v>0.2126163925325926</v>
      </c>
      <c r="AN270" s="14">
        <f t="shared" si="436"/>
        <v>1.4480343475680464</v>
      </c>
      <c r="AO270">
        <f t="shared" si="402"/>
        <v>0.25383510217931599</v>
      </c>
      <c r="AP270" s="14">
        <f t="shared" si="437"/>
        <v>1.6512155444507881</v>
      </c>
      <c r="AQ270">
        <f t="shared" si="403"/>
        <v>0.31720604243942058</v>
      </c>
    </row>
    <row r="271" spans="1:43" x14ac:dyDescent="0.25">
      <c r="A271" s="139">
        <v>0.55000000000000004</v>
      </c>
      <c r="B271" s="275">
        <f>'Sub C_D_0'!AZ261</f>
        <v>4.2857180394009466E-2</v>
      </c>
      <c r="C271" s="275">
        <f>'C_L vs. α'!X527</f>
        <v>0.14249429118231199</v>
      </c>
      <c r="D271" s="247">
        <f>'C_L vs. α'!AB527</f>
        <v>0.64515232241407749</v>
      </c>
      <c r="E271" s="144">
        <v>16</v>
      </c>
      <c r="F271" s="14">
        <f t="shared" si="404"/>
        <v>0.81823130782390985</v>
      </c>
      <c r="G271" s="6">
        <f t="shared" si="405"/>
        <v>0.10573184556267126</v>
      </c>
      <c r="H271" s="14">
        <f t="shared" si="406"/>
        <v>0.82086045180621681</v>
      </c>
      <c r="I271" s="6">
        <f t="shared" si="407"/>
        <v>0.10299865710930586</v>
      </c>
      <c r="J271" s="14">
        <f t="shared" si="408"/>
        <v>0.82524533291584279</v>
      </c>
      <c r="K271" s="6">
        <f t="shared" si="409"/>
        <v>0.10198702945568952</v>
      </c>
      <c r="L271" s="14">
        <f t="shared" si="410"/>
        <v>0.8314881969948289</v>
      </c>
      <c r="M271" s="6">
        <f t="shared" si="411"/>
        <v>0.10177360372397297</v>
      </c>
      <c r="N271" s="14">
        <f t="shared" si="412"/>
        <v>0.83972725788485292</v>
      </c>
      <c r="O271" s="6">
        <f t="shared" si="413"/>
        <v>0.1021164769254588</v>
      </c>
      <c r="P271" s="14">
        <f t="shared" si="414"/>
        <v>0.85011781788812113</v>
      </c>
      <c r="Q271" s="6">
        <f t="shared" si="415"/>
        <v>0.10337945726458578</v>
      </c>
      <c r="R271" s="14">
        <f t="shared" si="416"/>
        <v>0.8629780492681296</v>
      </c>
      <c r="S271" s="6">
        <f t="shared" si="417"/>
        <v>0.10466037232989481</v>
      </c>
      <c r="T271" s="14">
        <f t="shared" si="418"/>
        <v>0.87860655886519123</v>
      </c>
      <c r="U271" s="6">
        <f t="shared" si="419"/>
        <v>0.10644181472879104</v>
      </c>
      <c r="V271" s="14">
        <f t="shared" si="420"/>
        <v>0.8974445916779703</v>
      </c>
      <c r="W271" s="6">
        <f t="shared" si="421"/>
        <v>0.10878835821444863</v>
      </c>
      <c r="X271" s="14">
        <f t="shared" si="422"/>
        <v>0.9200812366084673</v>
      </c>
      <c r="Y271" s="6">
        <f t="shared" si="423"/>
        <v>0.11180354420039794</v>
      </c>
      <c r="Z271" s="14">
        <f t="shared" si="424"/>
        <v>0.94731333017348385</v>
      </c>
      <c r="AA271" s="6">
        <f t="shared" si="425"/>
        <v>0.11564198664938051</v>
      </c>
      <c r="AB271" s="14">
        <f t="shared" si="426"/>
        <v>0.98023911514678153</v>
      </c>
      <c r="AC271" s="6">
        <f t="shared" si="427"/>
        <v>0.12053210581372717</v>
      </c>
      <c r="AD271" s="14">
        <f t="shared" si="428"/>
        <v>1.0204222471939586</v>
      </c>
      <c r="AE271" s="6">
        <f t="shared" si="429"/>
        <v>0.12726176742430448</v>
      </c>
      <c r="AF271" s="14">
        <f t="shared" si="430"/>
        <v>1.0701222210398673</v>
      </c>
      <c r="AG271" s="6">
        <f t="shared" si="431"/>
        <v>0.13546938358949653</v>
      </c>
      <c r="AH271" s="14">
        <f t="shared" si="432"/>
        <v>1.1327599516972715</v>
      </c>
      <c r="AI271" s="6">
        <f t="shared" si="433"/>
        <v>0.146457422268784</v>
      </c>
      <c r="AJ271" s="14">
        <f t="shared" si="434"/>
        <v>1.2137502704036736</v>
      </c>
      <c r="AK271">
        <f t="shared" si="400"/>
        <v>0.19083068913541862</v>
      </c>
      <c r="AL271" s="14">
        <f t="shared" si="435"/>
        <v>1.3223563428897893</v>
      </c>
      <c r="AM271">
        <f t="shared" si="401"/>
        <v>0.21887357103276273</v>
      </c>
      <c r="AN271" s="14">
        <f t="shared" si="436"/>
        <v>1.4730516451889739</v>
      </c>
      <c r="AO271">
        <f t="shared" si="402"/>
        <v>0.26120670086638625</v>
      </c>
      <c r="AP271" s="14">
        <f t="shared" si="437"/>
        <v>1.6753689016152937</v>
      </c>
      <c r="AQ271">
        <f t="shared" si="403"/>
        <v>0.32531104213115603</v>
      </c>
    </row>
    <row r="272" spans="1:43" x14ac:dyDescent="0.25">
      <c r="A272" s="129">
        <v>0.6</v>
      </c>
      <c r="B272" s="275">
        <f>'Sub C_D_0'!AZ262</f>
        <v>4.2603340856273375E-2</v>
      </c>
      <c r="C272" s="275">
        <f>'C_L vs. α'!X528</f>
        <v>0.15216936324470795</v>
      </c>
      <c r="D272" s="247">
        <f>'C_L vs. α'!AB528</f>
        <v>0.66815476260936835</v>
      </c>
    </row>
    <row r="273" spans="1:4" x14ac:dyDescent="0.25">
      <c r="A273" s="139">
        <v>0.65</v>
      </c>
      <c r="B273" s="275">
        <f>'Sub C_D_0'!AZ263</f>
        <v>4.2816917104491488E-2</v>
      </c>
      <c r="C273" s="275">
        <f>'C_L vs. α'!X529</f>
        <v>0.16424100372502631</v>
      </c>
      <c r="D273" s="247">
        <f>'C_L vs. α'!AB529</f>
        <v>0.69616430046180855</v>
      </c>
    </row>
    <row r="274" spans="1:4" x14ac:dyDescent="0.25">
      <c r="A274" s="129">
        <v>0.7</v>
      </c>
      <c r="B274" s="275">
        <f>'Sub C_D_0'!AZ264</f>
        <v>4.2602874086392337E-2</v>
      </c>
      <c r="C274" s="275">
        <f>'C_L vs. α'!X530</f>
        <v>0.17948008771137672</v>
      </c>
      <c r="D274" s="247">
        <f>'C_L vs. α'!AB530</f>
        <v>0.73073273471171618</v>
      </c>
    </row>
    <row r="275" spans="1:4" x14ac:dyDescent="0.25">
      <c r="A275" s="139">
        <v>0.75</v>
      </c>
      <c r="B275" s="275">
        <f>'Sub C_D_0'!AZ265</f>
        <v>4.240637357017446E-2</v>
      </c>
      <c r="C275" s="275">
        <f>'C_L vs. α'!X531</f>
        <v>0.19899767023945256</v>
      </c>
      <c r="D275" s="247">
        <f>'C_L vs. α'!AB531</f>
        <v>0.7742205053262986</v>
      </c>
    </row>
    <row r="276" spans="1:4" x14ac:dyDescent="0.25">
      <c r="A276" s="129">
        <v>0.8</v>
      </c>
      <c r="B276" s="275">
        <f>'Sub C_D_0'!AZ266</f>
        <v>4.2224935013912793E-2</v>
      </c>
      <c r="C276" s="275">
        <f>'C_L vs. α'!X532</f>
        <v>0.22432034009927498</v>
      </c>
      <c r="D276" s="247">
        <f>'C_L vs. α'!AB532</f>
        <v>0.83041164474938745</v>
      </c>
    </row>
    <row r="277" spans="1:4" x14ac:dyDescent="0.25">
      <c r="A277" s="139">
        <v>0.85</v>
      </c>
      <c r="B277" s="275">
        <f>'Sub C_D_0'!AZ267</f>
        <v>4.2483574351378915E-2</v>
      </c>
      <c r="C277" s="275">
        <f>'C_L vs. α'!X533</f>
        <v>0.2578718372570542</v>
      </c>
      <c r="D277" s="247">
        <f>'C_L vs. α'!AB533</f>
        <v>0.90578940361991822</v>
      </c>
    </row>
    <row r="278" spans="1:4" x14ac:dyDescent="0.25">
      <c r="A278" s="129">
        <v>0.9</v>
      </c>
      <c r="B278" s="275">
        <f>'Sub C_D_0'!AZ268</f>
        <v>4.2323266898759794E-2</v>
      </c>
      <c r="C278" s="275">
        <f>'C_L vs. α'!X534</f>
        <v>0.29496555858184381</v>
      </c>
      <c r="D278" s="247">
        <f>'C_L vs. α'!AB534</f>
        <v>1.012370337747668</v>
      </c>
    </row>
    <row r="279" spans="1:4" x14ac:dyDescent="0.25">
      <c r="A279" s="139">
        <v>0.95</v>
      </c>
      <c r="B279" s="275">
        <f>'Sub C_D_0'!AZ269</f>
        <v>4.2173246773150118E-2</v>
      </c>
      <c r="C279" s="275">
        <f>'C_L vs. α'!X535</f>
        <v>0.26375575508272281</v>
      </c>
      <c r="D279" s="247">
        <f>'C_L vs. α'!AB535</f>
        <v>1.1728890272208958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2A464-438B-4573-9158-7905F9F601EB}">
  <dimension ref="A1:AP231"/>
  <sheetViews>
    <sheetView topLeftCell="A132" zoomScale="120" zoomScaleNormal="120" workbookViewId="0">
      <selection activeCell="B152" sqref="B152"/>
    </sheetView>
  </sheetViews>
  <sheetFormatPr defaultRowHeight="15" x14ac:dyDescent="0.25"/>
  <cols>
    <col min="2" max="3" width="12.42578125" bestFit="1" customWidth="1"/>
  </cols>
  <sheetData>
    <row r="1" spans="1:42" x14ac:dyDescent="0.25">
      <c r="A1" t="s">
        <v>524</v>
      </c>
      <c r="E1" t="s">
        <v>542</v>
      </c>
      <c r="H1" t="s">
        <v>541</v>
      </c>
      <c r="I1">
        <v>0</v>
      </c>
    </row>
    <row r="2" spans="1:42" x14ac:dyDescent="0.25">
      <c r="A2" t="s">
        <v>525</v>
      </c>
      <c r="B2" s="28">
        <v>0.98499999999999999</v>
      </c>
      <c r="C2" t="s">
        <v>529</v>
      </c>
      <c r="E2" t="s">
        <v>525</v>
      </c>
      <c r="F2" s="28"/>
      <c r="G2" t="s">
        <v>529</v>
      </c>
      <c r="I2">
        <v>15</v>
      </c>
    </row>
    <row r="3" spans="1:42" x14ac:dyDescent="0.25">
      <c r="A3" t="s">
        <v>519</v>
      </c>
      <c r="B3">
        <f>B4/B5</f>
        <v>3.2258064516129031E-2</v>
      </c>
      <c r="E3" t="s">
        <v>519</v>
      </c>
      <c r="F3">
        <f>F4/F5</f>
        <v>0.27093397849462364</v>
      </c>
      <c r="I3">
        <v>30</v>
      </c>
    </row>
    <row r="4" spans="1:42" x14ac:dyDescent="0.25">
      <c r="A4" s="70" t="s">
        <v>144</v>
      </c>
      <c r="B4">
        <v>1.5</v>
      </c>
      <c r="E4" s="70" t="s">
        <v>144</v>
      </c>
      <c r="F4">
        <v>12.59843</v>
      </c>
      <c r="I4">
        <v>36</v>
      </c>
    </row>
    <row r="5" spans="1:42" x14ac:dyDescent="0.25">
      <c r="A5" s="70" t="s">
        <v>143</v>
      </c>
      <c r="B5">
        <v>46.5</v>
      </c>
      <c r="E5" s="70" t="s">
        <v>143</v>
      </c>
      <c r="F5">
        <v>46.5</v>
      </c>
      <c r="I5">
        <v>40</v>
      </c>
    </row>
    <row r="6" spans="1:42" x14ac:dyDescent="0.25">
      <c r="A6" t="s">
        <v>155</v>
      </c>
      <c r="B6">
        <f>B2*(1-B3^2)</f>
        <v>0.9839750260145681</v>
      </c>
      <c r="C6" t="s">
        <v>530</v>
      </c>
      <c r="E6" t="s">
        <v>155</v>
      </c>
      <c r="F6">
        <f>F2*(1-F3^2)</f>
        <v>0</v>
      </c>
      <c r="G6" t="s">
        <v>530</v>
      </c>
      <c r="I6">
        <v>45</v>
      </c>
    </row>
    <row r="7" spans="1:42" x14ac:dyDescent="0.25">
      <c r="A7" t="s">
        <v>526</v>
      </c>
      <c r="B7">
        <f>1/(PI()*4*B6)</f>
        <v>8.0873466746674824E-2</v>
      </c>
      <c r="C7" t="s">
        <v>531</v>
      </c>
      <c r="E7" t="s">
        <v>526</v>
      </c>
      <c r="F7" t="e">
        <f>1/(PI()*4*F6)</f>
        <v>#DIV/0!</v>
      </c>
      <c r="G7" t="s">
        <v>531</v>
      </c>
    </row>
    <row r="8" spans="1:42" x14ac:dyDescent="0.25">
      <c r="A8" t="s">
        <v>527</v>
      </c>
      <c r="B8" s="28">
        <v>0.02</v>
      </c>
      <c r="C8" t="s">
        <v>532</v>
      </c>
      <c r="E8" t="s">
        <v>527</v>
      </c>
      <c r="F8" s="28">
        <v>0.02</v>
      </c>
      <c r="G8" t="s">
        <v>532</v>
      </c>
    </row>
    <row r="9" spans="1:42" x14ac:dyDescent="0.25">
      <c r="A9" t="s">
        <v>528</v>
      </c>
      <c r="B9">
        <f>B7+B8</f>
        <v>0.10087346674667483</v>
      </c>
      <c r="E9" t="s">
        <v>528</v>
      </c>
      <c r="F9" t="e">
        <f>F7+F8</f>
        <v>#DIV/0!</v>
      </c>
    </row>
    <row r="10" spans="1:42" x14ac:dyDescent="0.25">
      <c r="A10" t="s">
        <v>268</v>
      </c>
      <c r="B10">
        <v>4</v>
      </c>
      <c r="D10" t="s">
        <v>416</v>
      </c>
      <c r="E10">
        <v>0.8</v>
      </c>
    </row>
    <row r="11" spans="1:42" x14ac:dyDescent="0.25">
      <c r="A11" t="s">
        <v>410</v>
      </c>
      <c r="B11" s="29">
        <v>24.1</v>
      </c>
      <c r="D11" t="s">
        <v>144</v>
      </c>
      <c r="E11" s="29">
        <v>12.5984</v>
      </c>
    </row>
    <row r="12" spans="1:42" x14ac:dyDescent="0.25">
      <c r="A12" t="s">
        <v>422</v>
      </c>
      <c r="B12" s="29">
        <v>-1</v>
      </c>
      <c r="D12" t="s">
        <v>143</v>
      </c>
      <c r="E12">
        <v>46.5</v>
      </c>
    </row>
    <row r="13" spans="1:42" x14ac:dyDescent="0.25">
      <c r="A13" t="s">
        <v>191</v>
      </c>
      <c r="B13">
        <v>100</v>
      </c>
      <c r="C13" t="s">
        <v>414</v>
      </c>
      <c r="D13" t="s">
        <v>519</v>
      </c>
      <c r="E13">
        <f>E11/E12</f>
        <v>0.2709333333333333</v>
      </c>
    </row>
    <row r="15" spans="1:42" x14ac:dyDescent="0.25">
      <c r="A15" s="122" t="s">
        <v>537</v>
      </c>
      <c r="B15" s="122" t="s">
        <v>289</v>
      </c>
    </row>
    <row r="16" spans="1:42" x14ac:dyDescent="0.25">
      <c r="A16" s="122" t="s">
        <v>202</v>
      </c>
      <c r="B16" s="143" t="s">
        <v>533</v>
      </c>
      <c r="C16" s="122" t="s">
        <v>538</v>
      </c>
      <c r="D16" s="122" t="s">
        <v>540</v>
      </c>
      <c r="E16" s="1" t="s">
        <v>536</v>
      </c>
      <c r="F16" s="140">
        <v>0.05</v>
      </c>
      <c r="G16" s="1" t="s">
        <v>536</v>
      </c>
      <c r="H16" s="140">
        <v>0.1</v>
      </c>
      <c r="I16" s="1" t="s">
        <v>536</v>
      </c>
      <c r="J16" s="140">
        <v>0.15</v>
      </c>
      <c r="K16" s="1" t="s">
        <v>536</v>
      </c>
      <c r="L16" s="140">
        <v>0.2</v>
      </c>
      <c r="M16" t="s">
        <v>536</v>
      </c>
      <c r="N16" s="141">
        <v>0.25</v>
      </c>
      <c r="O16" t="s">
        <v>536</v>
      </c>
      <c r="P16" s="141">
        <v>0.3</v>
      </c>
      <c r="Q16" t="s">
        <v>536</v>
      </c>
      <c r="R16" s="141">
        <v>0.35</v>
      </c>
      <c r="S16" t="s">
        <v>536</v>
      </c>
      <c r="T16" s="141">
        <v>0.4</v>
      </c>
      <c r="U16" t="s">
        <v>536</v>
      </c>
      <c r="V16" s="141">
        <v>0.45</v>
      </c>
      <c r="W16" t="s">
        <v>536</v>
      </c>
      <c r="X16" s="141">
        <v>0.5</v>
      </c>
      <c r="Y16" t="s">
        <v>536</v>
      </c>
      <c r="Z16" s="141">
        <v>0.55000000000000004</v>
      </c>
      <c r="AA16" t="s">
        <v>536</v>
      </c>
      <c r="AB16" s="141">
        <v>0.6</v>
      </c>
      <c r="AC16" t="s">
        <v>536</v>
      </c>
      <c r="AD16" s="141">
        <v>0.65</v>
      </c>
      <c r="AE16" t="s">
        <v>536</v>
      </c>
      <c r="AF16" s="141">
        <v>0.7</v>
      </c>
      <c r="AG16" t="s">
        <v>536</v>
      </c>
      <c r="AH16" s="141">
        <v>0.75</v>
      </c>
      <c r="AI16" t="s">
        <v>536</v>
      </c>
      <c r="AJ16" s="141">
        <v>0.8</v>
      </c>
      <c r="AK16" t="s">
        <v>536</v>
      </c>
      <c r="AL16" s="141">
        <v>0.85</v>
      </c>
      <c r="AM16" t="s">
        <v>536</v>
      </c>
      <c r="AN16" s="141">
        <v>0.9</v>
      </c>
      <c r="AO16" t="s">
        <v>536</v>
      </c>
      <c r="AP16" s="141">
        <v>0.95</v>
      </c>
    </row>
    <row r="17" spans="1:42" x14ac:dyDescent="0.25">
      <c r="A17" s="121" t="s">
        <v>182</v>
      </c>
      <c r="B17" s="121" t="s">
        <v>534</v>
      </c>
      <c r="C17" s="121" t="s">
        <v>535</v>
      </c>
      <c r="D17" s="121" t="s">
        <v>421</v>
      </c>
      <c r="E17" s="14" t="s">
        <v>244</v>
      </c>
      <c r="F17" s="6" t="s">
        <v>245</v>
      </c>
      <c r="G17" s="14" t="s">
        <v>244</v>
      </c>
      <c r="H17" s="6" t="s">
        <v>245</v>
      </c>
      <c r="I17" s="14" t="s">
        <v>244</v>
      </c>
      <c r="J17" s="6" t="s">
        <v>245</v>
      </c>
      <c r="K17" s="14" t="s">
        <v>244</v>
      </c>
      <c r="L17" s="6" t="s">
        <v>245</v>
      </c>
      <c r="M17" t="s">
        <v>244</v>
      </c>
      <c r="N17" t="s">
        <v>245</v>
      </c>
      <c r="O17" t="s">
        <v>244</v>
      </c>
      <c r="P17" t="s">
        <v>245</v>
      </c>
      <c r="Q17" t="s">
        <v>244</v>
      </c>
      <c r="R17" t="s">
        <v>245</v>
      </c>
      <c r="S17" t="s">
        <v>244</v>
      </c>
      <c r="T17" t="s">
        <v>245</v>
      </c>
      <c r="U17" t="s">
        <v>244</v>
      </c>
      <c r="V17" t="s">
        <v>245</v>
      </c>
      <c r="W17" t="s">
        <v>244</v>
      </c>
      <c r="X17" t="s">
        <v>245</v>
      </c>
      <c r="Y17" t="s">
        <v>244</v>
      </c>
      <c r="Z17" t="s">
        <v>245</v>
      </c>
      <c r="AA17" t="s">
        <v>244</v>
      </c>
      <c r="AB17" t="s">
        <v>245</v>
      </c>
      <c r="AC17" t="s">
        <v>244</v>
      </c>
      <c r="AD17" t="s">
        <v>245</v>
      </c>
      <c r="AE17" t="s">
        <v>244</v>
      </c>
      <c r="AF17" t="s">
        <v>245</v>
      </c>
      <c r="AG17" t="s">
        <v>244</v>
      </c>
      <c r="AH17" t="s">
        <v>245</v>
      </c>
      <c r="AI17" t="s">
        <v>244</v>
      </c>
      <c r="AJ17" t="s">
        <v>245</v>
      </c>
      <c r="AK17" t="s">
        <v>244</v>
      </c>
      <c r="AL17" t="s">
        <v>245</v>
      </c>
      <c r="AM17" t="s">
        <v>244</v>
      </c>
      <c r="AN17" t="s">
        <v>245</v>
      </c>
      <c r="AO17" t="s">
        <v>244</v>
      </c>
      <c r="AP17" t="s">
        <v>245</v>
      </c>
    </row>
    <row r="18" spans="1:42" x14ac:dyDescent="0.25">
      <c r="A18" s="129">
        <v>0</v>
      </c>
      <c r="B18" s="129" t="e">
        <f>'Sub C_D_0'!BA10</f>
        <v>#DIV/0!</v>
      </c>
      <c r="C18" s="129" t="e">
        <f>'C_L vs. α'!Y316</f>
        <v>#NUM!</v>
      </c>
      <c r="D18" s="144">
        <v>-6</v>
      </c>
      <c r="E18" s="14">
        <f>(D18-$B$12)*$C$19</f>
        <v>-0.53088149414883845</v>
      </c>
      <c r="F18" s="6">
        <f>$B$19+$B$7*E18^2+$B$8*(E18-E$21)^2</f>
        <v>5.0623663158004331E-2</v>
      </c>
      <c r="G18" s="14">
        <f>(D18-$B$12)*$C$20</f>
        <v>-0.53513095678736722</v>
      </c>
      <c r="H18" s="6">
        <f>$B$20+$B$7*G18^2+$B$8*(G18-G$21)^2</f>
        <v>4.9689730303003041E-2</v>
      </c>
      <c r="I18" s="14">
        <f>(D18-$B$12)*$C$21</f>
        <v>-0.54137983016242686</v>
      </c>
      <c r="J18" s="6">
        <f>$B$21+$B$7*I18^2+$B$8*(I18-I$21)^2</f>
        <v>4.9686772643464869E-2</v>
      </c>
      <c r="K18" s="14">
        <f>(D18-$B$12)*$C$22</f>
        <v>-0.54997377359954247</v>
      </c>
      <c r="L18" s="6">
        <f>$B$22+$B$7*K18^2+$B$8*(K18-K$21)^2</f>
        <v>5.0227654070337441E-2</v>
      </c>
      <c r="M18" s="14">
        <f>(D18-$B$12)*$C$23</f>
        <v>-0.56120404544573077</v>
      </c>
      <c r="N18" s="6">
        <f>$B$23+$B$7*M18^2+$B$8*(M18-M$21)^2</f>
        <v>5.1237801581509479E-2</v>
      </c>
      <c r="O18" s="14">
        <f>(D18-$B$12)*$C$24</f>
        <v>-0.57486478821676545</v>
      </c>
      <c r="P18" s="6">
        <f>$B$24+$B$7*O18^2+$B$8*(O18-O$21)^2</f>
        <v>5.3149095530753254E-2</v>
      </c>
      <c r="Q18" s="14">
        <f>(D18-$B$12)*$C$25</f>
        <v>-0.59252488664670011</v>
      </c>
      <c r="R18" s="6">
        <f>$B$25+$B$7*Q18^2+$B$8*(Q18-Q$21)^2</f>
        <v>5.5169572609656457E-2</v>
      </c>
      <c r="S18" s="14">
        <f>(D18-$B$12)*$C$26</f>
        <v>-0.61418333278706749</v>
      </c>
      <c r="T18" s="6">
        <f>$B$26+$B$7*S18^2+$B$8*(S18-S$21)^2</f>
        <v>5.7833580760752887E-2</v>
      </c>
      <c r="U18" s="14">
        <f>(D18-$B$12)*$C$27</f>
        <v>-0.64060594681620064</v>
      </c>
      <c r="V18" s="6">
        <f>$B$27+$B$7*U18^2+$B$8*(U18-U$21)^2</f>
        <v>6.1295788640504188E-2</v>
      </c>
      <c r="W18" s="14">
        <f>(D18-$B$12)*$C$28</f>
        <v>-0.67282240725830456</v>
      </c>
      <c r="X18" s="6">
        <f>$B$28+$B$7*W18^2+$B$8*(W18-W$21)^2</f>
        <v>6.5784330308149064E-2</v>
      </c>
      <c r="Y18" s="14">
        <f>(D18-$B$12)*$C$29</f>
        <v>-0.71223599214894739</v>
      </c>
      <c r="Z18" s="6">
        <f>$B$29+$B$7*Y18^2+$B$8*(Y18-Y$21)^2</f>
        <v>7.1636491764826588E-2</v>
      </c>
      <c r="AA18" s="14">
        <f>(D18-$B$12)*$C$30</f>
        <v>-0.7607900058537177</v>
      </c>
      <c r="AB18" s="6">
        <f>$B$30+$B$7*AA18^2+$B$8*(AA18-AA$21)^2</f>
        <v>7.9359523566042797E-2</v>
      </c>
      <c r="AC18" s="14">
        <f>(D18-$B$12)*$C$31</f>
        <v>-0.82143257677186066</v>
      </c>
      <c r="AD18" s="6">
        <f>$B$31+$B$7*AC18^2+$B$8*(AC18-AC$21)^2</f>
        <v>9.0258595870524233E-2</v>
      </c>
      <c r="AE18" s="14">
        <f>(D18-$B$12)*$C$32</f>
        <v>-0.8980837458900971</v>
      </c>
      <c r="AF18" s="6">
        <f>$B$32+$B$7*AE18^2+$B$8*(AE18-AE$21)^2</f>
        <v>0.10460889561370652</v>
      </c>
      <c r="AG18" s="14">
        <f>(D18-$B$12)*$C$33</f>
        <v>-0.99643664382792685</v>
      </c>
      <c r="AH18" s="6">
        <f>$B$33+$B$7*AG18^2+$B$8*(AG18-AG$21)^2</f>
        <v>0.12494815321854152</v>
      </c>
      <c r="AI18" s="14">
        <f>(D18-$B$12)*$C$34</f>
        <v>-1.1244509116668151</v>
      </c>
      <c r="AJ18">
        <f>$B$34+$B$9*AI18^2</f>
        <v>0.14360931607257899</v>
      </c>
      <c r="AK18" s="14">
        <f>(D18-$B$12)*$C$35</f>
        <v>-1.2955252960785928</v>
      </c>
      <c r="AL18">
        <f>$B$35+$B$9*AK18^2</f>
        <v>0.18600488329359352</v>
      </c>
      <c r="AM18" s="14">
        <f>(D18-$B$12)*$C$36</f>
        <v>-1.4890688188613526</v>
      </c>
      <c r="AN18">
        <f>$B$36+$B$9*AM18^2</f>
        <v>0.2407888907937053</v>
      </c>
      <c r="AO18" s="14">
        <f>(D18-$B$12)*$C$37</f>
        <v>-1.3653184641024034</v>
      </c>
      <c r="AP18">
        <f>$B$37+$B$9*AO18^2</f>
        <v>0.20558164536787552</v>
      </c>
    </row>
    <row r="19" spans="1:42" x14ac:dyDescent="0.25">
      <c r="A19" s="139">
        <v>0.05</v>
      </c>
      <c r="B19" s="259">
        <f>'Sub C_D_0'!BA11</f>
        <v>1.9713824018704126E-2</v>
      </c>
      <c r="C19" s="259">
        <f>'C_L vs. α'!Y317</f>
        <v>0.10617629882976769</v>
      </c>
      <c r="D19" s="144">
        <v>-4</v>
      </c>
      <c r="E19" s="14">
        <f t="shared" ref="E19:E29" si="0">(D19-$B$12)*$C$19</f>
        <v>-0.31852889648930305</v>
      </c>
      <c r="F19" s="6">
        <f t="shared" ref="F19:F29" si="1">$B$19+$B$7*E19^2+$B$8*(E19-E$21)^2</f>
        <v>3.152678921999004E-2</v>
      </c>
      <c r="G19" s="14">
        <f t="shared" ref="G19:G29" si="2">(D19-$B$12)*$C$20</f>
        <v>-0.3210785740724203</v>
      </c>
      <c r="H19" s="6">
        <f t="shared" ref="H19:H29" si="3">$B$20+$B$7*G19^2+$B$8*(G19-G$21)^2</f>
        <v>3.0285909359789757E-2</v>
      </c>
      <c r="I19" s="14">
        <f t="shared" ref="I19:I29" si="4">(D19-$B$12)*$C$21</f>
        <v>-0.3248278980974561</v>
      </c>
      <c r="J19" s="6">
        <f t="shared" ref="J19:J29" si="5">$B$21+$B$7*I19^2+$B$8*(I19-I$21)^2</f>
        <v>2.9827138163990751E-2</v>
      </c>
      <c r="K19" s="14">
        <f t="shared" ref="K19:K29" si="6">(D19-$B$12)*$C$22</f>
        <v>-0.32998426415972548</v>
      </c>
      <c r="L19" s="6">
        <f t="shared" ref="L19:L29" si="7">$B$22+$B$7*K19^2+$B$8*(K19-K$21)^2</f>
        <v>2.9732505644250368E-2</v>
      </c>
      <c r="M19" s="14">
        <f t="shared" ref="M19:M29" si="8">(D19-$B$12)*$C$23</f>
        <v>-0.33672242726743851</v>
      </c>
      <c r="N19" s="6">
        <f t="shared" ref="N19:N29" si="9">$B$23+$B$7*M19^2+$B$8*(M19-M$21)^2</f>
        <v>2.9897099949170169E-2</v>
      </c>
      <c r="O19" s="14">
        <f t="shared" ref="O19:O29" si="10">(D19-$B$12)*$C$24</f>
        <v>-0.34491887293005924</v>
      </c>
      <c r="P19" s="6">
        <f t="shared" ref="P19:P29" si="11">$B$24+$B$7*O19^2+$B$8*(O19-O$21)^2</f>
        <v>3.0756804818784865E-2</v>
      </c>
      <c r="Q19" s="14">
        <f t="shared" ref="Q19:Q29" si="12">(D19-$B$12)*$C$25</f>
        <v>-0.35551493198802003</v>
      </c>
      <c r="R19" s="6">
        <f t="shared" ref="R19:R29" si="13">$B$25+$B$7*Q19^2+$B$8*(Q19-Q$21)^2</f>
        <v>3.1380347293624225E-2</v>
      </c>
      <c r="S19" s="14">
        <f t="shared" ref="S19:S29" si="14">(D19-$B$12)*$C$26</f>
        <v>-0.36850999967224052</v>
      </c>
      <c r="T19" s="6">
        <f t="shared" ref="T19:T29" si="15">$B$26+$B$7*S19^2+$B$8*(S19-S$21)^2</f>
        <v>3.2273444694454104E-2</v>
      </c>
      <c r="U19" s="14">
        <f t="shared" ref="U19:U29" si="16">(D19-$B$12)*$C$27</f>
        <v>-0.38436356808972039</v>
      </c>
      <c r="V19" s="6">
        <f t="shared" ref="V19:V29" si="17">$B$27+$B$7*U19^2+$B$8*(U19-U$21)^2</f>
        <v>3.348911499155429E-2</v>
      </c>
      <c r="W19" s="14">
        <f t="shared" ref="W19:W29" si="18">(D19-$B$12)*$C$28</f>
        <v>-0.40369344435498278</v>
      </c>
      <c r="X19" s="6">
        <f t="shared" ref="X19:X28" si="19">$B$28+$B$7*W19^2+$B$8*(W19-W$21)^2</f>
        <v>3.5110500686555163E-2</v>
      </c>
      <c r="Y19" s="14">
        <f t="shared" ref="Y19:Y29" si="20">(D19-$B$12)*$C$29</f>
        <v>-0.42734159528936844</v>
      </c>
      <c r="Z19" s="6">
        <f t="shared" ref="Z19:Z29" si="21">$B$29+$B$7*Y19^2+$B$8*(Y19-Y$21)^2</f>
        <v>3.7263689396931088E-2</v>
      </c>
      <c r="AA19" s="14">
        <f t="shared" ref="AA19:AA29" si="22">(D19-$B$12)*$C$30</f>
        <v>-0.45647400351223066</v>
      </c>
      <c r="AB19" s="6">
        <f t="shared" ref="AB19:AB29" si="23">$B$30+$B$7*AA19^2+$B$8*(AA19-AA$21)^2</f>
        <v>4.0140506432997221E-2</v>
      </c>
      <c r="AC19" s="14">
        <f t="shared" ref="AC19:AC29" si="24">(D19-$B$12)*$C$31</f>
        <v>-0.49285954606311644</v>
      </c>
      <c r="AD19" s="6">
        <f t="shared" ref="AD19:AD29" si="25">$B$31+$B$7*AC19^2+$B$8*(AC19-AC$21)^2</f>
        <v>4.4538097830474389E-2</v>
      </c>
      <c r="AE19" s="14">
        <f t="shared" ref="AE19:AE29" si="26">(D19-$B$12)*$C$32</f>
        <v>-0.5388502475340583</v>
      </c>
      <c r="AF19" s="6">
        <f t="shared" ref="AF19:AF29" si="27">$B$32+$B$7*AE19^2+$B$8*(AE19-AE$21)^2</f>
        <v>4.995755993567539E-2</v>
      </c>
      <c r="AG19" s="14">
        <f t="shared" ref="AG19:AG29" si="28">(D19-$B$12)*$C$33</f>
        <v>-0.59786198629675602</v>
      </c>
      <c r="AH19" s="6">
        <f t="shared" ref="AH19:AH29" si="29">$B$33+$B$7*AG19^2+$B$8*(AG19-AG$21)^2</f>
        <v>5.7671173165164874E-2</v>
      </c>
      <c r="AI19" s="14">
        <f t="shared" ref="AI19:AI29" si="30">(D19-$B$12)*$C$34</f>
        <v>-0.6746705470000891</v>
      </c>
      <c r="AJ19">
        <f t="shared" ref="AJ19:AJ29" si="31">$B$34+$B$9*AI19^2</f>
        <v>6.1981547902312153E-2</v>
      </c>
      <c r="AK19" s="14">
        <f t="shared" ref="AK19:AK29" si="32">(D19-$B$12)*$C$35</f>
        <v>-0.77731517764715574</v>
      </c>
      <c r="AL19">
        <f t="shared" ref="AL19:AL29" si="33">$B$35+$B$9*AK19^2</f>
        <v>7.7649943481729891E-2</v>
      </c>
      <c r="AM19" s="14">
        <f t="shared" ref="AM19:AM29" si="34">(D19-$B$12)*$C$36</f>
        <v>-0.8934412913168116</v>
      </c>
      <c r="AN19">
        <f t="shared" ref="AN19:AN29" si="35">$B$36+$B$9*AM19^2</f>
        <v>9.764050345800955E-2</v>
      </c>
      <c r="AO19" s="14">
        <f t="shared" ref="AO19:AO28" si="36">(D19-$B$12)*$C$37</f>
        <v>-0.81919107846144212</v>
      </c>
      <c r="AP19">
        <f t="shared" ref="AP19:AP29" si="37">$B$37+$B$9*AO19^2</f>
        <v>8.52375331069746E-2</v>
      </c>
    </row>
    <row r="20" spans="1:42" x14ac:dyDescent="0.25">
      <c r="A20" s="129">
        <v>0.1</v>
      </c>
      <c r="B20" s="259">
        <f>'Sub C_D_0'!BA12</f>
        <v>1.8283072543766071E-2</v>
      </c>
      <c r="C20" s="259">
        <f>'C_L vs. α'!Y318</f>
        <v>0.10702619135747343</v>
      </c>
      <c r="D20" s="144">
        <v>-2</v>
      </c>
      <c r="E20" s="14">
        <f t="shared" si="0"/>
        <v>-0.10617629882976769</v>
      </c>
      <c r="F20" s="6">
        <f t="shared" si="1"/>
        <v>2.1527415993655364E-2</v>
      </c>
      <c r="G20" s="14">
        <f t="shared" si="2"/>
        <v>-0.10702619135747343</v>
      </c>
      <c r="H20" s="6">
        <f t="shared" si="3"/>
        <v>2.0125814662723659E-2</v>
      </c>
      <c r="I20" s="14">
        <f t="shared" si="4"/>
        <v>-0.10827596603248536</v>
      </c>
      <c r="J20" s="6">
        <f t="shared" si="5"/>
        <v>1.9428373531442972E-2</v>
      </c>
      <c r="K20" s="14">
        <f t="shared" si="6"/>
        <v>-0.10999475471990849</v>
      </c>
      <c r="L20" s="6">
        <f t="shared" si="7"/>
        <v>1.9000977588571114E-2</v>
      </c>
      <c r="M20" s="14">
        <f t="shared" si="8"/>
        <v>-0.11224080908914616</v>
      </c>
      <c r="N20" s="6">
        <f t="shared" si="9"/>
        <v>1.8722829164001066E-2</v>
      </c>
      <c r="O20" s="14">
        <f t="shared" si="10"/>
        <v>-0.11497295764335308</v>
      </c>
      <c r="P20" s="6">
        <f t="shared" si="11"/>
        <v>1.9031908223230268E-2</v>
      </c>
      <c r="Q20" s="14">
        <f t="shared" si="12"/>
        <v>-0.11850497732934001</v>
      </c>
      <c r="R20" s="6">
        <f t="shared" si="13"/>
        <v>1.8923997449535011E-2</v>
      </c>
      <c r="S20" s="14">
        <f t="shared" si="14"/>
        <v>-0.1228366665574135</v>
      </c>
      <c r="T20" s="6">
        <f t="shared" si="15"/>
        <v>1.8889822795267221E-2</v>
      </c>
      <c r="U20" s="14">
        <f t="shared" si="16"/>
        <v>-0.12812118936324013</v>
      </c>
      <c r="V20" s="6">
        <f t="shared" si="17"/>
        <v>1.8929176600525292E-2</v>
      </c>
      <c r="W20" s="14">
        <f t="shared" si="18"/>
        <v>-0.13456448145166092</v>
      </c>
      <c r="X20" s="6">
        <f t="shared" si="19"/>
        <v>1.9049281889024033E-2</v>
      </c>
      <c r="Y20" s="14">
        <f t="shared" si="20"/>
        <v>-0.14244719842978948</v>
      </c>
      <c r="Z20" s="6">
        <f t="shared" si="21"/>
        <v>1.9265640039363513E-2</v>
      </c>
      <c r="AA20" s="14">
        <f t="shared" si="22"/>
        <v>-0.15215800117074355</v>
      </c>
      <c r="AB20" s="6">
        <f t="shared" si="23"/>
        <v>1.9604915573663371E-2</v>
      </c>
      <c r="AC20" s="14">
        <f t="shared" si="24"/>
        <v>-0.16428651535437214</v>
      </c>
      <c r="AD20" s="6">
        <f t="shared" si="25"/>
        <v>2.0598246445358175E-2</v>
      </c>
      <c r="AE20" s="14">
        <f t="shared" si="26"/>
        <v>-0.17961674917801942</v>
      </c>
      <c r="AF20" s="6">
        <f t="shared" si="27"/>
        <v>2.1341405033248655E-2</v>
      </c>
      <c r="AG20" s="14">
        <f t="shared" si="28"/>
        <v>-0.19928732876558536</v>
      </c>
      <c r="AH20" s="6">
        <f t="shared" si="29"/>
        <v>2.2444065562215669E-2</v>
      </c>
      <c r="AI20" s="14">
        <f t="shared" si="30"/>
        <v>-0.22489018233336303</v>
      </c>
      <c r="AJ20">
        <f t="shared" si="31"/>
        <v>2.1167663817178738E-2</v>
      </c>
      <c r="AK20" s="14">
        <f t="shared" si="32"/>
        <v>-0.25910505921571858</v>
      </c>
      <c r="AL20">
        <f t="shared" si="33"/>
        <v>2.3472473575798063E-2</v>
      </c>
      <c r="AM20" s="14">
        <f t="shared" si="34"/>
        <v>-0.29781376377227053</v>
      </c>
      <c r="AN20">
        <f t="shared" si="35"/>
        <v>2.6066309790161654E-2</v>
      </c>
      <c r="AO20" s="14">
        <f t="shared" si="36"/>
        <v>-0.27306369282048071</v>
      </c>
      <c r="AP20">
        <f t="shared" si="37"/>
        <v>2.5065476976524125E-2</v>
      </c>
    </row>
    <row r="21" spans="1:42" s="29" customFormat="1" x14ac:dyDescent="0.25">
      <c r="A21" s="139">
        <v>0.15</v>
      </c>
      <c r="B21" s="259">
        <f>'Sub C_D_0'!BA13</f>
        <v>1.7542343711361104E-2</v>
      </c>
      <c r="C21" s="259">
        <f>'C_L vs. α'!Y319</f>
        <v>0.10827596603248536</v>
      </c>
      <c r="D21" s="143">
        <v>0</v>
      </c>
      <c r="E21" s="83">
        <f t="shared" si="0"/>
        <v>0.10617629882976769</v>
      </c>
      <c r="F21" s="21">
        <f t="shared" si="1"/>
        <v>2.0625543479000315E-2</v>
      </c>
      <c r="G21" s="83">
        <f t="shared" si="2"/>
        <v>0.10702619135747343</v>
      </c>
      <c r="H21" s="21">
        <f t="shared" si="3"/>
        <v>1.9209446211804738E-2</v>
      </c>
      <c r="I21" s="83">
        <f t="shared" si="4"/>
        <v>0.10827596603248536</v>
      </c>
      <c r="J21" s="21">
        <f t="shared" si="5"/>
        <v>1.8490478745821538E-2</v>
      </c>
      <c r="K21" s="83">
        <f t="shared" si="6"/>
        <v>0.10999475471990849</v>
      </c>
      <c r="L21" s="21">
        <f t="shared" si="7"/>
        <v>1.8033069903299687E-2</v>
      </c>
      <c r="M21" s="83">
        <f t="shared" si="8"/>
        <v>0.11224080908914616</v>
      </c>
      <c r="N21" s="21">
        <f t="shared" si="9"/>
        <v>1.7714989226002172E-2</v>
      </c>
      <c r="O21" s="83">
        <f t="shared" si="10"/>
        <v>0.11497295764335308</v>
      </c>
      <c r="P21" s="21">
        <f t="shared" si="11"/>
        <v>1.7974405744089445E-2</v>
      </c>
      <c r="Q21" s="83">
        <f t="shared" si="12"/>
        <v>0.11850497732934001</v>
      </c>
      <c r="R21" s="21">
        <f t="shared" si="13"/>
        <v>1.780052307738882E-2</v>
      </c>
      <c r="S21" s="83">
        <f t="shared" si="14"/>
        <v>0.1228366665574135</v>
      </c>
      <c r="T21" s="21">
        <f t="shared" si="15"/>
        <v>1.7682715063192245E-2</v>
      </c>
      <c r="U21" s="83">
        <f t="shared" si="16"/>
        <v>0.12812118936324013</v>
      </c>
      <c r="V21" s="21">
        <f t="shared" si="17"/>
        <v>1.7615973467417192E-2</v>
      </c>
      <c r="W21" s="83">
        <f t="shared" si="18"/>
        <v>0.13456448145166092</v>
      </c>
      <c r="X21" s="21">
        <f t="shared" si="19"/>
        <v>1.7600673915555681E-2</v>
      </c>
      <c r="Y21" s="83">
        <f t="shared" si="20"/>
        <v>0.14244719842978948</v>
      </c>
      <c r="Z21" s="21">
        <f t="shared" si="21"/>
        <v>1.7642343692123849E-2</v>
      </c>
      <c r="AA21" s="83">
        <f t="shared" si="22"/>
        <v>0.15215800117074355</v>
      </c>
      <c r="AB21" s="21">
        <f t="shared" si="23"/>
        <v>1.7752750988041292E-2</v>
      </c>
      <c r="AC21" s="83">
        <f t="shared" si="24"/>
        <v>0.16428651535437214</v>
      </c>
      <c r="AD21" s="21">
        <f t="shared" si="25"/>
        <v>1.8439041715175585E-2</v>
      </c>
      <c r="AE21" s="83">
        <f t="shared" si="26"/>
        <v>0.17961674917801942</v>
      </c>
      <c r="AF21" s="21">
        <f t="shared" si="27"/>
        <v>1.876043090642629E-2</v>
      </c>
      <c r="AG21" s="83">
        <f t="shared" si="28"/>
        <v>0.19928732876558536</v>
      </c>
      <c r="AH21" s="21">
        <f t="shared" si="29"/>
        <v>1.9266830409693868E-2</v>
      </c>
      <c r="AI21" s="83">
        <f t="shared" si="30"/>
        <v>0.22489018233336303</v>
      </c>
      <c r="AJ21" s="99">
        <f t="shared" si="31"/>
        <v>2.1167663817178738E-2</v>
      </c>
      <c r="AK21" s="83">
        <f t="shared" si="32"/>
        <v>0.25910505921571858</v>
      </c>
      <c r="AL21" s="99">
        <f t="shared" si="33"/>
        <v>2.3472473575798063E-2</v>
      </c>
      <c r="AM21" s="83">
        <f t="shared" si="34"/>
        <v>0.29781376377227053</v>
      </c>
      <c r="AN21" s="99">
        <f t="shared" si="35"/>
        <v>2.6066309790161654E-2</v>
      </c>
      <c r="AO21" s="83">
        <f t="shared" si="36"/>
        <v>0.27306369282048071</v>
      </c>
      <c r="AP21" s="99">
        <f t="shared" si="37"/>
        <v>2.5065476976524125E-2</v>
      </c>
    </row>
    <row r="22" spans="1:42" x14ac:dyDescent="0.25">
      <c r="A22" s="129">
        <v>0.2</v>
      </c>
      <c r="B22" s="259">
        <f>'Sub C_D_0'!BA14</f>
        <v>1.7054594278316567E-2</v>
      </c>
      <c r="C22" s="259">
        <f>'C_L vs. α'!Y320</f>
        <v>0.10999475471990849</v>
      </c>
      <c r="D22" s="144">
        <v>2</v>
      </c>
      <c r="E22" s="14">
        <f t="shared" si="0"/>
        <v>0.31852889648930305</v>
      </c>
      <c r="F22" s="6">
        <f t="shared" si="1"/>
        <v>2.8821171676024885E-2</v>
      </c>
      <c r="G22" s="14">
        <f t="shared" si="2"/>
        <v>0.3210785740724203</v>
      </c>
      <c r="H22" s="6">
        <f t="shared" si="3"/>
        <v>2.753680400703299E-2</v>
      </c>
      <c r="I22" s="14">
        <f t="shared" si="4"/>
        <v>0.3248278980974561</v>
      </c>
      <c r="J22" s="6">
        <f t="shared" si="5"/>
        <v>2.7013453807126449E-2</v>
      </c>
      <c r="K22" s="14">
        <f t="shared" si="6"/>
        <v>0.32998426415972548</v>
      </c>
      <c r="L22" s="6">
        <f t="shared" si="7"/>
        <v>2.6828782588436087E-2</v>
      </c>
      <c r="M22" s="14">
        <f t="shared" si="8"/>
        <v>0.33672242726743851</v>
      </c>
      <c r="N22" s="6">
        <f t="shared" si="9"/>
        <v>2.6873580135173492E-2</v>
      </c>
      <c r="O22" s="14">
        <f t="shared" si="10"/>
        <v>0.34491887293005924</v>
      </c>
      <c r="P22" s="6">
        <f t="shared" si="11"/>
        <v>2.7584297381362401E-2</v>
      </c>
      <c r="Q22" s="14">
        <f t="shared" si="12"/>
        <v>0.35551493198802003</v>
      </c>
      <c r="R22" s="6">
        <f t="shared" si="13"/>
        <v>2.800992417718565E-2</v>
      </c>
      <c r="S22" s="14">
        <f t="shared" si="14"/>
        <v>0.36850999967224052</v>
      </c>
      <c r="T22" s="6">
        <f t="shared" si="15"/>
        <v>2.8652121498229176E-2</v>
      </c>
      <c r="U22" s="14">
        <f t="shared" si="16"/>
        <v>0.38436356808972039</v>
      </c>
      <c r="V22" s="6">
        <f t="shared" si="17"/>
        <v>2.9549505592229994E-2</v>
      </c>
      <c r="W22" s="14">
        <f t="shared" si="18"/>
        <v>0.40369344435498278</v>
      </c>
      <c r="X22" s="6">
        <f t="shared" si="19"/>
        <v>3.0764676766150106E-2</v>
      </c>
      <c r="Y22" s="14">
        <f t="shared" si="20"/>
        <v>0.42734159528936844</v>
      </c>
      <c r="Z22" s="6">
        <f t="shared" si="21"/>
        <v>3.2393800355212096E-2</v>
      </c>
      <c r="AA22" s="14">
        <f t="shared" si="22"/>
        <v>0.45647400351223066</v>
      </c>
      <c r="AB22" s="6">
        <f t="shared" si="23"/>
        <v>3.4584012676130982E-2</v>
      </c>
      <c r="AC22" s="14">
        <f t="shared" si="24"/>
        <v>0.49285954606311644</v>
      </c>
      <c r="AD22" s="6">
        <f t="shared" si="25"/>
        <v>3.8060483639926625E-2</v>
      </c>
      <c r="AE22" s="14">
        <f t="shared" si="26"/>
        <v>0.5388502475340583</v>
      </c>
      <c r="AF22" s="6">
        <f t="shared" si="27"/>
        <v>4.2214637555208302E-2</v>
      </c>
      <c r="AG22" s="14">
        <f t="shared" si="28"/>
        <v>0.59786198629675602</v>
      </c>
      <c r="AH22" s="6">
        <f t="shared" si="29"/>
        <v>4.813946770759947E-2</v>
      </c>
      <c r="AI22" s="14">
        <f t="shared" si="30"/>
        <v>0.6746705470000891</v>
      </c>
      <c r="AJ22">
        <f t="shared" si="31"/>
        <v>6.1981547902312153E-2</v>
      </c>
      <c r="AK22" s="14">
        <f t="shared" si="32"/>
        <v>0.77731517764715574</v>
      </c>
      <c r="AL22">
        <f t="shared" si="33"/>
        <v>7.7649943481729891E-2</v>
      </c>
      <c r="AM22" s="14">
        <f t="shared" si="34"/>
        <v>0.8934412913168116</v>
      </c>
      <c r="AN22">
        <f t="shared" si="35"/>
        <v>9.764050345800955E-2</v>
      </c>
      <c r="AO22" s="14">
        <f t="shared" si="36"/>
        <v>0.81919107846144212</v>
      </c>
      <c r="AP22">
        <f t="shared" si="37"/>
        <v>8.52375331069746E-2</v>
      </c>
    </row>
    <row r="23" spans="1:42" x14ac:dyDescent="0.25">
      <c r="A23" s="139">
        <v>0.25</v>
      </c>
      <c r="B23" s="259">
        <f>'Sub C_D_0'!BA15</f>
        <v>1.6696145354605618E-2</v>
      </c>
      <c r="C23" s="259">
        <f>'C_L vs. α'!Y321</f>
        <v>0.11224080908914616</v>
      </c>
      <c r="D23" s="144">
        <v>4</v>
      </c>
      <c r="E23" s="14">
        <f t="shared" si="0"/>
        <v>0.53088149414883845</v>
      </c>
      <c r="F23" s="6">
        <f t="shared" si="1"/>
        <v>4.6114300584729082E-2</v>
      </c>
      <c r="G23" s="14">
        <f t="shared" si="2"/>
        <v>0.53513095678736722</v>
      </c>
      <c r="H23" s="6">
        <f t="shared" si="3"/>
        <v>4.5107888048408436E-2</v>
      </c>
      <c r="I23" s="14">
        <f t="shared" si="4"/>
        <v>0.54137983016242686</v>
      </c>
      <c r="J23" s="6">
        <f t="shared" si="5"/>
        <v>4.4997298715357702E-2</v>
      </c>
      <c r="K23" s="14">
        <f t="shared" si="6"/>
        <v>0.54997377359954247</v>
      </c>
      <c r="L23" s="6">
        <f t="shared" si="7"/>
        <v>4.5388115643980306E-2</v>
      </c>
      <c r="M23" s="14">
        <f t="shared" si="8"/>
        <v>0.56120404544573077</v>
      </c>
      <c r="N23" s="6">
        <f t="shared" si="9"/>
        <v>4.6198601891515013E-2</v>
      </c>
      <c r="O23" s="14">
        <f t="shared" si="10"/>
        <v>0.57486478821676545</v>
      </c>
      <c r="P23" s="6">
        <f t="shared" si="11"/>
        <v>4.7861583135049145E-2</v>
      </c>
      <c r="Q23" s="14">
        <f t="shared" si="12"/>
        <v>0.59252488664670011</v>
      </c>
      <c r="R23" s="6">
        <f t="shared" si="13"/>
        <v>4.9552200748925503E-2</v>
      </c>
      <c r="S23" s="14">
        <f t="shared" si="14"/>
        <v>0.61418333278706749</v>
      </c>
      <c r="T23" s="6">
        <f t="shared" si="15"/>
        <v>5.1798042100378014E-2</v>
      </c>
      <c r="U23" s="14">
        <f t="shared" si="16"/>
        <v>0.64060594681620064</v>
      </c>
      <c r="V23" s="6">
        <f t="shared" si="17"/>
        <v>5.4729772974963689E-2</v>
      </c>
      <c r="W23" s="14">
        <f t="shared" si="18"/>
        <v>0.67282240725830456</v>
      </c>
      <c r="X23" s="6">
        <f t="shared" si="19"/>
        <v>5.8541290440807303E-2</v>
      </c>
      <c r="Y23" s="14">
        <f t="shared" si="20"/>
        <v>0.71223599214894739</v>
      </c>
      <c r="Z23" s="6">
        <f t="shared" si="21"/>
        <v>6.3520010028628254E-2</v>
      </c>
      <c r="AA23" s="14">
        <f t="shared" si="22"/>
        <v>0.7607900058537177</v>
      </c>
      <c r="AB23" s="6">
        <f t="shared" si="23"/>
        <v>7.0098700637932401E-2</v>
      </c>
      <c r="AC23" s="14">
        <f t="shared" si="24"/>
        <v>0.82143257677186066</v>
      </c>
      <c r="AD23" s="6">
        <f t="shared" si="25"/>
        <v>7.9462572219611297E-2</v>
      </c>
      <c r="AE23" s="14">
        <f t="shared" si="26"/>
        <v>0.8980837458900971</v>
      </c>
      <c r="AF23" s="6">
        <f t="shared" si="27"/>
        <v>9.1704024979594706E-2</v>
      </c>
      <c r="AG23" s="14">
        <f t="shared" si="28"/>
        <v>0.99643664382792685</v>
      </c>
      <c r="AH23" s="6">
        <f t="shared" si="29"/>
        <v>0.10906197745593252</v>
      </c>
      <c r="AI23" s="14">
        <f t="shared" si="30"/>
        <v>1.1244509116668151</v>
      </c>
      <c r="AJ23">
        <f t="shared" si="31"/>
        <v>0.14360931607257899</v>
      </c>
      <c r="AK23" s="14">
        <f t="shared" si="32"/>
        <v>1.2955252960785928</v>
      </c>
      <c r="AL23">
        <f t="shared" si="33"/>
        <v>0.18600488329359352</v>
      </c>
      <c r="AM23" s="14">
        <f t="shared" si="34"/>
        <v>1.4890688188613526</v>
      </c>
      <c r="AN23">
        <f t="shared" si="35"/>
        <v>0.2407888907937053</v>
      </c>
      <c r="AO23" s="14">
        <f t="shared" si="36"/>
        <v>1.3653184641024034</v>
      </c>
      <c r="AP23">
        <f t="shared" si="37"/>
        <v>0.20558164536787552</v>
      </c>
    </row>
    <row r="24" spans="1:42" x14ac:dyDescent="0.25">
      <c r="A24" s="129">
        <v>0.3</v>
      </c>
      <c r="B24" s="259">
        <f>'Sub C_D_0'!BA16</f>
        <v>1.6905357099322928E-2</v>
      </c>
      <c r="C24" s="259">
        <f>'C_L vs. α'!Y322</f>
        <v>0.11497295764335308</v>
      </c>
      <c r="D24" s="144">
        <v>6</v>
      </c>
      <c r="E24" s="14">
        <f t="shared" si="0"/>
        <v>0.74323409180837385</v>
      </c>
      <c r="F24" s="6">
        <f t="shared" si="1"/>
        <v>7.2504930205112894E-2</v>
      </c>
      <c r="G24" s="14">
        <f t="shared" si="2"/>
        <v>0.74918333950231397</v>
      </c>
      <c r="H24" s="6">
        <f t="shared" si="3"/>
        <v>7.1922698335931026E-2</v>
      </c>
      <c r="I24" s="14">
        <f t="shared" si="4"/>
        <v>0.75793176222739755</v>
      </c>
      <c r="J24" s="6">
        <f t="shared" si="5"/>
        <v>7.2442013470515307E-2</v>
      </c>
      <c r="K24" s="14">
        <f t="shared" si="6"/>
        <v>0.76996328303935946</v>
      </c>
      <c r="L24" s="6">
        <f t="shared" si="7"/>
        <v>7.3711069069932356E-2</v>
      </c>
      <c r="M24" s="14">
        <f t="shared" si="8"/>
        <v>0.78568566362402315</v>
      </c>
      <c r="N24" s="6">
        <f t="shared" si="9"/>
        <v>7.5690054495026748E-2</v>
      </c>
      <c r="O24" s="14">
        <f t="shared" si="10"/>
        <v>0.8048107035034715</v>
      </c>
      <c r="P24" s="6">
        <f t="shared" si="11"/>
        <v>7.8806263005149646E-2</v>
      </c>
      <c r="Q24" s="14">
        <f t="shared" si="12"/>
        <v>0.82953484130538002</v>
      </c>
      <c r="R24" s="6">
        <f t="shared" si="13"/>
        <v>8.2427352792608363E-2</v>
      </c>
      <c r="S24" s="14">
        <f t="shared" si="14"/>
        <v>0.85985666590189447</v>
      </c>
      <c r="T24" s="6">
        <f t="shared" si="15"/>
        <v>8.7120476869638752E-2</v>
      </c>
      <c r="U24" s="14">
        <f t="shared" si="16"/>
        <v>0.8968483255426809</v>
      </c>
      <c r="V24" s="6">
        <f t="shared" si="17"/>
        <v>9.315677561561829E-2</v>
      </c>
      <c r="W24" s="14">
        <f t="shared" si="18"/>
        <v>0.94195137016162644</v>
      </c>
      <c r="X24" s="6">
        <f t="shared" si="19"/>
        <v>0.1009305149395273</v>
      </c>
      <c r="Y24" s="14">
        <f t="shared" si="20"/>
        <v>0.99713038900852635</v>
      </c>
      <c r="Z24" s="6">
        <f t="shared" si="21"/>
        <v>0.11102097271237232</v>
      </c>
      <c r="AA24" s="14">
        <f t="shared" si="22"/>
        <v>1.0651060081952048</v>
      </c>
      <c r="AB24" s="6">
        <f t="shared" si="23"/>
        <v>0.12429681487344563</v>
      </c>
      <c r="AC24" s="14">
        <f t="shared" si="24"/>
        <v>1.1500056074806049</v>
      </c>
      <c r="AD24" s="6">
        <f t="shared" si="25"/>
        <v>0.14264530745422957</v>
      </c>
      <c r="AE24" s="14">
        <f t="shared" si="26"/>
        <v>1.257317244246136</v>
      </c>
      <c r="AF24" s="6">
        <f t="shared" si="27"/>
        <v>0.16722859317958544</v>
      </c>
      <c r="AG24" s="14">
        <f t="shared" si="28"/>
        <v>1.3950113013590975</v>
      </c>
      <c r="AH24" s="6">
        <f t="shared" si="29"/>
        <v>0.20203435965469291</v>
      </c>
      <c r="AI24" s="14">
        <f t="shared" si="30"/>
        <v>1.5742312763335411</v>
      </c>
      <c r="AJ24">
        <f t="shared" si="31"/>
        <v>0.2660509683279792</v>
      </c>
      <c r="AK24" s="14">
        <f t="shared" si="32"/>
        <v>1.8137354145100302</v>
      </c>
      <c r="AL24">
        <f t="shared" si="33"/>
        <v>0.34853729301138914</v>
      </c>
      <c r="AM24" s="14">
        <f t="shared" si="34"/>
        <v>2.0846963464058939</v>
      </c>
      <c r="AN24">
        <f t="shared" si="35"/>
        <v>0.45551147179724916</v>
      </c>
      <c r="AO24" s="14">
        <f t="shared" si="36"/>
        <v>1.9114458497433651</v>
      </c>
      <c r="AP24">
        <f t="shared" si="37"/>
        <v>0.38609781375922703</v>
      </c>
    </row>
    <row r="25" spans="1:42" x14ac:dyDescent="0.25">
      <c r="A25" s="139">
        <v>0.35</v>
      </c>
      <c r="B25" s="259">
        <f>'Sub C_D_0'!BA17</f>
        <v>1.6664782236432491E-2</v>
      </c>
      <c r="C25" s="259">
        <f>'C_L vs. α'!Y323</f>
        <v>0.11850497732934001</v>
      </c>
      <c r="D25" s="144">
        <v>8</v>
      </c>
      <c r="E25" s="14">
        <f t="shared" si="0"/>
        <v>0.95558668946790915</v>
      </c>
      <c r="F25" s="6">
        <f t="shared" si="1"/>
        <v>0.10799306053717632</v>
      </c>
      <c r="G25" s="14">
        <f t="shared" si="2"/>
        <v>0.96323572221726095</v>
      </c>
      <c r="H25" s="6">
        <f t="shared" si="3"/>
        <v>0.10798123486960083</v>
      </c>
      <c r="I25" s="14">
        <f t="shared" si="4"/>
        <v>0.97448369429236825</v>
      </c>
      <c r="J25" s="6">
        <f t="shared" si="5"/>
        <v>0.10934759807259922</v>
      </c>
      <c r="K25" s="14">
        <f t="shared" si="6"/>
        <v>0.98995279247917645</v>
      </c>
      <c r="L25" s="6">
        <f t="shared" si="7"/>
        <v>0.11179764286629224</v>
      </c>
      <c r="M25" s="14">
        <f t="shared" si="8"/>
        <v>1.0101672818023155</v>
      </c>
      <c r="N25" s="6">
        <f t="shared" si="9"/>
        <v>0.11534793794570872</v>
      </c>
      <c r="O25" s="14">
        <f t="shared" si="10"/>
        <v>1.0347566187901778</v>
      </c>
      <c r="P25" s="6">
        <f t="shared" si="11"/>
        <v>0.12041833699166396</v>
      </c>
      <c r="Q25" s="14">
        <f t="shared" si="12"/>
        <v>1.0665447959640602</v>
      </c>
      <c r="R25" s="6">
        <f t="shared" si="13"/>
        <v>0.12663538030823426</v>
      </c>
      <c r="S25" s="14">
        <f t="shared" si="14"/>
        <v>1.1055299990167216</v>
      </c>
      <c r="T25" s="6">
        <f t="shared" si="15"/>
        <v>0.13461942580601141</v>
      </c>
      <c r="U25" s="14">
        <f t="shared" si="16"/>
        <v>1.1530907042691612</v>
      </c>
      <c r="V25" s="6">
        <f t="shared" si="17"/>
        <v>0.14483051351419379</v>
      </c>
      <c r="W25" s="14">
        <f t="shared" si="18"/>
        <v>1.2110803330649482</v>
      </c>
      <c r="X25" s="6">
        <f t="shared" si="19"/>
        <v>0.15793235026231003</v>
      </c>
      <c r="Y25" s="14">
        <f t="shared" si="20"/>
        <v>1.2820247858681053</v>
      </c>
      <c r="Z25" s="6">
        <f t="shared" si="21"/>
        <v>0.17489668840644429</v>
      </c>
      <c r="AA25" s="14">
        <f t="shared" si="22"/>
        <v>1.3694220105366919</v>
      </c>
      <c r="AB25" s="6">
        <f t="shared" si="23"/>
        <v>0.19717835538267056</v>
      </c>
      <c r="AC25" s="14">
        <f t="shared" si="24"/>
        <v>1.4785786381893493</v>
      </c>
      <c r="AD25" s="6">
        <f t="shared" si="25"/>
        <v>0.22760868934378153</v>
      </c>
      <c r="AE25" s="14">
        <f t="shared" si="26"/>
        <v>1.6165507426021748</v>
      </c>
      <c r="AF25" s="6">
        <f t="shared" si="27"/>
        <v>0.2687883421551806</v>
      </c>
      <c r="AG25" s="14">
        <f t="shared" si="28"/>
        <v>1.7935859588902683</v>
      </c>
      <c r="AH25" s="6">
        <f t="shared" si="29"/>
        <v>0.32705661430388083</v>
      </c>
      <c r="AI25" s="14">
        <f t="shared" si="30"/>
        <v>2.0240116410002673</v>
      </c>
      <c r="AJ25">
        <f t="shared" si="31"/>
        <v>0.42930650466851294</v>
      </c>
      <c r="AK25" s="14">
        <f t="shared" si="32"/>
        <v>2.3319455329414671</v>
      </c>
      <c r="AL25">
        <f t="shared" si="33"/>
        <v>0.56524717263511626</v>
      </c>
      <c r="AM25" s="14">
        <f t="shared" si="34"/>
        <v>2.6803238739504347</v>
      </c>
      <c r="AN25">
        <f t="shared" si="35"/>
        <v>0.74180824646864063</v>
      </c>
      <c r="AO25" s="14">
        <f t="shared" si="36"/>
        <v>2.4575732353843263</v>
      </c>
      <c r="AP25">
        <f t="shared" si="37"/>
        <v>0.62678603828102875</v>
      </c>
    </row>
    <row r="26" spans="1:42" x14ac:dyDescent="0.25">
      <c r="A26" s="129">
        <v>0.4</v>
      </c>
      <c r="B26" s="259">
        <f>'Sub C_D_0'!BA18</f>
        <v>1.6462427725321999E-2</v>
      </c>
      <c r="C26" s="259">
        <f>'C_L vs. α'!Y324</f>
        <v>0.1228366665574135</v>
      </c>
      <c r="D26" s="144">
        <v>10</v>
      </c>
      <c r="E26" s="14">
        <f t="shared" si="0"/>
        <v>1.1679392871274445</v>
      </c>
      <c r="F26" s="6">
        <f t="shared" si="1"/>
        <v>0.15257869158091936</v>
      </c>
      <c r="G26" s="14">
        <f t="shared" si="2"/>
        <v>1.1772881049322077</v>
      </c>
      <c r="H26" s="6">
        <f t="shared" si="3"/>
        <v>0.15328349764941776</v>
      </c>
      <c r="I26" s="14">
        <f t="shared" si="4"/>
        <v>1.191035626357339</v>
      </c>
      <c r="J26" s="6">
        <f t="shared" si="5"/>
        <v>0.1557140525216095</v>
      </c>
      <c r="K26" s="14">
        <f t="shared" si="6"/>
        <v>1.2099423019189934</v>
      </c>
      <c r="L26" s="6">
        <f t="shared" si="7"/>
        <v>0.15964783703305993</v>
      </c>
      <c r="M26" s="14">
        <f t="shared" si="8"/>
        <v>1.2346488999806078</v>
      </c>
      <c r="N26" s="6">
        <f t="shared" si="9"/>
        <v>0.16517225224356083</v>
      </c>
      <c r="O26" s="14">
        <f t="shared" si="10"/>
        <v>1.2647025340768838</v>
      </c>
      <c r="P26" s="6">
        <f t="shared" si="11"/>
        <v>0.17269780509459198</v>
      </c>
      <c r="Q26" s="14">
        <f t="shared" si="12"/>
        <v>1.3035547506227401</v>
      </c>
      <c r="R26" s="6">
        <f t="shared" si="13"/>
        <v>0.18217628329580315</v>
      </c>
      <c r="S26" s="14">
        <f t="shared" si="14"/>
        <v>1.3512033321315484</v>
      </c>
      <c r="T26" s="6">
        <f t="shared" si="15"/>
        <v>0.19429488890949592</v>
      </c>
      <c r="U26" s="14">
        <f t="shared" si="16"/>
        <v>1.4093330829956414</v>
      </c>
      <c r="V26" s="6">
        <f t="shared" si="17"/>
        <v>0.2097509866706902</v>
      </c>
      <c r="W26" s="14">
        <f t="shared" si="18"/>
        <v>1.48020929596827</v>
      </c>
      <c r="X26" s="6">
        <f t="shared" si="19"/>
        <v>0.22954679640915554</v>
      </c>
      <c r="Y26" s="14">
        <f t="shared" si="20"/>
        <v>1.5669191827276843</v>
      </c>
      <c r="Z26" s="6">
        <f t="shared" si="21"/>
        <v>0.25514715711084418</v>
      </c>
      <c r="AA26" s="14">
        <f t="shared" si="22"/>
        <v>1.6737380128781789</v>
      </c>
      <c r="AB26" s="6">
        <f t="shared" si="23"/>
        <v>0.28874332216560727</v>
      </c>
      <c r="AC26" s="14">
        <f t="shared" si="24"/>
        <v>1.8071516688980935</v>
      </c>
      <c r="AD26" s="6">
        <f t="shared" si="25"/>
        <v>0.33435271788826704</v>
      </c>
      <c r="AE26" s="14">
        <f t="shared" si="26"/>
        <v>1.9757842409582136</v>
      </c>
      <c r="AF26" s="6">
        <f t="shared" si="27"/>
        <v>0.39638327190638012</v>
      </c>
      <c r="AG26" s="14">
        <f t="shared" si="28"/>
        <v>2.1921606164214391</v>
      </c>
      <c r="AH26" s="6">
        <f t="shared" si="29"/>
        <v>0.48412874140349615</v>
      </c>
      <c r="AI26" s="14">
        <f t="shared" si="30"/>
        <v>2.4737920056669931</v>
      </c>
      <c r="AJ26">
        <f t="shared" si="31"/>
        <v>0.63337592509417995</v>
      </c>
      <c r="AK26" s="14">
        <f t="shared" si="32"/>
        <v>2.8501556513729045</v>
      </c>
      <c r="AL26">
        <f t="shared" si="33"/>
        <v>0.83613452216477557</v>
      </c>
      <c r="AM26" s="14">
        <f t="shared" si="34"/>
        <v>3.275951401494976</v>
      </c>
      <c r="AN26">
        <f t="shared" si="35"/>
        <v>1.0996792148078802</v>
      </c>
      <c r="AO26" s="14">
        <f t="shared" si="36"/>
        <v>3.0037006210252879</v>
      </c>
      <c r="AP26">
        <f t="shared" si="37"/>
        <v>0.92764631893328131</v>
      </c>
    </row>
    <row r="27" spans="1:42" x14ac:dyDescent="0.25">
      <c r="A27" s="139">
        <v>0.45</v>
      </c>
      <c r="B27" s="259">
        <f>'Sub C_D_0'!BA19</f>
        <v>1.6288432343454104E-2</v>
      </c>
      <c r="C27" s="259">
        <f>'C_L vs. α'!Y325</f>
        <v>0.12812118936324013</v>
      </c>
      <c r="D27" s="144">
        <v>12</v>
      </c>
      <c r="E27" s="14">
        <f t="shared" si="0"/>
        <v>1.3802918847869798</v>
      </c>
      <c r="F27" s="6">
        <f t="shared" si="1"/>
        <v>0.20626182333634202</v>
      </c>
      <c r="G27" s="14">
        <f t="shared" si="2"/>
        <v>1.3913404876471547</v>
      </c>
      <c r="H27" s="6">
        <f t="shared" si="3"/>
        <v>0.20782948667538192</v>
      </c>
      <c r="I27" s="14">
        <f t="shared" si="4"/>
        <v>1.4075875584223096</v>
      </c>
      <c r="J27" s="6">
        <f t="shared" si="5"/>
        <v>0.21154137681754609</v>
      </c>
      <c r="K27" s="14">
        <f t="shared" si="6"/>
        <v>1.4299318113588104</v>
      </c>
      <c r="L27" s="6">
        <f t="shared" si="7"/>
        <v>0.21726165157023547</v>
      </c>
      <c r="M27" s="14">
        <f t="shared" si="8"/>
        <v>1.4591305181589</v>
      </c>
      <c r="N27" s="6">
        <f t="shared" si="9"/>
        <v>0.2251629973885832</v>
      </c>
      <c r="O27" s="14">
        <f t="shared" si="10"/>
        <v>1.4946484493635901</v>
      </c>
      <c r="P27" s="6">
        <f t="shared" si="11"/>
        <v>0.23564466731393385</v>
      </c>
      <c r="Q27" s="14">
        <f t="shared" si="12"/>
        <v>1.5405647052814202</v>
      </c>
      <c r="R27" s="6">
        <f t="shared" si="13"/>
        <v>0.24905006175531511</v>
      </c>
      <c r="S27" s="14">
        <f t="shared" si="14"/>
        <v>1.5968766652463755</v>
      </c>
      <c r="T27" s="6">
        <f t="shared" si="15"/>
        <v>0.26614686618009242</v>
      </c>
      <c r="U27" s="14">
        <f t="shared" si="16"/>
        <v>1.6655754617221217</v>
      </c>
      <c r="V27" s="6">
        <f t="shared" si="17"/>
        <v>0.28791819508510752</v>
      </c>
      <c r="W27" s="14">
        <f t="shared" si="18"/>
        <v>1.749338258871592</v>
      </c>
      <c r="X27" s="6">
        <f t="shared" si="19"/>
        <v>0.31577385338006397</v>
      </c>
      <c r="Y27" s="14">
        <f t="shared" si="20"/>
        <v>1.8518135795872632</v>
      </c>
      <c r="Z27" s="6">
        <f t="shared" si="21"/>
        <v>0.351772378825572</v>
      </c>
      <c r="AA27" s="14">
        <f t="shared" si="22"/>
        <v>1.9780540152196662</v>
      </c>
      <c r="AB27" s="6">
        <f t="shared" si="23"/>
        <v>0.39899171522225574</v>
      </c>
      <c r="AC27" s="14">
        <f t="shared" si="24"/>
        <v>2.135724699606838</v>
      </c>
      <c r="AD27" s="6">
        <f t="shared" si="25"/>
        <v>0.46287739308768633</v>
      </c>
      <c r="AE27" s="14">
        <f t="shared" si="26"/>
        <v>2.3350177393142526</v>
      </c>
      <c r="AF27" s="6">
        <f t="shared" si="27"/>
        <v>0.55001338243318409</v>
      </c>
      <c r="AG27" s="14">
        <f t="shared" si="28"/>
        <v>2.5907352739526095</v>
      </c>
      <c r="AH27" s="6">
        <f t="shared" si="29"/>
        <v>0.67325074095353865</v>
      </c>
      <c r="AI27" s="14">
        <f t="shared" si="30"/>
        <v>2.9235723703337193</v>
      </c>
      <c r="AJ27">
        <f t="shared" si="31"/>
        <v>0.87825922960498037</v>
      </c>
      <c r="AK27" s="14">
        <f t="shared" si="32"/>
        <v>3.3683657698043414</v>
      </c>
      <c r="AL27">
        <f t="shared" si="33"/>
        <v>1.1611993416003663</v>
      </c>
      <c r="AM27" s="14">
        <f t="shared" si="34"/>
        <v>3.8715789290395168</v>
      </c>
      <c r="AN27">
        <f t="shared" si="35"/>
        <v>1.5291243768149676</v>
      </c>
      <c r="AO27" s="14">
        <f t="shared" si="36"/>
        <v>3.5498280066662491</v>
      </c>
      <c r="AP27">
        <f t="shared" si="37"/>
        <v>1.2886786557159839</v>
      </c>
    </row>
    <row r="28" spans="1:42" x14ac:dyDescent="0.25">
      <c r="A28" s="129">
        <v>0.5</v>
      </c>
      <c r="B28" s="259">
        <f>'Sub C_D_0'!BA20</f>
        <v>1.613624955591492E-2</v>
      </c>
      <c r="C28" s="259">
        <f>'C_L vs. α'!Y326</f>
        <v>0.13456448145166092</v>
      </c>
      <c r="D28" s="144">
        <v>14</v>
      </c>
      <c r="E28" s="14">
        <f t="shared" si="0"/>
        <v>1.5926444824465154</v>
      </c>
      <c r="F28" s="6">
        <f t="shared" si="1"/>
        <v>0.26904245580344438</v>
      </c>
      <c r="G28" s="14">
        <f t="shared" si="2"/>
        <v>1.6053928703621014</v>
      </c>
      <c r="H28" s="6">
        <f t="shared" si="3"/>
        <v>0.27161920194749323</v>
      </c>
      <c r="I28" s="14">
        <f t="shared" si="4"/>
        <v>1.6241394904872803</v>
      </c>
      <c r="J28" s="6">
        <f t="shared" si="5"/>
        <v>0.27682957096040905</v>
      </c>
      <c r="K28" s="14">
        <f t="shared" si="6"/>
        <v>1.6499213207986274</v>
      </c>
      <c r="L28" s="6">
        <f t="shared" si="7"/>
        <v>0.28463908647781877</v>
      </c>
      <c r="M28" s="14">
        <f t="shared" si="8"/>
        <v>1.6836121363371923</v>
      </c>
      <c r="N28" s="6">
        <f t="shared" si="9"/>
        <v>0.29532017338077576</v>
      </c>
      <c r="O28" s="14">
        <f t="shared" si="10"/>
        <v>1.7245943646502961</v>
      </c>
      <c r="P28" s="6">
        <f t="shared" si="11"/>
        <v>0.30925892364968943</v>
      </c>
      <c r="Q28" s="14">
        <f t="shared" si="12"/>
        <v>1.7775746599401001</v>
      </c>
      <c r="R28" s="6">
        <f t="shared" si="13"/>
        <v>0.32725671568676995</v>
      </c>
      <c r="S28" s="14">
        <f t="shared" si="14"/>
        <v>1.8425499983612026</v>
      </c>
      <c r="T28" s="6">
        <f t="shared" si="15"/>
        <v>0.35017535761780078</v>
      </c>
      <c r="U28" s="14">
        <f t="shared" si="16"/>
        <v>1.9218178404486019</v>
      </c>
      <c r="V28" s="6">
        <f t="shared" si="17"/>
        <v>0.37933213875744576</v>
      </c>
      <c r="W28" s="14">
        <f t="shared" si="18"/>
        <v>2.0184672217749138</v>
      </c>
      <c r="X28" s="6">
        <f t="shared" si="19"/>
        <v>0.41661352117503497</v>
      </c>
      <c r="Y28" s="14">
        <f t="shared" si="20"/>
        <v>2.136707976446842</v>
      </c>
      <c r="Z28" s="6">
        <f t="shared" si="21"/>
        <v>0.46477235355062757</v>
      </c>
      <c r="AA28" s="14">
        <f t="shared" si="22"/>
        <v>2.2823700175611532</v>
      </c>
      <c r="AB28" s="6">
        <f t="shared" si="23"/>
        <v>0.52792353455261598</v>
      </c>
      <c r="AC28" s="14">
        <f t="shared" si="24"/>
        <v>2.464297730315582</v>
      </c>
      <c r="AD28" s="6">
        <f t="shared" si="25"/>
        <v>0.61318271494203913</v>
      </c>
      <c r="AE28" s="14">
        <f t="shared" si="26"/>
        <v>2.6942512376702914</v>
      </c>
      <c r="AF28" s="6">
        <f t="shared" si="27"/>
        <v>0.72967867373559225</v>
      </c>
      <c r="AG28" s="14">
        <f t="shared" si="28"/>
        <v>2.9893099314837803</v>
      </c>
      <c r="AH28" s="6">
        <f t="shared" si="29"/>
        <v>0.89442261295400882</v>
      </c>
      <c r="AI28" s="14">
        <f t="shared" si="30"/>
        <v>3.3733527350004455</v>
      </c>
      <c r="AJ28">
        <f t="shared" si="31"/>
        <v>1.1639564182009143</v>
      </c>
      <c r="AK28" s="14">
        <f t="shared" si="32"/>
        <v>3.8865758882357788</v>
      </c>
      <c r="AL28">
        <f t="shared" si="33"/>
        <v>1.5404416309418894</v>
      </c>
      <c r="AM28" s="14">
        <f t="shared" si="34"/>
        <v>4.4672064565840577</v>
      </c>
      <c r="AN28">
        <f t="shared" si="35"/>
        <v>2.0301437324899023</v>
      </c>
      <c r="AO28" s="14">
        <f t="shared" si="36"/>
        <v>4.0959553923072107</v>
      </c>
      <c r="AP28">
        <f t="shared" si="37"/>
        <v>1.7098830486291374</v>
      </c>
    </row>
    <row r="29" spans="1:42" x14ac:dyDescent="0.25">
      <c r="A29" s="139">
        <v>0.55000000000000004</v>
      </c>
      <c r="B29" s="259">
        <f>'Sub C_D_0'!BA21</f>
        <v>1.6001323652642778E-2</v>
      </c>
      <c r="C29" s="259">
        <f>'C_L vs. α'!Y327</f>
        <v>0.14244719842978948</v>
      </c>
      <c r="D29" s="144">
        <v>16</v>
      </c>
      <c r="E29" s="14">
        <f t="shared" si="0"/>
        <v>1.8049970801060506</v>
      </c>
      <c r="F29" s="6">
        <f t="shared" si="1"/>
        <v>0.34092058898222627</v>
      </c>
      <c r="G29" s="14">
        <f t="shared" si="2"/>
        <v>1.8194452530770484</v>
      </c>
      <c r="H29" s="6">
        <f t="shared" si="3"/>
        <v>0.3446526434657517</v>
      </c>
      <c r="I29" s="14">
        <f t="shared" si="4"/>
        <v>1.8406914225522513</v>
      </c>
      <c r="J29" s="6">
        <f t="shared" si="5"/>
        <v>0.35157863495019848</v>
      </c>
      <c r="K29" s="14">
        <f t="shared" si="6"/>
        <v>1.8699108302384444</v>
      </c>
      <c r="L29" s="6">
        <f t="shared" si="7"/>
        <v>0.36178014175581003</v>
      </c>
      <c r="M29" s="14">
        <f t="shared" si="8"/>
        <v>1.9080937545154848</v>
      </c>
      <c r="N29" s="6">
        <f t="shared" si="9"/>
        <v>0.37564378022013856</v>
      </c>
      <c r="O29" s="14">
        <f t="shared" si="10"/>
        <v>1.9545402799370024</v>
      </c>
      <c r="P29" s="6">
        <f t="shared" si="11"/>
        <v>0.39354057410185894</v>
      </c>
      <c r="Q29" s="14">
        <f t="shared" si="12"/>
        <v>2.01458461459878</v>
      </c>
      <c r="R29" s="6">
        <f t="shared" si="13"/>
        <v>0.41679624509016788</v>
      </c>
      <c r="S29" s="14">
        <f t="shared" si="14"/>
        <v>2.0882233314760295</v>
      </c>
      <c r="T29" s="6">
        <f t="shared" si="15"/>
        <v>0.44638036322262103</v>
      </c>
      <c r="U29" s="14">
        <f t="shared" si="16"/>
        <v>2.178060219175082</v>
      </c>
      <c r="V29" s="6">
        <f t="shared" si="17"/>
        <v>0.48399281768770475</v>
      </c>
      <c r="W29" s="14">
        <f t="shared" si="18"/>
        <v>2.2875961846782356</v>
      </c>
      <c r="X29" s="6">
        <f>$B$28+$B$7*W29^2+$B$8*(W29-W$21)^2</f>
        <v>0.53206579979406876</v>
      </c>
      <c r="Y29" s="14">
        <f t="shared" si="20"/>
        <v>2.4216023733064214</v>
      </c>
      <c r="Z29" s="6">
        <f t="shared" si="21"/>
        <v>0.59414708128601146</v>
      </c>
      <c r="AA29" s="14">
        <f t="shared" si="22"/>
        <v>2.5866860199026402</v>
      </c>
      <c r="AB29" s="6">
        <f t="shared" si="23"/>
        <v>0.67553878015668811</v>
      </c>
      <c r="AC29" s="14">
        <f t="shared" si="24"/>
        <v>2.7928707610243264</v>
      </c>
      <c r="AD29" s="6">
        <f t="shared" si="25"/>
        <v>0.7852686834513255</v>
      </c>
      <c r="AE29" s="14">
        <f t="shared" si="26"/>
        <v>3.0534847360263302</v>
      </c>
      <c r="AF29" s="6">
        <f t="shared" si="27"/>
        <v>0.93537914581360482</v>
      </c>
      <c r="AG29" s="14">
        <f t="shared" si="28"/>
        <v>3.3878845890149512</v>
      </c>
      <c r="AH29" s="6">
        <f t="shared" si="29"/>
        <v>1.1476443574049064</v>
      </c>
      <c r="AI29" s="14">
        <f t="shared" si="30"/>
        <v>3.8231330996671713</v>
      </c>
      <c r="AJ29">
        <f t="shared" si="31"/>
        <v>1.4904674908819813</v>
      </c>
      <c r="AK29" s="14">
        <f t="shared" si="32"/>
        <v>4.4047860066672158</v>
      </c>
      <c r="AL29">
        <f t="shared" si="33"/>
        <v>1.9738613901893436</v>
      </c>
      <c r="AM29" s="14">
        <f t="shared" si="34"/>
        <v>5.0628339841285994</v>
      </c>
      <c r="AN29">
        <f t="shared" si="35"/>
        <v>2.6027372818326864</v>
      </c>
      <c r="AO29" s="14">
        <f>(D29-$B$12)*$C$37</f>
        <v>4.6420827779481719</v>
      </c>
      <c r="AP29">
        <f t="shared" si="37"/>
        <v>2.1912594976727409</v>
      </c>
    </row>
    <row r="30" spans="1:42" x14ac:dyDescent="0.25">
      <c r="A30" s="129">
        <v>0.6</v>
      </c>
      <c r="B30" s="259">
        <f>'Sub C_D_0'!BA22</f>
        <v>1.5880363850232844E-2</v>
      </c>
      <c r="C30" s="259">
        <f>'C_L vs. α'!Y328</f>
        <v>0.15215800117074355</v>
      </c>
    </row>
    <row r="31" spans="1:42" x14ac:dyDescent="0.25">
      <c r="A31" s="139">
        <v>0.65</v>
      </c>
      <c r="B31" s="259">
        <f>'Sub C_D_0'!BA23</f>
        <v>1.6256262065854527E-2</v>
      </c>
      <c r="C31" s="259">
        <f>'C_L vs. α'!Y329</f>
        <v>0.16428651535437214</v>
      </c>
    </row>
    <row r="32" spans="1:42" x14ac:dyDescent="0.25">
      <c r="A32" s="129">
        <v>0.7</v>
      </c>
      <c r="B32" s="259">
        <f>'Sub C_D_0'!BA24</f>
        <v>1.6151276841181332E-2</v>
      </c>
      <c r="C32" s="259">
        <f>'C_L vs. α'!Y330</f>
        <v>0.17961674917801942</v>
      </c>
    </row>
    <row r="33" spans="1:42" x14ac:dyDescent="0.25">
      <c r="A33" s="139">
        <v>0.75</v>
      </c>
      <c r="B33" s="259">
        <f>'Sub C_D_0'!BA25</f>
        <v>1.605490514152089E-2</v>
      </c>
      <c r="C33" s="259">
        <f>'C_L vs. α'!Y331</f>
        <v>0.19928732876558536</v>
      </c>
    </row>
    <row r="34" spans="1:42" x14ac:dyDescent="0.25">
      <c r="A34" s="129">
        <v>0.8</v>
      </c>
      <c r="B34" s="259">
        <f>'Sub C_D_0'!BA26</f>
        <v>1.6065928306537063E-2</v>
      </c>
      <c r="C34" s="259">
        <f>'C_L vs. α'!Y332</f>
        <v>0.22489018233336303</v>
      </c>
    </row>
    <row r="35" spans="1:42" x14ac:dyDescent="0.25">
      <c r="A35" s="139">
        <v>0.85</v>
      </c>
      <c r="B35" s="259">
        <f>'Sub C_D_0'!BA27</f>
        <v>1.6700289837556587E-2</v>
      </c>
      <c r="C35" s="259">
        <f>'C_L vs. α'!Y333</f>
        <v>0.25910505921571858</v>
      </c>
    </row>
    <row r="36" spans="1:42" x14ac:dyDescent="0.25">
      <c r="A36" s="129">
        <v>0.9</v>
      </c>
      <c r="B36" s="259">
        <f>'Sub C_D_0'!BA28</f>
        <v>1.7119535581680667E-2</v>
      </c>
      <c r="C36" s="259">
        <f>'C_L vs. α'!Y334</f>
        <v>0.29781376377227053</v>
      </c>
    </row>
    <row r="37" spans="1:42" x14ac:dyDescent="0.25">
      <c r="A37" s="139">
        <v>0.95</v>
      </c>
      <c r="B37" s="259">
        <f>'Sub C_D_0'!BA29</f>
        <v>1.7543969960217815E-2</v>
      </c>
      <c r="C37" s="259">
        <f>'C_L vs. α'!Y335</f>
        <v>0.27306369282048071</v>
      </c>
    </row>
    <row r="38" spans="1:42" x14ac:dyDescent="0.25">
      <c r="B38" s="11"/>
    </row>
    <row r="39" spans="1:42" x14ac:dyDescent="0.25">
      <c r="A39" s="122" t="s">
        <v>537</v>
      </c>
      <c r="B39" s="122" t="s">
        <v>289</v>
      </c>
    </row>
    <row r="40" spans="1:42" x14ac:dyDescent="0.25">
      <c r="A40" s="122" t="s">
        <v>202</v>
      </c>
      <c r="B40" s="143" t="s">
        <v>533</v>
      </c>
      <c r="C40" s="122" t="s">
        <v>538</v>
      </c>
      <c r="D40" s="122" t="s">
        <v>539</v>
      </c>
      <c r="E40" s="1" t="s">
        <v>536</v>
      </c>
      <c r="F40" s="140">
        <v>0.05</v>
      </c>
      <c r="G40" s="1" t="s">
        <v>536</v>
      </c>
      <c r="H40" s="140">
        <v>0.1</v>
      </c>
      <c r="I40" s="1" t="s">
        <v>536</v>
      </c>
      <c r="J40" s="140">
        <v>0.15</v>
      </c>
      <c r="K40" s="1" t="s">
        <v>536</v>
      </c>
      <c r="L40" s="140">
        <v>0.2</v>
      </c>
      <c r="M40" t="s">
        <v>536</v>
      </c>
      <c r="N40" s="141">
        <v>0.25</v>
      </c>
      <c r="O40" t="s">
        <v>536</v>
      </c>
      <c r="P40" s="141">
        <v>0.3</v>
      </c>
      <c r="Q40" t="s">
        <v>536</v>
      </c>
      <c r="R40" s="141">
        <v>0.35</v>
      </c>
      <c r="S40" t="s">
        <v>536</v>
      </c>
      <c r="T40" s="141">
        <v>0.4</v>
      </c>
      <c r="U40" t="s">
        <v>536</v>
      </c>
      <c r="V40" s="141">
        <v>0.45</v>
      </c>
      <c r="W40" t="s">
        <v>536</v>
      </c>
      <c r="X40" s="141">
        <v>0.5</v>
      </c>
      <c r="Y40" t="s">
        <v>536</v>
      </c>
      <c r="Z40" s="141">
        <v>0.55000000000000004</v>
      </c>
      <c r="AA40" t="s">
        <v>536</v>
      </c>
      <c r="AB40" s="141">
        <v>0.6</v>
      </c>
      <c r="AC40" t="s">
        <v>536</v>
      </c>
      <c r="AD40" s="141">
        <v>0.65</v>
      </c>
      <c r="AE40" t="s">
        <v>536</v>
      </c>
      <c r="AF40" s="141">
        <v>0.7</v>
      </c>
      <c r="AG40" t="s">
        <v>536</v>
      </c>
      <c r="AH40" s="141">
        <v>0.75</v>
      </c>
      <c r="AI40" t="s">
        <v>536</v>
      </c>
      <c r="AJ40" s="141">
        <v>0.8</v>
      </c>
      <c r="AK40" t="s">
        <v>536</v>
      </c>
      <c r="AL40" s="141">
        <v>0.85</v>
      </c>
      <c r="AM40" t="s">
        <v>536</v>
      </c>
      <c r="AN40" s="141">
        <v>0.9</v>
      </c>
      <c r="AO40" t="s">
        <v>536</v>
      </c>
      <c r="AP40" s="141">
        <v>0.95</v>
      </c>
    </row>
    <row r="41" spans="1:42" x14ac:dyDescent="0.25">
      <c r="A41" s="121" t="s">
        <v>182</v>
      </c>
      <c r="B41" s="121" t="s">
        <v>534</v>
      </c>
      <c r="C41" s="121" t="s">
        <v>535</v>
      </c>
      <c r="D41" s="121" t="s">
        <v>421</v>
      </c>
      <c r="E41" s="14" t="s">
        <v>244</v>
      </c>
      <c r="F41" s="6" t="s">
        <v>245</v>
      </c>
      <c r="G41" s="14" t="s">
        <v>244</v>
      </c>
      <c r="H41" s="6" t="s">
        <v>245</v>
      </c>
      <c r="I41" s="14" t="s">
        <v>244</v>
      </c>
      <c r="J41" s="6" t="s">
        <v>245</v>
      </c>
      <c r="K41" s="14" t="s">
        <v>244</v>
      </c>
      <c r="L41" s="6" t="s">
        <v>245</v>
      </c>
      <c r="M41" t="s">
        <v>244</v>
      </c>
      <c r="N41" t="s">
        <v>245</v>
      </c>
      <c r="O41" t="s">
        <v>244</v>
      </c>
      <c r="P41" t="s">
        <v>245</v>
      </c>
      <c r="Q41" t="s">
        <v>244</v>
      </c>
      <c r="R41" t="s">
        <v>245</v>
      </c>
      <c r="S41" t="s">
        <v>244</v>
      </c>
      <c r="T41" t="s">
        <v>245</v>
      </c>
      <c r="U41" t="s">
        <v>244</v>
      </c>
      <c r="V41" t="s">
        <v>245</v>
      </c>
      <c r="W41" t="s">
        <v>244</v>
      </c>
      <c r="X41" t="s">
        <v>245</v>
      </c>
      <c r="Y41" t="s">
        <v>244</v>
      </c>
      <c r="Z41" t="s">
        <v>245</v>
      </c>
      <c r="AA41" t="s">
        <v>244</v>
      </c>
      <c r="AB41" t="s">
        <v>245</v>
      </c>
      <c r="AC41" t="s">
        <v>244</v>
      </c>
      <c r="AD41" t="s">
        <v>245</v>
      </c>
      <c r="AE41" t="s">
        <v>244</v>
      </c>
      <c r="AF41" t="s">
        <v>245</v>
      </c>
      <c r="AG41" t="s">
        <v>244</v>
      </c>
      <c r="AH41" t="s">
        <v>245</v>
      </c>
      <c r="AI41" t="s">
        <v>244</v>
      </c>
      <c r="AJ41" t="s">
        <v>245</v>
      </c>
      <c r="AK41" t="s">
        <v>244</v>
      </c>
      <c r="AL41" t="s">
        <v>245</v>
      </c>
      <c r="AM41" t="s">
        <v>244</v>
      </c>
      <c r="AN41" t="s">
        <v>245</v>
      </c>
      <c r="AO41" t="s">
        <v>244</v>
      </c>
      <c r="AP41" t="s">
        <v>245</v>
      </c>
    </row>
    <row r="42" spans="1:42" x14ac:dyDescent="0.25">
      <c r="A42" s="129">
        <v>0</v>
      </c>
      <c r="B42" s="129" t="e">
        <f>'Sub C_D_0'!BA40</f>
        <v>#DIV/0!</v>
      </c>
      <c r="C42" s="129" t="e">
        <f>'C_L vs. α'!X341</f>
        <v>#NUM!</v>
      </c>
      <c r="D42" s="144">
        <v>-6</v>
      </c>
      <c r="E42" s="14">
        <f>(D42-$B$12)*$C$43</f>
        <v>-0.53100334484536704</v>
      </c>
      <c r="F42" s="6">
        <f>$B$43+$B$7*E42^2+$B$8*(E42-E$45)^2</f>
        <v>5.0207305548391999E-2</v>
      </c>
      <c r="G42" s="14">
        <f>(D42-$B$12)*$C$44</f>
        <v>-0.53525635758510981</v>
      </c>
      <c r="H42" s="6">
        <f>$B$44+$B$7*G42^2+$B$8*(G42-G$45)^2</f>
        <v>4.9326846711736788E-2</v>
      </c>
      <c r="I42" s="14">
        <f>(D42-$B$12)*$C$45</f>
        <v>-0.54150010204152876</v>
      </c>
      <c r="J42" s="6">
        <f>$B$45+$B$7*I42^2+$B$8*(I42-I$45)^2</f>
        <v>4.9350209809188611E-2</v>
      </c>
      <c r="K42" s="14">
        <f>(D42-$B$12)*$C$46</f>
        <v>-0.550087604438247</v>
      </c>
      <c r="L42" s="6">
        <f>$B$46+$B$7*K42^2+$B$8*(K42-K$45)^2</f>
        <v>4.9907903509058618E-2</v>
      </c>
      <c r="M42">
        <f>(D42-$B$12)*$C$47</f>
        <v>-0.56131101228311508</v>
      </c>
      <c r="N42" s="6">
        <f>$B$47+$B$7*M42^2+$B$8*(M42-M$45)^2</f>
        <v>5.0930111506585093E-2</v>
      </c>
      <c r="O42">
        <f>(D42-$B$12)*$C$48</f>
        <v>-0.57497046389781203</v>
      </c>
      <c r="P42" s="6">
        <f>$B$48+$B$7*O42^2+$B$8*(O42-O$45)^2</f>
        <v>5.2843877336630055E-2</v>
      </c>
      <c r="Q42">
        <f>(D42-$B$12)*$C$49</f>
        <v>-0.59262297425661759</v>
      </c>
      <c r="R42" s="6">
        <f>$B$49+$B$7*Q42^2+$B$8*(Q42-Q$45)^2</f>
        <v>5.4871969541578913E-2</v>
      </c>
      <c r="S42">
        <f>(D42-$B$12)*$C$50</f>
        <v>-0.61427207952508867</v>
      </c>
      <c r="T42" s="6">
        <f>$B$50+$B$7*S42^2+$B$8*(S42-S$45)^2</f>
        <v>5.7542035483790513E-2</v>
      </c>
      <c r="U42">
        <f>(D42-$B$12)*$C$51</f>
        <v>-0.64068283409378879</v>
      </c>
      <c r="V42" s="6">
        <f>$B$51+$B$7*U42^2+$B$8*(U42-U$45)^2</f>
        <v>6.1008951519648719E-2</v>
      </c>
      <c r="W42">
        <f>(D42-$B$12)*$C$52</f>
        <v>-0.67288369325524622</v>
      </c>
      <c r="X42" s="6">
        <f>$B$52+$B$7*W42^2+$B$8*(W42-W$45)^2</f>
        <v>6.5500836616074004E-2</v>
      </c>
      <c r="Y42">
        <f>(D42-$B$12)*$C$53</f>
        <v>-0.71227596544857497</v>
      </c>
      <c r="Z42" s="6">
        <f>$B$53+$B$7*Y42^2+$B$8*(Y42-Y$45)^2</f>
        <v>7.1354704063955887E-2</v>
      </c>
      <c r="AA42">
        <f>(D42-$B$12)*$C$54</f>
        <v>-0.76079967024701778</v>
      </c>
      <c r="AB42" s="6">
        <f>$B$54+$B$7*AA42^2+$B$8*(AA42-AA$45)^2</f>
        <v>7.9077128493503554E-2</v>
      </c>
      <c r="AC42">
        <f>(D42-$B$12)*$C$55</f>
        <v>-0.8213944139156214</v>
      </c>
      <c r="AD42" s="6">
        <f>$B$55+$B$7*AC42^2+$B$8*(AC42-AC$45)^2</f>
        <v>8.9964239674723279E-2</v>
      </c>
      <c r="AE42">
        <f>(D42-$B$12)*$C$56</f>
        <v>-0.89796892450603505</v>
      </c>
      <c r="AF42" s="6">
        <f>$B$56+$B$7*AE42^2+$B$8*(AE42-AE$45)^2</f>
        <v>0.10430220244493967</v>
      </c>
      <c r="AG42">
        <f>(D42-$B$12)*$C$57</f>
        <v>-0.99619284210460901</v>
      </c>
      <c r="AH42" s="6">
        <f>$B$57+$B$7*AG42^2+$B$8*(AG42-AG$45)^2</f>
        <v>0.12461391366294723</v>
      </c>
      <c r="AI42">
        <f>(D42-$B$12)*$C$58</f>
        <v>-1.1239705058961678</v>
      </c>
      <c r="AJ42">
        <f>$B$58+$B$9*AI42^2</f>
        <v>0.14322226716352912</v>
      </c>
      <c r="AK42">
        <f>(D42-$B$12)*$C$59</f>
        <v>-1.2945003459690043</v>
      </c>
      <c r="AL42">
        <f>$B$59+$B$9*AK42^2</f>
        <v>0.18545493408103897</v>
      </c>
      <c r="AM42">
        <f>(D42-$B$12)*$C$60</f>
        <v>-1.4866977366038343</v>
      </c>
      <c r="AN42">
        <f>$B$60+$B$9*AM42^2</f>
        <v>0.23979752887620936</v>
      </c>
      <c r="AO42">
        <f>(D42-$B$12)*$C$61</f>
        <v>-1.3575580343821179</v>
      </c>
      <c r="AP42">
        <f>$B$61+$B$9*AO42^2</f>
        <v>0.20317287577700457</v>
      </c>
    </row>
    <row r="43" spans="1:42" x14ac:dyDescent="0.25">
      <c r="A43" s="139">
        <v>0.05</v>
      </c>
      <c r="B43" s="259">
        <f>'Sub C_D_0'!BA41</f>
        <v>1.9283275604889853E-2</v>
      </c>
      <c r="C43" s="259">
        <f>'C_L vs. α'!X342</f>
        <v>0.10620066896907342</v>
      </c>
      <c r="D43" s="144">
        <v>-4</v>
      </c>
      <c r="E43" s="14">
        <f t="shared" ref="E43:E52" si="38">(D43-$B$12)*$C$43</f>
        <v>-0.31860200690722024</v>
      </c>
      <c r="F43" s="6">
        <f t="shared" ref="F43:F53" si="39">$B$43+$B$7*E43^2+$B$8*(E43-E$45)^2</f>
        <v>3.1101664175590932E-2</v>
      </c>
      <c r="G43" s="14">
        <f t="shared" ref="G43:G53" si="40">(D43-$B$12)*$C$44</f>
        <v>-0.3211538145510659</v>
      </c>
      <c r="H43" s="6">
        <f t="shared" ref="H43:H53" si="41">$B$44+$B$7*G43^2+$B$8*(G43-G$45)^2</f>
        <v>2.9913930650048152E-2</v>
      </c>
      <c r="I43" s="14">
        <f t="shared" ref="I43:I53" si="42">(D43-$B$12)*$C$45</f>
        <v>-0.32490006122491727</v>
      </c>
      <c r="J43" s="6">
        <f t="shared" ref="J43:J53" si="43">$B$45+$B$7*I43^2+$B$8*(I43-I$45)^2</f>
        <v>2.9481750394826131E-2</v>
      </c>
      <c r="K43" s="14">
        <f t="shared" ref="K43:K53" si="44">(D43-$B$12)*$C$46</f>
        <v>-0.33005256266294825</v>
      </c>
      <c r="L43" s="6">
        <f t="shared" ref="L43:L53" si="45">$B$46+$B$7*K43^2+$B$8*(K43-K$45)^2</f>
        <v>2.94042702370352E-2</v>
      </c>
      <c r="M43">
        <f t="shared" ref="M43:M53" si="46">(D43-$B$12)*$C$47</f>
        <v>-0.33678660736986904</v>
      </c>
      <c r="N43" s="6">
        <f t="shared" ref="N43:N53" si="47">$B$47+$B$7*M43^2+$B$8*(M43-M$45)^2</f>
        <v>2.9581273921099112E-2</v>
      </c>
      <c r="O43">
        <f t="shared" ref="O43:O53" si="48">(D43-$B$12)*$C$48</f>
        <v>-0.34498227833868722</v>
      </c>
      <c r="P43" s="6">
        <f t="shared" ref="P43:P53" si="49">$B$48+$B$7*O43^2+$B$8*(O43-O$45)^2</f>
        <v>3.0443353251818107E-2</v>
      </c>
      <c r="Q43">
        <f t="shared" ref="Q43:Q53" si="50">(D43-$B$12)*$C$49</f>
        <v>-0.3555737845539706</v>
      </c>
      <c r="R43" s="6">
        <f t="shared" ref="R43:R53" si="51">$B$49+$B$7*Q43^2+$B$8*(Q43-Q$45)^2</f>
        <v>3.1074867353383055E-2</v>
      </c>
      <c r="S43">
        <f t="shared" ref="S43:S53" si="52">(D43-$B$12)*$C$50</f>
        <v>-0.36856324771505317</v>
      </c>
      <c r="T43" s="6">
        <f t="shared" ref="T43:T53" si="53">$B$50+$B$7*S43^2+$B$8*(S43-S$45)^2</f>
        <v>3.1974512233687039E-2</v>
      </c>
      <c r="U43">
        <f t="shared" ref="U43:U53" si="54">(D43-$B$12)*$C$51</f>
        <v>-0.38440970045627332</v>
      </c>
      <c r="V43" s="6">
        <f t="shared" ref="V43:V53" si="55">$B$51+$B$7*U43^2+$B$8*(U43-U$45)^2</f>
        <v>3.3195602604103674E-2</v>
      </c>
      <c r="W43">
        <f t="shared" ref="W43:W53" si="56">(D43-$B$12)*$C$52</f>
        <v>-0.40373021595314773</v>
      </c>
      <c r="X43" s="6">
        <f t="shared" ref="X43:X53" si="57">$B$52+$B$7*W43^2+$B$8*(W43-W$45)^2</f>
        <v>3.4821418708997597E-2</v>
      </c>
      <c r="Y43">
        <f t="shared" ref="Y43:Y53" si="58">(D43-$B$12)*$C$53</f>
        <v>-0.42736557926914498</v>
      </c>
      <c r="Z43" s="6">
        <f t="shared" ref="Z43:Z53" si="59">$B$53+$B$7*Y43^2+$B$8*(Y43-Y$45)^2</f>
        <v>3.6978043331978711E-2</v>
      </c>
      <c r="AA43">
        <f t="shared" ref="AA43:AA53" si="60">(D43-$B$12)*$C$54</f>
        <v>-0.45647980214821071</v>
      </c>
      <c r="AB43" s="6">
        <f t="shared" ref="AB43:AB53" si="61">$B$54+$B$7*AA43^2+$B$8*(AA43-AA$45)^2</f>
        <v>3.9857114947752965E-2</v>
      </c>
      <c r="AC43">
        <f t="shared" ref="AC43:AC53" si="62">(D43-$B$12)*$C$55</f>
        <v>-0.4928366483493728</v>
      </c>
      <c r="AD43" s="6">
        <f t="shared" ref="AD43:AD53" si="63">$B$55+$B$7*AC43^2+$B$8*(AC43-AC$45)^2</f>
        <v>4.4247989784337582E-2</v>
      </c>
      <c r="AE43">
        <f t="shared" ref="AE43:AE53" si="64">(D43-$B$12)*$C$56</f>
        <v>-0.53878135470362098</v>
      </c>
      <c r="AF43" s="6">
        <f t="shared" ref="AF43:AF53" si="65">$B$56+$B$7*AE43^2+$B$8*(AE43-AE$45)^2</f>
        <v>4.9664840387718068E-2</v>
      </c>
      <c r="AG43">
        <f t="shared" ref="AG43:AG53" si="66">(D43-$B$12)*$C$57</f>
        <v>-0.59771570526276541</v>
      </c>
      <c r="AH43" s="6">
        <f t="shared" ref="AH43:AH53" si="67">$B$57+$B$7*AG43^2+$B$8*(AG43-AG$45)^2</f>
        <v>5.7369851381473838E-2</v>
      </c>
      <c r="AI43">
        <f t="shared" ref="AI43:AI53" si="68">(D43-$B$12)*$C$58</f>
        <v>-0.67438230353770057</v>
      </c>
      <c r="AJ43">
        <f t="shared" ref="AJ43:AJ53" si="69">$B$58+$B$9*AI43^2</f>
        <v>6.166423271584124E-2</v>
      </c>
      <c r="AK43">
        <f t="shared" ref="AK43:AK53" si="70">(D43-$B$12)*$C$59</f>
        <v>-0.77670020758140268</v>
      </c>
      <c r="AL43">
        <f t="shared" ref="AL43:AL53" si="71">$B$59+$B$9*AK43^2</f>
        <v>7.7271375678776205E-2</v>
      </c>
      <c r="AM43">
        <f t="shared" ref="AM43:AM53" si="72">(D43-$B$12)*$C$60</f>
        <v>-0.89201864196230052</v>
      </c>
      <c r="AN43">
        <f t="shared" ref="AN43:AN53" si="73">$B$60+$B$9*AM43^2</f>
        <v>9.710465624373317E-2</v>
      </c>
      <c r="AO43">
        <f t="shared" ref="AO43:AO53" si="74">(D43-$B$12)*$C$61</f>
        <v>-0.81453482062927063</v>
      </c>
      <c r="AP43">
        <f t="shared" ref="AP43:AP53" si="75">$B$61+$B$9*AO43^2</f>
        <v>8.4192940237311886E-2</v>
      </c>
    </row>
    <row r="44" spans="1:42" x14ac:dyDescent="0.25">
      <c r="A44" s="129">
        <v>0.1</v>
      </c>
      <c r="B44" s="259">
        <f>'Sub C_D_0'!BA42</f>
        <v>1.790546776567423E-2</v>
      </c>
      <c r="C44" s="259">
        <f>'C_L vs. α'!X343</f>
        <v>0.10705127151702197</v>
      </c>
      <c r="D44" s="144">
        <v>-2</v>
      </c>
      <c r="E44" s="14">
        <f t="shared" si="38"/>
        <v>-0.10620066896907342</v>
      </c>
      <c r="F44" s="6">
        <f t="shared" si="39"/>
        <v>2.1097700205611251E-2</v>
      </c>
      <c r="G44" s="14">
        <f t="shared" si="40"/>
        <v>-0.10705127151702197</v>
      </c>
      <c r="H44" s="6">
        <f t="shared" si="41"/>
        <v>1.9749073629867383E-2</v>
      </c>
      <c r="I44" s="14">
        <f t="shared" si="42"/>
        <v>-0.10830002040830576</v>
      </c>
      <c r="J44" s="6">
        <f t="shared" si="43"/>
        <v>1.907836491082731E-2</v>
      </c>
      <c r="K44" s="14">
        <f t="shared" si="44"/>
        <v>-0.11001752088764941</v>
      </c>
      <c r="L44" s="6">
        <f t="shared" si="45"/>
        <v>1.8668299404932909E-2</v>
      </c>
      <c r="M44">
        <f t="shared" si="46"/>
        <v>-0.11226220245662301</v>
      </c>
      <c r="N44" s="6">
        <f t="shared" si="47"/>
        <v>1.8402743044339649E-2</v>
      </c>
      <c r="O44">
        <f t="shared" si="48"/>
        <v>-0.11499409277956241</v>
      </c>
      <c r="P44" s="6">
        <f t="shared" si="49"/>
        <v>1.8714145554444356E-2</v>
      </c>
      <c r="Q44">
        <f t="shared" si="50"/>
        <v>-0.11852459485132352</v>
      </c>
      <c r="R44" s="6">
        <f t="shared" si="51"/>
        <v>1.8614393075898301E-2</v>
      </c>
      <c r="S44">
        <f t="shared" si="52"/>
        <v>-0.12285441590501772</v>
      </c>
      <c r="T44" s="6">
        <f t="shared" si="53"/>
        <v>1.8587022308340778E-2</v>
      </c>
      <c r="U44">
        <f t="shared" si="54"/>
        <v>-0.12813656681875776</v>
      </c>
      <c r="V44" s="6">
        <f t="shared" si="55"/>
        <v>1.8632168956087228E-2</v>
      </c>
      <c r="W44">
        <f t="shared" si="56"/>
        <v>-0.13457673865104924</v>
      </c>
      <c r="X44" s="6">
        <f t="shared" si="57"/>
        <v>1.8757273812021288E-2</v>
      </c>
      <c r="Y44">
        <f t="shared" si="58"/>
        <v>-0.14245519308971499</v>
      </c>
      <c r="Z44" s="6">
        <f t="shared" si="59"/>
        <v>1.8977973684461011E-2</v>
      </c>
      <c r="AA44">
        <f t="shared" si="60"/>
        <v>-0.15215993404940356</v>
      </c>
      <c r="AB44" s="6">
        <f t="shared" si="61"/>
        <v>1.9321002353680915E-2</v>
      </c>
      <c r="AC44">
        <f t="shared" si="62"/>
        <v>-0.16427888278312427</v>
      </c>
      <c r="AD44" s="6">
        <f t="shared" si="63"/>
        <v>2.031036278600588E-2</v>
      </c>
      <c r="AE44">
        <f t="shared" si="64"/>
        <v>-0.179593784901207</v>
      </c>
      <c r="AF44" s="6">
        <f t="shared" si="65"/>
        <v>2.1056002256101634E-2</v>
      </c>
      <c r="AG44">
        <f t="shared" si="66"/>
        <v>-0.1992385684209218</v>
      </c>
      <c r="AH44" s="6">
        <f t="shared" si="67"/>
        <v>2.2159979954880393E-2</v>
      </c>
      <c r="AI44">
        <f t="shared" si="68"/>
        <v>-0.22479410117923354</v>
      </c>
      <c r="AJ44">
        <f t="shared" si="69"/>
        <v>2.0885215491997323E-2</v>
      </c>
      <c r="AK44">
        <f t="shared" si="70"/>
        <v>-0.25890006919380087</v>
      </c>
      <c r="AL44">
        <f t="shared" si="71"/>
        <v>2.3179596477644816E-2</v>
      </c>
      <c r="AM44">
        <f t="shared" si="72"/>
        <v>-0.29733954732076684</v>
      </c>
      <c r="AN44">
        <f t="shared" si="73"/>
        <v>2.5758219927495059E-2</v>
      </c>
      <c r="AO44">
        <f t="shared" si="74"/>
        <v>-0.27151160687642356</v>
      </c>
      <c r="AP44">
        <f t="shared" si="75"/>
        <v>2.470297246746557E-2</v>
      </c>
    </row>
    <row r="45" spans="1:42" s="29" customFormat="1" x14ac:dyDescent="0.25">
      <c r="A45" s="139">
        <v>0.15</v>
      </c>
      <c r="B45" s="259">
        <f>'Sub C_D_0'!BA43</f>
        <v>1.7191497004305487E-2</v>
      </c>
      <c r="C45" s="259">
        <f>'C_L vs. α'!X344</f>
        <v>0.10830002040830576</v>
      </c>
      <c r="D45" s="143">
        <v>0</v>
      </c>
      <c r="E45" s="83">
        <f t="shared" si="38"/>
        <v>0.10620066896907342</v>
      </c>
      <c r="F45" s="21">
        <f t="shared" si="39"/>
        <v>2.0195413638452953E-2</v>
      </c>
      <c r="G45" s="83">
        <f t="shared" si="40"/>
        <v>0.10705127151702197</v>
      </c>
      <c r="H45" s="21">
        <f t="shared" si="41"/>
        <v>1.883227565119449E-2</v>
      </c>
      <c r="I45" s="83">
        <f t="shared" si="42"/>
        <v>0.10830002040830576</v>
      </c>
      <c r="J45" s="21">
        <f t="shared" si="43"/>
        <v>1.8140053357192154E-2</v>
      </c>
      <c r="K45" s="83">
        <f t="shared" si="44"/>
        <v>0.11001752088764941</v>
      </c>
      <c r="L45" s="21">
        <f t="shared" si="45"/>
        <v>1.769999101275176E-2</v>
      </c>
      <c r="M45" s="99">
        <f t="shared" si="46"/>
        <v>0.11226220245662301</v>
      </c>
      <c r="N45" s="21">
        <f t="shared" si="47"/>
        <v>1.7394518876306705E-2</v>
      </c>
      <c r="O45" s="99">
        <f t="shared" si="48"/>
        <v>0.11499409277956241</v>
      </c>
      <c r="P45" s="21">
        <f t="shared" si="49"/>
        <v>1.7656254244508788E-2</v>
      </c>
      <c r="Q45" s="99">
        <f t="shared" si="50"/>
        <v>0.11852459485132352</v>
      </c>
      <c r="R45" s="21">
        <f t="shared" si="51"/>
        <v>1.7490546709124671E-2</v>
      </c>
      <c r="S45" s="99">
        <f t="shared" si="52"/>
        <v>0.12285441590501772</v>
      </c>
      <c r="T45" s="21">
        <f t="shared" si="53"/>
        <v>1.7379565707751732E-2</v>
      </c>
      <c r="U45" s="99">
        <f t="shared" si="54"/>
        <v>0.12813656681875776</v>
      </c>
      <c r="V45" s="21">
        <f t="shared" si="55"/>
        <v>1.7318650575599389E-2</v>
      </c>
      <c r="W45" s="99">
        <f t="shared" si="56"/>
        <v>0.13457673865104924</v>
      </c>
      <c r="X45" s="21">
        <f t="shared" si="57"/>
        <v>1.7308401925145062E-2</v>
      </c>
      <c r="Y45" s="99">
        <f t="shared" si="58"/>
        <v>0.14245519308971499</v>
      </c>
      <c r="Z45" s="21">
        <f t="shared" si="59"/>
        <v>1.7354495121402771E-2</v>
      </c>
      <c r="AA45" s="99">
        <f t="shared" si="60"/>
        <v>0.15215993404940356</v>
      </c>
      <c r="AB45" s="21">
        <f t="shared" si="61"/>
        <v>1.7468790711287409E-2</v>
      </c>
      <c r="AC45" s="99">
        <f t="shared" si="62"/>
        <v>0.16427888278312427</v>
      </c>
      <c r="AD45" s="21">
        <f t="shared" si="63"/>
        <v>1.8151358679728162E-2</v>
      </c>
      <c r="AE45" s="99">
        <f t="shared" si="64"/>
        <v>0.179593784901207</v>
      </c>
      <c r="AF45" s="21">
        <f t="shared" si="65"/>
        <v>1.8475688050090353E-2</v>
      </c>
      <c r="AG45" s="99">
        <f t="shared" si="66"/>
        <v>0.1992385684209218</v>
      </c>
      <c r="AH45" s="21">
        <f t="shared" si="67"/>
        <v>1.8984299383166925E-2</v>
      </c>
      <c r="AI45" s="99">
        <f t="shared" si="68"/>
        <v>0.22479410117923354</v>
      </c>
      <c r="AJ45" s="99">
        <f t="shared" si="69"/>
        <v>2.0885215491997323E-2</v>
      </c>
      <c r="AK45" s="99">
        <f t="shared" si="70"/>
        <v>0.25890006919380087</v>
      </c>
      <c r="AL45" s="99">
        <f t="shared" si="71"/>
        <v>2.3179596477644816E-2</v>
      </c>
      <c r="AM45" s="99">
        <f t="shared" si="72"/>
        <v>0.29733954732076684</v>
      </c>
      <c r="AN45" s="99">
        <f t="shared" si="73"/>
        <v>2.5758219927495059E-2</v>
      </c>
      <c r="AO45" s="99">
        <f t="shared" si="74"/>
        <v>0.27151160687642356</v>
      </c>
      <c r="AP45" s="99">
        <f t="shared" si="75"/>
        <v>2.470297246746557E-2</v>
      </c>
    </row>
    <row r="46" spans="1:42" x14ac:dyDescent="0.25">
      <c r="A46" s="129">
        <v>0.2</v>
      </c>
      <c r="B46" s="259">
        <f>'Sub C_D_0'!BA44</f>
        <v>1.6721110305806905E-2</v>
      </c>
      <c r="C46" s="259">
        <f>'C_L vs. α'!X345</f>
        <v>0.11001752088764941</v>
      </c>
      <c r="D46" s="144">
        <v>2</v>
      </c>
      <c r="E46" s="14">
        <f t="shared" si="38"/>
        <v>0.31860200690722024</v>
      </c>
      <c r="F46" s="6">
        <f t="shared" si="39"/>
        <v>2.8394804474116041E-2</v>
      </c>
      <c r="G46" s="14">
        <f t="shared" si="40"/>
        <v>0.3211538145510659</v>
      </c>
      <c r="H46" s="6">
        <f t="shared" si="41"/>
        <v>2.7163536714029473E-2</v>
      </c>
      <c r="I46" s="14">
        <f t="shared" si="42"/>
        <v>0.32490006122491727</v>
      </c>
      <c r="J46" s="6">
        <f t="shared" si="43"/>
        <v>2.6666815733920664E-2</v>
      </c>
      <c r="K46" s="14">
        <f t="shared" si="44"/>
        <v>0.33005256266294825</v>
      </c>
      <c r="L46" s="6">
        <f t="shared" si="45"/>
        <v>2.6499345060491751E-2</v>
      </c>
      <c r="M46">
        <f t="shared" si="46"/>
        <v>0.33678660736986904</v>
      </c>
      <c r="N46" s="6">
        <f t="shared" si="47"/>
        <v>2.6556601417000274E-2</v>
      </c>
      <c r="O46">
        <f t="shared" si="48"/>
        <v>0.34498227833868722</v>
      </c>
      <c r="P46" s="6">
        <f t="shared" si="49"/>
        <v>2.7269679322011402E-2</v>
      </c>
      <c r="Q46">
        <f t="shared" si="50"/>
        <v>0.3555737845539706</v>
      </c>
      <c r="R46" s="6">
        <f t="shared" si="51"/>
        <v>2.7703328253062161E-2</v>
      </c>
      <c r="S46">
        <f t="shared" si="52"/>
        <v>0.36856324771505317</v>
      </c>
      <c r="T46" s="6">
        <f t="shared" si="53"/>
        <v>2.8352142431919899E-2</v>
      </c>
      <c r="U46">
        <f t="shared" si="54"/>
        <v>0.38440970045627332</v>
      </c>
      <c r="V46" s="6">
        <f t="shared" si="55"/>
        <v>2.9255047462640158E-2</v>
      </c>
      <c r="W46">
        <f t="shared" si="56"/>
        <v>0.40373021595314773</v>
      </c>
      <c r="X46" s="6">
        <f t="shared" si="57"/>
        <v>3.0474803048368925E-2</v>
      </c>
      <c r="Y46">
        <f t="shared" si="58"/>
        <v>0.42736557926914498</v>
      </c>
      <c r="Z46" s="6">
        <f t="shared" si="59"/>
        <v>3.2107607642803994E-2</v>
      </c>
      <c r="AA46">
        <f t="shared" si="60"/>
        <v>0.45647980214821071</v>
      </c>
      <c r="AB46" s="6">
        <f t="shared" si="61"/>
        <v>3.4300480020572441E-2</v>
      </c>
      <c r="AC46">
        <f t="shared" si="62"/>
        <v>0.4928366483493728</v>
      </c>
      <c r="AD46" s="6">
        <f t="shared" si="63"/>
        <v>3.7770977465504424E-2</v>
      </c>
      <c r="AE46">
        <f t="shared" si="64"/>
        <v>0.53878135470362098</v>
      </c>
      <c r="AF46" s="6">
        <f t="shared" si="65"/>
        <v>4.1923897769684221E-2</v>
      </c>
      <c r="AG46">
        <f t="shared" si="66"/>
        <v>0.59771570526276541</v>
      </c>
      <c r="AH46" s="6">
        <f t="shared" si="67"/>
        <v>4.7842809666333433E-2</v>
      </c>
      <c r="AI46">
        <f t="shared" si="68"/>
        <v>0.67438230353770057</v>
      </c>
      <c r="AJ46">
        <f t="shared" si="69"/>
        <v>6.166423271584124E-2</v>
      </c>
      <c r="AK46">
        <f t="shared" si="70"/>
        <v>0.77670020758140268</v>
      </c>
      <c r="AL46">
        <f t="shared" si="71"/>
        <v>7.7271375678776205E-2</v>
      </c>
      <c r="AM46">
        <f t="shared" si="72"/>
        <v>0.89201864196230052</v>
      </c>
      <c r="AN46">
        <f t="shared" si="73"/>
        <v>9.710465624373317E-2</v>
      </c>
      <c r="AO46">
        <f t="shared" si="74"/>
        <v>0.81453482062927063</v>
      </c>
      <c r="AP46">
        <f t="shared" si="75"/>
        <v>8.4192940237311886E-2</v>
      </c>
    </row>
    <row r="47" spans="1:42" x14ac:dyDescent="0.25">
      <c r="A47" s="139">
        <v>0.25</v>
      </c>
      <c r="B47" s="259">
        <f>'Sub C_D_0'!BA45</f>
        <v>1.6375286579724126E-2</v>
      </c>
      <c r="C47" s="259">
        <f>'C_L vs. α'!X346</f>
        <v>0.11226220245662301</v>
      </c>
      <c r="D47" s="144">
        <v>4</v>
      </c>
      <c r="E47" s="14">
        <f t="shared" si="38"/>
        <v>0.53100334484536704</v>
      </c>
      <c r="F47" s="6">
        <f t="shared" si="39"/>
        <v>4.5695872712600512E-2</v>
      </c>
      <c r="G47" s="14">
        <f t="shared" si="40"/>
        <v>0.53525635758510981</v>
      </c>
      <c r="H47" s="6">
        <f t="shared" si="41"/>
        <v>4.4742856818372326E-2</v>
      </c>
      <c r="I47" s="14">
        <f t="shared" si="42"/>
        <v>0.54150010204152876</v>
      </c>
      <c r="J47" s="6">
        <f t="shared" si="43"/>
        <v>4.4658652041012839E-2</v>
      </c>
      <c r="K47" s="14">
        <f t="shared" si="44"/>
        <v>0.550087604438247</v>
      </c>
      <c r="L47" s="6">
        <f t="shared" si="45"/>
        <v>4.506636154815287E-2</v>
      </c>
      <c r="M47">
        <f t="shared" si="46"/>
        <v>0.56131101228311508</v>
      </c>
      <c r="N47" s="6">
        <f t="shared" si="47"/>
        <v>4.5888990666420368E-2</v>
      </c>
      <c r="O47">
        <f t="shared" si="48"/>
        <v>0.57497046389781203</v>
      </c>
      <c r="P47" s="6">
        <f t="shared" si="49"/>
        <v>4.7554420786952212E-2</v>
      </c>
      <c r="Q47">
        <f t="shared" si="50"/>
        <v>0.59262297425661759</v>
      </c>
      <c r="R47" s="6">
        <f t="shared" si="51"/>
        <v>4.9252737707710756E-2</v>
      </c>
      <c r="S47">
        <f t="shared" si="52"/>
        <v>0.61427207952508867</v>
      </c>
      <c r="T47" s="6">
        <f t="shared" si="53"/>
        <v>5.1504752480845281E-2</v>
      </c>
      <c r="U47">
        <f t="shared" si="54"/>
        <v>0.64068283409378879</v>
      </c>
      <c r="V47" s="6">
        <f t="shared" si="55"/>
        <v>5.4441359617209528E-2</v>
      </c>
      <c r="W47">
        <f t="shared" si="56"/>
        <v>0.67288369325524622</v>
      </c>
      <c r="X47" s="6">
        <f t="shared" si="57"/>
        <v>5.825647718169287E-2</v>
      </c>
      <c r="Y47">
        <f t="shared" si="58"/>
        <v>0.71227596544857497</v>
      </c>
      <c r="Z47" s="6">
        <f t="shared" si="59"/>
        <v>6.3237311248664704E-2</v>
      </c>
      <c r="AA47">
        <f t="shared" si="60"/>
        <v>0.76079967024701778</v>
      </c>
      <c r="AB47" s="6">
        <f t="shared" si="61"/>
        <v>6.9816070281536011E-2</v>
      </c>
      <c r="AC47">
        <f t="shared" si="62"/>
        <v>0.8213944139156214</v>
      </c>
      <c r="AD47" s="6">
        <f t="shared" si="63"/>
        <v>7.9169219143334676E-2</v>
      </c>
      <c r="AE47">
        <f t="shared" si="64"/>
        <v>0.89796892450603505</v>
      </c>
      <c r="AF47" s="6">
        <f t="shared" si="65"/>
        <v>9.1400631414883263E-2</v>
      </c>
      <c r="AG47">
        <f t="shared" si="66"/>
        <v>0.99619284210460901</v>
      </c>
      <c r="AH47" s="6">
        <f t="shared" si="67"/>
        <v>0.1087355108043799</v>
      </c>
      <c r="AI47">
        <f t="shared" si="68"/>
        <v>1.1239705058961678</v>
      </c>
      <c r="AJ47">
        <f t="shared" si="69"/>
        <v>0.14322226716352912</v>
      </c>
      <c r="AK47">
        <f t="shared" si="70"/>
        <v>1.2945003459690043</v>
      </c>
      <c r="AL47">
        <f t="shared" si="71"/>
        <v>0.18545493408103897</v>
      </c>
      <c r="AM47">
        <f t="shared" si="72"/>
        <v>1.4866977366038343</v>
      </c>
      <c r="AN47">
        <f t="shared" si="73"/>
        <v>0.23979752887620936</v>
      </c>
      <c r="AO47">
        <f t="shared" si="74"/>
        <v>1.3575580343821179</v>
      </c>
      <c r="AP47">
        <f t="shared" si="75"/>
        <v>0.20317287577700457</v>
      </c>
    </row>
    <row r="48" spans="1:42" x14ac:dyDescent="0.25">
      <c r="A48" s="129">
        <v>0.3</v>
      </c>
      <c r="B48" s="259">
        <f>'Sub C_D_0'!BA46</f>
        <v>1.6586812523562908E-2</v>
      </c>
      <c r="C48" s="259">
        <f>'C_L vs. α'!X347</f>
        <v>0.11499409277956241</v>
      </c>
      <c r="D48" s="144">
        <v>6</v>
      </c>
      <c r="E48" s="14">
        <f t="shared" si="38"/>
        <v>0.7434046827835139</v>
      </c>
      <c r="F48" s="6">
        <f t="shared" si="39"/>
        <v>7.209861835390638E-2</v>
      </c>
      <c r="G48" s="14">
        <f t="shared" si="40"/>
        <v>0.74935890061915378</v>
      </c>
      <c r="H48" s="6">
        <f t="shared" si="41"/>
        <v>7.1570235964223058E-2</v>
      </c>
      <c r="I48" s="14">
        <f t="shared" si="42"/>
        <v>0.75810014285814031</v>
      </c>
      <c r="J48" s="6">
        <f t="shared" si="43"/>
        <v>7.2115562278468673E-2</v>
      </c>
      <c r="K48" s="14">
        <f t="shared" si="44"/>
        <v>0.77012264621354587</v>
      </c>
      <c r="L48" s="6">
        <f t="shared" si="45"/>
        <v>7.3401040475735146E-2</v>
      </c>
      <c r="M48">
        <f t="shared" si="46"/>
        <v>0.78583541719636107</v>
      </c>
      <c r="N48" s="6">
        <f t="shared" si="47"/>
        <v>7.5391686624566967E-2</v>
      </c>
      <c r="O48">
        <f t="shared" si="48"/>
        <v>0.80495864945693685</v>
      </c>
      <c r="P48" s="6">
        <f t="shared" si="49"/>
        <v>7.8510478639331194E-2</v>
      </c>
      <c r="Q48">
        <f t="shared" si="50"/>
        <v>0.82967216395926469</v>
      </c>
      <c r="R48" s="6">
        <f t="shared" si="51"/>
        <v>8.2138775073070491E-2</v>
      </c>
      <c r="S48">
        <f t="shared" si="52"/>
        <v>0.859980911335124</v>
      </c>
      <c r="T48" s="6">
        <f t="shared" si="53"/>
        <v>8.6837395854527849E-2</v>
      </c>
      <c r="U48">
        <f t="shared" si="54"/>
        <v>0.89695596773130437</v>
      </c>
      <c r="V48" s="6">
        <f t="shared" si="55"/>
        <v>9.2877587039307527E-2</v>
      </c>
      <c r="W48">
        <f t="shared" si="56"/>
        <v>0.94203717055734471</v>
      </c>
      <c r="X48" s="6">
        <f t="shared" si="57"/>
        <v>0.10065342432511692</v>
      </c>
      <c r="Y48">
        <f t="shared" si="58"/>
        <v>0.99718635162800495</v>
      </c>
      <c r="Z48" s="6">
        <f t="shared" si="59"/>
        <v>0.11074360593898486</v>
      </c>
      <c r="AA48">
        <f t="shared" si="60"/>
        <v>1.065119538345825</v>
      </c>
      <c r="AB48" s="6">
        <f t="shared" si="61"/>
        <v>0.12401556149417814</v>
      </c>
      <c r="AC48">
        <f t="shared" si="62"/>
        <v>1.1499521794818699</v>
      </c>
      <c r="AD48" s="6">
        <f t="shared" si="63"/>
        <v>0.14234608371321891</v>
      </c>
      <c r="AE48">
        <f t="shared" si="64"/>
        <v>1.257156494308449</v>
      </c>
      <c r="AF48" s="6">
        <f t="shared" si="65"/>
        <v>0.16690588898568742</v>
      </c>
      <c r="AG48">
        <f t="shared" si="66"/>
        <v>1.3946699789464527</v>
      </c>
      <c r="AH48" s="6">
        <f t="shared" si="67"/>
        <v>0.20166240279730638</v>
      </c>
      <c r="AI48">
        <f t="shared" si="68"/>
        <v>1.5735587082546347</v>
      </c>
      <c r="AJ48">
        <f t="shared" si="69"/>
        <v>0.26555931883506084</v>
      </c>
      <c r="AK48">
        <f t="shared" si="70"/>
        <v>1.8123004843566062</v>
      </c>
      <c r="AL48">
        <f t="shared" si="71"/>
        <v>0.3477302716844331</v>
      </c>
      <c r="AM48">
        <f t="shared" si="72"/>
        <v>2.0813768312453678</v>
      </c>
      <c r="AN48">
        <f t="shared" si="73"/>
        <v>0.45383683782492368</v>
      </c>
      <c r="AO48">
        <f t="shared" si="74"/>
        <v>1.9005812481349649</v>
      </c>
      <c r="AP48">
        <f t="shared" si="75"/>
        <v>0.38164277908654354</v>
      </c>
    </row>
    <row r="49" spans="1:42" x14ac:dyDescent="0.25">
      <c r="A49" s="139">
        <v>0.35</v>
      </c>
      <c r="B49" s="259">
        <f>'Sub C_D_0'!BA47</f>
        <v>1.6354429811979189E-2</v>
      </c>
      <c r="C49" s="259">
        <f>'C_L vs. α'!X348</f>
        <v>0.11852459485132352</v>
      </c>
      <c r="D49" s="144">
        <v>8</v>
      </c>
      <c r="E49" s="14">
        <f t="shared" si="38"/>
        <v>0.95580602072166077</v>
      </c>
      <c r="F49" s="6">
        <f t="shared" si="39"/>
        <v>0.10760304139803362</v>
      </c>
      <c r="G49" s="14">
        <f t="shared" si="40"/>
        <v>0.96346144365319775</v>
      </c>
      <c r="H49" s="6">
        <f t="shared" si="41"/>
        <v>0.10764567415158166</v>
      </c>
      <c r="I49" s="14">
        <f t="shared" si="42"/>
        <v>0.97470018367475186</v>
      </c>
      <c r="J49" s="6">
        <f t="shared" si="43"/>
        <v>0.1090375464462882</v>
      </c>
      <c r="K49" s="14">
        <f t="shared" si="44"/>
        <v>0.99015768798884463</v>
      </c>
      <c r="L49" s="6">
        <f t="shared" si="45"/>
        <v>0.11150338184323855</v>
      </c>
      <c r="M49">
        <f t="shared" si="46"/>
        <v>1.0103598221096071</v>
      </c>
      <c r="N49" s="6">
        <f t="shared" si="47"/>
        <v>0.11506468929144009</v>
      </c>
      <c r="O49">
        <f t="shared" si="48"/>
        <v>1.0349468350160618</v>
      </c>
      <c r="P49" s="6">
        <f t="shared" si="49"/>
        <v>0.12013785287914837</v>
      </c>
      <c r="Q49">
        <f t="shared" si="50"/>
        <v>1.0667213536619118</v>
      </c>
      <c r="R49" s="6">
        <f t="shared" si="51"/>
        <v>0.12636144034914135</v>
      </c>
      <c r="S49">
        <f t="shared" si="52"/>
        <v>1.1056897431451596</v>
      </c>
      <c r="T49" s="6">
        <f t="shared" si="53"/>
        <v>0.13435007255296769</v>
      </c>
      <c r="U49">
        <f t="shared" si="54"/>
        <v>1.1532291013688198</v>
      </c>
      <c r="V49" s="6">
        <f t="shared" si="55"/>
        <v>0.14456372972893411</v>
      </c>
      <c r="W49">
        <f t="shared" si="56"/>
        <v>1.2111906478594432</v>
      </c>
      <c r="X49" s="6">
        <f t="shared" si="57"/>
        <v>0.15766564447864104</v>
      </c>
      <c r="Y49">
        <f t="shared" si="58"/>
        <v>1.2820967378074348</v>
      </c>
      <c r="Z49" s="6">
        <f t="shared" si="59"/>
        <v>0.17462649171376443</v>
      </c>
      <c r="AA49">
        <f t="shared" si="60"/>
        <v>1.369439406444632</v>
      </c>
      <c r="AB49" s="6">
        <f t="shared" si="61"/>
        <v>0.1968989536584988</v>
      </c>
      <c r="AC49">
        <f t="shared" si="62"/>
        <v>1.4785099450481185</v>
      </c>
      <c r="AD49" s="6">
        <f t="shared" si="63"/>
        <v>0.22730157117515715</v>
      </c>
      <c r="AE49">
        <f t="shared" si="64"/>
        <v>1.6163440641108631</v>
      </c>
      <c r="AF49" s="6">
        <f t="shared" si="65"/>
        <v>0.26843967048209683</v>
      </c>
      <c r="AG49">
        <f t="shared" si="66"/>
        <v>1.7931471157882961</v>
      </c>
      <c r="AH49" s="6">
        <f t="shared" si="67"/>
        <v>0.32662348564511273</v>
      </c>
      <c r="AI49">
        <f t="shared" si="68"/>
        <v>2.0231469106131019</v>
      </c>
      <c r="AJ49">
        <f t="shared" si="69"/>
        <v>0.42867538773043656</v>
      </c>
      <c r="AK49">
        <f t="shared" si="70"/>
        <v>2.330100622744208</v>
      </c>
      <c r="AL49">
        <f t="shared" si="71"/>
        <v>0.56409738848895885</v>
      </c>
      <c r="AM49">
        <f t="shared" si="72"/>
        <v>2.6760559258869017</v>
      </c>
      <c r="AN49">
        <f t="shared" si="73"/>
        <v>0.7392225830898761</v>
      </c>
      <c r="AO49">
        <f t="shared" si="74"/>
        <v>2.4436044618878121</v>
      </c>
      <c r="AP49">
        <f t="shared" si="75"/>
        <v>0.61960265016592897</v>
      </c>
    </row>
    <row r="50" spans="1:42" x14ac:dyDescent="0.25">
      <c r="A50" s="129">
        <v>0.4</v>
      </c>
      <c r="B50" s="259">
        <f>'Sub C_D_0'!BA48</f>
        <v>1.615892569230434E-2</v>
      </c>
      <c r="C50" s="259">
        <f>'C_L vs. α'!X349</f>
        <v>0.12285441590501772</v>
      </c>
      <c r="D50" s="144">
        <v>10</v>
      </c>
      <c r="E50" s="14">
        <f t="shared" si="38"/>
        <v>1.1682073586598076</v>
      </c>
      <c r="F50" s="6">
        <f t="shared" si="39"/>
        <v>0.15220914184498224</v>
      </c>
      <c r="G50" s="14">
        <f t="shared" si="40"/>
        <v>1.1775639866872416</v>
      </c>
      <c r="H50" s="6">
        <f t="shared" si="41"/>
        <v>0.15296917138044813</v>
      </c>
      <c r="I50" s="14">
        <f t="shared" si="42"/>
        <v>1.1913002244913633</v>
      </c>
      <c r="J50" s="6">
        <f t="shared" si="43"/>
        <v>0.15542460454447135</v>
      </c>
      <c r="K50" s="14">
        <f t="shared" si="44"/>
        <v>1.2101927297641435</v>
      </c>
      <c r="L50" s="6">
        <f t="shared" si="45"/>
        <v>0.15937338565066311</v>
      </c>
      <c r="M50">
        <f t="shared" si="46"/>
        <v>1.2348842270228531</v>
      </c>
      <c r="N50" s="6">
        <f t="shared" si="47"/>
        <v>0.16490799866703973</v>
      </c>
      <c r="O50">
        <f t="shared" si="48"/>
        <v>1.2649350205751864</v>
      </c>
      <c r="P50" s="6">
        <f t="shared" si="49"/>
        <v>0.17243654350640369</v>
      </c>
      <c r="Q50">
        <f t="shared" si="50"/>
        <v>1.3037705433645588</v>
      </c>
      <c r="R50" s="6">
        <f t="shared" si="51"/>
        <v>0.18192073353592328</v>
      </c>
      <c r="S50">
        <f t="shared" si="52"/>
        <v>1.3513985749551949</v>
      </c>
      <c r="T50" s="6">
        <f t="shared" si="53"/>
        <v>0.19404278257616467</v>
      </c>
      <c r="U50">
        <f t="shared" si="54"/>
        <v>1.4095022350063353</v>
      </c>
      <c r="V50" s="6">
        <f t="shared" si="55"/>
        <v>0.20949978768608929</v>
      </c>
      <c r="W50">
        <f t="shared" si="56"/>
        <v>1.4803441251615417</v>
      </c>
      <c r="X50" s="6">
        <f t="shared" si="57"/>
        <v>0.22929313764226525</v>
      </c>
      <c r="Y50">
        <f t="shared" si="58"/>
        <v>1.567007123986865</v>
      </c>
      <c r="Z50" s="6">
        <f t="shared" si="59"/>
        <v>0.25488596857300355</v>
      </c>
      <c r="AA50">
        <f t="shared" si="60"/>
        <v>1.6737592745434391</v>
      </c>
      <c r="AB50" s="6">
        <f t="shared" si="61"/>
        <v>0.288466246774498</v>
      </c>
      <c r="AC50">
        <f t="shared" si="62"/>
        <v>1.8070677106143671</v>
      </c>
      <c r="AD50" s="6">
        <f t="shared" si="63"/>
        <v>0.33403568152914942</v>
      </c>
      <c r="AE50">
        <f t="shared" si="64"/>
        <v>1.9755316339132771</v>
      </c>
      <c r="AF50" s="6">
        <f t="shared" si="65"/>
        <v>0.39600197590411135</v>
      </c>
      <c r="AG50">
        <f t="shared" si="66"/>
        <v>2.1916242526301399</v>
      </c>
      <c r="AH50" s="6">
        <f t="shared" si="67"/>
        <v>0.48361875934779919</v>
      </c>
      <c r="AI50">
        <f t="shared" si="68"/>
        <v>2.4727351129715691</v>
      </c>
      <c r="AJ50">
        <f t="shared" si="69"/>
        <v>0.63257047384965637</v>
      </c>
      <c r="AK50">
        <f t="shared" si="70"/>
        <v>2.8479007611318097</v>
      </c>
      <c r="AL50">
        <f t="shared" si="71"/>
        <v>0.83455628449461572</v>
      </c>
      <c r="AM50">
        <f t="shared" si="72"/>
        <v>3.2707350205284351</v>
      </c>
      <c r="AN50">
        <f t="shared" si="73"/>
        <v>1.0959547646710663</v>
      </c>
      <c r="AO50">
        <f t="shared" si="74"/>
        <v>2.9866276756406593</v>
      </c>
      <c r="AP50">
        <f t="shared" si="75"/>
        <v>0.91705248901516057</v>
      </c>
    </row>
    <row r="51" spans="1:42" x14ac:dyDescent="0.25">
      <c r="A51" s="139">
        <v>0.45</v>
      </c>
      <c r="B51" s="259">
        <f>'Sub C_D_0'!BA49</f>
        <v>1.5990790762280271E-2</v>
      </c>
      <c r="C51" s="259">
        <f>'C_L vs. α'!X350</f>
        <v>0.12813656681875776</v>
      </c>
      <c r="D51" s="144">
        <v>12</v>
      </c>
      <c r="E51" s="14">
        <f t="shared" si="38"/>
        <v>1.3806086965979545</v>
      </c>
      <c r="F51" s="6">
        <f t="shared" si="39"/>
        <v>0.20591691969475229</v>
      </c>
      <c r="G51" s="14">
        <f t="shared" si="40"/>
        <v>1.3916665297212856</v>
      </c>
      <c r="H51" s="6">
        <f t="shared" si="41"/>
        <v>0.20754072765082249</v>
      </c>
      <c r="I51" s="14">
        <f t="shared" si="42"/>
        <v>1.4079002653079749</v>
      </c>
      <c r="J51" s="6">
        <f t="shared" si="43"/>
        <v>0.21127673657301815</v>
      </c>
      <c r="K51" s="14">
        <f t="shared" si="44"/>
        <v>1.4302277715394422</v>
      </c>
      <c r="L51" s="6">
        <f t="shared" si="45"/>
        <v>0.21701105189800873</v>
      </c>
      <c r="M51">
        <f t="shared" si="46"/>
        <v>1.459408631936099</v>
      </c>
      <c r="N51" s="6">
        <f t="shared" si="47"/>
        <v>0.22492161475136588</v>
      </c>
      <c r="O51">
        <f t="shared" si="48"/>
        <v>1.4949232061343114</v>
      </c>
      <c r="P51" s="6">
        <f t="shared" si="49"/>
        <v>0.23540655052109727</v>
      </c>
      <c r="Q51">
        <f t="shared" si="50"/>
        <v>1.5408197330672058</v>
      </c>
      <c r="R51" s="6">
        <f t="shared" si="51"/>
        <v>0.24881665463341635</v>
      </c>
      <c r="S51">
        <f t="shared" si="52"/>
        <v>1.5971074067652304</v>
      </c>
      <c r="T51" s="6">
        <f t="shared" si="53"/>
        <v>0.26591552592411893</v>
      </c>
      <c r="U51">
        <f t="shared" si="54"/>
        <v>1.665775368643851</v>
      </c>
      <c r="V51" s="6">
        <f t="shared" si="55"/>
        <v>0.28768576091077314</v>
      </c>
      <c r="W51">
        <f t="shared" si="56"/>
        <v>1.7494976024636402</v>
      </c>
      <c r="X51" s="6">
        <f t="shared" si="57"/>
        <v>0.31553590381598956</v>
      </c>
      <c r="Y51">
        <f t="shared" si="58"/>
        <v>1.8519175101662948</v>
      </c>
      <c r="Z51" s="6">
        <f t="shared" si="59"/>
        <v>0.35152203651670205</v>
      </c>
      <c r="AA51">
        <f t="shared" si="60"/>
        <v>1.9780791426422464</v>
      </c>
      <c r="AB51" s="6">
        <f t="shared" si="61"/>
        <v>0.39871744084217575</v>
      </c>
      <c r="AC51">
        <f t="shared" si="62"/>
        <v>2.1356254761806155</v>
      </c>
      <c r="AD51" s="6">
        <f t="shared" si="63"/>
        <v>0.46254841477519548</v>
      </c>
      <c r="AE51">
        <f t="shared" si="64"/>
        <v>2.3347192037156912</v>
      </c>
      <c r="AF51" s="6">
        <f t="shared" si="65"/>
        <v>0.54959280525173104</v>
      </c>
      <c r="AG51">
        <f t="shared" si="66"/>
        <v>2.5901013894719833</v>
      </c>
      <c r="AH51" s="6">
        <f t="shared" si="67"/>
        <v>0.67264822390536549</v>
      </c>
      <c r="AI51">
        <f t="shared" si="68"/>
        <v>2.9223233153300359</v>
      </c>
      <c r="AJ51">
        <f t="shared" si="69"/>
        <v>0.87724457719271975</v>
      </c>
      <c r="AK51">
        <f t="shared" si="70"/>
        <v>3.3657008995194113</v>
      </c>
      <c r="AL51">
        <f t="shared" si="71"/>
        <v>1.1591069597014039</v>
      </c>
      <c r="AM51">
        <f t="shared" si="72"/>
        <v>3.865414115169969</v>
      </c>
      <c r="AN51">
        <f t="shared" si="73"/>
        <v>1.5240333825684951</v>
      </c>
      <c r="AO51">
        <f t="shared" si="74"/>
        <v>3.5296508893935061</v>
      </c>
      <c r="AP51">
        <f t="shared" si="75"/>
        <v>1.2739922956342384</v>
      </c>
    </row>
    <row r="52" spans="1:42" x14ac:dyDescent="0.25">
      <c r="A52" s="129">
        <v>0.5</v>
      </c>
      <c r="B52" s="259">
        <f>'Sub C_D_0'!BA50</f>
        <v>1.5843710770601607E-2</v>
      </c>
      <c r="C52" s="259">
        <f>'C_L vs. α'!X351</f>
        <v>0.13457673865104924</v>
      </c>
      <c r="D52" s="144">
        <v>14</v>
      </c>
      <c r="E52" s="14">
        <f t="shared" si="38"/>
        <v>1.5930100345361013</v>
      </c>
      <c r="F52" s="6">
        <f t="shared" si="39"/>
        <v>0.26872637494734375</v>
      </c>
      <c r="G52" s="14">
        <f t="shared" si="40"/>
        <v>1.6057690727553295</v>
      </c>
      <c r="H52" s="6">
        <f t="shared" si="41"/>
        <v>0.27136034296270473</v>
      </c>
      <c r="I52" s="14">
        <f t="shared" si="42"/>
        <v>1.6245003061245864</v>
      </c>
      <c r="J52" s="6">
        <f t="shared" si="43"/>
        <v>0.2765939425319287</v>
      </c>
      <c r="K52" s="14">
        <f t="shared" si="44"/>
        <v>1.650262813314741</v>
      </c>
      <c r="L52" s="6">
        <f t="shared" si="45"/>
        <v>0.28441638058527552</v>
      </c>
      <c r="M52">
        <f t="shared" si="46"/>
        <v>1.683933036849345</v>
      </c>
      <c r="N52" s="6">
        <f t="shared" si="47"/>
        <v>0.29510553754441854</v>
      </c>
      <c r="O52">
        <f t="shared" si="48"/>
        <v>1.724911391693436</v>
      </c>
      <c r="P52" s="6">
        <f t="shared" si="49"/>
        <v>0.30904787392322891</v>
      </c>
      <c r="Q52">
        <f t="shared" si="50"/>
        <v>1.7778689227698528</v>
      </c>
      <c r="R52" s="6">
        <f t="shared" si="51"/>
        <v>0.32704920364162055</v>
      </c>
      <c r="S52">
        <f t="shared" si="52"/>
        <v>1.8428162385752658</v>
      </c>
      <c r="T52" s="6">
        <f t="shared" si="53"/>
        <v>0.34996830259683032</v>
      </c>
      <c r="U52">
        <f t="shared" si="54"/>
        <v>1.9220485022813665</v>
      </c>
      <c r="V52" s="6">
        <f t="shared" si="55"/>
        <v>0.37912164940298554</v>
      </c>
      <c r="W52">
        <f t="shared" si="56"/>
        <v>2.0186510797657387</v>
      </c>
      <c r="X52" s="6">
        <f t="shared" si="57"/>
        <v>0.41639394299981392</v>
      </c>
      <c r="Y52">
        <f t="shared" si="58"/>
        <v>2.136827896345725</v>
      </c>
      <c r="Z52" s="6">
        <f t="shared" si="59"/>
        <v>0.46453469554486015</v>
      </c>
      <c r="AA52">
        <f t="shared" si="60"/>
        <v>2.2823990107410532</v>
      </c>
      <c r="AB52" s="6">
        <f t="shared" si="61"/>
        <v>0.52765253586153193</v>
      </c>
      <c r="AC52">
        <f t="shared" si="62"/>
        <v>2.4641832417468641</v>
      </c>
      <c r="AD52" s="6">
        <f t="shared" si="63"/>
        <v>0.61283977091329578</v>
      </c>
      <c r="AE52">
        <f t="shared" si="64"/>
        <v>2.6939067735181053</v>
      </c>
      <c r="AF52" s="6">
        <f t="shared" si="65"/>
        <v>0.72921215852495602</v>
      </c>
      <c r="AG52">
        <f t="shared" si="66"/>
        <v>2.9885785263138271</v>
      </c>
      <c r="AH52" s="6">
        <f t="shared" si="67"/>
        <v>0.89371187931781204</v>
      </c>
      <c r="AI52">
        <f t="shared" si="68"/>
        <v>3.3719115176885031</v>
      </c>
      <c r="AJ52">
        <f t="shared" si="69"/>
        <v>1.1626976977596273</v>
      </c>
      <c r="AK52">
        <f t="shared" si="70"/>
        <v>3.883501037907013</v>
      </c>
      <c r="AL52">
        <f t="shared" si="71"/>
        <v>1.5377494141093235</v>
      </c>
      <c r="AM52">
        <f t="shared" si="72"/>
        <v>4.4600932098115029</v>
      </c>
      <c r="AN52">
        <f t="shared" si="73"/>
        <v>2.0234584367821622</v>
      </c>
      <c r="AO52">
        <f t="shared" si="74"/>
        <v>4.0726741031463538</v>
      </c>
      <c r="AP52">
        <f t="shared" si="75"/>
        <v>1.6904220700231634</v>
      </c>
    </row>
    <row r="53" spans="1:42" x14ac:dyDescent="0.25">
      <c r="A53" s="139">
        <v>0.55000000000000004</v>
      </c>
      <c r="B53" s="259">
        <f>'Sub C_D_0'!BA51</f>
        <v>1.5713290876609897E-2</v>
      </c>
      <c r="C53" s="259">
        <f>'C_L vs. α'!X352</f>
        <v>0.14245519308971499</v>
      </c>
      <c r="D53" s="144">
        <v>16</v>
      </c>
      <c r="E53" s="14">
        <f>(D53-$B$12)*$C$43</f>
        <v>1.805411372474248</v>
      </c>
      <c r="F53" s="6">
        <f t="shared" si="39"/>
        <v>0.34063750760275646</v>
      </c>
      <c r="G53" s="14">
        <f t="shared" si="40"/>
        <v>1.8198716157893735</v>
      </c>
      <c r="H53" s="6">
        <f t="shared" si="41"/>
        <v>0.34442801731609485</v>
      </c>
      <c r="I53" s="14">
        <f t="shared" si="42"/>
        <v>1.841100346941198</v>
      </c>
      <c r="J53" s="6">
        <f t="shared" si="43"/>
        <v>0.35137622242120287</v>
      </c>
      <c r="K53" s="14">
        <f t="shared" si="44"/>
        <v>1.87029785509004</v>
      </c>
      <c r="L53" s="6">
        <f t="shared" si="45"/>
        <v>0.36158937171246358</v>
      </c>
      <c r="M53">
        <f t="shared" si="46"/>
        <v>1.9084574417625912</v>
      </c>
      <c r="N53" s="6">
        <f t="shared" si="47"/>
        <v>0.37545976704619788</v>
      </c>
      <c r="O53">
        <f t="shared" si="48"/>
        <v>1.954899577252561</v>
      </c>
      <c r="P53" s="6">
        <f t="shared" si="49"/>
        <v>0.3933605137127989</v>
      </c>
      <c r="Q53">
        <f t="shared" si="50"/>
        <v>2.0149181124725</v>
      </c>
      <c r="R53" s="6">
        <f t="shared" si="51"/>
        <v>0.41661838056053596</v>
      </c>
      <c r="S53">
        <f t="shared" si="52"/>
        <v>2.0885250703853013</v>
      </c>
      <c r="T53" s="6">
        <f t="shared" si="53"/>
        <v>0.44620111259429901</v>
      </c>
      <c r="U53">
        <f t="shared" si="54"/>
        <v>2.1783216359188819</v>
      </c>
      <c r="V53" s="6">
        <f t="shared" si="55"/>
        <v>0.48380745316272655</v>
      </c>
      <c r="W53">
        <f t="shared" si="56"/>
        <v>2.2878045570678371</v>
      </c>
      <c r="X53" s="6">
        <f t="shared" si="57"/>
        <v>0.53186725519373845</v>
      </c>
      <c r="Y53">
        <f t="shared" si="58"/>
        <v>2.4217382825251548</v>
      </c>
      <c r="Z53" s="6">
        <f t="shared" si="59"/>
        <v>0.59392394565747753</v>
      </c>
      <c r="AA53">
        <f t="shared" si="60"/>
        <v>2.5867188788398607</v>
      </c>
      <c r="AB53" s="6">
        <f t="shared" si="61"/>
        <v>0.67527153183256705</v>
      </c>
      <c r="AC53">
        <f t="shared" si="62"/>
        <v>2.7927410073131127</v>
      </c>
      <c r="AD53" s="6">
        <f t="shared" si="63"/>
        <v>0.78490974994344997</v>
      </c>
      <c r="AE53">
        <f t="shared" si="64"/>
        <v>3.0530943433205189</v>
      </c>
      <c r="AF53" s="6">
        <f t="shared" si="65"/>
        <v>0.93486003572378573</v>
      </c>
      <c r="AG53">
        <f t="shared" si="66"/>
        <v>3.3870556631556705</v>
      </c>
      <c r="AH53" s="6">
        <f t="shared" si="67"/>
        <v>1.1468097255851382</v>
      </c>
      <c r="AI53">
        <f t="shared" si="68"/>
        <v>3.8214997200469702</v>
      </c>
      <c r="AJ53">
        <f t="shared" si="69"/>
        <v>1.4889298355503788</v>
      </c>
      <c r="AK53">
        <f t="shared" si="70"/>
        <v>4.4013011762946146</v>
      </c>
      <c r="AL53">
        <f t="shared" si="71"/>
        <v>1.9704836477183745</v>
      </c>
      <c r="AM53">
        <f t="shared" si="72"/>
        <v>5.0547723044530359</v>
      </c>
      <c r="AN53">
        <f t="shared" si="73"/>
        <v>2.5942299273120666</v>
      </c>
      <c r="AO53">
        <f t="shared" si="74"/>
        <v>4.6156973168992002</v>
      </c>
      <c r="AP53">
        <f t="shared" si="75"/>
        <v>2.1663418121819333</v>
      </c>
    </row>
    <row r="54" spans="1:42" x14ac:dyDescent="0.25">
      <c r="A54" s="129">
        <v>0.6</v>
      </c>
      <c r="B54" s="259">
        <f>'Sub C_D_0'!BA52</f>
        <v>1.5596356002925967E-2</v>
      </c>
      <c r="C54" s="259">
        <f>'C_L vs. α'!X353</f>
        <v>0.15215993404940356</v>
      </c>
    </row>
    <row r="55" spans="1:42" x14ac:dyDescent="0.25">
      <c r="A55" s="139">
        <v>0.65</v>
      </c>
      <c r="B55" s="259">
        <f>'Sub C_D_0'!BA53</f>
        <v>1.5968781844790843E-2</v>
      </c>
      <c r="C55" s="259">
        <f>'C_L vs. α'!X354</f>
        <v>0.16427888278312427</v>
      </c>
    </row>
    <row r="56" spans="1:42" x14ac:dyDescent="0.25">
      <c r="A56" s="129">
        <v>0.7</v>
      </c>
      <c r="B56" s="259">
        <f>'Sub C_D_0'!BA54</f>
        <v>1.5867201110892529E-2</v>
      </c>
      <c r="C56" s="259">
        <f>'C_L vs. α'!X355</f>
        <v>0.179593784901207</v>
      </c>
    </row>
    <row r="57" spans="1:42" x14ac:dyDescent="0.25">
      <c r="A57" s="139">
        <v>0.75</v>
      </c>
      <c r="B57" s="259">
        <f>'Sub C_D_0'!BA55</f>
        <v>1.5773945669235297E-2</v>
      </c>
      <c r="C57" s="259">
        <f>'C_L vs. α'!X356</f>
        <v>0.1992385684209218</v>
      </c>
    </row>
    <row r="58" spans="1:42" x14ac:dyDescent="0.25">
      <c r="A58" s="129">
        <v>0.8</v>
      </c>
      <c r="B58" s="259">
        <f>'Sub C_D_0'!BA56</f>
        <v>1.5787838339016834E-2</v>
      </c>
      <c r="C58" s="259">
        <f>'C_L vs. α'!X357</f>
        <v>0.22479410117923354</v>
      </c>
    </row>
    <row r="59" spans="1:42" x14ac:dyDescent="0.25">
      <c r="A59" s="139">
        <v>0.85</v>
      </c>
      <c r="B59" s="259">
        <f>'Sub C_D_0'!BA57</f>
        <v>1.6418124077503392E-2</v>
      </c>
      <c r="C59" s="259">
        <f>'C_L vs. α'!X358</f>
        <v>0.25890006919380087</v>
      </c>
    </row>
    <row r="60" spans="1:42" x14ac:dyDescent="0.25">
      <c r="A60" s="129">
        <v>0.9</v>
      </c>
      <c r="B60" s="259">
        <f>'Sub C_D_0'!BA58</f>
        <v>1.6839915387965296E-2</v>
      </c>
      <c r="C60" s="259">
        <f>'C_L vs. α'!X359</f>
        <v>0.29733954732076684</v>
      </c>
    </row>
    <row r="61" spans="1:42" x14ac:dyDescent="0.25">
      <c r="A61" s="139">
        <v>0.95</v>
      </c>
      <c r="B61" s="259">
        <f>'Sub C_D_0'!BA59</f>
        <v>1.7266726496234779E-2</v>
      </c>
      <c r="C61" s="259">
        <f>'C_L vs. α'!X360</f>
        <v>0.27151160687642356</v>
      </c>
    </row>
    <row r="62" spans="1:42" s="29" customFormat="1" x14ac:dyDescent="0.25">
      <c r="A62" s="11"/>
      <c r="B62" s="11"/>
      <c r="C62" s="11"/>
    </row>
    <row r="63" spans="1:42" s="29" customFormat="1" x14ac:dyDescent="0.25">
      <c r="A63" s="122" t="s">
        <v>537</v>
      </c>
      <c r="B63" s="122" t="s">
        <v>289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9" customFormat="1" x14ac:dyDescent="0.25">
      <c r="A64" s="122" t="s">
        <v>202</v>
      </c>
      <c r="B64" s="145">
        <v>5000</v>
      </c>
      <c r="C64" s="122" t="s">
        <v>538</v>
      </c>
      <c r="D64" s="122" t="s">
        <v>539</v>
      </c>
      <c r="E64" s="1" t="s">
        <v>536</v>
      </c>
      <c r="F64" s="140">
        <v>0.05</v>
      </c>
      <c r="G64" s="1" t="s">
        <v>536</v>
      </c>
      <c r="H64" s="140">
        <v>0.1</v>
      </c>
      <c r="I64" s="1" t="s">
        <v>536</v>
      </c>
      <c r="J64" s="140">
        <v>0.15</v>
      </c>
      <c r="K64" s="1" t="s">
        <v>536</v>
      </c>
      <c r="L64" s="140">
        <v>0.2</v>
      </c>
      <c r="M64" t="s">
        <v>536</v>
      </c>
      <c r="N64" s="141">
        <v>0.25</v>
      </c>
      <c r="O64" t="s">
        <v>536</v>
      </c>
      <c r="P64" s="141">
        <v>0.3</v>
      </c>
      <c r="Q64" t="s">
        <v>536</v>
      </c>
      <c r="R64" s="141">
        <v>0.35</v>
      </c>
      <c r="S64" t="s">
        <v>536</v>
      </c>
      <c r="T64" s="141">
        <v>0.4</v>
      </c>
      <c r="U64" t="s">
        <v>536</v>
      </c>
      <c r="V64" s="141">
        <v>0.45</v>
      </c>
      <c r="W64" t="s">
        <v>536</v>
      </c>
      <c r="X64" s="141">
        <v>0.5</v>
      </c>
      <c r="Y64" t="s">
        <v>536</v>
      </c>
      <c r="Z64" s="141">
        <v>0.55000000000000004</v>
      </c>
      <c r="AA64" t="s">
        <v>536</v>
      </c>
      <c r="AB64" s="141">
        <v>0.6</v>
      </c>
      <c r="AC64" t="s">
        <v>536</v>
      </c>
      <c r="AD64" s="141">
        <v>0.65</v>
      </c>
      <c r="AE64" t="s">
        <v>536</v>
      </c>
      <c r="AF64" s="141">
        <v>0.7</v>
      </c>
      <c r="AG64" t="s">
        <v>536</v>
      </c>
      <c r="AH64" s="141">
        <v>0.75</v>
      </c>
      <c r="AI64" t="s">
        <v>536</v>
      </c>
      <c r="AJ64" s="141">
        <v>0.8</v>
      </c>
      <c r="AK64" t="s">
        <v>536</v>
      </c>
      <c r="AL64" s="141">
        <v>0.85</v>
      </c>
      <c r="AM64" t="s">
        <v>536</v>
      </c>
      <c r="AN64" s="141">
        <v>0.9</v>
      </c>
      <c r="AO64" t="s">
        <v>536</v>
      </c>
      <c r="AP64" s="141">
        <v>0.95</v>
      </c>
    </row>
    <row r="65" spans="1:42" s="29" customFormat="1" x14ac:dyDescent="0.25">
      <c r="A65" s="121" t="s">
        <v>182</v>
      </c>
      <c r="B65" s="121" t="s">
        <v>534</v>
      </c>
      <c r="C65" s="121" t="s">
        <v>535</v>
      </c>
      <c r="D65" s="121" t="s">
        <v>421</v>
      </c>
      <c r="E65" s="14" t="s">
        <v>244</v>
      </c>
      <c r="F65" s="6" t="s">
        <v>245</v>
      </c>
      <c r="G65" s="14" t="s">
        <v>244</v>
      </c>
      <c r="H65" s="6" t="s">
        <v>245</v>
      </c>
      <c r="I65" s="14" t="s">
        <v>244</v>
      </c>
      <c r="J65" s="6" t="s">
        <v>245</v>
      </c>
      <c r="K65" s="14" t="s">
        <v>244</v>
      </c>
      <c r="L65" s="6" t="s">
        <v>245</v>
      </c>
      <c r="M65" t="s">
        <v>244</v>
      </c>
      <c r="N65" t="s">
        <v>245</v>
      </c>
      <c r="O65" t="s">
        <v>244</v>
      </c>
      <c r="P65" t="s">
        <v>245</v>
      </c>
      <c r="Q65" t="s">
        <v>244</v>
      </c>
      <c r="R65" t="s">
        <v>245</v>
      </c>
      <c r="S65" t="s">
        <v>244</v>
      </c>
      <c r="T65" t="s">
        <v>245</v>
      </c>
      <c r="U65" t="s">
        <v>244</v>
      </c>
      <c r="V65" t="s">
        <v>245</v>
      </c>
      <c r="W65" t="s">
        <v>244</v>
      </c>
      <c r="X65" t="s">
        <v>245</v>
      </c>
      <c r="Y65" t="s">
        <v>244</v>
      </c>
      <c r="Z65" t="s">
        <v>245</v>
      </c>
      <c r="AA65" t="s">
        <v>244</v>
      </c>
      <c r="AB65" t="s">
        <v>245</v>
      </c>
      <c r="AC65" t="s">
        <v>244</v>
      </c>
      <c r="AD65" t="s">
        <v>245</v>
      </c>
      <c r="AE65" t="s">
        <v>244</v>
      </c>
      <c r="AF65" t="s">
        <v>245</v>
      </c>
      <c r="AG65" t="s">
        <v>244</v>
      </c>
      <c r="AH65" t="s">
        <v>245</v>
      </c>
      <c r="AI65" t="s">
        <v>244</v>
      </c>
      <c r="AJ65" t="s">
        <v>245</v>
      </c>
      <c r="AK65" t="s">
        <v>244</v>
      </c>
      <c r="AL65" t="s">
        <v>245</v>
      </c>
      <c r="AM65" t="s">
        <v>244</v>
      </c>
      <c r="AN65" t="s">
        <v>245</v>
      </c>
      <c r="AO65" t="s">
        <v>244</v>
      </c>
      <c r="AP65" t="s">
        <v>245</v>
      </c>
    </row>
    <row r="66" spans="1:42" s="29" customFormat="1" x14ac:dyDescent="0.25">
      <c r="A66" s="129">
        <v>0</v>
      </c>
      <c r="B66" s="129" t="e">
        <f>'Sub C_D_0'!BA70</f>
        <v>#DIV/0!</v>
      </c>
      <c r="C66" s="129" t="e">
        <f>'C_L vs. α'!X366</f>
        <v>#NUM!</v>
      </c>
      <c r="D66" s="144">
        <v>-6</v>
      </c>
      <c r="E66" s="14">
        <f>(D66-$B$12)*$C$67</f>
        <v>-0.53109344563783467</v>
      </c>
      <c r="F66" s="6">
        <f>$B$43+$B$7*E66^2+$B$8*(E66-E$45)^2</f>
        <v>5.0217341462285708E-2</v>
      </c>
      <c r="G66" s="14">
        <f>(D66-$B$12)*$C$68</f>
        <v>-0.53534755393543543</v>
      </c>
      <c r="H66" s="6">
        <f>$B$44+$B$7*G66^2+$B$8*(G66-G$45)^2</f>
        <v>4.933708601715845E-2</v>
      </c>
      <c r="I66" s="14">
        <f>(D66-$B$12)*$C$69</f>
        <v>-0.54158701877589221</v>
      </c>
      <c r="J66" s="6">
        <f>$B$45+$B$7*I66^2+$B$8*(I66-I$45)^2</f>
        <v>4.9360082398868202E-2</v>
      </c>
      <c r="K66" s="14">
        <f>(D66-$B$12)*$C$70</f>
        <v>-0.55016957028858915</v>
      </c>
      <c r="L66" s="6">
        <f>$B$46+$B$7*K66^2+$B$8*(K66-K$45)^2</f>
        <v>4.9917361340038241E-2</v>
      </c>
      <c r="M66">
        <f>(D66-$B$12)*$C$71</f>
        <v>-0.5613878479933897</v>
      </c>
      <c r="N66" s="6">
        <f>$B$47+$B$7*M66^2+$B$8*(M66-M$45)^2</f>
        <v>5.093915822104321E-2</v>
      </c>
      <c r="O66">
        <f>(D66-$B$12)*$C$72</f>
        <v>-0.57504670145380987</v>
      </c>
      <c r="P66" s="6">
        <f>$B$48+$B$7*O66^2+$B$8*(O66-O$45)^2</f>
        <v>5.2853072041936316E-2</v>
      </c>
      <c r="Q66">
        <f>(D66-$B$12)*$C$73</f>
        <v>-0.59269361590903979</v>
      </c>
      <c r="R66" s="6">
        <f>$B$49+$B$7*Q66^2+$B$8*(Q66-Q$45)^2</f>
        <v>5.4880750862514288E-2</v>
      </c>
      <c r="S66">
        <f>(D66-$B$12)*$C$74</f>
        <v>-0.61433590552046735</v>
      </c>
      <c r="T66" s="6">
        <f>$B$50+$B$7*S66^2+$B$8*(S66-S$45)^2</f>
        <v>5.7550259343516673E-2</v>
      </c>
      <c r="U66">
        <f>(D66-$B$12)*$C$75</f>
        <v>-0.64073806728367422</v>
      </c>
      <c r="V66" s="6">
        <f>$B$51+$B$7*U66^2+$B$8*(U66-U$45)^2</f>
        <v>6.1016374133023125E-2</v>
      </c>
      <c r="W66">
        <f>(D66-$B$12)*$C$76</f>
        <v>-0.67292767597279368</v>
      </c>
      <c r="X66" s="6">
        <f>$B$52+$B$7*W66^2+$B$8*(W66-W$45)^2</f>
        <v>6.5507044324863026E-2</v>
      </c>
      <c r="Y66">
        <f>(D66-$B$12)*$C$77</f>
        <v>-0.71230462852029264</v>
      </c>
      <c r="Z66" s="6">
        <f>$B$53+$B$7*Y66^2+$B$8*(Y66-Y$45)^2</f>
        <v>7.135898634380744E-2</v>
      </c>
      <c r="AA66">
        <f>(D66-$B$12)*$C$78</f>
        <v>-0.76080659498954106</v>
      </c>
      <c r="AB66" s="6">
        <f>$B$54+$B$7*AA66^2+$B$8*(AA66-AA$45)^2</f>
        <v>7.90782335168837E-2</v>
      </c>
      <c r="AC66">
        <f>(D66-$B$12)*$C$79</f>
        <v>-0.82136693181287801</v>
      </c>
      <c r="AD66" s="6">
        <f>$B$55+$B$7*AC66^2+$B$8*(AC66-AC$45)^2</f>
        <v>8.9959504997951259E-2</v>
      </c>
      <c r="AE66">
        <f>(D66-$B$12)*$C$80</f>
        <v>-0.89788629747523374</v>
      </c>
      <c r="AF66" s="6">
        <f>$B$56+$B$7*AE66^2+$B$8*(AE66-AE$45)^2</f>
        <v>0.10428664064401963</v>
      </c>
      <c r="AG66">
        <f>(D66-$B$12)*$C$81</f>
        <v>-0.99601751169927866</v>
      </c>
      <c r="AH66" s="6">
        <f>$B$57+$B$7*AG66^2+$B$8*(AG66-AG$45)^2</f>
        <v>0.12457728175729536</v>
      </c>
      <c r="AI66">
        <f>(D66-$B$12)*$C$82</f>
        <v>-1.1236252226385615</v>
      </c>
      <c r="AJ66">
        <f>$B$58+$B$9*AI66^2</f>
        <v>0.14314398358590028</v>
      </c>
      <c r="AK66">
        <f>(D66-$B$12)*$C$83</f>
        <v>-1.2937599647482783</v>
      </c>
      <c r="AL66">
        <f>$B$59+$B$9*AK66^2</f>
        <v>0.18526163032445836</v>
      </c>
      <c r="AM66">
        <f>(D66-$B$12)*$C$84</f>
        <v>-1.4849859833541401</v>
      </c>
      <c r="AN66">
        <f>$B$60+$B$9*AM66^2</f>
        <v>0.23928440680846919</v>
      </c>
      <c r="AO66">
        <f>(D66-$B$12)*$C$85</f>
        <v>-1.351958615286535</v>
      </c>
      <c r="AP66">
        <f>$B$61+$B$9*AO66^2</f>
        <v>0.20164245185793872</v>
      </c>
    </row>
    <row r="67" spans="1:42" s="29" customFormat="1" x14ac:dyDescent="0.25">
      <c r="A67" s="139">
        <v>0.05</v>
      </c>
      <c r="B67" s="259">
        <f>'Sub C_D_0'!BA71</f>
        <v>1.9125129680776662E-2</v>
      </c>
      <c r="C67" s="259">
        <f>'C_L vs. α'!X367</f>
        <v>0.10621868912756693</v>
      </c>
      <c r="D67" s="144">
        <v>-4</v>
      </c>
      <c r="E67" s="14">
        <f t="shared" ref="E67:E77" si="76">(D67-$B$12)*$C$67</f>
        <v>-0.3186560673827008</v>
      </c>
      <c r="F67" s="6">
        <f t="shared" ref="F67:F77" si="77">$B$43+$B$7*E67^2+$B$8*(E67-E$45)^2</f>
        <v>3.1105368964731241E-2</v>
      </c>
      <c r="G67" s="14">
        <f t="shared" ref="G67:G77" si="78">(D67-$B$12)*$C$68</f>
        <v>-0.32120853236126123</v>
      </c>
      <c r="H67" s="6">
        <f t="shared" ref="H67:H77" si="79">$B$44+$B$7*G67^2+$B$8*(G67-G$45)^2</f>
        <v>2.9917710521778444E-2</v>
      </c>
      <c r="I67" s="14">
        <f t="shared" ref="I67:I77" si="80">(D67-$B$12)*$C$69</f>
        <v>-0.32495221126553531</v>
      </c>
      <c r="J67" s="6">
        <f t="shared" ref="J67:J77" si="81">$B$45+$B$7*I67^2+$B$8*(I67-I$45)^2</f>
        <v>2.9485394892718193E-2</v>
      </c>
      <c r="K67" s="14">
        <f t="shared" ref="K67:K76" si="82">(D67-$B$12)*$C$70</f>
        <v>-0.33010174217315352</v>
      </c>
      <c r="L67" s="6">
        <f t="shared" ref="L67:L77" si="83">$B$46+$B$7*K67^2+$B$8*(K67-K$45)^2</f>
        <v>2.9407761625912524E-2</v>
      </c>
      <c r="M67">
        <f t="shared" ref="M67:M77" si="84">(D67-$B$12)*$C$71</f>
        <v>-0.33683270879603378</v>
      </c>
      <c r="N67" s="6">
        <f t="shared" ref="N67:N77" si="85">$B$47+$B$7*M67^2+$B$8*(M67-M$45)^2</f>
        <v>2.9584613545466237E-2</v>
      </c>
      <c r="O67">
        <f t="shared" ref="O67:O77" si="86">(D67-$B$12)*$C$72</f>
        <v>-0.34502802087228596</v>
      </c>
      <c r="P67" s="6">
        <f t="shared" ref="P67:P77" si="87">$B$48+$B$7*O67^2+$B$8*(O67-O$45)^2</f>
        <v>3.0446747507666815E-2</v>
      </c>
      <c r="Q67">
        <f t="shared" ref="Q67:Q77" si="88">(D67-$B$12)*$C$73</f>
        <v>-0.35561616954542385</v>
      </c>
      <c r="R67" s="6">
        <f t="shared" ref="R67:R77" si="89">$B$49+$B$7*Q67^2+$B$8*(Q67-Q$45)^2</f>
        <v>3.107810900754282E-2</v>
      </c>
      <c r="S67">
        <f t="shared" ref="S67:S77" si="90">(D67-$B$12)*$C$74</f>
        <v>-0.36860154331228046</v>
      </c>
      <c r="T67" s="6">
        <f t="shared" ref="T67:T77" si="91">$B$50+$B$7*S67^2+$B$8*(S67-S$45)^2</f>
        <v>3.1977548099720123E-2</v>
      </c>
      <c r="U67">
        <f t="shared" ref="U67:U77" si="92">(D67-$B$12)*$C$75</f>
        <v>-0.38444284037020449</v>
      </c>
      <c r="V67" s="6">
        <f t="shared" ref="V67:V77" si="93">$B$51+$B$7*U67^2+$B$8*(U67-U$45)^2</f>
        <v>3.3198342687875186E-2</v>
      </c>
      <c r="W67">
        <f t="shared" ref="W67:W77" si="94">(D67-$B$12)*$C$76</f>
        <v>-0.40375660558367621</v>
      </c>
      <c r="X67" s="6">
        <f t="shared" ref="X67:X77" si="95">$B$52+$B$7*W67^2+$B$8*(W67-W$45)^2</f>
        <v>3.4823710307048221E-2</v>
      </c>
      <c r="Y67">
        <f t="shared" ref="Y67:Y77" si="96">(D67-$B$12)*$C$77</f>
        <v>-0.42738277711217554</v>
      </c>
      <c r="Z67" s="6">
        <f t="shared" ref="Z67:Z77" si="97">$B$53+$B$7*Y67^2+$B$8*(Y67-Y$45)^2</f>
        <v>3.6979624151478062E-2</v>
      </c>
      <c r="AA67">
        <f t="shared" ref="AA67:AA77" si="98">(D67-$B$12)*$C$78</f>
        <v>-0.45648395699372468</v>
      </c>
      <c r="AB67" s="6">
        <f t="shared" ref="AB67:AB77" si="99">$B$54+$B$7*AA67^2+$B$8*(AA67-AA$45)^2</f>
        <v>3.9857522871386136E-2</v>
      </c>
      <c r="AC67">
        <f t="shared" ref="AC67:AC77" si="100">(D67-$B$12)*$C$79</f>
        <v>-0.49282015908772681</v>
      </c>
      <c r="AD67" s="6">
        <f t="shared" ref="AD67:AD77" si="101">$B$55+$B$7*AC67^2+$B$8*(AC67-AC$45)^2</f>
        <v>4.4246241959299958E-2</v>
      </c>
      <c r="AE67">
        <f t="shared" ref="AE67:AE77" si="102">(D67-$B$12)*$C$80</f>
        <v>-0.5387317784851402</v>
      </c>
      <c r="AF67" s="6">
        <f t="shared" ref="AF67:AF77" si="103">$B$56+$B$7*AE67^2+$B$8*(AE67-AE$45)^2</f>
        <v>4.965909568209536E-2</v>
      </c>
      <c r="AG67">
        <f t="shared" ref="AG67:AG77" si="104">(D67-$B$12)*$C$81</f>
        <v>-0.59761050701956719</v>
      </c>
      <c r="AH67" s="6">
        <f t="shared" ref="AH67:AH77" si="105">$B$57+$B$7*AG67^2+$B$8*(AG67-AG$45)^2</f>
        <v>5.7356328542681155E-2</v>
      </c>
      <c r="AI67">
        <f t="shared" ref="AI67:AI77" si="106">(D67-$B$12)*$C$82</f>
        <v>-0.67417513358313697</v>
      </c>
      <c r="AJ67">
        <f t="shared" ref="AJ67:AJ77" si="107">$B$58+$B$9*AI67^2</f>
        <v>6.1636050627894873E-2</v>
      </c>
      <c r="AK67">
        <f t="shared" ref="AK67:AK77" si="108">(D67-$B$12)*$C$83</f>
        <v>-0.77625597884896702</v>
      </c>
      <c r="AL67">
        <f t="shared" ref="AL67:AL77" si="109">$B$59+$B$9*AK67^2</f>
        <v>7.7201786326407174E-2</v>
      </c>
      <c r="AM67">
        <f t="shared" ref="AM67:AM77" si="110">(D67-$B$12)*$C$84</f>
        <v>-0.89099159001248407</v>
      </c>
      <c r="AN67">
        <f t="shared" ref="AN67:AN77" si="111">$B$60+$B$9*AM67^2</f>
        <v>9.6919932299346701E-2</v>
      </c>
      <c r="AO67">
        <f t="shared" ref="AO67:AO77" si="112">(D67-$B$12)*$C$85</f>
        <v>-0.81117516917192112</v>
      </c>
      <c r="AP67">
        <f t="shared" ref="AP67:AP77" si="113">$B$61+$B$9*AO67^2</f>
        <v>8.36419876264482E-2</v>
      </c>
    </row>
    <row r="68" spans="1:42" s="29" customFormat="1" x14ac:dyDescent="0.25">
      <c r="A68" s="129">
        <v>0.1</v>
      </c>
      <c r="B68" s="259">
        <f>'Sub C_D_0'!BA72</f>
        <v>1.7769906207056194E-2</v>
      </c>
      <c r="C68" s="259">
        <f>'C_L vs. α'!X368</f>
        <v>0.10706951078708708</v>
      </c>
      <c r="D68" s="144">
        <v>-2</v>
      </c>
      <c r="E68" s="14">
        <f t="shared" si="76"/>
        <v>-0.10621868912756693</v>
      </c>
      <c r="F68" s="6">
        <f t="shared" si="77"/>
        <v>2.1098162882259377E-2</v>
      </c>
      <c r="G68" s="14">
        <f t="shared" si="78"/>
        <v>-0.10706951078708708</v>
      </c>
      <c r="H68" s="6">
        <f t="shared" si="79"/>
        <v>1.9749545683269917E-2</v>
      </c>
      <c r="I68" s="14">
        <f t="shared" si="80"/>
        <v>-0.10831740375517844</v>
      </c>
      <c r="J68" s="6">
        <f t="shared" si="81"/>
        <v>1.9078820058152767E-2</v>
      </c>
      <c r="K68" s="14">
        <f t="shared" si="82"/>
        <v>-0.11003391405771784</v>
      </c>
      <c r="L68" s="6">
        <f t="shared" si="83"/>
        <v>1.8668735431321869E-2</v>
      </c>
      <c r="M68">
        <f t="shared" si="84"/>
        <v>-0.11227756959867793</v>
      </c>
      <c r="N68" s="6">
        <f t="shared" si="85"/>
        <v>1.8403160117692774E-2</v>
      </c>
      <c r="O68">
        <f t="shared" si="86"/>
        <v>-0.11500934029076199</v>
      </c>
      <c r="P68" s="6">
        <f t="shared" si="87"/>
        <v>1.871456945061557E-2</v>
      </c>
      <c r="Q68">
        <f t="shared" si="88"/>
        <v>-0.11853872318180796</v>
      </c>
      <c r="R68" s="6">
        <f t="shared" si="89"/>
        <v>1.8614797914484407E-2</v>
      </c>
      <c r="S68">
        <f t="shared" si="90"/>
        <v>-0.12286718110409348</v>
      </c>
      <c r="T68" s="6">
        <f t="shared" si="91"/>
        <v>1.8587401447084265E-2</v>
      </c>
      <c r="U68">
        <f t="shared" si="92"/>
        <v>-0.12814761345673484</v>
      </c>
      <c r="V68" s="6">
        <f t="shared" si="93"/>
        <v>1.8632511155926689E-2</v>
      </c>
      <c r="W68">
        <f t="shared" si="94"/>
        <v>-0.13458553519455874</v>
      </c>
      <c r="X68" s="6">
        <f t="shared" si="95"/>
        <v>1.8757560002297231E-2</v>
      </c>
      <c r="Y68">
        <f t="shared" si="96"/>
        <v>-0.14246092570405852</v>
      </c>
      <c r="Z68" s="6">
        <f t="shared" si="97"/>
        <v>1.8978171108156937E-2</v>
      </c>
      <c r="AA68">
        <f t="shared" si="98"/>
        <v>-0.15216131899790822</v>
      </c>
      <c r="AB68" s="6">
        <f t="shared" si="99"/>
        <v>1.9321053298093662E-2</v>
      </c>
      <c r="AC68">
        <f t="shared" si="100"/>
        <v>-0.1642733863625756</v>
      </c>
      <c r="AD68" s="6">
        <f t="shared" si="101"/>
        <v>2.0310144504668535E-2</v>
      </c>
      <c r="AE68">
        <f t="shared" si="102"/>
        <v>-0.17957725949504674</v>
      </c>
      <c r="AF68" s="6">
        <f t="shared" si="103"/>
        <v>2.1055284812537173E-2</v>
      </c>
      <c r="AG68">
        <f t="shared" si="104"/>
        <v>-0.19920350233985573</v>
      </c>
      <c r="AH68" s="6">
        <f t="shared" si="105"/>
        <v>2.2158291110148984E-2</v>
      </c>
      <c r="AI68">
        <f t="shared" si="106"/>
        <v>-0.2247250445277123</v>
      </c>
      <c r="AJ68">
        <f t="shared" si="107"/>
        <v>2.0882084148892172E-2</v>
      </c>
      <c r="AK68">
        <f t="shared" si="108"/>
        <v>-0.25875199294965567</v>
      </c>
      <c r="AL68">
        <f t="shared" si="109"/>
        <v>2.3171864327381591E-2</v>
      </c>
      <c r="AM68">
        <f t="shared" si="110"/>
        <v>-0.29699719667082802</v>
      </c>
      <c r="AN68">
        <f t="shared" si="111"/>
        <v>2.5737695044785451E-2</v>
      </c>
      <c r="AO68">
        <f t="shared" si="112"/>
        <v>-0.27039172305730702</v>
      </c>
      <c r="AP68">
        <f t="shared" si="113"/>
        <v>2.4641755510702936E-2</v>
      </c>
    </row>
    <row r="69" spans="1:42" s="29" customFormat="1" x14ac:dyDescent="0.25">
      <c r="A69" s="139">
        <v>0.15</v>
      </c>
      <c r="B69" s="259">
        <f>'Sub C_D_0'!BA73</f>
        <v>1.7067250888458514E-2</v>
      </c>
      <c r="C69" s="259">
        <f>'C_L vs. α'!X369</f>
        <v>0.10831740375517844</v>
      </c>
      <c r="D69" s="143">
        <v>0</v>
      </c>
      <c r="E69" s="83">
        <f t="shared" si="76"/>
        <v>0.10621868912756693</v>
      </c>
      <c r="F69" s="21">
        <f t="shared" si="77"/>
        <v>2.0195723214870127E-2</v>
      </c>
      <c r="G69" s="83">
        <f t="shared" si="78"/>
        <v>0.10706951078708708</v>
      </c>
      <c r="H69" s="21">
        <f t="shared" si="79"/>
        <v>1.8832591501632863E-2</v>
      </c>
      <c r="I69" s="83">
        <f t="shared" si="80"/>
        <v>0.10831740375517844</v>
      </c>
      <c r="J69" s="21">
        <f t="shared" si="81"/>
        <v>1.8140357895171925E-2</v>
      </c>
      <c r="K69" s="83">
        <f t="shared" si="82"/>
        <v>0.11003391405771784</v>
      </c>
      <c r="L69" s="21">
        <f t="shared" si="83"/>
        <v>1.7700282756266287E-2</v>
      </c>
      <c r="M69" s="99">
        <f t="shared" si="84"/>
        <v>0.11227756959867793</v>
      </c>
      <c r="N69" s="21">
        <f t="shared" si="85"/>
        <v>1.7394797937722827E-2</v>
      </c>
      <c r="O69" s="99">
        <f t="shared" si="86"/>
        <v>0.11500934029076199</v>
      </c>
      <c r="P69" s="21">
        <f t="shared" si="87"/>
        <v>1.7656537870782599E-2</v>
      </c>
      <c r="Q69" s="99">
        <f t="shared" si="88"/>
        <v>0.11853872318180796</v>
      </c>
      <c r="R69" s="21">
        <f t="shared" si="89"/>
        <v>1.7490817583339049E-2</v>
      </c>
      <c r="S69" s="99">
        <f t="shared" si="90"/>
        <v>0.12286718110409348</v>
      </c>
      <c r="T69" s="21">
        <f t="shared" si="91"/>
        <v>1.7379819385609112E-2</v>
      </c>
      <c r="U69" s="99">
        <f t="shared" si="92"/>
        <v>0.12814761345673484</v>
      </c>
      <c r="V69" s="21">
        <f t="shared" si="93"/>
        <v>1.7318879537177631E-2</v>
      </c>
      <c r="W69" s="99">
        <f t="shared" si="94"/>
        <v>0.13458553519455874</v>
      </c>
      <c r="X69" s="21">
        <f t="shared" si="95"/>
        <v>1.7308593410610053E-2</v>
      </c>
      <c r="Y69" s="99">
        <f t="shared" si="96"/>
        <v>0.14246092570405852</v>
      </c>
      <c r="Z69" s="21">
        <f t="shared" si="97"/>
        <v>1.7354627213844041E-2</v>
      </c>
      <c r="AA69" s="99">
        <f t="shared" si="98"/>
        <v>0.15216131899790822</v>
      </c>
      <c r="AB69" s="21">
        <f t="shared" si="99"/>
        <v>1.7468824797006306E-2</v>
      </c>
      <c r="AC69" s="99">
        <f t="shared" si="100"/>
        <v>0.1642733863625756</v>
      </c>
      <c r="AD69" s="21">
        <f t="shared" si="101"/>
        <v>1.8151212634056977E-2</v>
      </c>
      <c r="AE69" s="99">
        <f t="shared" si="102"/>
        <v>0.17957725949504674</v>
      </c>
      <c r="AF69" s="21">
        <f t="shared" si="103"/>
        <v>1.8475208035345039E-2</v>
      </c>
      <c r="AG69" s="99">
        <f t="shared" si="104"/>
        <v>0.19920350233985573</v>
      </c>
      <c r="AH69" s="21">
        <f t="shared" si="105"/>
        <v>1.8983169459698856E-2</v>
      </c>
      <c r="AI69" s="99">
        <f t="shared" si="106"/>
        <v>0.2247250445277123</v>
      </c>
      <c r="AJ69" s="99">
        <f t="shared" si="107"/>
        <v>2.0882084148892172E-2</v>
      </c>
      <c r="AK69" s="99">
        <f t="shared" si="108"/>
        <v>0.25875199294965567</v>
      </c>
      <c r="AL69" s="99">
        <f t="shared" si="109"/>
        <v>2.3171864327381591E-2</v>
      </c>
      <c r="AM69" s="99">
        <f t="shared" si="110"/>
        <v>0.29699719667082802</v>
      </c>
      <c r="AN69" s="99">
        <f t="shared" si="111"/>
        <v>2.5737695044785451E-2</v>
      </c>
      <c r="AO69" s="99">
        <f t="shared" si="112"/>
        <v>0.27039172305730702</v>
      </c>
      <c r="AP69" s="99">
        <f t="shared" si="113"/>
        <v>2.4641755510702936E-2</v>
      </c>
    </row>
    <row r="70" spans="1:42" s="29" customFormat="1" x14ac:dyDescent="0.25">
      <c r="A70" s="129">
        <v>0.2</v>
      </c>
      <c r="B70" s="259">
        <f>'Sub C_D_0'!BA74</f>
        <v>1.6604168011101095E-2</v>
      </c>
      <c r="C70" s="259">
        <f>'C_L vs. α'!X370</f>
        <v>0.11003391405771784</v>
      </c>
      <c r="D70" s="144">
        <v>2</v>
      </c>
      <c r="E70" s="14">
        <f t="shared" si="76"/>
        <v>0.3186560673827008</v>
      </c>
      <c r="F70" s="6">
        <f t="shared" si="77"/>
        <v>2.8398049962563482E-2</v>
      </c>
      <c r="G70" s="14">
        <f t="shared" si="78"/>
        <v>0.32120853236126123</v>
      </c>
      <c r="H70" s="6">
        <f t="shared" si="79"/>
        <v>2.7166847976867282E-2</v>
      </c>
      <c r="I70" s="14">
        <f t="shared" si="80"/>
        <v>0.32495221126553531</v>
      </c>
      <c r="J70" s="6">
        <f t="shared" si="81"/>
        <v>2.6670008403775668E-2</v>
      </c>
      <c r="K70" s="14">
        <f t="shared" si="82"/>
        <v>0.33010174217315352</v>
      </c>
      <c r="L70" s="6">
        <f t="shared" si="83"/>
        <v>2.6502403600745773E-2</v>
      </c>
      <c r="M70">
        <f t="shared" si="84"/>
        <v>0.33683270879603378</v>
      </c>
      <c r="N70" s="6">
        <f t="shared" si="85"/>
        <v>2.6559527005556388E-2</v>
      </c>
      <c r="O70">
        <f t="shared" si="86"/>
        <v>0.34502802087228596</v>
      </c>
      <c r="P70" s="6">
        <f t="shared" si="87"/>
        <v>2.7272652768167899E-2</v>
      </c>
      <c r="Q70">
        <f t="shared" si="88"/>
        <v>0.35561616954542385</v>
      </c>
      <c r="R70" s="6">
        <f t="shared" si="89"/>
        <v>2.7706168014106743E-2</v>
      </c>
      <c r="S70">
        <f t="shared" si="90"/>
        <v>0.36860154331228046</v>
      </c>
      <c r="T70" s="6">
        <f t="shared" si="91"/>
        <v>2.8354801915294658E-2</v>
      </c>
      <c r="U70">
        <f t="shared" si="92"/>
        <v>0.38444284037020449</v>
      </c>
      <c r="V70" s="6">
        <f t="shared" si="93"/>
        <v>2.9257447831628008E-2</v>
      </c>
      <c r="W70">
        <f t="shared" si="94"/>
        <v>0.40375660558367621</v>
      </c>
      <c r="X70" s="6">
        <f t="shared" si="95"/>
        <v>3.0476810531986687E-2</v>
      </c>
      <c r="Y70">
        <f t="shared" si="96"/>
        <v>0.42738277711217554</v>
      </c>
      <c r="Z70" s="6">
        <f t="shared" si="97"/>
        <v>3.2108992468539377E-2</v>
      </c>
      <c r="AA70">
        <f t="shared" si="98"/>
        <v>0.45648395699372468</v>
      </c>
      <c r="AB70" s="6">
        <f t="shared" si="99"/>
        <v>3.4300837368124067E-2</v>
      </c>
      <c r="AC70">
        <f t="shared" si="100"/>
        <v>0.49282015908772681</v>
      </c>
      <c r="AD70" s="6">
        <f t="shared" si="101"/>
        <v>3.7769446347465291E-2</v>
      </c>
      <c r="AE70">
        <f t="shared" si="102"/>
        <v>0.5387317784851402</v>
      </c>
      <c r="AF70" s="6">
        <f t="shared" si="103"/>
        <v>4.1918865350518961E-2</v>
      </c>
      <c r="AG70">
        <f t="shared" si="104"/>
        <v>0.59761050701956719</v>
      </c>
      <c r="AH70" s="6">
        <f t="shared" si="105"/>
        <v>4.7830963591330766E-2</v>
      </c>
      <c r="AI70">
        <f t="shared" si="106"/>
        <v>0.67417513358313697</v>
      </c>
      <c r="AJ70">
        <f t="shared" si="107"/>
        <v>6.1636050627894873E-2</v>
      </c>
      <c r="AK70">
        <f t="shared" si="108"/>
        <v>0.77625597884896702</v>
      </c>
      <c r="AL70">
        <f t="shared" si="109"/>
        <v>7.7201786326407174E-2</v>
      </c>
      <c r="AM70">
        <f t="shared" si="110"/>
        <v>0.89099159001248407</v>
      </c>
      <c r="AN70">
        <f t="shared" si="111"/>
        <v>9.6919932299346701E-2</v>
      </c>
      <c r="AO70">
        <f t="shared" si="112"/>
        <v>0.81117516917192112</v>
      </c>
      <c r="AP70">
        <f t="shared" si="113"/>
        <v>8.36419876264482E-2</v>
      </c>
    </row>
    <row r="71" spans="1:42" s="29" customFormat="1" x14ac:dyDescent="0.25">
      <c r="A71" s="139">
        <v>0.25</v>
      </c>
      <c r="B71" s="259">
        <f>'Sub C_D_0'!BA75</f>
        <v>1.6263635202735029E-2</v>
      </c>
      <c r="C71" s="259">
        <f>'C_L vs. α'!X371</f>
        <v>0.11227756959867793</v>
      </c>
      <c r="D71" s="144">
        <v>4</v>
      </c>
      <c r="E71" s="14">
        <f t="shared" si="76"/>
        <v>0.53109344563783467</v>
      </c>
      <c r="F71" s="6">
        <f t="shared" si="77"/>
        <v>4.5705143125339444E-2</v>
      </c>
      <c r="G71" s="14">
        <f t="shared" si="78"/>
        <v>0.53534755393543543</v>
      </c>
      <c r="H71" s="6">
        <f t="shared" si="79"/>
        <v>4.4752315108973179E-2</v>
      </c>
      <c r="I71" s="14">
        <f t="shared" si="80"/>
        <v>0.54158701877589221</v>
      </c>
      <c r="J71" s="6">
        <f t="shared" si="81"/>
        <v>4.4667771583963997E-2</v>
      </c>
      <c r="K71" s="14">
        <f t="shared" si="82"/>
        <v>0.55016957028858915</v>
      </c>
      <c r="L71" s="6">
        <f t="shared" si="83"/>
        <v>4.5075097964760322E-2</v>
      </c>
      <c r="M71">
        <f t="shared" si="84"/>
        <v>0.5613878479933897</v>
      </c>
      <c r="N71" s="6">
        <f t="shared" si="85"/>
        <v>4.5897347321193466E-2</v>
      </c>
      <c r="O71">
        <f t="shared" si="86"/>
        <v>0.57504670145380987</v>
      </c>
      <c r="P71" s="6">
        <f t="shared" si="87"/>
        <v>4.7562914142771459E-2</v>
      </c>
      <c r="Q71">
        <f t="shared" si="88"/>
        <v>0.59269361590903979</v>
      </c>
      <c r="R71" s="6">
        <f t="shared" si="89"/>
        <v>4.9260849206787499E-2</v>
      </c>
      <c r="S71">
        <f t="shared" si="90"/>
        <v>0.61433590552046735</v>
      </c>
      <c r="T71" s="6">
        <f t="shared" si="91"/>
        <v>5.1512349036140895E-2</v>
      </c>
      <c r="U71">
        <f t="shared" si="92"/>
        <v>0.64073806728367422</v>
      </c>
      <c r="V71" s="6">
        <f t="shared" si="93"/>
        <v>5.4448216039277825E-2</v>
      </c>
      <c r="W71">
        <f t="shared" si="94"/>
        <v>0.67292767597279368</v>
      </c>
      <c r="X71" s="6">
        <f t="shared" si="95"/>
        <v>5.826221136642714E-2</v>
      </c>
      <c r="Y71">
        <f t="shared" si="96"/>
        <v>0.71230462852029264</v>
      </c>
      <c r="Z71" s="6">
        <f t="shared" si="97"/>
        <v>6.3241266872242963E-2</v>
      </c>
      <c r="AA71">
        <f t="shared" si="98"/>
        <v>0.76080659498954106</v>
      </c>
      <c r="AB71" s="6">
        <f t="shared" si="99"/>
        <v>6.9817091011446911E-2</v>
      </c>
      <c r="AC71">
        <f t="shared" si="100"/>
        <v>0.82136693181287801</v>
      </c>
      <c r="AD71" s="6">
        <f t="shared" si="101"/>
        <v>7.9164845644893483E-2</v>
      </c>
      <c r="AE71">
        <f t="shared" si="102"/>
        <v>0.89788629747523374</v>
      </c>
      <c r="AF71" s="6">
        <f t="shared" si="103"/>
        <v>9.1386256758058962E-2</v>
      </c>
      <c r="AG71">
        <f t="shared" si="104"/>
        <v>0.99601751169927866</v>
      </c>
      <c r="AH71" s="6">
        <f t="shared" si="105"/>
        <v>0.10870167350504473</v>
      </c>
      <c r="AI71">
        <f t="shared" si="106"/>
        <v>1.1236252226385615</v>
      </c>
      <c r="AJ71">
        <f t="shared" si="107"/>
        <v>0.14314398358590028</v>
      </c>
      <c r="AK71">
        <f t="shared" si="108"/>
        <v>1.2937599647482783</v>
      </c>
      <c r="AL71">
        <f t="shared" si="109"/>
        <v>0.18526163032445836</v>
      </c>
      <c r="AM71">
        <f t="shared" si="110"/>
        <v>1.4849859833541401</v>
      </c>
      <c r="AN71">
        <f t="shared" si="111"/>
        <v>0.23928440680846919</v>
      </c>
      <c r="AO71">
        <f t="shared" si="112"/>
        <v>1.351958615286535</v>
      </c>
      <c r="AP71">
        <f t="shared" si="113"/>
        <v>0.20164245185793872</v>
      </c>
    </row>
    <row r="72" spans="1:42" s="29" customFormat="1" x14ac:dyDescent="0.25">
      <c r="A72" s="129">
        <v>0.3</v>
      </c>
      <c r="B72" s="259">
        <f>'Sub C_D_0'!BA76</f>
        <v>1.6473887772508425E-2</v>
      </c>
      <c r="C72" s="259">
        <f>'C_L vs. α'!X372</f>
        <v>0.11500934029076199</v>
      </c>
      <c r="D72" s="144">
        <v>6</v>
      </c>
      <c r="E72" s="14">
        <f t="shared" si="76"/>
        <v>0.74353082389296854</v>
      </c>
      <c r="F72" s="6">
        <f t="shared" si="77"/>
        <v>7.2117002703198027E-2</v>
      </c>
      <c r="G72" s="14">
        <f t="shared" si="78"/>
        <v>0.74948657550960962</v>
      </c>
      <c r="H72" s="6">
        <f t="shared" si="79"/>
        <v>7.1588992897950537E-2</v>
      </c>
      <c r="I72" s="14">
        <f t="shared" si="80"/>
        <v>0.75822182628624912</v>
      </c>
      <c r="J72" s="6">
        <f t="shared" si="81"/>
        <v>7.2133647435736914E-2</v>
      </c>
      <c r="K72" s="14">
        <f t="shared" si="82"/>
        <v>0.77023739840402494</v>
      </c>
      <c r="L72" s="6">
        <f t="shared" si="83"/>
        <v>7.3418365848309977E-2</v>
      </c>
      <c r="M72">
        <f t="shared" si="84"/>
        <v>0.78594298719074551</v>
      </c>
      <c r="N72" s="6">
        <f t="shared" si="85"/>
        <v>7.5408258884634038E-2</v>
      </c>
      <c r="O72">
        <f t="shared" si="86"/>
        <v>0.80506538203533395</v>
      </c>
      <c r="P72" s="6">
        <f t="shared" si="87"/>
        <v>7.8527321994593322E-2</v>
      </c>
      <c r="Q72">
        <f t="shared" si="88"/>
        <v>0.82977106227265574</v>
      </c>
      <c r="R72" s="6">
        <f t="shared" si="89"/>
        <v>8.2154861161381307E-2</v>
      </c>
      <c r="S72">
        <f t="shared" si="90"/>
        <v>0.86007026772865436</v>
      </c>
      <c r="T72" s="6">
        <f t="shared" si="91"/>
        <v>8.6852460748147828E-2</v>
      </c>
      <c r="U72">
        <f t="shared" si="92"/>
        <v>0.89703329419714384</v>
      </c>
      <c r="V72" s="6">
        <f t="shared" si="93"/>
        <v>9.289118416012708E-2</v>
      </c>
      <c r="W72">
        <f t="shared" si="94"/>
        <v>0.94209874636191115</v>
      </c>
      <c r="X72" s="6">
        <f t="shared" si="95"/>
        <v>0.1006647959139314</v>
      </c>
      <c r="Y72">
        <f t="shared" si="96"/>
        <v>0.99722647992840963</v>
      </c>
      <c r="Z72" s="6">
        <f t="shared" si="97"/>
        <v>0.11075145042495477</v>
      </c>
      <c r="AA72">
        <f t="shared" si="98"/>
        <v>1.0651292329853574</v>
      </c>
      <c r="AB72" s="6">
        <f t="shared" si="99"/>
        <v>0.12401758572697491</v>
      </c>
      <c r="AC72">
        <f t="shared" si="100"/>
        <v>1.1499137045380292</v>
      </c>
      <c r="AD72" s="6">
        <f t="shared" si="101"/>
        <v>0.14233741052634152</v>
      </c>
      <c r="AE72">
        <f t="shared" si="102"/>
        <v>1.2570408164653273</v>
      </c>
      <c r="AF72" s="6">
        <f t="shared" si="103"/>
        <v>0.16687738225796503</v>
      </c>
      <c r="AG72">
        <f t="shared" si="104"/>
        <v>1.3944245163789901</v>
      </c>
      <c r="AH72" s="6">
        <f t="shared" si="105"/>
        <v>0.20159529920084077</v>
      </c>
      <c r="AI72">
        <f t="shared" si="106"/>
        <v>1.5730753116939862</v>
      </c>
      <c r="AJ72">
        <f t="shared" si="107"/>
        <v>0.26540588302290835</v>
      </c>
      <c r="AK72">
        <f t="shared" si="108"/>
        <v>1.8112639506475898</v>
      </c>
      <c r="AL72">
        <f t="shared" si="109"/>
        <v>0.34735139632153517</v>
      </c>
      <c r="AM72">
        <f t="shared" si="110"/>
        <v>2.0789803766957959</v>
      </c>
      <c r="AN72">
        <f t="shared" si="111"/>
        <v>0.4528311185721528</v>
      </c>
      <c r="AO72">
        <f t="shared" si="112"/>
        <v>1.8927420614011492</v>
      </c>
      <c r="AP72">
        <f t="shared" si="113"/>
        <v>0.37864314820517458</v>
      </c>
    </row>
    <row r="73" spans="1:42" s="29" customFormat="1" x14ac:dyDescent="0.25">
      <c r="A73" s="139">
        <v>0.35</v>
      </c>
      <c r="B73" s="259">
        <f>'Sub C_D_0'!BA77</f>
        <v>1.624499042030967E-2</v>
      </c>
      <c r="C73" s="259">
        <f>'C_L vs. α'!X373</f>
        <v>0.11853872318180796</v>
      </c>
      <c r="D73" s="144">
        <v>8</v>
      </c>
      <c r="E73" s="14">
        <f t="shared" si="76"/>
        <v>0.95596820214810241</v>
      </c>
      <c r="F73" s="6">
        <f t="shared" si="77"/>
        <v>0.10763362869613921</v>
      </c>
      <c r="G73" s="14">
        <f t="shared" si="78"/>
        <v>0.9636255970837837</v>
      </c>
      <c r="H73" s="6">
        <f t="shared" si="79"/>
        <v>0.10767688134379938</v>
      </c>
      <c r="I73" s="14">
        <f t="shared" si="80"/>
        <v>0.97485663379660592</v>
      </c>
      <c r="J73" s="6">
        <f t="shared" si="81"/>
        <v>0.10906763595909438</v>
      </c>
      <c r="K73" s="14">
        <f t="shared" si="82"/>
        <v>0.99030522651946051</v>
      </c>
      <c r="L73" s="6">
        <f t="shared" si="83"/>
        <v>0.11153220725139465</v>
      </c>
      <c r="M73">
        <f t="shared" si="84"/>
        <v>1.0104981263881014</v>
      </c>
      <c r="N73" s="6">
        <f t="shared" si="85"/>
        <v>0.11509226169587816</v>
      </c>
      <c r="O73">
        <f t="shared" si="86"/>
        <v>1.0350840626168578</v>
      </c>
      <c r="P73" s="6">
        <f t="shared" si="87"/>
        <v>0.12016587632363343</v>
      </c>
      <c r="Q73">
        <f t="shared" si="88"/>
        <v>1.0668485086362716</v>
      </c>
      <c r="R73" s="6">
        <f t="shared" si="89"/>
        <v>0.12638820387788813</v>
      </c>
      <c r="S73">
        <f t="shared" si="90"/>
        <v>1.1058046299368414</v>
      </c>
      <c r="T73" s="6">
        <f t="shared" si="91"/>
        <v>0.13437513705131549</v>
      </c>
      <c r="U73">
        <f t="shared" si="92"/>
        <v>1.1533285211106135</v>
      </c>
      <c r="V73" s="6">
        <f t="shared" si="93"/>
        <v>0.14458635219417576</v>
      </c>
      <c r="W73">
        <f t="shared" si="94"/>
        <v>1.2112698167510287</v>
      </c>
      <c r="X73" s="6">
        <f t="shared" si="95"/>
        <v>0.1576845641744995</v>
      </c>
      <c r="Y73">
        <f t="shared" si="96"/>
        <v>1.2821483313365267</v>
      </c>
      <c r="Z73" s="6">
        <f t="shared" si="97"/>
        <v>0.17463954312667479</v>
      </c>
      <c r="AA73">
        <f t="shared" si="98"/>
        <v>1.369451870981174</v>
      </c>
      <c r="AB73" s="6">
        <f t="shared" si="99"/>
        <v>0.19690232151470805</v>
      </c>
      <c r="AC73">
        <f t="shared" si="100"/>
        <v>1.4784604772631804</v>
      </c>
      <c r="AD73" s="6">
        <f t="shared" si="101"/>
        <v>0.22728714099180947</v>
      </c>
      <c r="AE73">
        <f t="shared" si="102"/>
        <v>1.6161953354554206</v>
      </c>
      <c r="AF73" s="6">
        <f t="shared" si="103"/>
        <v>0.26839224185023713</v>
      </c>
      <c r="AG73">
        <f t="shared" si="104"/>
        <v>1.7928315210587016</v>
      </c>
      <c r="AH73" s="6">
        <f t="shared" si="105"/>
        <v>0.3265118406787188</v>
      </c>
      <c r="AI73">
        <f t="shared" si="106"/>
        <v>2.0225254007494109</v>
      </c>
      <c r="AJ73">
        <f t="shared" si="107"/>
        <v>0.42842174893891916</v>
      </c>
      <c r="AK73">
        <f t="shared" si="108"/>
        <v>2.328767936546901</v>
      </c>
      <c r="AL73">
        <f t="shared" si="109"/>
        <v>0.56347108431763748</v>
      </c>
      <c r="AM73">
        <f t="shared" si="110"/>
        <v>2.6729747700374524</v>
      </c>
      <c r="AN73">
        <f t="shared" si="111"/>
        <v>0.73756006759039805</v>
      </c>
      <c r="AO73">
        <f t="shared" si="112"/>
        <v>2.4335255075157631</v>
      </c>
      <c r="AP73">
        <f t="shared" si="113"/>
        <v>0.61464407666815546</v>
      </c>
    </row>
    <row r="74" spans="1:42" s="29" customFormat="1" x14ac:dyDescent="0.25">
      <c r="A74" s="129">
        <v>0.4</v>
      </c>
      <c r="B74" s="259">
        <f>'Sub C_D_0'!BA78</f>
        <v>1.6052395064519824E-2</v>
      </c>
      <c r="C74" s="259">
        <f>'C_L vs. α'!X374</f>
        <v>0.12286718110409348</v>
      </c>
      <c r="D74" s="144">
        <v>10</v>
      </c>
      <c r="E74" s="14">
        <f t="shared" si="76"/>
        <v>1.1684055804032363</v>
      </c>
      <c r="F74" s="6">
        <f t="shared" si="77"/>
        <v>0.152255021104163</v>
      </c>
      <c r="G74" s="14">
        <f t="shared" si="78"/>
        <v>1.177764618657958</v>
      </c>
      <c r="H74" s="6">
        <f t="shared" si="79"/>
        <v>0.15301598044651973</v>
      </c>
      <c r="I74" s="14">
        <f t="shared" si="80"/>
        <v>1.1914914413069628</v>
      </c>
      <c r="J74" s="6">
        <f t="shared" si="81"/>
        <v>0.1554697371540365</v>
      </c>
      <c r="K74" s="14">
        <f t="shared" si="82"/>
        <v>1.2103730546348963</v>
      </c>
      <c r="L74" s="6">
        <f t="shared" si="83"/>
        <v>0.15941662217401445</v>
      </c>
      <c r="M74">
        <f t="shared" si="84"/>
        <v>1.2350532655854574</v>
      </c>
      <c r="N74" s="6">
        <f t="shared" si="85"/>
        <v>0.16494935575492575</v>
      </c>
      <c r="O74">
        <f t="shared" si="86"/>
        <v>1.2651027431983819</v>
      </c>
      <c r="P74" s="6">
        <f t="shared" si="87"/>
        <v>0.17247857712989187</v>
      </c>
      <c r="Q74">
        <f t="shared" si="88"/>
        <v>1.3039259549998876</v>
      </c>
      <c r="R74" s="6">
        <f t="shared" si="89"/>
        <v>0.18196087735630806</v>
      </c>
      <c r="S74">
        <f t="shared" si="90"/>
        <v>1.3515389921450283</v>
      </c>
      <c r="T74" s="6">
        <f t="shared" si="91"/>
        <v>0.19408037794564381</v>
      </c>
      <c r="U74">
        <f t="shared" si="92"/>
        <v>1.4096237480240832</v>
      </c>
      <c r="V74" s="6">
        <f t="shared" si="93"/>
        <v>0.20953372014142391</v>
      </c>
      <c r="W74">
        <f t="shared" si="94"/>
        <v>1.480440887140146</v>
      </c>
      <c r="X74" s="6">
        <f t="shared" si="95"/>
        <v>0.22932151614813134</v>
      </c>
      <c r="Y74">
        <f t="shared" si="96"/>
        <v>1.5670701827446438</v>
      </c>
      <c r="Z74" s="6">
        <f t="shared" si="97"/>
        <v>0.25490554497740309</v>
      </c>
      <c r="AA74">
        <f t="shared" si="98"/>
        <v>1.6737745089769904</v>
      </c>
      <c r="AB74" s="6">
        <f t="shared" si="99"/>
        <v>0.28847129837464625</v>
      </c>
      <c r="AC74">
        <f t="shared" si="100"/>
        <v>1.8070072499883316</v>
      </c>
      <c r="AD74" s="6">
        <f t="shared" si="101"/>
        <v>0.33401403704129723</v>
      </c>
      <c r="AE74">
        <f t="shared" si="102"/>
        <v>1.9753498544455141</v>
      </c>
      <c r="AF74" s="6">
        <f t="shared" si="103"/>
        <v>0.39593083553487529</v>
      </c>
      <c r="AG74">
        <f t="shared" si="104"/>
        <v>2.191238525738413</v>
      </c>
      <c r="AH74" s="6">
        <f t="shared" si="105"/>
        <v>0.48345129793867891</v>
      </c>
      <c r="AI74">
        <f t="shared" si="106"/>
        <v>2.4719754898048354</v>
      </c>
      <c r="AJ74">
        <f t="shared" si="107"/>
        <v>0.63219158133393272</v>
      </c>
      <c r="AK74">
        <f t="shared" si="108"/>
        <v>2.8462719224462125</v>
      </c>
      <c r="AL74">
        <f t="shared" si="109"/>
        <v>0.83362069431276564</v>
      </c>
      <c r="AM74">
        <f t="shared" si="110"/>
        <v>3.266969163379108</v>
      </c>
      <c r="AN74">
        <f t="shared" si="111"/>
        <v>1.0934712538632041</v>
      </c>
      <c r="AO74">
        <f t="shared" si="112"/>
        <v>2.9743089536303771</v>
      </c>
      <c r="AP74">
        <f t="shared" si="113"/>
        <v>0.90964523724688173</v>
      </c>
    </row>
    <row r="75" spans="1:42" s="29" customFormat="1" x14ac:dyDescent="0.25">
      <c r="A75" s="139">
        <v>0.45</v>
      </c>
      <c r="B75" s="259">
        <f>'Sub C_D_0'!BA79</f>
        <v>1.5886744328328015E-2</v>
      </c>
      <c r="C75" s="259">
        <f>'C_L vs. α'!X375</f>
        <v>0.12814761345673484</v>
      </c>
      <c r="D75" s="144">
        <v>12</v>
      </c>
      <c r="E75" s="14">
        <f t="shared" si="76"/>
        <v>1.3808429586583701</v>
      </c>
      <c r="F75" s="6">
        <f t="shared" si="77"/>
        <v>0.20598117992726944</v>
      </c>
      <c r="G75" s="14">
        <f t="shared" si="78"/>
        <v>1.3919036402321321</v>
      </c>
      <c r="H75" s="6">
        <f t="shared" si="79"/>
        <v>0.20760629020611149</v>
      </c>
      <c r="I75" s="14">
        <f t="shared" si="80"/>
        <v>1.4081262488173196</v>
      </c>
      <c r="J75" s="6">
        <f t="shared" si="81"/>
        <v>0.2113399510205631</v>
      </c>
      <c r="K75" s="14">
        <f t="shared" si="82"/>
        <v>1.4304408827503319</v>
      </c>
      <c r="L75" s="6">
        <f t="shared" si="83"/>
        <v>0.21707161061616925</v>
      </c>
      <c r="M75">
        <f t="shared" si="84"/>
        <v>1.4596084047828131</v>
      </c>
      <c r="N75" s="6">
        <f t="shared" si="85"/>
        <v>0.22497954106177681</v>
      </c>
      <c r="O75">
        <f t="shared" si="86"/>
        <v>1.4951214237799058</v>
      </c>
      <c r="P75" s="6">
        <f t="shared" si="87"/>
        <v>0.23546542441336843</v>
      </c>
      <c r="Q75">
        <f t="shared" si="88"/>
        <v>1.5410034013635034</v>
      </c>
      <c r="R75" s="6">
        <f t="shared" si="89"/>
        <v>0.248872881596641</v>
      </c>
      <c r="S75">
        <f t="shared" si="90"/>
        <v>1.5972733543532152</v>
      </c>
      <c r="T75" s="6">
        <f t="shared" si="91"/>
        <v>0.26596818343113282</v>
      </c>
      <c r="U75">
        <f t="shared" si="92"/>
        <v>1.6659189749375529</v>
      </c>
      <c r="V75" s="6">
        <f t="shared" si="93"/>
        <v>0.28773328800187148</v>
      </c>
      <c r="W75">
        <f t="shared" si="94"/>
        <v>1.7496119575292637</v>
      </c>
      <c r="X75" s="6">
        <f t="shared" si="95"/>
        <v>0.31557565183482711</v>
      </c>
      <c r="Y75">
        <f t="shared" si="96"/>
        <v>1.8519920341527607</v>
      </c>
      <c r="Z75" s="6">
        <f t="shared" si="97"/>
        <v>0.35154945597713955</v>
      </c>
      <c r="AA75">
        <f t="shared" si="98"/>
        <v>1.9780971469728068</v>
      </c>
      <c r="AB75" s="6">
        <f t="shared" si="99"/>
        <v>0.39872451630678951</v>
      </c>
      <c r="AC75">
        <f t="shared" si="100"/>
        <v>2.1355540227134826</v>
      </c>
      <c r="AD75" s="6">
        <f t="shared" si="101"/>
        <v>0.46251809867480481</v>
      </c>
      <c r="AE75">
        <f t="shared" si="102"/>
        <v>2.3345043734356077</v>
      </c>
      <c r="AF75" s="6">
        <f t="shared" si="103"/>
        <v>0.54949316331187958</v>
      </c>
      <c r="AG75">
        <f t="shared" si="104"/>
        <v>2.5896455304181245</v>
      </c>
      <c r="AH75" s="6">
        <f t="shared" si="105"/>
        <v>0.67241367098072113</v>
      </c>
      <c r="AI75">
        <f t="shared" si="106"/>
        <v>2.9214255788602599</v>
      </c>
      <c r="AJ75">
        <f t="shared" si="107"/>
        <v>0.87671538020794881</v>
      </c>
      <c r="AK75">
        <f t="shared" si="108"/>
        <v>3.3637759083455236</v>
      </c>
      <c r="AL75">
        <f t="shared" si="109"/>
        <v>1.1578002263069191</v>
      </c>
      <c r="AM75">
        <f t="shared" si="110"/>
        <v>3.8609635567207645</v>
      </c>
      <c r="AN75">
        <f t="shared" si="111"/>
        <v>1.5205646773905719</v>
      </c>
      <c r="AO75">
        <f t="shared" si="112"/>
        <v>3.5150923997449914</v>
      </c>
      <c r="AP75">
        <f t="shared" si="113"/>
        <v>1.2636466299413536</v>
      </c>
    </row>
    <row r="76" spans="1:42" s="29" customFormat="1" x14ac:dyDescent="0.25">
      <c r="A76" s="129">
        <v>0.5</v>
      </c>
      <c r="B76" s="259">
        <f>'Sub C_D_0'!BA80</f>
        <v>1.5741824139978527E-2</v>
      </c>
      <c r="C76" s="259">
        <f>'C_L vs. α'!X376</f>
        <v>0.13458553519455874</v>
      </c>
      <c r="D76" s="144">
        <v>14</v>
      </c>
      <c r="E76" s="14">
        <f t="shared" si="76"/>
        <v>1.593280336913504</v>
      </c>
      <c r="F76" s="6">
        <f t="shared" si="77"/>
        <v>0.26881210516545845</v>
      </c>
      <c r="G76" s="14">
        <f t="shared" si="78"/>
        <v>1.6060426618063062</v>
      </c>
      <c r="H76" s="6">
        <f t="shared" si="79"/>
        <v>0.27144781062257473</v>
      </c>
      <c r="I76" s="14">
        <f t="shared" si="80"/>
        <v>1.6247610563276766</v>
      </c>
      <c r="J76" s="6">
        <f t="shared" si="81"/>
        <v>0.27667827755867441</v>
      </c>
      <c r="K76" s="14">
        <f t="shared" si="82"/>
        <v>1.6505087108657677</v>
      </c>
      <c r="L76" s="6">
        <f t="shared" si="83"/>
        <v>0.28449717257785917</v>
      </c>
      <c r="M76">
        <f t="shared" si="84"/>
        <v>1.684163543980169</v>
      </c>
      <c r="N76" s="6">
        <f t="shared" si="85"/>
        <v>0.2951828176164315</v>
      </c>
      <c r="O76">
        <f t="shared" si="86"/>
        <v>1.7251401043614298</v>
      </c>
      <c r="P76" s="6">
        <f t="shared" si="87"/>
        <v>0.30912641817406339</v>
      </c>
      <c r="Q76">
        <f t="shared" si="88"/>
        <v>1.7780808477271193</v>
      </c>
      <c r="R76" s="6">
        <f t="shared" si="89"/>
        <v>0.32712421659888702</v>
      </c>
      <c r="S76">
        <f t="shared" si="90"/>
        <v>1.8430077165614021</v>
      </c>
      <c r="T76" s="6">
        <f t="shared" si="91"/>
        <v>0.35003855350778246</v>
      </c>
      <c r="U76">
        <f t="shared" si="92"/>
        <v>1.9222142018510227</v>
      </c>
      <c r="V76" s="6">
        <f t="shared" si="93"/>
        <v>0.37918505577551848</v>
      </c>
      <c r="W76">
        <f t="shared" si="94"/>
        <v>2.0187830279183809</v>
      </c>
      <c r="X76" s="6">
        <f t="shared" si="95"/>
        <v>0.41644697123458652</v>
      </c>
      <c r="Y76">
        <f t="shared" si="96"/>
        <v>2.1369138855608778</v>
      </c>
      <c r="Z76" s="6">
        <f t="shared" si="97"/>
        <v>0.46457127612588434</v>
      </c>
      <c r="AA76">
        <f t="shared" si="98"/>
        <v>2.2824197849686234</v>
      </c>
      <c r="AB76" s="6">
        <f t="shared" si="99"/>
        <v>0.52766197531113801</v>
      </c>
      <c r="AC76">
        <f t="shared" si="100"/>
        <v>2.4641007954386343</v>
      </c>
      <c r="AD76" s="6">
        <f t="shared" si="101"/>
        <v>0.61279932589233255</v>
      </c>
      <c r="AE76">
        <f t="shared" si="102"/>
        <v>2.693658892425701</v>
      </c>
      <c r="AF76" s="6">
        <f t="shared" si="103"/>
        <v>0.7290792251812499</v>
      </c>
      <c r="AG76">
        <f t="shared" si="104"/>
        <v>2.988052535097836</v>
      </c>
      <c r="AH76" s="6">
        <f t="shared" si="105"/>
        <v>0.89339895980484529</v>
      </c>
      <c r="AI76">
        <f t="shared" si="106"/>
        <v>3.3708756679156844</v>
      </c>
      <c r="AJ76">
        <f t="shared" si="107"/>
        <v>1.1619931455609676</v>
      </c>
      <c r="AK76">
        <f t="shared" si="108"/>
        <v>3.8812798942448352</v>
      </c>
      <c r="AL76">
        <f t="shared" si="109"/>
        <v>1.5360096803000984</v>
      </c>
      <c r="AM76">
        <f t="shared" si="110"/>
        <v>4.4549579500624201</v>
      </c>
      <c r="AN76">
        <f t="shared" si="111"/>
        <v>2.0188403381725002</v>
      </c>
      <c r="AO76">
        <f t="shared" si="112"/>
        <v>4.0558758458596049</v>
      </c>
      <c r="AP76">
        <f t="shared" si="113"/>
        <v>1.6766482547515702</v>
      </c>
    </row>
    <row r="77" spans="1:42" s="29" customFormat="1" x14ac:dyDescent="0.25">
      <c r="A77" s="139">
        <v>0.55000000000000004</v>
      </c>
      <c r="B77" s="259">
        <f>'Sub C_D_0'!BA81</f>
        <v>1.5613308922117033E-2</v>
      </c>
      <c r="C77" s="259">
        <f>'C_L vs. α'!X377</f>
        <v>0.14246092570405852</v>
      </c>
      <c r="D77" s="144">
        <v>16</v>
      </c>
      <c r="E77" s="14">
        <f t="shared" si="76"/>
        <v>1.8057177151686379</v>
      </c>
      <c r="F77" s="6">
        <f t="shared" si="77"/>
        <v>0.34074779681873002</v>
      </c>
      <c r="G77" s="14">
        <f t="shared" si="78"/>
        <v>1.8201816833804805</v>
      </c>
      <c r="H77" s="6">
        <f t="shared" si="79"/>
        <v>0.34454054169590953</v>
      </c>
      <c r="I77" s="14">
        <f t="shared" si="80"/>
        <v>1.8413958638380334</v>
      </c>
      <c r="J77" s="6">
        <f t="shared" si="81"/>
        <v>0.35148471676837018</v>
      </c>
      <c r="K77" s="14">
        <f>(D77-$B$12)*$C$70</f>
        <v>1.8705765389812032</v>
      </c>
      <c r="L77" s="6">
        <f t="shared" si="83"/>
        <v>0.36169330805908417</v>
      </c>
      <c r="M77">
        <f t="shared" si="84"/>
        <v>1.9087186831775249</v>
      </c>
      <c r="N77" s="6">
        <f t="shared" si="85"/>
        <v>0.37555918541888966</v>
      </c>
      <c r="O77">
        <f t="shared" si="86"/>
        <v>1.9551587849429537</v>
      </c>
      <c r="P77" s="6">
        <f t="shared" si="87"/>
        <v>0.39346155841197661</v>
      </c>
      <c r="Q77">
        <f t="shared" si="88"/>
        <v>2.0151582940907353</v>
      </c>
      <c r="R77" s="6">
        <f t="shared" si="89"/>
        <v>0.41671488236304616</v>
      </c>
      <c r="S77">
        <f t="shared" si="90"/>
        <v>2.088742078769589</v>
      </c>
      <c r="T77" s="6">
        <f t="shared" si="91"/>
        <v>0.44629148817559289</v>
      </c>
      <c r="U77">
        <f t="shared" si="92"/>
        <v>2.1785094287644924</v>
      </c>
      <c r="V77" s="6">
        <f t="shared" si="93"/>
        <v>0.48388902346236495</v>
      </c>
      <c r="W77">
        <f t="shared" si="94"/>
        <v>2.2879540983074986</v>
      </c>
      <c r="X77" s="6">
        <f t="shared" si="95"/>
        <v>0.53193547434740995</v>
      </c>
      <c r="Y77">
        <f t="shared" si="96"/>
        <v>2.4218357369689949</v>
      </c>
      <c r="Z77" s="6">
        <f t="shared" si="97"/>
        <v>0.59397100542363734</v>
      </c>
      <c r="AA77">
        <f t="shared" si="98"/>
        <v>2.5867424229644396</v>
      </c>
      <c r="AB77" s="6">
        <f t="shared" si="99"/>
        <v>0.67528367538769141</v>
      </c>
      <c r="AC77">
        <f t="shared" si="100"/>
        <v>2.792647568163785</v>
      </c>
      <c r="AD77" s="6">
        <f t="shared" si="101"/>
        <v>0.78485771869387977</v>
      </c>
      <c r="AE77">
        <f t="shared" si="102"/>
        <v>3.0528134114157948</v>
      </c>
      <c r="AF77" s="6">
        <f t="shared" si="103"/>
        <v>0.93468902114298646</v>
      </c>
      <c r="AG77">
        <f t="shared" si="104"/>
        <v>3.3864595397775474</v>
      </c>
      <c r="AH77" s="6">
        <f t="shared" si="105"/>
        <v>1.1464071644110516</v>
      </c>
      <c r="AI77">
        <f t="shared" si="106"/>
        <v>3.8203257569711093</v>
      </c>
      <c r="AJ77">
        <f t="shared" si="107"/>
        <v>1.4880248773929894</v>
      </c>
      <c r="AK77">
        <f t="shared" si="108"/>
        <v>4.3987838801441468</v>
      </c>
      <c r="AL77">
        <f t="shared" si="109"/>
        <v>1.9682490562923034</v>
      </c>
      <c r="AM77">
        <f t="shared" si="110"/>
        <v>5.0489523434040766</v>
      </c>
      <c r="AN77">
        <f t="shared" si="111"/>
        <v>2.5882982362089906</v>
      </c>
      <c r="AO77">
        <f t="shared" si="112"/>
        <v>4.5966592919742197</v>
      </c>
      <c r="AP77">
        <f t="shared" si="113"/>
        <v>2.1486501116775334</v>
      </c>
    </row>
    <row r="78" spans="1:42" s="29" customFormat="1" x14ac:dyDescent="0.25">
      <c r="A78" s="129">
        <v>0.6</v>
      </c>
      <c r="B78" s="259">
        <f>'Sub C_D_0'!BA82</f>
        <v>1.5498073340864307E-2</v>
      </c>
      <c r="C78" s="259">
        <f>'C_L vs. α'!X378</f>
        <v>0.15216131899790822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9" customFormat="1" x14ac:dyDescent="0.25">
      <c r="A79" s="139">
        <v>0.65</v>
      </c>
      <c r="B79" s="259">
        <f>'Sub C_D_0'!BA83</f>
        <v>1.5866934727654085E-2</v>
      </c>
      <c r="C79" s="259">
        <f>'C_L vs. α'!X379</f>
        <v>0.1642733863625756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9" customFormat="1" x14ac:dyDescent="0.25">
      <c r="A80" s="129">
        <v>0.7</v>
      </c>
      <c r="B80" s="259">
        <f>'Sub C_D_0'!BA84</f>
        <v>1.5766819023723538E-2</v>
      </c>
      <c r="C80" s="259">
        <f>'C_L vs. α'!X380</f>
        <v>0.17957725949504674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9" customFormat="1" x14ac:dyDescent="0.25">
      <c r="A81" s="139">
        <v>0.75</v>
      </c>
      <c r="B81" s="259">
        <f>'Sub C_D_0'!BA85</f>
        <v>1.5674903382775818E-2</v>
      </c>
      <c r="C81" s="259">
        <f>'C_L vs. α'!X381</f>
        <v>0.19920350233985573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9" customFormat="1" x14ac:dyDescent="0.25">
      <c r="A82" s="129">
        <v>0.8</v>
      </c>
      <c r="B82" s="259">
        <f>'Sub C_D_0'!BA86</f>
        <v>1.5690028745177841E-2</v>
      </c>
      <c r="C82" s="259">
        <f>'C_L vs. α'!X382</f>
        <v>0.2247250445277123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9" customFormat="1" x14ac:dyDescent="0.25">
      <c r="A83" s="139">
        <v>0.85</v>
      </c>
      <c r="B83" s="259">
        <f>'Sub C_D_0'!BA87</f>
        <v>1.6316623702958929E-2</v>
      </c>
      <c r="C83" s="259">
        <f>'C_L vs. α'!X383</f>
        <v>0.25875199294965567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9" customFormat="1" x14ac:dyDescent="0.25">
      <c r="A84" s="129">
        <v>0.9</v>
      </c>
      <c r="B84" s="259">
        <f>'Sub C_D_0'!BA88</f>
        <v>1.6739528498422002E-2</v>
      </c>
      <c r="C84" s="259">
        <f>'C_L vs. α'!X384</f>
        <v>0.29699719667082802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 spans="1:42" s="29" customFormat="1" x14ac:dyDescent="0.25">
      <c r="A85" s="139">
        <v>0.95</v>
      </c>
      <c r="B85" s="259">
        <f>'Sub C_D_0'!BA89</f>
        <v>1.7167378554723972E-2</v>
      </c>
      <c r="C85" s="259">
        <f>'C_L vs. α'!X385</f>
        <v>0.27039172305730702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9" customFormat="1" x14ac:dyDescent="0.25">
      <c r="A86" s="11"/>
      <c r="B86" s="11"/>
      <c r="C86" s="11"/>
    </row>
    <row r="88" spans="1:42" x14ac:dyDescent="0.25">
      <c r="A88" s="122" t="s">
        <v>537</v>
      </c>
      <c r="B88" s="122" t="s">
        <v>289</v>
      </c>
    </row>
    <row r="89" spans="1:42" x14ac:dyDescent="0.25">
      <c r="A89" s="122" t="s">
        <v>202</v>
      </c>
      <c r="B89" s="145">
        <v>15000</v>
      </c>
      <c r="C89" s="122" t="s">
        <v>538</v>
      </c>
      <c r="D89" s="122" t="s">
        <v>539</v>
      </c>
      <c r="E89" s="1" t="s">
        <v>536</v>
      </c>
      <c r="F89" s="140">
        <v>0.05</v>
      </c>
      <c r="G89" s="1" t="s">
        <v>536</v>
      </c>
      <c r="H89" s="140">
        <v>0.1</v>
      </c>
      <c r="I89" s="1" t="s">
        <v>536</v>
      </c>
      <c r="J89" s="140">
        <v>0.15</v>
      </c>
      <c r="K89" s="1" t="s">
        <v>536</v>
      </c>
      <c r="L89" s="140">
        <v>0.2</v>
      </c>
      <c r="M89" t="s">
        <v>536</v>
      </c>
      <c r="N89" s="141">
        <v>0.25</v>
      </c>
      <c r="O89" t="s">
        <v>536</v>
      </c>
      <c r="P89" s="141">
        <v>0.3</v>
      </c>
      <c r="Q89" t="s">
        <v>536</v>
      </c>
      <c r="R89" s="141">
        <v>0.35</v>
      </c>
      <c r="S89" t="s">
        <v>536</v>
      </c>
      <c r="T89" s="141">
        <v>0.4</v>
      </c>
      <c r="U89" t="s">
        <v>536</v>
      </c>
      <c r="V89" s="141">
        <v>0.45</v>
      </c>
      <c r="W89" t="s">
        <v>536</v>
      </c>
      <c r="X89" s="141">
        <v>0.5</v>
      </c>
      <c r="Y89" t="s">
        <v>536</v>
      </c>
      <c r="Z89" s="141">
        <v>0.55000000000000004</v>
      </c>
      <c r="AA89" t="s">
        <v>536</v>
      </c>
      <c r="AB89" s="141">
        <v>0.6</v>
      </c>
      <c r="AC89" t="s">
        <v>536</v>
      </c>
      <c r="AD89" s="141">
        <v>0.65</v>
      </c>
      <c r="AE89" t="s">
        <v>536</v>
      </c>
      <c r="AF89" s="141">
        <v>0.7</v>
      </c>
      <c r="AG89" t="s">
        <v>536</v>
      </c>
      <c r="AH89" s="141">
        <v>0.75</v>
      </c>
      <c r="AI89" t="s">
        <v>536</v>
      </c>
      <c r="AJ89" s="141">
        <v>0.8</v>
      </c>
      <c r="AK89" t="s">
        <v>536</v>
      </c>
      <c r="AL89" s="141">
        <v>0.85</v>
      </c>
      <c r="AM89" t="s">
        <v>536</v>
      </c>
      <c r="AN89" s="141">
        <v>0.9</v>
      </c>
      <c r="AO89" t="s">
        <v>536</v>
      </c>
      <c r="AP89" s="141">
        <v>0.95</v>
      </c>
    </row>
    <row r="90" spans="1:42" x14ac:dyDescent="0.25">
      <c r="A90" s="121" t="s">
        <v>182</v>
      </c>
      <c r="B90" s="121" t="s">
        <v>534</v>
      </c>
      <c r="C90" s="121" t="s">
        <v>535</v>
      </c>
      <c r="D90" s="121" t="s">
        <v>421</v>
      </c>
      <c r="E90" s="14" t="s">
        <v>244</v>
      </c>
      <c r="F90" s="6" t="s">
        <v>245</v>
      </c>
      <c r="G90" s="14" t="s">
        <v>244</v>
      </c>
      <c r="H90" s="6" t="s">
        <v>245</v>
      </c>
      <c r="I90" s="14" t="s">
        <v>244</v>
      </c>
      <c r="J90" s="6" t="s">
        <v>245</v>
      </c>
      <c r="K90" s="14" t="s">
        <v>244</v>
      </c>
      <c r="L90" s="6" t="s">
        <v>245</v>
      </c>
      <c r="M90" t="s">
        <v>244</v>
      </c>
      <c r="N90" t="s">
        <v>245</v>
      </c>
      <c r="O90" t="s">
        <v>244</v>
      </c>
      <c r="P90" t="s">
        <v>245</v>
      </c>
      <c r="Q90" t="s">
        <v>244</v>
      </c>
      <c r="R90" t="s">
        <v>245</v>
      </c>
      <c r="S90" t="s">
        <v>244</v>
      </c>
      <c r="T90" t="s">
        <v>245</v>
      </c>
      <c r="U90" t="s">
        <v>244</v>
      </c>
      <c r="V90" t="s">
        <v>245</v>
      </c>
      <c r="W90" t="s">
        <v>244</v>
      </c>
      <c r="X90" t="s">
        <v>245</v>
      </c>
      <c r="Y90" t="s">
        <v>244</v>
      </c>
      <c r="Z90" t="s">
        <v>245</v>
      </c>
      <c r="AA90" t="s">
        <v>244</v>
      </c>
      <c r="AB90" t="s">
        <v>245</v>
      </c>
      <c r="AC90" t="s">
        <v>244</v>
      </c>
      <c r="AD90" t="s">
        <v>245</v>
      </c>
      <c r="AE90" t="s">
        <v>244</v>
      </c>
      <c r="AF90" t="s">
        <v>245</v>
      </c>
      <c r="AG90" t="s">
        <v>244</v>
      </c>
      <c r="AH90" t="s">
        <v>245</v>
      </c>
      <c r="AI90" t="s">
        <v>244</v>
      </c>
      <c r="AJ90" t="s">
        <v>245</v>
      </c>
      <c r="AK90" t="s">
        <v>244</v>
      </c>
      <c r="AL90" t="s">
        <v>245</v>
      </c>
      <c r="AM90" t="s">
        <v>244</v>
      </c>
      <c r="AN90" t="s">
        <v>245</v>
      </c>
      <c r="AO90" t="s">
        <v>244</v>
      </c>
      <c r="AP90" t="s">
        <v>245</v>
      </c>
    </row>
    <row r="91" spans="1:42" x14ac:dyDescent="0.25">
      <c r="A91" s="129">
        <v>0</v>
      </c>
      <c r="B91" s="129" t="e">
        <f>'Sub C_D_0'!BA100</f>
        <v>#DIV/0!</v>
      </c>
      <c r="C91" s="129" t="e">
        <f>'C_L vs. α'!X391</f>
        <v>#NUM!</v>
      </c>
      <c r="D91" s="144">
        <v>-6</v>
      </c>
      <c r="E91" s="14">
        <f>(D91-$B$12)*$C$92</f>
        <v>-0.5311171599679837</v>
      </c>
      <c r="F91" s="6">
        <f>$B$92+$B$7*E91^2+$B$8*(E91-E$94)^2</f>
        <v>5.0021463978051406E-2</v>
      </c>
      <c r="G91" s="14">
        <f>(D91-$B$12)*$C$93</f>
        <v>-0.53537135670082692</v>
      </c>
      <c r="H91" s="6">
        <f>$B$93+$B$7*G91^2+$B$8*(G91-G$94)^2</f>
        <v>4.9169667452857793E-2</v>
      </c>
      <c r="I91" s="14">
        <f>(D91-$B$12)*$C$94</f>
        <v>-0.54160963167359299</v>
      </c>
      <c r="J91" s="6">
        <f>$B$94+$B$7*I91^2+$B$8*(I91-I$94)^2</f>
        <v>4.9206777402137414E-2</v>
      </c>
      <c r="K91" s="14">
        <f>(D91-$B$12)*$C$95</f>
        <v>-0.55019085565702786</v>
      </c>
      <c r="L91" s="6">
        <f>$B$95+$B$7*K91^2+$B$8*(K91-K$94)^2</f>
        <v>4.9773111208079812E-2</v>
      </c>
      <c r="M91">
        <f>(D91-$B$12)*$C$96</f>
        <v>-0.56140777605092107</v>
      </c>
      <c r="N91" s="6">
        <f>$B$96+$B$7*M91^2+$B$8*(M91-M$94)^2</f>
        <v>5.0801433114529962E-2</v>
      </c>
      <c r="O91">
        <f>(D91-$B$12)*$C$97</f>
        <v>-0.57506651917949003</v>
      </c>
      <c r="P91" s="6">
        <f>$B$97+$B$7*O91^2+$B$8*(O91-O$94)^2</f>
        <v>5.2713793449593239E-2</v>
      </c>
      <c r="Q91">
        <f>(D91-$B$12)*$C$98</f>
        <v>-0.59271196272986859</v>
      </c>
      <c r="R91" s="6">
        <f>$B$98+$B$7*Q91^2+$B$8*(Q91-Q$94)^2</f>
        <v>5.4745725368800138E-2</v>
      </c>
      <c r="S91">
        <f>(D91-$B$12)*$C$99</f>
        <v>-0.61435247035322005</v>
      </c>
      <c r="T91" s="6">
        <f>$B$99+$B$7*S91^2+$B$8*(S91-S$94)^2</f>
        <v>5.7418716229394304E-2</v>
      </c>
      <c r="U91">
        <f>(D91-$B$12)*$C$100</f>
        <v>-0.6407523934904904</v>
      </c>
      <c r="V91" s="6">
        <f>$B$100+$B$7*U91^2+$B$8*(U91-U$94)^2</f>
        <v>6.0887702273088019E-2</v>
      </c>
      <c r="W91">
        <f>(D91-$B$12)*$C$101</f>
        <v>-0.67293907828867594</v>
      </c>
      <c r="X91" s="6">
        <f>$B$101+$B$7*W91^2+$B$8*(W91-W$94)^2</f>
        <v>6.538070481325689E-2</v>
      </c>
      <c r="Y91">
        <f>(D91-$B$12)*$C$102</f>
        <v>-0.71231205602249437</v>
      </c>
      <c r="Z91" s="6">
        <f>$B$102+$B$7*Y91^2+$B$8*(Y91-Y$94)^2</f>
        <v>7.1234433461256338E-2</v>
      </c>
      <c r="AA91">
        <f>(D91-$B$12)*$C$103</f>
        <v>-0.76080838871322909</v>
      </c>
      <c r="AB91" s="6">
        <f>$B$103+$B$7*AA91^2+$B$8*(AA91-AA$94)^2</f>
        <v>7.8954812891575493E-2</v>
      </c>
      <c r="AC91">
        <f>(D91-$B$12)*$C$104</f>
        <v>-0.8213597943543266</v>
      </c>
      <c r="AD91" s="6">
        <f>$B$104+$B$7*AC91^2+$B$8*(AC91-AC$94)^2</f>
        <v>8.9829742226797446E-2</v>
      </c>
      <c r="AE91">
        <f>(D91-$B$12)*$C$105</f>
        <v>-0.89786484607251693</v>
      </c>
      <c r="AF91" s="6">
        <f>$B$105+$B$7*AE91^2+$B$8*(AE91-AE$94)^2</f>
        <v>0.10415528749609308</v>
      </c>
      <c r="AG91">
        <f>(D91-$B$12)*$C$106</f>
        <v>-0.9959720080236133</v>
      </c>
      <c r="AH91" s="6">
        <f>$B$106+$B$7*AG91^2+$B$8*(AG91-AG$94)^2</f>
        <v>0.12444093440526617</v>
      </c>
      <c r="AI91">
        <f>(D91-$B$12)*$C$107</f>
        <v>-1.1235356379775607</v>
      </c>
      <c r="AJ91">
        <f>$B$107+$B$9*AI91^2</f>
        <v>0.14300049849046628</v>
      </c>
      <c r="AK91">
        <f>(D91-$B$12)*$C$108</f>
        <v>-1.2935673658282085</v>
      </c>
      <c r="AL91">
        <f>$B$108+$B$9*AK91^2</f>
        <v>0.18508353668659167</v>
      </c>
      <c r="AM91">
        <f>(D91-$B$12)*$C$109</f>
        <v>-1.4845408331353789</v>
      </c>
      <c r="AN91">
        <f>$B$109+$B$9*AM91^2</f>
        <v>0.23902463847615021</v>
      </c>
      <c r="AO91">
        <f>(D91-$B$12)*$C$110</f>
        <v>-1.3505028679667821</v>
      </c>
      <c r="AP91">
        <f>$B$110+$B$9*AO91^2</f>
        <v>0.20112048804701796</v>
      </c>
    </row>
    <row r="92" spans="1:42" x14ac:dyDescent="0.25">
      <c r="A92" s="139">
        <v>0.05</v>
      </c>
      <c r="B92" s="259">
        <f>'Sub C_D_0'!BA101</f>
        <v>1.9084176116340411E-2</v>
      </c>
      <c r="C92" s="259">
        <f>'C_L vs. α'!X392</f>
        <v>0.10622343199359674</v>
      </c>
      <c r="D92" s="144">
        <v>-4</v>
      </c>
      <c r="E92" s="14">
        <f t="shared" ref="E92:E102" si="114">(D92-$B$12)*$C$92</f>
        <v>-0.31867029598079022</v>
      </c>
      <c r="F92" s="6">
        <f t="shared" ref="F92:F102" si="115">$B$92+$B$7*E92^2+$B$8*(E92-E$94)^2</f>
        <v>3.0907631530829868E-2</v>
      </c>
      <c r="G92" s="14">
        <f t="shared" ref="G92:G102" si="116">(D92-$B$12)*$C$93</f>
        <v>-0.32122281402049613</v>
      </c>
      <c r="H92" s="6">
        <f t="shared" ref="H92:H102" si="117">$B$93+$B$7*G92^2+$B$8*(G92-G$94)^2</f>
        <v>2.9748408816735981E-2</v>
      </c>
      <c r="I92" s="14">
        <f t="shared" ref="I92:I102" si="118">(D92-$B$12)*$C$94</f>
        <v>-0.3249657790041558</v>
      </c>
      <c r="J92" s="6">
        <f t="shared" ref="J92:J102" si="119">$B$94+$B$7*I92^2+$B$8*(I92-I$94)^2</f>
        <v>2.9330279558491441E-2</v>
      </c>
      <c r="K92" s="14">
        <f t="shared" ref="K92:K102" si="120">(D92-$B$12)*$C$95</f>
        <v>-0.33011451339421671</v>
      </c>
      <c r="L92" s="6">
        <f t="shared" ref="L92:L102" si="121">$B$95+$B$7*K92^2+$B$8*(K92-K$94)^2</f>
        <v>2.9261780166500901E-2</v>
      </c>
      <c r="M92">
        <f t="shared" ref="M92:M102" si="122">(D92-$B$12)*$C$96</f>
        <v>-0.33684466563055265</v>
      </c>
      <c r="N92" s="6">
        <f t="shared" ref="N92:N102" si="123">$B$96+$B$7*M92^2+$B$8*(M92-M$94)^2</f>
        <v>2.944523429087912E-2</v>
      </c>
      <c r="O92">
        <f t="shared" ref="O92:O102" si="124">(D92-$B$12)*$C$97</f>
        <v>-0.34503991150769397</v>
      </c>
      <c r="P92" s="6">
        <f t="shared" ref="P92:P102" si="125">$B$97+$B$7*O92^2+$B$8*(O92-O$94)^2</f>
        <v>3.0305784220699267E-2</v>
      </c>
      <c r="Q92">
        <f t="shared" ref="Q92:Q102" si="126">(D92-$B$12)*$C$98</f>
        <v>-0.35562717763792118</v>
      </c>
      <c r="R92" s="6">
        <f t="shared" ref="R92:R102" si="127">$B$98+$B$7*Q92^2+$B$8*(Q92-Q$94)^2</f>
        <v>3.0941475881635476E-2</v>
      </c>
      <c r="S92">
        <f t="shared" ref="S92:S102" si="128">(D92-$B$12)*$C$99</f>
        <v>-0.36861148221193207</v>
      </c>
      <c r="T92" s="6">
        <f t="shared" ref="T92:T102" si="129">$B$99+$B$7*S92^2+$B$8*(S92-S$94)^2</f>
        <v>3.1844500411185153E-2</v>
      </c>
      <c r="U92">
        <f t="shared" ref="U92:U102" si="130">(D92-$B$12)*$C$100</f>
        <v>-0.38445143609429427</v>
      </c>
      <c r="V92" s="6">
        <f t="shared" ref="V92:V102" si="131">$B$100+$B$7*U92^2+$B$8*(U92-U$94)^2</f>
        <v>3.3068313599045801E-2</v>
      </c>
      <c r="W92">
        <f t="shared" ref="W92:W102" si="132">(D92-$B$12)*$C$101</f>
        <v>-0.4037634469732056</v>
      </c>
      <c r="X92" s="6">
        <f t="shared" ref="X92:X102" si="133">$B$101+$B$7*W92^2+$B$8*(W92-W$94)^2</f>
        <v>3.4696236254684043E-2</v>
      </c>
      <c r="Y92">
        <f t="shared" ref="Y92:Y102" si="134">(D92-$B$12)*$C$102</f>
        <v>-0.42738723361349662</v>
      </c>
      <c r="Z92" s="6">
        <f t="shared" ref="Z92:Z102" si="135">$B$102+$B$7*Y92^2+$B$8*(Y92-Y$94)^2</f>
        <v>3.6854288953586868E-2</v>
      </c>
      <c r="AA92">
        <f t="shared" ref="AA92:AA102" si="136">(D92-$B$12)*$C$103</f>
        <v>-0.45648503322793749</v>
      </c>
      <c r="AB92" s="6">
        <f t="shared" ref="AB92:AB102" si="137">$B$103+$B$7*AA92^2+$B$8*(AA92-AA$94)^2</f>
        <v>3.9733900448689394E-2</v>
      </c>
      <c r="AC92">
        <f t="shared" ref="AC92:AC102" si="138">(D92-$B$12)*$C$104</f>
        <v>-0.49281587661259596</v>
      </c>
      <c r="AD92" s="6">
        <f t="shared" ref="AD92:AD102" si="139">$B$104+$B$7*AC92^2+$B$8*(AC92-AC$94)^2</f>
        <v>4.4117345888702003E-2</v>
      </c>
      <c r="AE92">
        <f t="shared" ref="AE92:AE102" si="140">(D92-$B$12)*$C$105</f>
        <v>-0.53871890764351016</v>
      </c>
      <c r="AF92" s="6">
        <f t="shared" ref="AF92:AF102" si="141">$B$105+$B$7*AE92^2+$B$8*(AE92-AE$94)^2</f>
        <v>4.9530590112114317E-2</v>
      </c>
      <c r="AG92">
        <f t="shared" ref="AG92:AG102" si="142">(D92-$B$12)*$C$106</f>
        <v>-0.59758320481416793</v>
      </c>
      <c r="AH92" s="6">
        <f t="shared" ref="AH92:AH102" si="143">$B$106+$B$7*AG92^2+$B$8*(AG92-AG$94)^2</f>
        <v>5.7226681883778191E-2</v>
      </c>
      <c r="AI92">
        <f t="shared" ref="AI92:AI102" si="144">(D92-$B$12)*$C$107</f>
        <v>-0.67412138278653644</v>
      </c>
      <c r="AJ92">
        <f t="shared" ref="AJ92:AJ102" si="145">$B$107+$B$9*AI92^2</f>
        <v>6.1505561982368867E-2</v>
      </c>
      <c r="AK92">
        <f t="shared" ref="AK92:AK102" si="146">(D92-$B$12)*$C$108</f>
        <v>-0.77614041949692503</v>
      </c>
      <c r="AL92">
        <f t="shared" ref="AL92:AL102" si="147">$B$108+$B$9*AK92^2</f>
        <v>7.705586350954638E-2</v>
      </c>
      <c r="AM92">
        <f t="shared" ref="AM92:AM102" si="148">(D92-$B$12)*$C$109</f>
        <v>-0.89072449988122726</v>
      </c>
      <c r="AN92">
        <f t="shared" ref="AN92:AN102" si="149">$B$109+$B$9*AM92^2</f>
        <v>9.6745503598538368E-2</v>
      </c>
      <c r="AO92">
        <f t="shared" ref="AO92:AO102" si="150">(D92-$B$12)*$C$110</f>
        <v>-0.81030172078006935</v>
      </c>
      <c r="AP92">
        <f t="shared" ref="AP92:AP102" si="151">$B$110+$B$9*AO92^2</f>
        <v>8.3374005519561381E-2</v>
      </c>
    </row>
    <row r="93" spans="1:42" x14ac:dyDescent="0.25">
      <c r="A93" s="129">
        <v>0.1</v>
      </c>
      <c r="B93" s="259">
        <f>'Sub C_D_0'!BA102</f>
        <v>1.7734785373529863E-2</v>
      </c>
      <c r="C93" s="259">
        <f>'C_L vs. α'!X393</f>
        <v>0.10707427134016538</v>
      </c>
      <c r="D93" s="144">
        <v>-2</v>
      </c>
      <c r="E93" s="14">
        <f t="shared" si="114"/>
        <v>-0.10622343199359674</v>
      </c>
      <c r="F93" s="6">
        <f t="shared" si="115"/>
        <v>2.0899378607039165E-2</v>
      </c>
      <c r="G93" s="14">
        <f t="shared" si="116"/>
        <v>-0.10707427134016538</v>
      </c>
      <c r="H93" s="6">
        <f t="shared" si="117"/>
        <v>1.9579183515353978E-2</v>
      </c>
      <c r="I93" s="14">
        <f t="shared" si="118"/>
        <v>-0.1083219263347186</v>
      </c>
      <c r="J93" s="6">
        <f t="shared" si="119"/>
        <v>1.8922685047673891E-2</v>
      </c>
      <c r="K93" s="14">
        <f t="shared" si="120"/>
        <v>-0.11003817113140557</v>
      </c>
      <c r="L93" s="6">
        <f t="shared" si="121"/>
        <v>1.8521778681473665E-2</v>
      </c>
      <c r="M93">
        <f t="shared" si="122"/>
        <v>-0.11228155521018422</v>
      </c>
      <c r="N93" s="6">
        <f t="shared" si="123"/>
        <v>1.8262848973436996E-2</v>
      </c>
      <c r="O93">
        <f t="shared" si="124"/>
        <v>-0.115013303835898</v>
      </c>
      <c r="P93" s="6">
        <f t="shared" si="125"/>
        <v>1.8572657203882341E-2</v>
      </c>
      <c r="Q93">
        <f t="shared" si="126"/>
        <v>-0.11854239254597372</v>
      </c>
      <c r="R93" s="6">
        <f t="shared" si="127"/>
        <v>1.8477259184832198E-2</v>
      </c>
      <c r="S93">
        <f t="shared" si="128"/>
        <v>-0.12287049407064402</v>
      </c>
      <c r="T93" s="6">
        <f t="shared" si="129"/>
        <v>1.8453506169554011E-2</v>
      </c>
      <c r="U93">
        <f t="shared" si="130"/>
        <v>-0.12815047869809809</v>
      </c>
      <c r="V93" s="6">
        <f t="shared" si="131"/>
        <v>1.8501717454402621E-2</v>
      </c>
      <c r="W93">
        <f t="shared" si="132"/>
        <v>-0.1345878156577352</v>
      </c>
      <c r="X93" s="6">
        <f t="shared" si="133"/>
        <v>1.86294467704568E-2</v>
      </c>
      <c r="Y93">
        <f t="shared" si="134"/>
        <v>-0.14246241120449887</v>
      </c>
      <c r="Z93" s="6">
        <f t="shared" si="135"/>
        <v>1.8852395155504145E-2</v>
      </c>
      <c r="AA93">
        <f t="shared" si="136"/>
        <v>-0.15216167774264583</v>
      </c>
      <c r="AB93" s="6">
        <f t="shared" si="137"/>
        <v>1.9197317180308059E-2</v>
      </c>
      <c r="AC93">
        <f t="shared" si="138"/>
        <v>-0.16427195887086532</v>
      </c>
      <c r="AD93" s="6">
        <f t="shared" si="139"/>
        <v>2.0181736660803428E-2</v>
      </c>
      <c r="AE93">
        <f t="shared" si="140"/>
        <v>-0.17957296921450339</v>
      </c>
      <c r="AF93" s="6">
        <f t="shared" si="141"/>
        <v>2.092838336922441E-2</v>
      </c>
      <c r="AG93">
        <f t="shared" si="142"/>
        <v>-0.19919440160472265</v>
      </c>
      <c r="AH93" s="6">
        <f t="shared" si="143"/>
        <v>2.2032419237807674E-2</v>
      </c>
      <c r="AI93">
        <f t="shared" si="144"/>
        <v>-0.22470712759551215</v>
      </c>
      <c r="AJ93">
        <f t="shared" si="145"/>
        <v>2.0758093728320146E-2</v>
      </c>
      <c r="AK93">
        <f t="shared" si="146"/>
        <v>-0.25871347316564169</v>
      </c>
      <c r="AL93">
        <f t="shared" si="147"/>
        <v>2.3042026921023771E-2</v>
      </c>
      <c r="AM93">
        <f t="shared" si="148"/>
        <v>-0.29690816662707575</v>
      </c>
      <c r="AN93">
        <f t="shared" si="149"/>
        <v>2.5605936159732459E-2</v>
      </c>
      <c r="AO93">
        <f t="shared" si="150"/>
        <v>-0.27010057359335643</v>
      </c>
      <c r="AP93">
        <f t="shared" si="151"/>
        <v>2.4500764255833061E-2</v>
      </c>
    </row>
    <row r="94" spans="1:42" s="29" customFormat="1" x14ac:dyDescent="0.25">
      <c r="A94" s="139">
        <v>0.15</v>
      </c>
      <c r="B94" s="259">
        <f>'Sub C_D_0'!BA103</f>
        <v>1.7035053747578487E-2</v>
      </c>
      <c r="C94" s="259">
        <f>'C_L vs. α'!X394</f>
        <v>0.1083219263347186</v>
      </c>
      <c r="D94" s="143">
        <v>0</v>
      </c>
      <c r="E94" s="83">
        <f t="shared" si="114"/>
        <v>0.10622343199359674</v>
      </c>
      <c r="F94" s="21">
        <f t="shared" si="115"/>
        <v>1.9996705206679302E-2</v>
      </c>
      <c r="G94" s="83">
        <f t="shared" si="116"/>
        <v>0.10707427134016538</v>
      </c>
      <c r="H94" s="21">
        <f t="shared" si="117"/>
        <v>1.8661991548711791E-2</v>
      </c>
      <c r="I94" s="83">
        <f t="shared" si="118"/>
        <v>0.1083219263347186</v>
      </c>
      <c r="J94" s="21">
        <f t="shared" si="119"/>
        <v>1.7983993869684755E-2</v>
      </c>
      <c r="K94" s="83">
        <f t="shared" si="120"/>
        <v>0.11003817113140557</v>
      </c>
      <c r="L94" s="21">
        <f t="shared" si="121"/>
        <v>1.7553106752998104E-2</v>
      </c>
      <c r="M94" s="99">
        <f t="shared" si="122"/>
        <v>0.11228155521018422</v>
      </c>
      <c r="N94" s="21">
        <f t="shared" si="123"/>
        <v>1.7254277162203582E-2</v>
      </c>
      <c r="O94" s="99">
        <f t="shared" si="124"/>
        <v>0.115013303835898</v>
      </c>
      <c r="P94" s="21">
        <f t="shared" si="125"/>
        <v>1.7514412399142455E-2</v>
      </c>
      <c r="Q94" s="99">
        <f t="shared" si="126"/>
        <v>0.11854239254597372</v>
      </c>
      <c r="R94" s="21">
        <f t="shared" si="127"/>
        <v>1.7353075278390299E-2</v>
      </c>
      <c r="S94" s="99">
        <f t="shared" si="128"/>
        <v>0.12287049407064402</v>
      </c>
      <c r="T94" s="21">
        <f t="shared" si="129"/>
        <v>1.7245733504500878E-2</v>
      </c>
      <c r="U94" s="99">
        <f t="shared" si="130"/>
        <v>0.12815047869809809</v>
      </c>
      <c r="V94" s="21">
        <f t="shared" si="131"/>
        <v>1.7187913839158485E-2</v>
      </c>
      <c r="W94" s="99">
        <f t="shared" si="132"/>
        <v>0.1345878156577352</v>
      </c>
      <c r="X94" s="21">
        <f t="shared" si="133"/>
        <v>1.7180336360575157E-2</v>
      </c>
      <c r="Y94" s="99">
        <f t="shared" si="134"/>
        <v>0.14246241120449887</v>
      </c>
      <c r="Z94" s="21">
        <f t="shared" si="135"/>
        <v>1.7228752067008166E-2</v>
      </c>
      <c r="AA94" s="99">
        <f t="shared" si="136"/>
        <v>0.15216167774264583</v>
      </c>
      <c r="AB94" s="21">
        <f t="shared" si="137"/>
        <v>1.7345063086431516E-2</v>
      </c>
      <c r="AC94" s="99">
        <f t="shared" si="138"/>
        <v>0.16427195887086532</v>
      </c>
      <c r="AD94" s="21">
        <f t="shared" si="139"/>
        <v>1.8022914543101728E-2</v>
      </c>
      <c r="AE94" s="99">
        <f t="shared" si="140"/>
        <v>0.17957296921450339</v>
      </c>
      <c r="AF94" s="21">
        <f t="shared" si="141"/>
        <v>1.8348667267423371E-2</v>
      </c>
      <c r="AG94" s="99">
        <f t="shared" si="142"/>
        <v>0.19919440160472265</v>
      </c>
      <c r="AH94" s="21">
        <f t="shared" si="143"/>
        <v>1.8858146467354592E-2</v>
      </c>
      <c r="AI94" s="99">
        <f t="shared" si="144"/>
        <v>0.22470712759551215</v>
      </c>
      <c r="AJ94" s="99">
        <f t="shared" si="145"/>
        <v>2.0758093728320146E-2</v>
      </c>
      <c r="AK94" s="99">
        <f t="shared" si="146"/>
        <v>0.25871347316564169</v>
      </c>
      <c r="AL94" s="99">
        <f t="shared" si="147"/>
        <v>2.3042026921023771E-2</v>
      </c>
      <c r="AM94" s="99">
        <f t="shared" si="148"/>
        <v>0.29690816662707575</v>
      </c>
      <c r="AN94" s="99">
        <f t="shared" si="149"/>
        <v>2.5605936159732459E-2</v>
      </c>
      <c r="AO94" s="99">
        <f t="shared" si="150"/>
        <v>0.27010057359335643</v>
      </c>
      <c r="AP94" s="99">
        <f t="shared" si="151"/>
        <v>2.4500764255833061E-2</v>
      </c>
    </row>
    <row r="95" spans="1:42" x14ac:dyDescent="0.25">
      <c r="A95" s="129">
        <v>0.2</v>
      </c>
      <c r="B95" s="259">
        <f>'Sub C_D_0'!BA104</f>
        <v>1.6573858540548034E-2</v>
      </c>
      <c r="C95" s="259">
        <f>'C_L vs. α'!X395</f>
        <v>0.11003817113140557</v>
      </c>
      <c r="D95" s="144">
        <v>2</v>
      </c>
      <c r="E95" s="14">
        <f t="shared" si="114"/>
        <v>0.31867029598079022</v>
      </c>
      <c r="F95" s="6">
        <f t="shared" si="115"/>
        <v>2.8199611329750282E-2</v>
      </c>
      <c r="G95" s="14">
        <f t="shared" si="116"/>
        <v>0.32122281402049613</v>
      </c>
      <c r="H95" s="6">
        <f t="shared" si="117"/>
        <v>2.6996832916809411E-2</v>
      </c>
      <c r="I95" s="14">
        <f t="shared" si="118"/>
        <v>0.3249657790041558</v>
      </c>
      <c r="J95" s="6">
        <f t="shared" si="119"/>
        <v>2.6514206024524034E-2</v>
      </c>
      <c r="K95" s="14">
        <f t="shared" si="120"/>
        <v>0.33011451339421671</v>
      </c>
      <c r="L95" s="6">
        <f t="shared" si="121"/>
        <v>2.6355764381074221E-2</v>
      </c>
      <c r="M95">
        <f t="shared" si="122"/>
        <v>0.33684466563055265</v>
      </c>
      <c r="N95" s="6">
        <f t="shared" si="123"/>
        <v>2.6419518857178883E-2</v>
      </c>
      <c r="O95">
        <f t="shared" si="124"/>
        <v>0.34503991150769397</v>
      </c>
      <c r="P95" s="6">
        <f t="shared" si="125"/>
        <v>2.7131049806479603E-2</v>
      </c>
      <c r="Q95">
        <f t="shared" si="126"/>
        <v>0.35562717763792118</v>
      </c>
      <c r="R95" s="6">
        <f t="shared" si="127"/>
        <v>2.7568924162309782E-2</v>
      </c>
      <c r="S95">
        <f t="shared" si="128"/>
        <v>0.36861148221193207</v>
      </c>
      <c r="T95" s="6">
        <f t="shared" si="129"/>
        <v>2.8221182416025753E-2</v>
      </c>
      <c r="U95">
        <f t="shared" si="130"/>
        <v>0.38445143609429427</v>
      </c>
      <c r="V95" s="6">
        <f t="shared" si="131"/>
        <v>2.9126902753313397E-2</v>
      </c>
      <c r="W95">
        <f t="shared" si="132"/>
        <v>0.4037634469732056</v>
      </c>
      <c r="X95" s="6">
        <f t="shared" si="133"/>
        <v>3.0348905025039122E-2</v>
      </c>
      <c r="Y95">
        <f t="shared" si="134"/>
        <v>0.42738723361349662</v>
      </c>
      <c r="Z95" s="6">
        <f t="shared" si="135"/>
        <v>3.1983359688098935E-2</v>
      </c>
      <c r="AA95">
        <f t="shared" si="136"/>
        <v>0.45648503322793749</v>
      </c>
      <c r="AB95" s="6">
        <f t="shared" si="137"/>
        <v>3.4177138167059758E-2</v>
      </c>
      <c r="AC95">
        <f t="shared" si="138"/>
        <v>0.49281587661259596</v>
      </c>
      <c r="AD95" s="6">
        <f t="shared" si="139"/>
        <v>3.7640879535596895E-2</v>
      </c>
      <c r="AE95">
        <f t="shared" si="140"/>
        <v>0.53871890764351016</v>
      </c>
      <c r="AF95" s="6">
        <f t="shared" si="141"/>
        <v>4.1791441806711196E-2</v>
      </c>
      <c r="AG95">
        <f t="shared" si="142"/>
        <v>0.59758320481416793</v>
      </c>
      <c r="AH95" s="6">
        <f t="shared" si="143"/>
        <v>4.7703863572418945E-2</v>
      </c>
      <c r="AI95">
        <f t="shared" si="144"/>
        <v>0.67412138278653644</v>
      </c>
      <c r="AJ95">
        <f t="shared" si="145"/>
        <v>6.1505561982368867E-2</v>
      </c>
      <c r="AK95">
        <f t="shared" si="146"/>
        <v>0.77614041949692503</v>
      </c>
      <c r="AL95">
        <f t="shared" si="147"/>
        <v>7.705586350954638E-2</v>
      </c>
      <c r="AM95">
        <f t="shared" si="148"/>
        <v>0.89072449988122726</v>
      </c>
      <c r="AN95">
        <f t="shared" si="149"/>
        <v>9.6745503598538368E-2</v>
      </c>
      <c r="AO95">
        <f t="shared" si="150"/>
        <v>0.81030172078006935</v>
      </c>
      <c r="AP95">
        <f t="shared" si="151"/>
        <v>8.3374005519561381E-2</v>
      </c>
    </row>
    <row r="96" spans="1:42" x14ac:dyDescent="0.25">
      <c r="A96" s="139">
        <v>0.25</v>
      </c>
      <c r="B96" s="259">
        <f>'Sub C_D_0'!BA105</f>
        <v>1.6234693426735846E-2</v>
      </c>
      <c r="C96" s="259">
        <f>'C_L vs. α'!X396</f>
        <v>0.11228155521018422</v>
      </c>
      <c r="D96" s="144">
        <v>4</v>
      </c>
      <c r="E96" s="14">
        <f t="shared" si="114"/>
        <v>0.5311171599679837</v>
      </c>
      <c r="F96" s="6">
        <f t="shared" si="115"/>
        <v>4.5508096976252098E-2</v>
      </c>
      <c r="G96" s="14">
        <f t="shared" si="116"/>
        <v>0.53537135670082692</v>
      </c>
      <c r="H96" s="6">
        <f t="shared" si="117"/>
        <v>4.4583707619646855E-2</v>
      </c>
      <c r="I96" s="14">
        <f t="shared" si="118"/>
        <v>0.54160963167359299</v>
      </c>
      <c r="J96" s="6">
        <f t="shared" si="119"/>
        <v>4.4513321512191728E-2</v>
      </c>
      <c r="K96" s="14">
        <f t="shared" si="120"/>
        <v>0.55019085565702786</v>
      </c>
      <c r="L96" s="6">
        <f t="shared" si="121"/>
        <v>4.492975156570201E-2</v>
      </c>
      <c r="M96">
        <f t="shared" si="122"/>
        <v>0.56140777605092107</v>
      </c>
      <c r="N96" s="6">
        <f t="shared" si="123"/>
        <v>4.5758574058362901E-2</v>
      </c>
      <c r="O96">
        <f t="shared" si="124"/>
        <v>0.57506651917949003</v>
      </c>
      <c r="P96" s="6">
        <f t="shared" si="125"/>
        <v>4.7422569425893804E-2</v>
      </c>
      <c r="Q96">
        <f t="shared" si="126"/>
        <v>0.59271196272986859</v>
      </c>
      <c r="R96" s="6">
        <f t="shared" si="127"/>
        <v>4.9124805836590645E-2</v>
      </c>
      <c r="S96">
        <f t="shared" si="128"/>
        <v>0.61435247035322005</v>
      </c>
      <c r="T96" s="6">
        <f t="shared" si="129"/>
        <v>5.1379852904128637E-2</v>
      </c>
      <c r="U96">
        <f t="shared" si="130"/>
        <v>0.6407523934904904</v>
      </c>
      <c r="V96" s="6">
        <f t="shared" si="131"/>
        <v>5.4318684196867348E-2</v>
      </c>
      <c r="W96">
        <f t="shared" si="132"/>
        <v>0.67293907828867594</v>
      </c>
      <c r="X96" s="6">
        <f t="shared" si="133"/>
        <v>5.8135152763848681E-2</v>
      </c>
      <c r="Y96">
        <f t="shared" si="134"/>
        <v>0.71231205602249437</v>
      </c>
      <c r="Z96" s="6">
        <f t="shared" si="135"/>
        <v>6.311621801877644E-2</v>
      </c>
      <c r="AA96">
        <f t="shared" si="136"/>
        <v>0.76080838871322909</v>
      </c>
      <c r="AB96" s="6">
        <f t="shared" si="137"/>
        <v>6.9693542422192778E-2</v>
      </c>
      <c r="AC96">
        <f t="shared" si="138"/>
        <v>0.8213597943543266</v>
      </c>
      <c r="AD96" s="6">
        <f t="shared" si="139"/>
        <v>7.9035631638288931E-2</v>
      </c>
      <c r="AE96">
        <f t="shared" si="140"/>
        <v>0.89786484607251693</v>
      </c>
      <c r="AF96" s="6">
        <f t="shared" si="141"/>
        <v>9.1256706987087891E-2</v>
      </c>
      <c r="AG96">
        <f t="shared" si="142"/>
        <v>0.9959720080236133</v>
      </c>
      <c r="AH96" s="6">
        <f t="shared" si="143"/>
        <v>0.10856957055300076</v>
      </c>
      <c r="AI96">
        <f t="shared" si="144"/>
        <v>1.1235356379775607</v>
      </c>
      <c r="AJ96">
        <f t="shared" si="145"/>
        <v>0.14300049849046628</v>
      </c>
      <c r="AK96">
        <f t="shared" si="146"/>
        <v>1.2935673658282085</v>
      </c>
      <c r="AL96">
        <f t="shared" si="147"/>
        <v>0.18508353668659167</v>
      </c>
      <c r="AM96">
        <f t="shared" si="148"/>
        <v>1.4845408331353789</v>
      </c>
      <c r="AN96">
        <f t="shared" si="149"/>
        <v>0.23902463847615021</v>
      </c>
      <c r="AO96">
        <f t="shared" si="150"/>
        <v>1.3505028679667821</v>
      </c>
      <c r="AP96">
        <f t="shared" si="151"/>
        <v>0.20112048804701796</v>
      </c>
    </row>
    <row r="97" spans="1:42" x14ac:dyDescent="0.25">
      <c r="A97" s="129">
        <v>0.3</v>
      </c>
      <c r="B97" s="259">
        <f>'Sub C_D_0'!BA106</f>
        <v>1.6444613323817796E-2</v>
      </c>
      <c r="C97" s="259">
        <f>'C_L vs. α'!X397</f>
        <v>0.115013303835898</v>
      </c>
      <c r="D97" s="144">
        <v>6</v>
      </c>
      <c r="E97" s="14">
        <f t="shared" si="114"/>
        <v>0.74356402395517718</v>
      </c>
      <c r="F97" s="6">
        <f t="shared" si="115"/>
        <v>7.1922162146184743E-2</v>
      </c>
      <c r="G97" s="14">
        <f t="shared" si="116"/>
        <v>0.74951989938115771</v>
      </c>
      <c r="H97" s="6">
        <f t="shared" si="117"/>
        <v>7.1422615657224103E-2</v>
      </c>
      <c r="I97" s="14">
        <f t="shared" si="118"/>
        <v>0.75825348434303019</v>
      </c>
      <c r="J97" s="6">
        <f t="shared" si="119"/>
        <v>7.198134033268784E-2</v>
      </c>
      <c r="K97" s="14">
        <f t="shared" si="120"/>
        <v>0.770267197919839</v>
      </c>
      <c r="L97" s="6">
        <f t="shared" si="121"/>
        <v>7.3275068306881477E-2</v>
      </c>
      <c r="M97">
        <f t="shared" si="122"/>
        <v>0.78597088647128954</v>
      </c>
      <c r="N97" s="6">
        <f t="shared" si="123"/>
        <v>7.5271442765755647E-2</v>
      </c>
      <c r="O97">
        <f t="shared" si="124"/>
        <v>0.80509312685128598</v>
      </c>
      <c r="P97" s="6">
        <f t="shared" si="125"/>
        <v>7.8388971257385032E-2</v>
      </c>
      <c r="Q97">
        <f t="shared" si="126"/>
        <v>0.82979674782181601</v>
      </c>
      <c r="R97" s="6">
        <f t="shared" si="127"/>
        <v>8.2020720301232877E-2</v>
      </c>
      <c r="S97">
        <f t="shared" si="128"/>
        <v>0.86009345849450813</v>
      </c>
      <c r="T97" s="6">
        <f t="shared" si="129"/>
        <v>8.6721744968809536E-2</v>
      </c>
      <c r="U97">
        <f t="shared" si="130"/>
        <v>0.8970533508866867</v>
      </c>
      <c r="V97" s="6">
        <f t="shared" si="131"/>
        <v>9.2763258169820367E-2</v>
      </c>
      <c r="W97">
        <f t="shared" si="132"/>
        <v>0.94211470960414645</v>
      </c>
      <c r="X97" s="6">
        <f t="shared" si="133"/>
        <v>0.10053907957700388</v>
      </c>
      <c r="Y97">
        <f t="shared" si="134"/>
        <v>0.99723687843149211</v>
      </c>
      <c r="Z97" s="6">
        <f t="shared" si="135"/>
        <v>0.1106273270590407</v>
      </c>
      <c r="AA97">
        <f t="shared" si="136"/>
        <v>1.0651317441985209</v>
      </c>
      <c r="AB97" s="6">
        <f t="shared" si="137"/>
        <v>0.1238942758518306</v>
      </c>
      <c r="AC97">
        <f t="shared" si="138"/>
        <v>1.1499037120960574</v>
      </c>
      <c r="AD97" s="6">
        <f t="shared" si="139"/>
        <v>0.14220717085117787</v>
      </c>
      <c r="AE97">
        <f t="shared" si="140"/>
        <v>1.2570107845015237</v>
      </c>
      <c r="AF97" s="6">
        <f t="shared" si="141"/>
        <v>0.16674446280855346</v>
      </c>
      <c r="AG97">
        <f t="shared" si="142"/>
        <v>1.3943608112330586</v>
      </c>
      <c r="AH97" s="6">
        <f t="shared" si="143"/>
        <v>0.20145526740909997</v>
      </c>
      <c r="AI97">
        <f t="shared" si="144"/>
        <v>1.572949893168585</v>
      </c>
      <c r="AJ97">
        <f t="shared" si="145"/>
        <v>0.26524290325261246</v>
      </c>
      <c r="AK97">
        <f t="shared" si="146"/>
        <v>1.8109943121594918</v>
      </c>
      <c r="AL97">
        <f t="shared" si="147"/>
        <v>0.34712504645215947</v>
      </c>
      <c r="AM97">
        <f t="shared" si="148"/>
        <v>2.0783571663895302</v>
      </c>
      <c r="AN97">
        <f t="shared" si="149"/>
        <v>0.45244334079256787</v>
      </c>
      <c r="AO97">
        <f t="shared" si="150"/>
        <v>1.8907040151534951</v>
      </c>
      <c r="AP97">
        <f t="shared" si="151"/>
        <v>0.37774021183820294</v>
      </c>
    </row>
    <row r="98" spans="1:42" x14ac:dyDescent="0.25">
      <c r="A98" s="139">
        <v>0.35</v>
      </c>
      <c r="B98" s="259">
        <f>'Sub C_D_0'!BA107</f>
        <v>1.62166171562056E-2</v>
      </c>
      <c r="C98" s="259">
        <f>'C_L vs. α'!X398</f>
        <v>0.11854239254597372</v>
      </c>
      <c r="D98" s="144">
        <v>8</v>
      </c>
      <c r="E98" s="14">
        <f t="shared" si="114"/>
        <v>0.95601088794237066</v>
      </c>
      <c r="F98" s="6">
        <f t="shared" si="115"/>
        <v>0.10744180683954825</v>
      </c>
      <c r="G98" s="14">
        <f t="shared" si="116"/>
        <v>0.96366844206148838</v>
      </c>
      <c r="H98" s="6">
        <f t="shared" si="117"/>
        <v>0.10751355702954116</v>
      </c>
      <c r="I98" s="14">
        <f t="shared" si="118"/>
        <v>0.97489733701246739</v>
      </c>
      <c r="J98" s="6">
        <f t="shared" si="119"/>
        <v>0.10891826248601236</v>
      </c>
      <c r="K98" s="14">
        <f t="shared" si="120"/>
        <v>0.99034354018265014</v>
      </c>
      <c r="L98" s="6">
        <f t="shared" si="121"/>
        <v>0.11139171460461263</v>
      </c>
      <c r="M98">
        <f t="shared" si="122"/>
        <v>1.010533996891658</v>
      </c>
      <c r="N98" s="6">
        <f t="shared" si="123"/>
        <v>0.11495812497935712</v>
      </c>
      <c r="O98">
        <f t="shared" si="124"/>
        <v>1.035119734523082</v>
      </c>
      <c r="P98" s="6">
        <f t="shared" si="125"/>
        <v>0.12003025530095332</v>
      </c>
      <c r="Q98">
        <f t="shared" si="126"/>
        <v>1.0668815329137635</v>
      </c>
      <c r="R98" s="6">
        <f t="shared" si="127"/>
        <v>0.12625666755623652</v>
      </c>
      <c r="S98">
        <f t="shared" si="128"/>
        <v>1.1058344466357961</v>
      </c>
      <c r="T98" s="6">
        <f t="shared" si="129"/>
        <v>0.13424685861006841</v>
      </c>
      <c r="U98">
        <f t="shared" si="130"/>
        <v>1.1533543082828828</v>
      </c>
      <c r="V98" s="6">
        <f t="shared" si="131"/>
        <v>0.14446062467217241</v>
      </c>
      <c r="W98">
        <f t="shared" si="132"/>
        <v>1.2112903409196167</v>
      </c>
      <c r="X98" s="6">
        <f t="shared" si="133"/>
        <v>0.15756068546450461</v>
      </c>
      <c r="Y98">
        <f t="shared" si="134"/>
        <v>1.28216170084049</v>
      </c>
      <c r="Z98" s="6">
        <f t="shared" si="135"/>
        <v>0.17451668680889174</v>
      </c>
      <c r="AA98">
        <f t="shared" si="136"/>
        <v>1.3694550996838124</v>
      </c>
      <c r="AB98" s="6">
        <f t="shared" si="137"/>
        <v>0.19677933845597317</v>
      </c>
      <c r="AC98">
        <f t="shared" si="138"/>
        <v>1.4784476298377878</v>
      </c>
      <c r="AD98" s="6">
        <f t="shared" si="139"/>
        <v>0.22715549717426362</v>
      </c>
      <c r="AE98">
        <f t="shared" si="140"/>
        <v>1.6161567229305305</v>
      </c>
      <c r="AF98" s="6">
        <f t="shared" si="141"/>
        <v>0.26825470927110789</v>
      </c>
      <c r="AG98">
        <f t="shared" si="142"/>
        <v>1.7927496144425039</v>
      </c>
      <c r="AH98" s="6">
        <f t="shared" si="143"/>
        <v>0.3263609541407167</v>
      </c>
      <c r="AI98">
        <f t="shared" si="144"/>
        <v>2.0223641483596095</v>
      </c>
      <c r="AJ98">
        <f t="shared" si="145"/>
        <v>0.42823277626880735</v>
      </c>
      <c r="AK98">
        <f t="shared" si="146"/>
        <v>2.3284212584907751</v>
      </c>
      <c r="AL98">
        <f t="shared" si="147"/>
        <v>0.56318039280624987</v>
      </c>
      <c r="AM98">
        <f t="shared" si="148"/>
        <v>2.6721734996436819</v>
      </c>
      <c r="AN98">
        <f t="shared" si="149"/>
        <v>0.73700161054779156</v>
      </c>
      <c r="AO98">
        <f t="shared" si="150"/>
        <v>2.430905162340208</v>
      </c>
      <c r="AP98">
        <f t="shared" si="151"/>
        <v>0.61323317689311618</v>
      </c>
    </row>
    <row r="99" spans="1:42" x14ac:dyDescent="0.25">
      <c r="A99" s="129">
        <v>0.4</v>
      </c>
      <c r="B99" s="259">
        <f>'Sub C_D_0'!BA108</f>
        <v>1.6024773973691911E-2</v>
      </c>
      <c r="C99" s="259">
        <f>'C_L vs. α'!X399</f>
        <v>0.12287049407064402</v>
      </c>
      <c r="D99" s="144">
        <v>10</v>
      </c>
      <c r="E99" s="14">
        <f t="shared" si="114"/>
        <v>1.168457751929564</v>
      </c>
      <c r="F99" s="6">
        <f t="shared" si="115"/>
        <v>0.15206703105634256</v>
      </c>
      <c r="G99" s="14">
        <f t="shared" si="116"/>
        <v>1.1778169847418192</v>
      </c>
      <c r="H99" s="6">
        <f t="shared" si="117"/>
        <v>0.15285653173659805</v>
      </c>
      <c r="I99" s="14">
        <f t="shared" si="118"/>
        <v>1.1915411896819046</v>
      </c>
      <c r="J99" s="6">
        <f t="shared" si="119"/>
        <v>0.15532408797216529</v>
      </c>
      <c r="K99" s="14">
        <f t="shared" si="120"/>
        <v>1.2104198824454613</v>
      </c>
      <c r="L99" s="6">
        <f t="shared" si="121"/>
        <v>0.15927969045889545</v>
      </c>
      <c r="M99">
        <f t="shared" si="122"/>
        <v>1.2350971073120265</v>
      </c>
      <c r="N99" s="6">
        <f t="shared" si="123"/>
        <v>0.16481862069916728</v>
      </c>
      <c r="O99">
        <f t="shared" si="124"/>
        <v>1.2651463421948781</v>
      </c>
      <c r="P99" s="6">
        <f t="shared" si="125"/>
        <v>0.17234642155659866</v>
      </c>
      <c r="Q99">
        <f t="shared" si="126"/>
        <v>1.3039663180057108</v>
      </c>
      <c r="R99" s="6">
        <f t="shared" si="127"/>
        <v>0.18183264760160148</v>
      </c>
      <c r="S99">
        <f t="shared" si="128"/>
        <v>1.3515754347770841</v>
      </c>
      <c r="T99" s="6">
        <f t="shared" si="129"/>
        <v>0.19395519382790527</v>
      </c>
      <c r="U99">
        <f t="shared" si="130"/>
        <v>1.4096552656790791</v>
      </c>
      <c r="V99" s="6">
        <f t="shared" si="131"/>
        <v>0.20941078370392352</v>
      </c>
      <c r="W99">
        <f t="shared" si="132"/>
        <v>1.4804659722350872</v>
      </c>
      <c r="X99" s="6">
        <f t="shared" si="133"/>
        <v>0.22919997042635101</v>
      </c>
      <c r="Y99">
        <f t="shared" si="134"/>
        <v>1.5670865232494875</v>
      </c>
      <c r="Z99" s="6">
        <f t="shared" si="135"/>
        <v>0.25478429726832946</v>
      </c>
      <c r="AA99">
        <f t="shared" si="136"/>
        <v>1.6737784551691042</v>
      </c>
      <c r="AB99" s="6">
        <f t="shared" si="137"/>
        <v>0.2883487302346206</v>
      </c>
      <c r="AC99">
        <f t="shared" si="138"/>
        <v>1.8069915475795186</v>
      </c>
      <c r="AD99" s="6">
        <f t="shared" si="139"/>
        <v>0.33388061060754631</v>
      </c>
      <c r="AE99">
        <f t="shared" si="140"/>
        <v>1.9753026613595372</v>
      </c>
      <c r="AF99" s="6">
        <f t="shared" si="141"/>
        <v>0.39578744637475116</v>
      </c>
      <c r="AG99">
        <f t="shared" si="142"/>
        <v>2.1911384176519491</v>
      </c>
      <c r="AH99" s="6">
        <f t="shared" si="143"/>
        <v>0.48328663074785078</v>
      </c>
      <c r="AI99">
        <f t="shared" si="144"/>
        <v>2.4717784035506334</v>
      </c>
      <c r="AJ99">
        <f t="shared" si="145"/>
        <v>0.63197011753905075</v>
      </c>
      <c r="AK99">
        <f t="shared" si="146"/>
        <v>2.8458482048220586</v>
      </c>
      <c r="AL99">
        <f t="shared" si="147"/>
        <v>0.83324957574886294</v>
      </c>
      <c r="AM99">
        <f t="shared" si="148"/>
        <v>3.2659898328978332</v>
      </c>
      <c r="AN99">
        <f t="shared" si="149"/>
        <v>1.092699447741821</v>
      </c>
      <c r="AO99">
        <f t="shared" si="150"/>
        <v>2.9711063095269208</v>
      </c>
      <c r="AP99">
        <f t="shared" si="151"/>
        <v>0.90759938321175782</v>
      </c>
    </row>
    <row r="100" spans="1:42" x14ac:dyDescent="0.25">
      <c r="A100" s="139">
        <v>0.45</v>
      </c>
      <c r="B100" s="259">
        <f>'Sub C_D_0'!BA109</f>
        <v>1.5859765676794639E-2</v>
      </c>
      <c r="C100" s="259">
        <f>'C_L vs. α'!X400</f>
        <v>0.12815047869809809</v>
      </c>
      <c r="D100" s="144">
        <v>12</v>
      </c>
      <c r="E100" s="14">
        <f t="shared" si="114"/>
        <v>1.3809046159167577</v>
      </c>
      <c r="F100" s="6">
        <f t="shared" si="115"/>
        <v>0.2057978347965678</v>
      </c>
      <c r="G100" s="14">
        <f t="shared" si="116"/>
        <v>1.3919655274221499</v>
      </c>
      <c r="H100" s="6">
        <f t="shared" si="117"/>
        <v>0.2074515397783947</v>
      </c>
      <c r="I100" s="14">
        <f t="shared" si="118"/>
        <v>1.4081850423513418</v>
      </c>
      <c r="J100" s="6">
        <f t="shared" si="119"/>
        <v>0.21119881679114666</v>
      </c>
      <c r="K100" s="14">
        <f t="shared" si="120"/>
        <v>1.4304962247082724</v>
      </c>
      <c r="L100" s="6">
        <f t="shared" si="121"/>
        <v>0.21693899586972992</v>
      </c>
      <c r="M100">
        <f t="shared" si="122"/>
        <v>1.459660217732395</v>
      </c>
      <c r="N100" s="6">
        <f t="shared" si="123"/>
        <v>0.22485292992518616</v>
      </c>
      <c r="O100">
        <f t="shared" si="124"/>
        <v>1.4951729498666739</v>
      </c>
      <c r="P100" s="6">
        <f t="shared" si="125"/>
        <v>0.23533747002432098</v>
      </c>
      <c r="Q100">
        <f t="shared" si="126"/>
        <v>1.5410511030976584</v>
      </c>
      <c r="R100" s="6">
        <f t="shared" si="127"/>
        <v>0.24874866043732791</v>
      </c>
      <c r="S100">
        <f t="shared" si="128"/>
        <v>1.5973164229183723</v>
      </c>
      <c r="T100" s="6">
        <f t="shared" si="129"/>
        <v>0.26584675062232022</v>
      </c>
      <c r="U100">
        <f t="shared" si="130"/>
        <v>1.6659562230752751</v>
      </c>
      <c r="V100" s="6">
        <f t="shared" si="131"/>
        <v>0.28761373526507361</v>
      </c>
      <c r="W100">
        <f t="shared" si="132"/>
        <v>1.7496416035505575</v>
      </c>
      <c r="X100" s="6">
        <f t="shared" si="133"/>
        <v>0.31545693446254297</v>
      </c>
      <c r="Y100">
        <f t="shared" si="134"/>
        <v>1.8520113456584855</v>
      </c>
      <c r="Z100" s="6">
        <f t="shared" si="135"/>
        <v>0.35143015843735398</v>
      </c>
      <c r="AA100">
        <f t="shared" si="136"/>
        <v>1.9781018106543957</v>
      </c>
      <c r="AB100" s="6">
        <f t="shared" si="137"/>
        <v>0.39860245118777271</v>
      </c>
      <c r="AC100">
        <f t="shared" si="138"/>
        <v>2.135535465321249</v>
      </c>
      <c r="AD100" s="6">
        <f t="shared" si="139"/>
        <v>0.46238251115102574</v>
      </c>
      <c r="AE100">
        <f t="shared" si="140"/>
        <v>2.3344485997885442</v>
      </c>
      <c r="AF100" s="6">
        <f t="shared" si="141"/>
        <v>0.54934267411948334</v>
      </c>
      <c r="AG100">
        <f t="shared" si="142"/>
        <v>2.5895272208613944</v>
      </c>
      <c r="AH100" s="6">
        <f t="shared" si="143"/>
        <v>0.67223229723050226</v>
      </c>
      <c r="AI100">
        <f t="shared" si="144"/>
        <v>2.9211926587416581</v>
      </c>
      <c r="AJ100">
        <f t="shared" si="145"/>
        <v>0.87645492706334327</v>
      </c>
      <c r="AK100">
        <f t="shared" si="146"/>
        <v>3.3632751511533421</v>
      </c>
      <c r="AL100">
        <f t="shared" si="147"/>
        <v>1.1573325952799989</v>
      </c>
      <c r="AM100">
        <f t="shared" si="148"/>
        <v>3.8598061661519849</v>
      </c>
      <c r="AN100">
        <f t="shared" si="149"/>
        <v>1.5195368523746566</v>
      </c>
      <c r="AO100">
        <f t="shared" si="150"/>
        <v>3.5113074567136335</v>
      </c>
      <c r="AP100">
        <f t="shared" si="151"/>
        <v>1.2608388307941276</v>
      </c>
    </row>
    <row r="101" spans="1:42" x14ac:dyDescent="0.25">
      <c r="A101" s="129">
        <v>0.5</v>
      </c>
      <c r="B101" s="259">
        <f>'Sub C_D_0'!BA110</f>
        <v>1.5715404078752368E-2</v>
      </c>
      <c r="C101" s="259">
        <f>'C_L vs. α'!X401</f>
        <v>0.1345878156577352</v>
      </c>
      <c r="D101" s="144">
        <v>14</v>
      </c>
      <c r="E101" s="14">
        <f t="shared" si="114"/>
        <v>1.593351479903951</v>
      </c>
      <c r="F101" s="6">
        <f t="shared" si="115"/>
        <v>0.26863421806022375</v>
      </c>
      <c r="G101" s="14">
        <f t="shared" si="116"/>
        <v>1.6061140701024808</v>
      </c>
      <c r="H101" s="6">
        <f t="shared" si="117"/>
        <v>0.27129858115493127</v>
      </c>
      <c r="I101" s="14">
        <f t="shared" si="118"/>
        <v>1.624828895020779</v>
      </c>
      <c r="J101" s="6">
        <f t="shared" si="119"/>
        <v>0.27654244894295643</v>
      </c>
      <c r="K101" s="14">
        <f t="shared" si="120"/>
        <v>1.6505725669710836</v>
      </c>
      <c r="L101" s="6">
        <f t="shared" si="121"/>
        <v>0.28436963083711614</v>
      </c>
      <c r="M101">
        <f t="shared" si="122"/>
        <v>1.6842233281527634</v>
      </c>
      <c r="N101" s="6">
        <f t="shared" si="123"/>
        <v>0.29506105265741378</v>
      </c>
      <c r="O101">
        <f t="shared" si="124"/>
        <v>1.72519955753847</v>
      </c>
      <c r="P101" s="6">
        <f t="shared" si="125"/>
        <v>0.30900340070412036</v>
      </c>
      <c r="Q101">
        <f t="shared" si="126"/>
        <v>1.7781358881896059</v>
      </c>
      <c r="R101" s="6">
        <f t="shared" si="127"/>
        <v>0.3270047060634157</v>
      </c>
      <c r="S101">
        <f t="shared" si="128"/>
        <v>1.8430574110596603</v>
      </c>
      <c r="T101" s="6">
        <f t="shared" si="129"/>
        <v>0.34992152899331314</v>
      </c>
      <c r="U101">
        <f t="shared" si="130"/>
        <v>1.9222571804714714</v>
      </c>
      <c r="V101" s="6">
        <f t="shared" si="131"/>
        <v>0.37906947935562285</v>
      </c>
      <c r="W101">
        <f t="shared" si="132"/>
        <v>2.0188172348660278</v>
      </c>
      <c r="X101" s="6">
        <f t="shared" si="133"/>
        <v>0.41633157757308054</v>
      </c>
      <c r="Y101">
        <f t="shared" si="134"/>
        <v>2.136936168067483</v>
      </c>
      <c r="Z101" s="6">
        <f t="shared" si="135"/>
        <v>0.46445427031596515</v>
      </c>
      <c r="AA101">
        <f t="shared" si="136"/>
        <v>2.2824251661396873</v>
      </c>
      <c r="AB101" s="6">
        <f t="shared" si="137"/>
        <v>0.52754050131542962</v>
      </c>
      <c r="AC101">
        <f t="shared" si="138"/>
        <v>2.4640793830629799</v>
      </c>
      <c r="AD101" s="6">
        <f t="shared" si="139"/>
        <v>0.61266119880470227</v>
      </c>
      <c r="AE101">
        <f t="shared" si="140"/>
        <v>2.6935945382175506</v>
      </c>
      <c r="AF101" s="6">
        <f t="shared" si="141"/>
        <v>0.72892039250530427</v>
      </c>
      <c r="AG101">
        <f t="shared" si="142"/>
        <v>2.9879160240708398</v>
      </c>
      <c r="AH101" s="6">
        <f t="shared" si="143"/>
        <v>0.89319795358867127</v>
      </c>
      <c r="AI101">
        <f t="shared" si="144"/>
        <v>3.370606913932682</v>
      </c>
      <c r="AJ101">
        <f t="shared" si="145"/>
        <v>1.161687204841684</v>
      </c>
      <c r="AK101">
        <f t="shared" si="146"/>
        <v>3.8807020974846256</v>
      </c>
      <c r="AL101">
        <f t="shared" si="147"/>
        <v>1.5354294513996571</v>
      </c>
      <c r="AM101">
        <f t="shared" si="148"/>
        <v>4.4536224994061362</v>
      </c>
      <c r="AN101">
        <f t="shared" si="149"/>
        <v>2.017513824446298</v>
      </c>
      <c r="AO101">
        <f t="shared" si="150"/>
        <v>4.0515086039003467</v>
      </c>
      <c r="AP101">
        <f t="shared" si="151"/>
        <v>1.6729515196402263</v>
      </c>
    </row>
    <row r="102" spans="1:42" x14ac:dyDescent="0.25">
      <c r="A102" s="139">
        <v>0.55000000000000004</v>
      </c>
      <c r="B102" s="259">
        <f>'Sub C_D_0'!BA111</f>
        <v>1.5587381500433818E-2</v>
      </c>
      <c r="C102" s="259">
        <f>'C_L vs. α'!X402</f>
        <v>0.14246241120449887</v>
      </c>
      <c r="D102" s="144">
        <v>16</v>
      </c>
      <c r="E102" s="14">
        <f t="shared" si="114"/>
        <v>1.8057983438911447</v>
      </c>
      <c r="F102" s="6">
        <f t="shared" si="115"/>
        <v>0.34057618084731067</v>
      </c>
      <c r="G102" s="14">
        <f t="shared" si="116"/>
        <v>1.8202626127828114</v>
      </c>
      <c r="H102" s="6">
        <f t="shared" si="117"/>
        <v>0.34439765586620752</v>
      </c>
      <c r="I102" s="14">
        <f t="shared" si="118"/>
        <v>1.8414727476902162</v>
      </c>
      <c r="J102" s="6">
        <f t="shared" si="119"/>
        <v>0.35135498442759461</v>
      </c>
      <c r="K102" s="14">
        <f t="shared" si="120"/>
        <v>1.8706489092338947</v>
      </c>
      <c r="L102" s="6">
        <f t="shared" si="121"/>
        <v>0.36157159536105404</v>
      </c>
      <c r="M102">
        <f t="shared" si="122"/>
        <v>1.9087864385731317</v>
      </c>
      <c r="N102" s="6">
        <f t="shared" si="123"/>
        <v>0.37544298889585004</v>
      </c>
      <c r="O102">
        <f t="shared" si="124"/>
        <v>1.955226165210266</v>
      </c>
      <c r="P102" s="6">
        <f t="shared" si="125"/>
        <v>0.39334421359599681</v>
      </c>
      <c r="Q102">
        <f t="shared" si="126"/>
        <v>2.0152206732815534</v>
      </c>
      <c r="R102" s="6">
        <f t="shared" si="127"/>
        <v>0.41660078447986487</v>
      </c>
      <c r="S102">
        <f t="shared" si="128"/>
        <v>2.0887983992009485</v>
      </c>
      <c r="T102" s="6">
        <f t="shared" si="129"/>
        <v>0.44617952894088414</v>
      </c>
      <c r="U102">
        <f t="shared" si="130"/>
        <v>2.1785581378676677</v>
      </c>
      <c r="V102" s="6">
        <f t="shared" si="131"/>
        <v>0.48377801597557119</v>
      </c>
      <c r="W102">
        <f t="shared" si="132"/>
        <v>2.2879928661814986</v>
      </c>
      <c r="X102" s="6">
        <f t="shared" si="133"/>
        <v>0.53182389975796385</v>
      </c>
      <c r="Y102">
        <f t="shared" si="134"/>
        <v>2.421860990476481</v>
      </c>
      <c r="Z102" s="6">
        <f t="shared" si="135"/>
        <v>0.59385663290416324</v>
      </c>
      <c r="AA102">
        <f t="shared" si="136"/>
        <v>2.5867485216249793</v>
      </c>
      <c r="AB102" s="6">
        <f t="shared" si="137"/>
        <v>0.67516288061759155</v>
      </c>
      <c r="AC102">
        <f t="shared" si="138"/>
        <v>2.7926233008047103</v>
      </c>
      <c r="AD102" s="6">
        <f t="shared" si="139"/>
        <v>0.78471667356857544</v>
      </c>
      <c r="AE102">
        <f t="shared" si="140"/>
        <v>3.0527404766465578</v>
      </c>
      <c r="AF102" s="6">
        <f t="shared" si="141"/>
        <v>0.93452060153221439</v>
      </c>
      <c r="AG102">
        <f t="shared" si="142"/>
        <v>3.3863048272802851</v>
      </c>
      <c r="AH102" s="6">
        <f t="shared" si="143"/>
        <v>1.1461835998223577</v>
      </c>
      <c r="AI102">
        <f t="shared" si="144"/>
        <v>3.8200211691237067</v>
      </c>
      <c r="AJ102">
        <f t="shared" si="145"/>
        <v>1.4876669508740741</v>
      </c>
      <c r="AK102">
        <f t="shared" si="146"/>
        <v>4.3981290438159091</v>
      </c>
      <c r="AL102">
        <f t="shared" si="147"/>
        <v>1.9675401441078382</v>
      </c>
      <c r="AM102">
        <f t="shared" si="148"/>
        <v>5.0474388326602879</v>
      </c>
      <c r="AN102">
        <f t="shared" si="149"/>
        <v>2.5866303639567456</v>
      </c>
      <c r="AO102">
        <f t="shared" si="150"/>
        <v>4.591709751087059</v>
      </c>
      <c r="AP102">
        <f t="shared" si="151"/>
        <v>2.1439374497500516</v>
      </c>
    </row>
    <row r="103" spans="1:42" x14ac:dyDescent="0.25">
      <c r="A103" s="129">
        <v>0.6</v>
      </c>
      <c r="B103" s="259">
        <f>'Sub C_D_0'!BA112</f>
        <v>1.5472585463087555E-2</v>
      </c>
      <c r="C103" s="259">
        <f>'C_L vs. α'!X403</f>
        <v>0.15216167774264583</v>
      </c>
    </row>
    <row r="104" spans="1:42" x14ac:dyDescent="0.25">
      <c r="A104" s="139">
        <v>0.65</v>
      </c>
      <c r="B104" s="259">
        <f>'Sub C_D_0'!BA113</f>
        <v>1.5840521683752544E-2</v>
      </c>
      <c r="C104" s="259">
        <f>'C_L vs. α'!X404</f>
        <v>0.16427195887086532</v>
      </c>
    </row>
    <row r="105" spans="1:42" x14ac:dyDescent="0.25">
      <c r="A105" s="129">
        <v>0.7</v>
      </c>
      <c r="B105" s="259">
        <f>'Sub C_D_0'!BA114</f>
        <v>1.5740784962737522E-2</v>
      </c>
      <c r="C105" s="259">
        <f>'C_L vs. α'!X405</f>
        <v>0.17957296921450339</v>
      </c>
    </row>
    <row r="106" spans="1:42" x14ac:dyDescent="0.25">
      <c r="A106" s="139">
        <v>0.75</v>
      </c>
      <c r="B106" s="259">
        <f>'Sub C_D_0'!BA115</f>
        <v>1.5649215925528183E-2</v>
      </c>
      <c r="C106" s="259">
        <f>'C_L vs. α'!X406</f>
        <v>0.19919440160472265</v>
      </c>
    </row>
    <row r="107" spans="1:42" x14ac:dyDescent="0.25">
      <c r="A107" s="129">
        <v>0.8</v>
      </c>
      <c r="B107" s="259">
        <f>'Sub C_D_0'!BA116</f>
        <v>1.5664660196564057E-2</v>
      </c>
      <c r="C107" s="259">
        <f>'C_L vs. α'!X407</f>
        <v>0.22470712759551215</v>
      </c>
    </row>
    <row r="108" spans="1:42" x14ac:dyDescent="0.25">
      <c r="A108" s="139">
        <v>0.85</v>
      </c>
      <c r="B108" s="259">
        <f>'Sub C_D_0'!BA117</f>
        <v>1.6290297347458446E-2</v>
      </c>
      <c r="C108" s="259">
        <f>'C_L vs. α'!X408</f>
        <v>0.25871347316564169</v>
      </c>
    </row>
    <row r="109" spans="1:42" x14ac:dyDescent="0.25">
      <c r="A109" s="129">
        <v>0.9</v>
      </c>
      <c r="B109" s="259">
        <f>'Sub C_D_0'!BA118</f>
        <v>1.6713490229881719E-2</v>
      </c>
      <c r="C109" s="259">
        <f>'C_L vs. α'!X409</f>
        <v>0.29690816662707575</v>
      </c>
    </row>
    <row r="110" spans="1:42" x14ac:dyDescent="0.25">
      <c r="A110" s="139">
        <v>0.95</v>
      </c>
      <c r="B110" s="259">
        <f>'Sub C_D_0'!BA119</f>
        <v>1.7141609097867022E-2</v>
      </c>
      <c r="C110" s="259">
        <f>'C_L vs. α'!X410</f>
        <v>0.27010057359335643</v>
      </c>
    </row>
    <row r="111" spans="1:42" s="29" customFormat="1" x14ac:dyDescent="0.25">
      <c r="A111" s="11"/>
      <c r="B111" s="11"/>
      <c r="C111" s="11"/>
    </row>
    <row r="112" spans="1:42" s="29" customFormat="1" x14ac:dyDescent="0.25">
      <c r="A112" s="122" t="s">
        <v>537</v>
      </c>
      <c r="B112" s="122" t="s">
        <v>289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9" customFormat="1" x14ac:dyDescent="0.25">
      <c r="A113" s="122" t="s">
        <v>202</v>
      </c>
      <c r="B113" s="145">
        <v>20000</v>
      </c>
      <c r="C113" s="122" t="s">
        <v>538</v>
      </c>
      <c r="D113" s="122" t="s">
        <v>539</v>
      </c>
      <c r="E113" s="1" t="s">
        <v>536</v>
      </c>
      <c r="F113" s="140">
        <v>0.05</v>
      </c>
      <c r="G113" s="1" t="s">
        <v>536</v>
      </c>
      <c r="H113" s="140">
        <v>0.1</v>
      </c>
      <c r="I113" s="1" t="s">
        <v>536</v>
      </c>
      <c r="J113" s="140">
        <v>0.15</v>
      </c>
      <c r="K113" s="1" t="s">
        <v>536</v>
      </c>
      <c r="L113" s="140">
        <v>0.2</v>
      </c>
      <c r="M113" t="s">
        <v>536</v>
      </c>
      <c r="N113" s="141">
        <v>0.25</v>
      </c>
      <c r="O113" t="s">
        <v>536</v>
      </c>
      <c r="P113" s="141">
        <v>0.3</v>
      </c>
      <c r="Q113" t="s">
        <v>536</v>
      </c>
      <c r="R113" s="141">
        <v>0.35</v>
      </c>
      <c r="S113" t="s">
        <v>536</v>
      </c>
      <c r="T113" s="141">
        <v>0.4</v>
      </c>
      <c r="U113" t="s">
        <v>536</v>
      </c>
      <c r="V113" s="141">
        <v>0.45</v>
      </c>
      <c r="W113" t="s">
        <v>536</v>
      </c>
      <c r="X113" s="141">
        <v>0.5</v>
      </c>
      <c r="Y113" t="s">
        <v>536</v>
      </c>
      <c r="Z113" s="141">
        <v>0.55000000000000004</v>
      </c>
      <c r="AA113" t="s">
        <v>536</v>
      </c>
      <c r="AB113" s="141">
        <v>0.6</v>
      </c>
      <c r="AC113" t="s">
        <v>536</v>
      </c>
      <c r="AD113" s="141">
        <v>0.65</v>
      </c>
      <c r="AE113" t="s">
        <v>536</v>
      </c>
      <c r="AF113" s="141">
        <v>0.7</v>
      </c>
      <c r="AG113" t="s">
        <v>536</v>
      </c>
      <c r="AH113" s="141">
        <v>0.75</v>
      </c>
      <c r="AI113" t="s">
        <v>536</v>
      </c>
      <c r="AJ113" s="141">
        <v>0.8</v>
      </c>
      <c r="AK113" t="s">
        <v>536</v>
      </c>
      <c r="AL113" s="141">
        <v>0.85</v>
      </c>
      <c r="AM113" t="s">
        <v>536</v>
      </c>
      <c r="AN113" s="141">
        <v>0.9</v>
      </c>
      <c r="AO113" t="s">
        <v>536</v>
      </c>
      <c r="AP113" s="141">
        <v>0.95</v>
      </c>
    </row>
    <row r="114" spans="1:42" s="29" customFormat="1" x14ac:dyDescent="0.25">
      <c r="A114" s="121" t="s">
        <v>182</v>
      </c>
      <c r="B114" s="121" t="s">
        <v>534</v>
      </c>
      <c r="C114" s="121" t="s">
        <v>535</v>
      </c>
      <c r="D114" s="121" t="s">
        <v>421</v>
      </c>
      <c r="E114" s="14" t="s">
        <v>244</v>
      </c>
      <c r="F114" s="6" t="s">
        <v>245</v>
      </c>
      <c r="G114" s="14" t="s">
        <v>244</v>
      </c>
      <c r="H114" s="6" t="s">
        <v>245</v>
      </c>
      <c r="I114" s="14" t="s">
        <v>244</v>
      </c>
      <c r="J114" s="6" t="s">
        <v>245</v>
      </c>
      <c r="K114" s="14" t="s">
        <v>244</v>
      </c>
      <c r="L114" s="6" t="s">
        <v>245</v>
      </c>
      <c r="M114" t="s">
        <v>244</v>
      </c>
      <c r="N114" t="s">
        <v>245</v>
      </c>
      <c r="O114" t="s">
        <v>244</v>
      </c>
      <c r="P114" t="s">
        <v>245</v>
      </c>
      <c r="Q114" t="s">
        <v>244</v>
      </c>
      <c r="R114" t="s">
        <v>245</v>
      </c>
      <c r="S114" t="s">
        <v>244</v>
      </c>
      <c r="T114" t="s">
        <v>245</v>
      </c>
      <c r="U114" t="s">
        <v>244</v>
      </c>
      <c r="V114" t="s">
        <v>245</v>
      </c>
      <c r="W114" t="s">
        <v>244</v>
      </c>
      <c r="X114" t="s">
        <v>245</v>
      </c>
      <c r="Y114" t="s">
        <v>244</v>
      </c>
      <c r="Z114" t="s">
        <v>245</v>
      </c>
      <c r="AA114" t="s">
        <v>244</v>
      </c>
      <c r="AB114" t="s">
        <v>245</v>
      </c>
      <c r="AC114" t="s">
        <v>244</v>
      </c>
      <c r="AD114" t="s">
        <v>245</v>
      </c>
      <c r="AE114" t="s">
        <v>244</v>
      </c>
      <c r="AF114" t="s">
        <v>245</v>
      </c>
      <c r="AG114" t="s">
        <v>244</v>
      </c>
      <c r="AH114" t="s">
        <v>245</v>
      </c>
      <c r="AI114" t="s">
        <v>244</v>
      </c>
      <c r="AJ114" t="s">
        <v>245</v>
      </c>
      <c r="AK114" t="s">
        <v>244</v>
      </c>
      <c r="AL114" t="s">
        <v>245</v>
      </c>
      <c r="AM114" t="s">
        <v>244</v>
      </c>
      <c r="AN114" t="s">
        <v>245</v>
      </c>
      <c r="AO114" t="s">
        <v>244</v>
      </c>
      <c r="AP114" t="s">
        <v>245</v>
      </c>
    </row>
    <row r="115" spans="1:42" s="29" customFormat="1" x14ac:dyDescent="0.25">
      <c r="A115" s="129">
        <v>0</v>
      </c>
      <c r="B115" s="129" t="e">
        <f>'Sub C_D_0'!BA130</f>
        <v>#DIV/0!</v>
      </c>
      <c r="C115" s="129" t="e">
        <f>'C_L vs. α'!X416</f>
        <v>#NUM!</v>
      </c>
      <c r="D115" s="144">
        <v>-6</v>
      </c>
      <c r="E115" s="14">
        <f>(D115-$B$12)*$C$116</f>
        <v>-0.53036156480613783</v>
      </c>
      <c r="F115" s="6">
        <f>$B$92+$B$7*E115^2+$B$8*(E115-E$94)^2</f>
        <v>4.993734812029349E-2</v>
      </c>
      <c r="G115" s="14">
        <f>(D115-$B$12)*$C$117</f>
        <v>-0.53455971110627809</v>
      </c>
      <c r="H115" s="6">
        <f>$B$93+$B$7*G115^2+$B$8*(G115-G$94)^2</f>
        <v>4.9078592191918888E-2</v>
      </c>
      <c r="I115" s="14">
        <f>(D115-$B$12)*$C$118</f>
        <v>-0.5408188203815798</v>
      </c>
      <c r="J115" s="6">
        <f>$B$94+$B$7*I115^2+$B$8*(I115-I$94)^2</f>
        <v>4.9117003565165872E-2</v>
      </c>
      <c r="K115" s="14">
        <f>(D115-$B$12)*$C$119</f>
        <v>-0.54943570808744879</v>
      </c>
      <c r="L115" s="6">
        <f>$B$95+$B$7*K115^2+$B$8*(K115-K$94)^2</f>
        <v>4.9686024063471779E-2</v>
      </c>
      <c r="M115">
        <f>(D115-$B$12)*$C$120</f>
        <v>-0.56069392025683906</v>
      </c>
      <c r="N115" s="6">
        <f>$B$96+$B$7*M115^2+$B$8*(M115-M$94)^2</f>
        <v>5.0717425457950854E-2</v>
      </c>
      <c r="O115">
        <f>(D115-$B$12)*$C$121</f>
        <v>-0.57436834237939349</v>
      </c>
      <c r="P115" s="6">
        <f>$B$97+$B$7*O115^2+$B$8*(O115-O$94)^2</f>
        <v>5.2629629624709198E-2</v>
      </c>
      <c r="Q115">
        <f>(D115-$B$12)*$C$122</f>
        <v>-0.59206118574642441</v>
      </c>
      <c r="R115" s="6">
        <f>$B$98+$B$7*Q115^2+$B$8*(Q115-Q$94)^2</f>
        <v>5.4664863809776816E-2</v>
      </c>
      <c r="S115">
        <f>(D115-$B$12)*$C$123</f>
        <v>-0.61376167773855217</v>
      </c>
      <c r="T115" s="6">
        <f>$B$99+$B$7*S115^2+$B$8*(S115-S$94)^2</f>
        <v>5.7342622760105703E-2</v>
      </c>
      <c r="U115">
        <f>(D115-$B$12)*$C$124</f>
        <v>-0.64023911999598104</v>
      </c>
      <c r="V115" s="6">
        <f>$B$100+$B$7*U115^2+$B$8*(U115-U$94)^2</f>
        <v>6.0818747020766416E-2</v>
      </c>
      <c r="W115">
        <f>(D115-$B$12)*$C$125</f>
        <v>-0.67252898508824444</v>
      </c>
      <c r="X115" s="6">
        <f>$B$101+$B$7*W115^2+$B$8*(W115-W$94)^2</f>
        <v>6.5322838390523427E-2</v>
      </c>
      <c r="Y115">
        <f>(D115-$B$12)*$C$126</f>
        <v>-0.71204402915096998</v>
      </c>
      <c r="Z115" s="6">
        <f>$B$102+$B$7*Y115^2+$B$8*(Y115-Y$94)^2</f>
        <v>7.1194396080887623E-2</v>
      </c>
      <c r="AA115">
        <f>(D115-$B$12)*$C$127</f>
        <v>-0.76074347135376252</v>
      </c>
      <c r="AB115" s="6">
        <f>$B$103+$B$7*AA115^2+$B$8*(AA115-AA$94)^2</f>
        <v>7.8944453984506946E-2</v>
      </c>
      <c r="AC115">
        <f>(D115-$B$12)*$C$128</f>
        <v>-0.82161316956188113</v>
      </c>
      <c r="AD115" s="6">
        <f>$B$104+$B$7*AC115^2+$B$8*(AC115-AC$94)^2</f>
        <v>8.9873399600301149E-2</v>
      </c>
      <c r="AE115">
        <f>(D115-$B$12)*$C$129</f>
        <v>-0.89862849913771381</v>
      </c>
      <c r="AF115" s="6">
        <f>$B$105+$B$7*AE115^2+$B$8*(AE115-AE$94)^2</f>
        <v>0.10429916082597217</v>
      </c>
      <c r="AG115">
        <f>(D115-$B$12)*$C$130</f>
        <v>-0.99759600101138379</v>
      </c>
      <c r="AH115" s="6">
        <f>$B$106+$B$7*AG115^2+$B$8*(AG115-AG$94)^2</f>
        <v>0.1247804559483934</v>
      </c>
      <c r="AI115">
        <f>(D115-$B$12)*$C$131</f>
        <v>-1.1267401821825895</v>
      </c>
      <c r="AJ115">
        <f>$B$107+$B$9*AI115^2</f>
        <v>0.14372790798772833</v>
      </c>
      <c r="AK115">
        <f>(D115-$B$12)*$C$132</f>
        <v>-1.3003243638634014</v>
      </c>
      <c r="AL115">
        <f>$B$108+$B$9*AK115^2</f>
        <v>0.18685153800164006</v>
      </c>
      <c r="AM115">
        <f>(D115-$B$12)*$C$133</f>
        <v>-1.500194823498231</v>
      </c>
      <c r="AN115">
        <f>$B$109+$B$9*AM115^2</f>
        <v>0.24373775180368393</v>
      </c>
      <c r="AO115">
        <f>(D115-$B$12)*$C$134</f>
        <v>-1.4018055583044036</v>
      </c>
      <c r="AP115">
        <f>$B$110+$B$9*AO115^2</f>
        <v>0.21536390496458557</v>
      </c>
    </row>
    <row r="116" spans="1:42" s="29" customFormat="1" x14ac:dyDescent="0.25">
      <c r="A116" s="139">
        <v>0.05</v>
      </c>
      <c r="B116" s="259">
        <f>'Sub C_D_0'!BA131</f>
        <v>2.0579785374922978E-2</v>
      </c>
      <c r="C116" s="259">
        <f>'C_L vs. α'!X417</f>
        <v>0.10607231296122756</v>
      </c>
      <c r="D116" s="144">
        <v>-4</v>
      </c>
      <c r="E116" s="14">
        <f t="shared" ref="E116:E126" si="152">(D116-$B$12)*$C$116</f>
        <v>-0.31821693888368269</v>
      </c>
      <c r="F116" s="6">
        <f t="shared" ref="F116:F126" si="153">$B$92+$B$7*E116^2+$B$8*(E116-E$94)^2</f>
        <v>3.0876579307688643E-2</v>
      </c>
      <c r="G116" s="14">
        <f t="shared" ref="G116:G126" si="154">(D116-$B$12)*$C$117</f>
        <v>-0.32073582666376682</v>
      </c>
      <c r="H116" s="6">
        <f t="shared" ref="H116:H126" si="155">$B$93+$B$7*G116^2+$B$8*(G116-G$94)^2</f>
        <v>2.9714787421735996E-2</v>
      </c>
      <c r="I116" s="14">
        <f t="shared" ref="I116:I126" si="156">(D116-$B$12)*$C$118</f>
        <v>-0.32449129222894785</v>
      </c>
      <c r="J116" s="6">
        <f t="shared" ref="J116:J126" si="157">$B$94+$B$7*I116^2+$B$8*(I116-I$94)^2</f>
        <v>2.9297138620037515E-2</v>
      </c>
      <c r="K116" s="14">
        <f t="shared" ref="K116:K126" si="158">(D116-$B$12)*$C$119</f>
        <v>-0.3296614248524693</v>
      </c>
      <c r="L116" s="6">
        <f t="shared" ref="L116:L126" si="159">$B$95+$B$7*K116^2+$B$8*(K116-K$94)^2</f>
        <v>2.9229631081890098E-2</v>
      </c>
      <c r="M116">
        <f t="shared" ref="M116:M126" si="160">(D116-$B$12)*$C$120</f>
        <v>-0.33641635215410348</v>
      </c>
      <c r="N116" s="6">
        <f t="shared" ref="N116:N126" si="161">$B$96+$B$7*M116^2+$B$8*(M116-M$94)^2</f>
        <v>2.9414222067258595E-2</v>
      </c>
      <c r="O116">
        <f t="shared" ref="O116:O126" si="162">(D116-$B$12)*$C$121</f>
        <v>-0.34462100542763607</v>
      </c>
      <c r="P116" s="6">
        <f t="shared" ref="P116:P126" si="163">$B$97+$B$7*O116^2+$B$8*(O116-O$94)^2</f>
        <v>3.0274714367384783E-2</v>
      </c>
      <c r="Q116">
        <f t="shared" ref="Q116:Q126" si="164">(D116-$B$12)*$C$122</f>
        <v>-0.35523671144785463</v>
      </c>
      <c r="R116" s="6">
        <f t="shared" ref="R116:R126" si="165">$B$98+$B$7*Q116^2+$B$8*(Q116-Q$94)^2</f>
        <v>3.0911625131645019E-2</v>
      </c>
      <c r="S116">
        <f t="shared" ref="S116:S126" si="166">(D116-$B$12)*$C$123</f>
        <v>-0.36825700664313127</v>
      </c>
      <c r="T116" s="6">
        <f t="shared" ref="T116:T126" si="167">$B$99+$B$7*S116^2+$B$8*(S116-S$94)^2</f>
        <v>3.1816409888828862E-2</v>
      </c>
      <c r="U116">
        <f t="shared" ref="U116:U126" si="168">(D116-$B$12)*$C$124</f>
        <v>-0.38414347199758858</v>
      </c>
      <c r="V116" s="6">
        <f t="shared" ref="V116:V126" si="169">$B$100+$B$7*U116^2+$B$8*(U116-U$94)^2</f>
        <v>3.3042858256267384E-2</v>
      </c>
      <c r="W116">
        <f t="shared" ref="W116:W126" si="170">(D116-$B$12)*$C$125</f>
        <v>-0.40351739105294671</v>
      </c>
      <c r="X116" s="6">
        <f t="shared" ref="X116:X126" si="171">$B$101+$B$7*W116^2+$B$8*(W116-W$94)^2</f>
        <v>3.4674874484438602E-2</v>
      </c>
      <c r="Y116">
        <f t="shared" ref="Y116:Y126" si="172">(D116-$B$12)*$C$126</f>
        <v>-0.42722641749058199</v>
      </c>
      <c r="Z116" s="6">
        <f t="shared" ref="Z116:Z126" si="173">$B$102+$B$7*Y116^2+$B$8*(Y116-Y$94)^2</f>
        <v>3.6839508932612043E-2</v>
      </c>
      <c r="AA116">
        <f t="shared" ref="AA116:AA126" si="174">(D116-$B$12)*$C$127</f>
        <v>-0.45644608281225751</v>
      </c>
      <c r="AB116" s="6">
        <f t="shared" ref="AB116:AB126" si="175">$B$103+$B$7*AA116^2+$B$8*(AA116-AA$94)^2</f>
        <v>3.9730076413975135E-2</v>
      </c>
      <c r="AC116">
        <f t="shared" ref="AC116:AC126" si="176">(D116-$B$12)*$C$128</f>
        <v>-0.49296790173712868</v>
      </c>
      <c r="AD116" s="6">
        <f t="shared" ref="AD116:AD126" si="177">$B$104+$B$7*AC116^2+$B$8*(AC116-AC$94)^2</f>
        <v>4.4133462118603417E-2</v>
      </c>
      <c r="AE116">
        <f t="shared" ref="AE116:AE126" si="178">(D116-$B$12)*$C$129</f>
        <v>-0.53917709948262837</v>
      </c>
      <c r="AF116" s="6">
        <f t="shared" ref="AF116:AF126" si="179">$B$105+$B$7*AE116^2+$B$8*(AE116-AE$94)^2</f>
        <v>4.9583700972775119E-2</v>
      </c>
      <c r="AG116">
        <f t="shared" ref="AG116:AG126" si="180">(D116-$B$12)*$C$130</f>
        <v>-0.59855760060683028</v>
      </c>
      <c r="AH116" s="6">
        <f t="shared" ref="AH116:AH126" si="181">$B$106+$B$7*AG116^2+$B$8*(AG116-AG$94)^2</f>
        <v>5.7352015146293532E-2</v>
      </c>
      <c r="AI116">
        <f t="shared" ref="AI116:AI126" si="182">(D116-$B$12)*$C$131</f>
        <v>-0.67604410930955372</v>
      </c>
      <c r="AJ116">
        <f t="shared" ref="AJ116:AJ126" si="183">$B$107+$B$9*AI116^2</f>
        <v>6.1767429401383189E-2</v>
      </c>
      <c r="AK116">
        <f t="shared" ref="AK116:AK126" si="184">(D116-$B$12)*$C$132</f>
        <v>-0.78019461831804093</v>
      </c>
      <c r="AL116">
        <f t="shared" ref="AL116:AL126" si="185">$B$108+$B$9*AK116^2</f>
        <v>7.7692343982963846E-2</v>
      </c>
      <c r="AM116">
        <f t="shared" ref="AM116:AM126" si="186">(D116-$B$12)*$C$133</f>
        <v>-0.90011689409893858</v>
      </c>
      <c r="AN116">
        <f t="shared" ref="AN116:AN126" si="187">$B$109+$B$9*AM116^2</f>
        <v>9.844222439645052E-2</v>
      </c>
      <c r="AO116">
        <f t="shared" ref="AO116:AO126" si="188">(D116-$B$12)*$C$134</f>
        <v>-0.84108333498264221</v>
      </c>
      <c r="AP116">
        <f t="shared" ref="AP116:AP126" si="189">$B$110+$B$9*AO116^2</f>
        <v>8.850163560988572E-2</v>
      </c>
    </row>
    <row r="117" spans="1:42" s="29" customFormat="1" x14ac:dyDescent="0.25">
      <c r="A117" s="129">
        <v>0.1</v>
      </c>
      <c r="B117" s="259">
        <f>'Sub C_D_0'!BA132</f>
        <v>1.9013278098337173E-2</v>
      </c>
      <c r="C117" s="259">
        <f>'C_L vs. α'!X418</f>
        <v>0.10691194222125561</v>
      </c>
      <c r="D117" s="144">
        <v>-2</v>
      </c>
      <c r="E117" s="14">
        <f t="shared" si="152"/>
        <v>-0.10607231296122756</v>
      </c>
      <c r="F117" s="6">
        <f t="shared" si="153"/>
        <v>2.0895500296496596E-2</v>
      </c>
      <c r="G117" s="14">
        <f t="shared" si="154"/>
        <v>-0.10691194222125561</v>
      </c>
      <c r="H117" s="6">
        <f t="shared" si="155"/>
        <v>1.9574984304208436E-2</v>
      </c>
      <c r="I117" s="14">
        <f t="shared" si="156"/>
        <v>-0.10816376407631595</v>
      </c>
      <c r="J117" s="6">
        <f t="shared" si="157"/>
        <v>1.8918545856098912E-2</v>
      </c>
      <c r="K117" s="14">
        <f t="shared" si="158"/>
        <v>-0.10988714161748976</v>
      </c>
      <c r="L117" s="6">
        <f t="shared" si="159"/>
        <v>1.85177633873214E-2</v>
      </c>
      <c r="M117">
        <f t="shared" si="160"/>
        <v>-0.11213878405136782</v>
      </c>
      <c r="N117" s="6">
        <f t="shared" si="161"/>
        <v>1.8258975689005797E-2</v>
      </c>
      <c r="O117">
        <f t="shared" si="162"/>
        <v>-0.1148736684758787</v>
      </c>
      <c r="P117" s="6">
        <f t="shared" si="163"/>
        <v>1.856877673331616E-2</v>
      </c>
      <c r="Q117">
        <f t="shared" si="164"/>
        <v>-0.11841223714928488</v>
      </c>
      <c r="R117" s="6">
        <f t="shared" si="165"/>
        <v>1.8473530996643225E-2</v>
      </c>
      <c r="S117">
        <f t="shared" si="166"/>
        <v>-0.12275233554771042</v>
      </c>
      <c r="T117" s="6">
        <f t="shared" si="167"/>
        <v>1.8449997848507538E-2</v>
      </c>
      <c r="U117">
        <f t="shared" si="168"/>
        <v>-0.1280478239991962</v>
      </c>
      <c r="V117" s="6">
        <f t="shared" si="169"/>
        <v>1.8498538276347998E-2</v>
      </c>
      <c r="W117">
        <f t="shared" si="170"/>
        <v>-0.13450579701764889</v>
      </c>
      <c r="X117" s="6">
        <f t="shared" si="171"/>
        <v>1.8626778874839864E-2</v>
      </c>
      <c r="Y117">
        <f t="shared" si="172"/>
        <v>-0.142408805830194</v>
      </c>
      <c r="Z117" s="6">
        <f t="shared" si="173"/>
        <v>1.8850549284261334E-2</v>
      </c>
      <c r="AA117">
        <f t="shared" si="174"/>
        <v>-0.1521486942707525</v>
      </c>
      <c r="AB117" s="6">
        <f t="shared" si="175"/>
        <v>1.91968396052456E-2</v>
      </c>
      <c r="AC117">
        <f t="shared" si="176"/>
        <v>-0.16432263391237623</v>
      </c>
      <c r="AD117" s="6">
        <f t="shared" si="177"/>
        <v>2.0183749339370293E-2</v>
      </c>
      <c r="AE117">
        <f t="shared" si="178"/>
        <v>-0.17972569982754277</v>
      </c>
      <c r="AF117" s="6">
        <f t="shared" si="179"/>
        <v>2.0935015943689125E-2</v>
      </c>
      <c r="AG117">
        <f t="shared" si="180"/>
        <v>-0.19951920020227676</v>
      </c>
      <c r="AH117" s="6">
        <f t="shared" si="181"/>
        <v>2.2048070437525782E-2</v>
      </c>
      <c r="AI117">
        <f t="shared" si="182"/>
        <v>-0.22534803643651791</v>
      </c>
      <c r="AJ117">
        <f t="shared" si="183"/>
        <v>2.0787190108210628E-2</v>
      </c>
      <c r="AK117">
        <f t="shared" si="184"/>
        <v>-0.26006487277268031</v>
      </c>
      <c r="AL117">
        <f t="shared" si="185"/>
        <v>2.3112746973625711E-2</v>
      </c>
      <c r="AM117">
        <f t="shared" si="186"/>
        <v>-0.30003896469964619</v>
      </c>
      <c r="AN117">
        <f t="shared" si="187"/>
        <v>2.5794460692833806E-2</v>
      </c>
      <c r="AO117">
        <f t="shared" si="188"/>
        <v>-0.28036111166088074</v>
      </c>
      <c r="AP117">
        <f t="shared" si="189"/>
        <v>2.5070500932535766E-2</v>
      </c>
    </row>
    <row r="118" spans="1:42" s="29" customFormat="1" x14ac:dyDescent="0.25">
      <c r="A118" s="139">
        <v>0.15</v>
      </c>
      <c r="B118" s="259">
        <f>'Sub C_D_0'!BA133</f>
        <v>1.8205068736420155E-2</v>
      </c>
      <c r="C118" s="259">
        <f>'C_L vs. α'!X419</f>
        <v>0.10816376407631595</v>
      </c>
      <c r="D118" s="143">
        <v>0</v>
      </c>
      <c r="E118" s="83">
        <f t="shared" si="152"/>
        <v>0.10607231296122756</v>
      </c>
      <c r="F118" s="21">
        <f t="shared" si="153"/>
        <v>1.9994111086717361E-2</v>
      </c>
      <c r="G118" s="83">
        <f t="shared" si="154"/>
        <v>0.10691194222125561</v>
      </c>
      <c r="H118" s="21">
        <f t="shared" si="155"/>
        <v>1.8659182839336211E-2</v>
      </c>
      <c r="I118" s="83">
        <f t="shared" si="156"/>
        <v>0.10816376407631595</v>
      </c>
      <c r="J118" s="21">
        <f t="shared" si="157"/>
        <v>1.7981225273350065E-2</v>
      </c>
      <c r="K118" s="83">
        <f t="shared" si="158"/>
        <v>0.10988714161748976</v>
      </c>
      <c r="L118" s="21">
        <f t="shared" si="159"/>
        <v>1.7550420979765693E-2</v>
      </c>
      <c r="M118" s="99">
        <f t="shared" si="160"/>
        <v>0.11213878405136782</v>
      </c>
      <c r="N118" s="21">
        <f t="shared" si="161"/>
        <v>1.7251686323192472E-2</v>
      </c>
      <c r="O118" s="99">
        <f t="shared" si="162"/>
        <v>0.1148736684758787</v>
      </c>
      <c r="P118" s="21">
        <f t="shared" si="163"/>
        <v>1.7511816722503324E-2</v>
      </c>
      <c r="Q118" s="99">
        <f t="shared" si="164"/>
        <v>0.11841223714928488</v>
      </c>
      <c r="R118" s="21">
        <f t="shared" si="165"/>
        <v>1.7350581404771429E-2</v>
      </c>
      <c r="S118" s="99">
        <f t="shared" si="166"/>
        <v>0.12275233554771042</v>
      </c>
      <c r="T118" s="21">
        <f t="shared" si="167"/>
        <v>1.7243386639141725E-2</v>
      </c>
      <c r="U118" s="99">
        <f t="shared" si="168"/>
        <v>0.1280478239991962</v>
      </c>
      <c r="V118" s="21">
        <f t="shared" si="169"/>
        <v>1.7185787081008253E-2</v>
      </c>
      <c r="W118" s="99">
        <f t="shared" si="170"/>
        <v>0.13450579701764889</v>
      </c>
      <c r="X118" s="21">
        <f t="shared" si="171"/>
        <v>1.7178551561727217E-2</v>
      </c>
      <c r="Y118" s="99">
        <f t="shared" si="172"/>
        <v>0.142408805830194</v>
      </c>
      <c r="Z118" s="21">
        <f t="shared" si="173"/>
        <v>1.7227517135835514E-2</v>
      </c>
      <c r="AA118" s="99">
        <f t="shared" si="174"/>
        <v>0.1521486942707525</v>
      </c>
      <c r="AB118" s="21">
        <f t="shared" si="175"/>
        <v>1.7344743558318353E-2</v>
      </c>
      <c r="AC118" s="99">
        <f t="shared" si="176"/>
        <v>0.16432263391237623</v>
      </c>
      <c r="AD118" s="21">
        <f t="shared" si="177"/>
        <v>1.8024261262601805E-2</v>
      </c>
      <c r="AE118" s="99">
        <f t="shared" si="178"/>
        <v>0.17972569982754277</v>
      </c>
      <c r="AF118" s="21">
        <f t="shared" si="179"/>
        <v>1.8353105738714209E-2</v>
      </c>
      <c r="AG118" s="99">
        <f t="shared" si="180"/>
        <v>0.19951920020227676</v>
      </c>
      <c r="AH118" s="21">
        <f t="shared" si="181"/>
        <v>1.8868621822090155E-2</v>
      </c>
      <c r="AI118" s="99">
        <f t="shared" si="182"/>
        <v>0.22534803643651791</v>
      </c>
      <c r="AJ118" s="99">
        <f t="shared" si="183"/>
        <v>2.0787190108210628E-2</v>
      </c>
      <c r="AK118" s="99">
        <f t="shared" si="184"/>
        <v>0.26006487277268031</v>
      </c>
      <c r="AL118" s="99">
        <f t="shared" si="185"/>
        <v>2.3112746973625711E-2</v>
      </c>
      <c r="AM118" s="99">
        <f t="shared" si="186"/>
        <v>0.30003896469964619</v>
      </c>
      <c r="AN118" s="99">
        <f t="shared" si="187"/>
        <v>2.5794460692833806E-2</v>
      </c>
      <c r="AO118" s="99">
        <f t="shared" si="188"/>
        <v>0.28036111166088074</v>
      </c>
      <c r="AP118" s="99">
        <f t="shared" si="189"/>
        <v>2.5070500932535766E-2</v>
      </c>
    </row>
    <row r="119" spans="1:42" s="29" customFormat="1" x14ac:dyDescent="0.25">
      <c r="A119" s="129">
        <v>0.2</v>
      </c>
      <c r="B119" s="259">
        <f>'Sub C_D_0'!BA134</f>
        <v>1.7673969496545879E-2</v>
      </c>
      <c r="C119" s="259">
        <f>'C_L vs. α'!X420</f>
        <v>0.10988714161748976</v>
      </c>
      <c r="D119" s="144">
        <v>2</v>
      </c>
      <c r="E119" s="14">
        <f t="shared" si="152"/>
        <v>0.31821693888368269</v>
      </c>
      <c r="F119" s="6">
        <f t="shared" si="153"/>
        <v>2.8172411678350932E-2</v>
      </c>
      <c r="G119" s="14">
        <f t="shared" si="154"/>
        <v>0.32073582666376682</v>
      </c>
      <c r="H119" s="6">
        <f t="shared" si="155"/>
        <v>2.6967383027119322E-2</v>
      </c>
      <c r="I119" s="14">
        <f t="shared" si="156"/>
        <v>0.32449129222894785</v>
      </c>
      <c r="J119" s="6">
        <f t="shared" si="157"/>
        <v>2.6485176871790975E-2</v>
      </c>
      <c r="K119" s="14">
        <f t="shared" si="158"/>
        <v>0.3296614248524693</v>
      </c>
      <c r="L119" s="6">
        <f t="shared" si="159"/>
        <v>2.6327603859222979E-2</v>
      </c>
      <c r="M119">
        <f t="shared" si="160"/>
        <v>0.33641635215410348</v>
      </c>
      <c r="N119" s="6">
        <f t="shared" si="161"/>
        <v>2.6392353969818615E-2</v>
      </c>
      <c r="O119">
        <f t="shared" si="162"/>
        <v>0.34462100542763607</v>
      </c>
      <c r="P119" s="6">
        <f t="shared" si="163"/>
        <v>2.7103834334946276E-2</v>
      </c>
      <c r="Q119">
        <f t="shared" si="164"/>
        <v>0.35523671144785463</v>
      </c>
      <c r="R119" s="6">
        <f t="shared" si="165"/>
        <v>2.7542776356029631E-2</v>
      </c>
      <c r="S119">
        <f t="shared" si="166"/>
        <v>0.36825700664313127</v>
      </c>
      <c r="T119" s="6">
        <f t="shared" si="167"/>
        <v>2.8196576260731424E-2</v>
      </c>
      <c r="U119">
        <f t="shared" si="168"/>
        <v>0.38414347199758858</v>
      </c>
      <c r="V119" s="6">
        <f t="shared" si="169"/>
        <v>2.9104604670248148E-2</v>
      </c>
      <c r="W119">
        <f t="shared" si="170"/>
        <v>0.40351739105294671</v>
      </c>
      <c r="X119" s="6">
        <f t="shared" si="171"/>
        <v>3.0330192545100661E-2</v>
      </c>
      <c r="Y119">
        <f t="shared" si="172"/>
        <v>0.42722641749058199</v>
      </c>
      <c r="Z119" s="6">
        <f t="shared" si="173"/>
        <v>3.1970412487334586E-2</v>
      </c>
      <c r="AA119">
        <f t="shared" si="174"/>
        <v>0.45644608281225751</v>
      </c>
      <c r="AB119" s="6">
        <f t="shared" si="175"/>
        <v>3.4173788273193388E-2</v>
      </c>
      <c r="AC119">
        <f t="shared" si="176"/>
        <v>0.49296790173712868</v>
      </c>
      <c r="AD119" s="6">
        <f t="shared" si="177"/>
        <v>3.7654997888297945E-2</v>
      </c>
      <c r="AE119">
        <f t="shared" si="178"/>
        <v>0.53917709948262837</v>
      </c>
      <c r="AF119" s="6">
        <f t="shared" si="179"/>
        <v>4.1837970357850376E-2</v>
      </c>
      <c r="AG119">
        <f t="shared" si="180"/>
        <v>0.59855760060683028</v>
      </c>
      <c r="AH119" s="6">
        <f t="shared" si="181"/>
        <v>4.7813669299986643E-2</v>
      </c>
      <c r="AI119">
        <f t="shared" si="182"/>
        <v>0.67604410930955372</v>
      </c>
      <c r="AJ119">
        <f t="shared" si="183"/>
        <v>6.1767429401383189E-2</v>
      </c>
      <c r="AK119">
        <f t="shared" si="184"/>
        <v>0.78019461831804093</v>
      </c>
      <c r="AL119">
        <f t="shared" si="185"/>
        <v>7.7692343982963846E-2</v>
      </c>
      <c r="AM119">
        <f t="shared" si="186"/>
        <v>0.90011689409893858</v>
      </c>
      <c r="AN119">
        <f t="shared" si="187"/>
        <v>9.844222439645052E-2</v>
      </c>
      <c r="AO119">
        <f t="shared" si="188"/>
        <v>0.84108333498264221</v>
      </c>
      <c r="AP119">
        <f t="shared" si="189"/>
        <v>8.850163560988572E-2</v>
      </c>
    </row>
    <row r="120" spans="1:42" s="29" customFormat="1" x14ac:dyDescent="0.25">
      <c r="A120" s="139">
        <v>0.25</v>
      </c>
      <c r="B120" s="259">
        <f>'Sub C_D_0'!BA135</f>
        <v>1.7284224747481418E-2</v>
      </c>
      <c r="C120" s="259">
        <f>'C_L vs. α'!X421</f>
        <v>0.11213878405136782</v>
      </c>
      <c r="D120" s="144">
        <v>4</v>
      </c>
      <c r="E120" s="14">
        <f t="shared" si="152"/>
        <v>0.53036156480613783</v>
      </c>
      <c r="F120" s="6">
        <f t="shared" si="153"/>
        <v>4.5430402071397306E-2</v>
      </c>
      <c r="G120" s="14">
        <f t="shared" si="154"/>
        <v>0.53455971110627809</v>
      </c>
      <c r="H120" s="6">
        <f t="shared" si="155"/>
        <v>4.4499584867557763E-2</v>
      </c>
      <c r="I120" s="14">
        <f t="shared" si="156"/>
        <v>0.5408188203815798</v>
      </c>
      <c r="J120" s="6">
        <f t="shared" si="157"/>
        <v>4.4430400651421641E-2</v>
      </c>
      <c r="K120" s="14">
        <f t="shared" si="158"/>
        <v>0.54943570808744879</v>
      </c>
      <c r="L120" s="6">
        <f t="shared" si="159"/>
        <v>4.4849312025693241E-2</v>
      </c>
      <c r="M120">
        <f t="shared" si="160"/>
        <v>0.56069392025683906</v>
      </c>
      <c r="N120" s="6">
        <f t="shared" si="161"/>
        <v>4.5680978628884227E-2</v>
      </c>
      <c r="O120">
        <f t="shared" si="162"/>
        <v>0.57436834237939349</v>
      </c>
      <c r="P120" s="6">
        <f t="shared" si="163"/>
        <v>4.7344829570645015E-2</v>
      </c>
      <c r="Q120">
        <f t="shared" si="164"/>
        <v>0.59206118574642441</v>
      </c>
      <c r="R120" s="6">
        <f t="shared" si="165"/>
        <v>4.9050115850417832E-2</v>
      </c>
      <c r="S120">
        <f t="shared" si="166"/>
        <v>0.61376167773855217</v>
      </c>
      <c r="T120" s="6">
        <f t="shared" si="167"/>
        <v>5.130956671327664E-2</v>
      </c>
      <c r="U120">
        <f t="shared" si="168"/>
        <v>0.64023911999598104</v>
      </c>
      <c r="V120" s="6">
        <f t="shared" si="169"/>
        <v>5.4254991044067689E-2</v>
      </c>
      <c r="W120">
        <f t="shared" si="170"/>
        <v>0.67252898508824444</v>
      </c>
      <c r="X120" s="6">
        <f t="shared" si="171"/>
        <v>5.808170182496019E-2</v>
      </c>
      <c r="Y120">
        <f t="shared" si="172"/>
        <v>0.71204402915096998</v>
      </c>
      <c r="Z120" s="6">
        <f t="shared" si="173"/>
        <v>6.3079235338758533E-2</v>
      </c>
      <c r="AA120">
        <f t="shared" si="174"/>
        <v>0.76074347135376252</v>
      </c>
      <c r="AB120" s="6">
        <f t="shared" si="175"/>
        <v>6.9683973749870703E-2</v>
      </c>
      <c r="AC120">
        <f t="shared" si="176"/>
        <v>0.82161316956188113</v>
      </c>
      <c r="AD120" s="6">
        <f t="shared" si="177"/>
        <v>7.9075959216458699E-2</v>
      </c>
      <c r="AE120">
        <f t="shared" si="178"/>
        <v>0.89862849913771381</v>
      </c>
      <c r="AF120" s="6">
        <f t="shared" si="179"/>
        <v>9.1389609801097602E-2</v>
      </c>
      <c r="AG120">
        <f t="shared" si="180"/>
        <v>0.99759600101138379</v>
      </c>
      <c r="AH120" s="6">
        <f t="shared" si="181"/>
        <v>0.10888321287121525</v>
      </c>
      <c r="AI120">
        <f t="shared" si="182"/>
        <v>1.1267401821825895</v>
      </c>
      <c r="AJ120">
        <f t="shared" si="183"/>
        <v>0.14372790798772833</v>
      </c>
      <c r="AK120">
        <f t="shared" si="184"/>
        <v>1.3003243638634014</v>
      </c>
      <c r="AL120">
        <f t="shared" si="185"/>
        <v>0.18685153800164006</v>
      </c>
      <c r="AM120">
        <f t="shared" si="186"/>
        <v>1.500194823498231</v>
      </c>
      <c r="AN120">
        <f t="shared" si="187"/>
        <v>0.24373775180368393</v>
      </c>
      <c r="AO120">
        <f t="shared" si="188"/>
        <v>1.4018055583044036</v>
      </c>
      <c r="AP120">
        <f t="shared" si="189"/>
        <v>0.21536390496458557</v>
      </c>
    </row>
    <row r="121" spans="1:42" s="29" customFormat="1" x14ac:dyDescent="0.25">
      <c r="A121" s="129">
        <v>0.3</v>
      </c>
      <c r="B121" s="259">
        <f>'Sub C_D_0'!BA136</f>
        <v>1.7505537904039629E-2</v>
      </c>
      <c r="C121" s="259">
        <f>'C_L vs. α'!X422</f>
        <v>0.1148736684758787</v>
      </c>
      <c r="D121" s="144">
        <v>6</v>
      </c>
      <c r="E121" s="14">
        <f t="shared" si="152"/>
        <v>0.74250619072859292</v>
      </c>
      <c r="F121" s="6">
        <f t="shared" si="153"/>
        <v>7.1768082265856487E-2</v>
      </c>
      <c r="G121" s="14">
        <f t="shared" si="154"/>
        <v>0.74838359554878919</v>
      </c>
      <c r="H121" s="6">
        <f t="shared" si="155"/>
        <v>7.1255788360651523E-2</v>
      </c>
      <c r="I121" s="14">
        <f t="shared" si="156"/>
        <v>0.75714634853421159</v>
      </c>
      <c r="J121" s="6">
        <f t="shared" si="157"/>
        <v>7.181689661224204E-2</v>
      </c>
      <c r="K121" s="14">
        <f t="shared" si="158"/>
        <v>0.76920999132242829</v>
      </c>
      <c r="L121" s="6">
        <f t="shared" si="159"/>
        <v>7.3115545479176508E-2</v>
      </c>
      <c r="M121">
        <f t="shared" si="160"/>
        <v>0.78497148835957475</v>
      </c>
      <c r="N121" s="6">
        <f t="shared" si="161"/>
        <v>7.5117560300389297E-2</v>
      </c>
      <c r="O121">
        <f t="shared" si="162"/>
        <v>0.80411567933115091</v>
      </c>
      <c r="P121" s="6">
        <f t="shared" si="163"/>
        <v>7.823480242959957E-2</v>
      </c>
      <c r="Q121">
        <f t="shared" si="164"/>
        <v>0.8288856600449942</v>
      </c>
      <c r="R121" s="6">
        <f t="shared" si="165"/>
        <v>8.1872599887936034E-2</v>
      </c>
      <c r="S121">
        <f t="shared" si="166"/>
        <v>0.8592663488339729</v>
      </c>
      <c r="T121" s="6">
        <f t="shared" si="167"/>
        <v>8.658235799677734E-2</v>
      </c>
      <c r="U121">
        <f t="shared" si="168"/>
        <v>0.89633476799437339</v>
      </c>
      <c r="V121" s="6">
        <f t="shared" si="169"/>
        <v>9.2636946202466861E-2</v>
      </c>
      <c r="W121">
        <f t="shared" si="170"/>
        <v>0.94154057912354228</v>
      </c>
      <c r="X121" s="6">
        <f t="shared" si="171"/>
        <v>0.10043307940130583</v>
      </c>
      <c r="Y121">
        <f t="shared" si="172"/>
        <v>0.99686164081135797</v>
      </c>
      <c r="Z121" s="6">
        <f t="shared" si="173"/>
        <v>0.1105539856901074</v>
      </c>
      <c r="AA121">
        <f t="shared" si="174"/>
        <v>1.0650408598952676</v>
      </c>
      <c r="AB121" s="6">
        <f t="shared" si="175"/>
        <v>0.12387529998835033</v>
      </c>
      <c r="AC121">
        <f t="shared" si="176"/>
        <v>1.1502584373866336</v>
      </c>
      <c r="AD121" s="6">
        <f t="shared" si="177"/>
        <v>0.14228714524708411</v>
      </c>
      <c r="AE121">
        <f t="shared" si="178"/>
        <v>1.2580798987927995</v>
      </c>
      <c r="AF121" s="6">
        <f t="shared" si="179"/>
        <v>0.16700802406845594</v>
      </c>
      <c r="AG121">
        <f t="shared" si="180"/>
        <v>1.3966344014159373</v>
      </c>
      <c r="AH121" s="6">
        <f t="shared" si="181"/>
        <v>0.20207725253577594</v>
      </c>
      <c r="AI121">
        <f t="shared" si="182"/>
        <v>1.5774362550556253</v>
      </c>
      <c r="AJ121">
        <f t="shared" si="183"/>
        <v>0.26666862586724599</v>
      </c>
      <c r="AK121">
        <f t="shared" si="184"/>
        <v>1.8204541094087623</v>
      </c>
      <c r="AL121">
        <f t="shared" si="185"/>
        <v>0.35059032902965459</v>
      </c>
      <c r="AM121">
        <f t="shared" si="186"/>
        <v>2.1002727528975234</v>
      </c>
      <c r="AN121">
        <f t="shared" si="187"/>
        <v>0.4616810429145341</v>
      </c>
      <c r="AO121">
        <f t="shared" si="188"/>
        <v>1.9625277816261653</v>
      </c>
      <c r="AP121">
        <f t="shared" si="189"/>
        <v>0.40565730899663555</v>
      </c>
    </row>
    <row r="122" spans="1:42" s="29" customFormat="1" x14ac:dyDescent="0.25">
      <c r="A122" s="139">
        <v>0.35</v>
      </c>
      <c r="B122" s="259">
        <f>'Sub C_D_0'!BA137</f>
        <v>1.7244273881283433E-2</v>
      </c>
      <c r="C122" s="259">
        <f>'C_L vs. α'!X423</f>
        <v>0.11841223714928488</v>
      </c>
      <c r="D122" s="144">
        <v>8</v>
      </c>
      <c r="E122" s="14">
        <f t="shared" si="152"/>
        <v>0.95465081665104801</v>
      </c>
      <c r="F122" s="6">
        <f t="shared" si="153"/>
        <v>0.10718545226172847</v>
      </c>
      <c r="G122" s="14">
        <f t="shared" si="154"/>
        <v>0.96220747999130052</v>
      </c>
      <c r="H122" s="6">
        <f t="shared" si="155"/>
        <v>0.10723599350640065</v>
      </c>
      <c r="I122" s="14">
        <f t="shared" si="156"/>
        <v>0.9734738766868436</v>
      </c>
      <c r="J122" s="6">
        <f t="shared" si="157"/>
        <v>0.10864466475425225</v>
      </c>
      <c r="K122" s="14">
        <f t="shared" si="158"/>
        <v>0.98898427455740789</v>
      </c>
      <c r="L122" s="6">
        <f t="shared" si="159"/>
        <v>0.11112630421967276</v>
      </c>
      <c r="M122">
        <f t="shared" si="160"/>
        <v>1.0092490564623104</v>
      </c>
      <c r="N122" s="6">
        <f t="shared" si="161"/>
        <v>0.11470209898433388</v>
      </c>
      <c r="O122">
        <f t="shared" si="162"/>
        <v>1.0338630162829083</v>
      </c>
      <c r="P122" s="6">
        <f t="shared" si="163"/>
        <v>0.11977375291180987</v>
      </c>
      <c r="Q122">
        <f t="shared" si="164"/>
        <v>1.065710134343564</v>
      </c>
      <c r="R122" s="6">
        <f t="shared" si="165"/>
        <v>0.12601022846858426</v>
      </c>
      <c r="S122">
        <f t="shared" si="166"/>
        <v>1.1047710199293939</v>
      </c>
      <c r="T122" s="6">
        <f t="shared" si="167"/>
        <v>0.1340149501112336</v>
      </c>
      <c r="U122">
        <f t="shared" si="168"/>
        <v>1.1524304159927659</v>
      </c>
      <c r="V122" s="6">
        <f t="shared" si="169"/>
        <v>0.1442504701454457</v>
      </c>
      <c r="W122">
        <f t="shared" si="170"/>
        <v>1.21055217315884</v>
      </c>
      <c r="X122" s="6">
        <f t="shared" si="171"/>
        <v>0.15738432527413754</v>
      </c>
      <c r="Y122">
        <f t="shared" si="172"/>
        <v>1.281679252471746</v>
      </c>
      <c r="Z122" s="6">
        <f t="shared" si="173"/>
        <v>0.17439466354138111</v>
      </c>
      <c r="AA122">
        <f t="shared" si="174"/>
        <v>1.3693382484367724</v>
      </c>
      <c r="AB122" s="6">
        <f t="shared" si="175"/>
        <v>0.19674776698863217</v>
      </c>
      <c r="AC122">
        <f t="shared" si="176"/>
        <v>1.478903705211386</v>
      </c>
      <c r="AD122" s="6">
        <f t="shared" si="177"/>
        <v>0.22728855598017411</v>
      </c>
      <c r="AE122">
        <f t="shared" si="178"/>
        <v>1.6175312984478849</v>
      </c>
      <c r="AF122" s="6">
        <f t="shared" si="179"/>
        <v>0.26869321315992528</v>
      </c>
      <c r="AG122">
        <f t="shared" si="180"/>
        <v>1.7956728018204908</v>
      </c>
      <c r="AH122" s="6">
        <f t="shared" si="181"/>
        <v>0.32739578829366878</v>
      </c>
      <c r="AI122">
        <f t="shared" si="182"/>
        <v>2.0281323279286614</v>
      </c>
      <c r="AJ122">
        <f t="shared" si="183"/>
        <v>0.43058958303993633</v>
      </c>
      <c r="AK122">
        <f t="shared" si="184"/>
        <v>2.3405838549541227</v>
      </c>
      <c r="AL122">
        <f t="shared" si="185"/>
        <v>0.56890871706700696</v>
      </c>
      <c r="AM122">
        <f t="shared" si="186"/>
        <v>2.7003506822968157</v>
      </c>
      <c r="AN122">
        <f t="shared" si="187"/>
        <v>0.75227209772900083</v>
      </c>
      <c r="AO122">
        <f t="shared" si="188"/>
        <v>2.5232500049479265</v>
      </c>
      <c r="AP122">
        <f t="shared" si="189"/>
        <v>0.65938184770603514</v>
      </c>
    </row>
    <row r="123" spans="1:42" s="29" customFormat="1" x14ac:dyDescent="0.25">
      <c r="A123" s="129">
        <v>0.4</v>
      </c>
      <c r="B123" s="259">
        <f>'Sub C_D_0'!BA138</f>
        <v>1.7024683512604961E-2</v>
      </c>
      <c r="C123" s="259">
        <f>'C_L vs. α'!X424</f>
        <v>0.12275233554771042</v>
      </c>
      <c r="D123" s="144">
        <v>10</v>
      </c>
      <c r="E123" s="14">
        <f t="shared" si="152"/>
        <v>1.1667954425735032</v>
      </c>
      <c r="F123" s="6">
        <f t="shared" si="153"/>
        <v>0.15168251205901331</v>
      </c>
      <c r="G123" s="14">
        <f t="shared" si="154"/>
        <v>1.1760313644338116</v>
      </c>
      <c r="H123" s="6">
        <f t="shared" si="155"/>
        <v>0.15244020030480504</v>
      </c>
      <c r="I123" s="14">
        <f t="shared" si="156"/>
        <v>1.1898014048394754</v>
      </c>
      <c r="J123" s="6">
        <f t="shared" si="157"/>
        <v>0.15491370507745217</v>
      </c>
      <c r="K123" s="14">
        <f t="shared" si="158"/>
        <v>1.2087585577923874</v>
      </c>
      <c r="L123" s="6">
        <f t="shared" si="159"/>
        <v>0.15888158824718199</v>
      </c>
      <c r="M123">
        <f t="shared" si="160"/>
        <v>1.233526624565046</v>
      </c>
      <c r="N123" s="6">
        <f t="shared" si="161"/>
        <v>0.16443459468071789</v>
      </c>
      <c r="O123">
        <f t="shared" si="162"/>
        <v>1.2636103532346656</v>
      </c>
      <c r="P123" s="6">
        <f t="shared" si="163"/>
        <v>0.17196168101727599</v>
      </c>
      <c r="Q123">
        <f t="shared" si="164"/>
        <v>1.3025346086421337</v>
      </c>
      <c r="R123" s="6">
        <f t="shared" si="165"/>
        <v>0.18146300159236245</v>
      </c>
      <c r="S123">
        <f t="shared" si="166"/>
        <v>1.3502756910248146</v>
      </c>
      <c r="T123" s="6">
        <f t="shared" si="167"/>
        <v>0.19360734305664531</v>
      </c>
      <c r="U123">
        <f t="shared" si="168"/>
        <v>1.4085260639911583</v>
      </c>
      <c r="V123" s="6">
        <f t="shared" si="169"/>
        <v>0.20909556287300415</v>
      </c>
      <c r="W123">
        <f t="shared" si="170"/>
        <v>1.4795637671941377</v>
      </c>
      <c r="X123" s="6">
        <f t="shared" si="171"/>
        <v>0.22893543944345535</v>
      </c>
      <c r="Y123">
        <f t="shared" si="172"/>
        <v>1.566496864132134</v>
      </c>
      <c r="Z123" s="6">
        <f t="shared" si="173"/>
        <v>0.25460126889257972</v>
      </c>
      <c r="AA123">
        <f t="shared" si="174"/>
        <v>1.6736356369782777</v>
      </c>
      <c r="AB123" s="6">
        <f t="shared" si="175"/>
        <v>0.28830137475071638</v>
      </c>
      <c r="AC123">
        <f t="shared" si="176"/>
        <v>1.8075489730361385</v>
      </c>
      <c r="AD123" s="6">
        <f t="shared" si="177"/>
        <v>0.33408019141572881</v>
      </c>
      <c r="AE123">
        <f t="shared" si="178"/>
        <v>1.9769826981029706</v>
      </c>
      <c r="AF123" s="6">
        <f t="shared" si="179"/>
        <v>0.39644517707550575</v>
      </c>
      <c r="AG123">
        <f t="shared" si="180"/>
        <v>2.1947112022250446</v>
      </c>
      <c r="AH123" s="6">
        <f t="shared" si="181"/>
        <v>0.48483882014489393</v>
      </c>
      <c r="AI123">
        <f t="shared" si="182"/>
        <v>2.4788284008016968</v>
      </c>
      <c r="AJ123">
        <f t="shared" si="183"/>
        <v>0.63549077950579902</v>
      </c>
      <c r="AK123">
        <f t="shared" si="184"/>
        <v>2.8607136004994835</v>
      </c>
      <c r="AL123">
        <f t="shared" si="185"/>
        <v>0.8418067021136979</v>
      </c>
      <c r="AM123">
        <f t="shared" si="186"/>
        <v>3.3004286116961081</v>
      </c>
      <c r="AN123">
        <f t="shared" si="187"/>
        <v>1.1155109162470844</v>
      </c>
      <c r="AO123">
        <f t="shared" si="188"/>
        <v>3.0839722282696882</v>
      </c>
      <c r="AP123">
        <f t="shared" si="189"/>
        <v>0.97653752109278502</v>
      </c>
    </row>
    <row r="124" spans="1:42" s="29" customFormat="1" x14ac:dyDescent="0.25">
      <c r="A124" s="139">
        <v>0.45</v>
      </c>
      <c r="B124" s="259">
        <f>'Sub C_D_0'!BA139</f>
        <v>1.6835990583288822E-2</v>
      </c>
      <c r="C124" s="259">
        <f>'C_L vs. α'!X425</f>
        <v>0.1280478239991962</v>
      </c>
      <c r="D124" s="144">
        <v>12</v>
      </c>
      <c r="E124" s="14">
        <f t="shared" si="152"/>
        <v>1.3789400684959583</v>
      </c>
      <c r="F124" s="6">
        <f t="shared" si="153"/>
        <v>0.20525926165771088</v>
      </c>
      <c r="G124" s="14">
        <f t="shared" si="154"/>
        <v>1.3898552488763229</v>
      </c>
      <c r="H124" s="6">
        <f t="shared" si="155"/>
        <v>0.20686840875586482</v>
      </c>
      <c r="I124" s="14">
        <f t="shared" si="156"/>
        <v>1.4061289329921074</v>
      </c>
      <c r="J124" s="6">
        <f t="shared" si="157"/>
        <v>0.21062401758184188</v>
      </c>
      <c r="K124" s="14">
        <f t="shared" si="158"/>
        <v>1.428532841027367</v>
      </c>
      <c r="L124" s="6">
        <f t="shared" si="159"/>
        <v>0.21638139756170424</v>
      </c>
      <c r="M124">
        <f t="shared" si="160"/>
        <v>1.4578041926677816</v>
      </c>
      <c r="N124" s="6">
        <f t="shared" si="161"/>
        <v>0.22431504738954136</v>
      </c>
      <c r="O124">
        <f t="shared" si="162"/>
        <v>1.4933576901864229</v>
      </c>
      <c r="P124" s="6">
        <f t="shared" si="163"/>
        <v>0.23479858674599788</v>
      </c>
      <c r="Q124">
        <f t="shared" si="164"/>
        <v>1.5393590829407033</v>
      </c>
      <c r="R124" s="6">
        <f t="shared" si="165"/>
        <v>0.2482309192592706</v>
      </c>
      <c r="S124">
        <f t="shared" si="166"/>
        <v>1.5957803621202356</v>
      </c>
      <c r="T124" s="6">
        <f t="shared" si="167"/>
        <v>0.26535953683301255</v>
      </c>
      <c r="U124">
        <f t="shared" si="168"/>
        <v>1.6646217119895506</v>
      </c>
      <c r="V124" s="6">
        <f t="shared" si="169"/>
        <v>0.28717222438514223</v>
      </c>
      <c r="W124">
        <f t="shared" si="170"/>
        <v>1.7485753612294357</v>
      </c>
      <c r="X124" s="6">
        <f t="shared" si="171"/>
        <v>0.31508642190925928</v>
      </c>
      <c r="Y124">
        <f t="shared" si="172"/>
        <v>1.851314475792522</v>
      </c>
      <c r="Z124" s="6">
        <f t="shared" si="173"/>
        <v>0.35117380174370327</v>
      </c>
      <c r="AA124">
        <f t="shared" si="174"/>
        <v>1.9779330255197825</v>
      </c>
      <c r="AB124" s="6">
        <f t="shared" si="175"/>
        <v>0.39853612327460269</v>
      </c>
      <c r="AC124">
        <f t="shared" si="176"/>
        <v>2.1361942408608909</v>
      </c>
      <c r="AD124" s="6">
        <f t="shared" si="177"/>
        <v>0.46266205155374807</v>
      </c>
      <c r="AE124">
        <f t="shared" si="178"/>
        <v>2.336434097758056</v>
      </c>
      <c r="AF124" s="6">
        <f t="shared" si="179"/>
        <v>0.55026391581519729</v>
      </c>
      <c r="AG124">
        <f t="shared" si="180"/>
        <v>2.5937496026295976</v>
      </c>
      <c r="AH124" s="6">
        <f t="shared" si="181"/>
        <v>0.67440634808945066</v>
      </c>
      <c r="AI124">
        <f t="shared" si="182"/>
        <v>2.929524473674733</v>
      </c>
      <c r="AJ124">
        <f t="shared" si="183"/>
        <v>0.88137221526483467</v>
      </c>
      <c r="AK124">
        <f t="shared" si="184"/>
        <v>3.3808433460448439</v>
      </c>
      <c r="AL124">
        <f t="shared" si="185"/>
        <v>1.1692842841697264</v>
      </c>
      <c r="AM124">
        <f t="shared" si="186"/>
        <v>3.9005065410954005</v>
      </c>
      <c r="AN124">
        <f t="shared" si="187"/>
        <v>1.5513974984687846</v>
      </c>
      <c r="AO124">
        <f t="shared" si="188"/>
        <v>3.6446944515914494</v>
      </c>
      <c r="AP124">
        <f t="shared" si="189"/>
        <v>1.3571243291568846</v>
      </c>
    </row>
    <row r="125" spans="1:42" s="29" customFormat="1" x14ac:dyDescent="0.25">
      <c r="A125" s="129">
        <v>0.5</v>
      </c>
      <c r="B125" s="259">
        <f>'Sub C_D_0'!BA140</f>
        <v>1.6671046651948178E-2</v>
      </c>
      <c r="C125" s="259">
        <f>'C_L vs. α'!X426</f>
        <v>0.13450579701764889</v>
      </c>
      <c r="D125" s="144">
        <v>14</v>
      </c>
      <c r="E125" s="14">
        <f t="shared" si="152"/>
        <v>1.5910846944184134</v>
      </c>
      <c r="F125" s="6">
        <f t="shared" si="153"/>
        <v>0.26791570105782131</v>
      </c>
      <c r="G125" s="14">
        <f t="shared" si="154"/>
        <v>1.603679133318834</v>
      </c>
      <c r="H125" s="6">
        <f t="shared" si="155"/>
        <v>0.2705206188595799</v>
      </c>
      <c r="I125" s="14">
        <f t="shared" si="156"/>
        <v>1.6224564611447392</v>
      </c>
      <c r="J125" s="6">
        <f t="shared" si="157"/>
        <v>0.27577560226742126</v>
      </c>
      <c r="K125" s="14">
        <f t="shared" si="158"/>
        <v>1.6483071242623464</v>
      </c>
      <c r="L125" s="6">
        <f t="shared" si="159"/>
        <v>0.28362573216323939</v>
      </c>
      <c r="M125">
        <f t="shared" si="160"/>
        <v>1.6820817607705172</v>
      </c>
      <c r="N125" s="6">
        <f t="shared" si="161"/>
        <v>0.29434345711080434</v>
      </c>
      <c r="O125">
        <f t="shared" si="162"/>
        <v>1.7231050271381805</v>
      </c>
      <c r="P125" s="6">
        <f t="shared" si="163"/>
        <v>0.3082844700979756</v>
      </c>
      <c r="Q125">
        <f t="shared" si="164"/>
        <v>1.7761835572392732</v>
      </c>
      <c r="R125" s="6">
        <f t="shared" si="165"/>
        <v>0.32631398146930884</v>
      </c>
      <c r="S125">
        <f t="shared" si="166"/>
        <v>1.8412850332156563</v>
      </c>
      <c r="T125" s="6">
        <f t="shared" si="167"/>
        <v>0.34927153144033529</v>
      </c>
      <c r="U125">
        <f t="shared" si="168"/>
        <v>1.920717359987943</v>
      </c>
      <c r="V125" s="6">
        <f t="shared" si="169"/>
        <v>0.37848045468185998</v>
      </c>
      <c r="W125">
        <f t="shared" si="170"/>
        <v>2.0175869552647332</v>
      </c>
      <c r="X125" s="6">
        <f t="shared" si="171"/>
        <v>0.41583727267154913</v>
      </c>
      <c r="Y125">
        <f t="shared" si="172"/>
        <v>2.1361320874529097</v>
      </c>
      <c r="Z125" s="6">
        <f t="shared" si="173"/>
        <v>0.46411226209475154</v>
      </c>
      <c r="AA125">
        <f t="shared" si="174"/>
        <v>2.2822304140612877</v>
      </c>
      <c r="AB125" s="6">
        <f t="shared" si="175"/>
        <v>0.52745201256029151</v>
      </c>
      <c r="AC125">
        <f t="shared" si="176"/>
        <v>2.4648395086856434</v>
      </c>
      <c r="AD125" s="6">
        <f t="shared" si="177"/>
        <v>0.61303413639423188</v>
      </c>
      <c r="AE125">
        <f t="shared" si="178"/>
        <v>2.6958854974131414</v>
      </c>
      <c r="AF125" s="6">
        <f t="shared" si="179"/>
        <v>0.73014942937899985</v>
      </c>
      <c r="AG125">
        <f t="shared" si="180"/>
        <v>2.9927880030341516</v>
      </c>
      <c r="AH125" s="6">
        <f t="shared" si="181"/>
        <v>0.89609837212734011</v>
      </c>
      <c r="AI125">
        <f t="shared" si="182"/>
        <v>3.3802205465477684</v>
      </c>
      <c r="AJ125">
        <f t="shared" si="183"/>
        <v>1.1682338903170422</v>
      </c>
      <c r="AK125">
        <f t="shared" si="184"/>
        <v>3.9009730915902048</v>
      </c>
      <c r="AL125">
        <f t="shared" si="185"/>
        <v>1.5513414632350935</v>
      </c>
      <c r="AM125">
        <f t="shared" si="186"/>
        <v>4.5005844704946929</v>
      </c>
      <c r="AN125">
        <f t="shared" si="187"/>
        <v>2.0599318443941015</v>
      </c>
      <c r="AO125">
        <f t="shared" si="188"/>
        <v>4.2054166749132111</v>
      </c>
      <c r="AP125">
        <f t="shared" si="189"/>
        <v>1.8011422718983345</v>
      </c>
    </row>
    <row r="126" spans="1:42" s="29" customFormat="1" x14ac:dyDescent="0.25">
      <c r="A126" s="139">
        <v>0.55000000000000004</v>
      </c>
      <c r="B126" s="259">
        <f>'Sub C_D_0'!BA141</f>
        <v>1.6524880483936896E-2</v>
      </c>
      <c r="C126" s="259">
        <f>'C_L vs. α'!X427</f>
        <v>0.142408805830194</v>
      </c>
      <c r="D126" s="144">
        <v>16</v>
      </c>
      <c r="E126" s="14">
        <f t="shared" si="152"/>
        <v>1.8032293203408685</v>
      </c>
      <c r="F126" s="6">
        <f t="shared" si="153"/>
        <v>0.33965183025934453</v>
      </c>
      <c r="G126" s="14">
        <f t="shared" si="154"/>
        <v>1.8175030177613454</v>
      </c>
      <c r="H126" s="6">
        <f t="shared" si="155"/>
        <v>0.34339683061595033</v>
      </c>
      <c r="I126" s="14">
        <f t="shared" si="156"/>
        <v>1.8387839892973712</v>
      </c>
      <c r="J126" s="6">
        <f t="shared" si="157"/>
        <v>0.35036845913419046</v>
      </c>
      <c r="K126" s="14">
        <f t="shared" si="158"/>
        <v>1.868081407497326</v>
      </c>
      <c r="L126" s="6">
        <f t="shared" si="159"/>
        <v>0.3606145920517877</v>
      </c>
      <c r="M126">
        <f t="shared" si="160"/>
        <v>1.906359328873253</v>
      </c>
      <c r="N126" s="6">
        <f t="shared" si="161"/>
        <v>0.37451982384450677</v>
      </c>
      <c r="O126">
        <f t="shared" si="162"/>
        <v>1.9528523640899378</v>
      </c>
      <c r="P126" s="6">
        <f t="shared" si="163"/>
        <v>0.39241933107320903</v>
      </c>
      <c r="Q126">
        <f t="shared" si="164"/>
        <v>2.0130080315378431</v>
      </c>
      <c r="R126" s="6">
        <f t="shared" si="165"/>
        <v>0.41571218822247719</v>
      </c>
      <c r="S126">
        <f t="shared" si="166"/>
        <v>2.086789704311077</v>
      </c>
      <c r="T126" s="6">
        <f t="shared" si="167"/>
        <v>0.4453433268786135</v>
      </c>
      <c r="U126">
        <f t="shared" si="168"/>
        <v>2.1768130079863353</v>
      </c>
      <c r="V126" s="6">
        <f t="shared" si="169"/>
        <v>0.48302025376315727</v>
      </c>
      <c r="W126">
        <f t="shared" si="170"/>
        <v>2.2865985493000314</v>
      </c>
      <c r="X126" s="6">
        <f t="shared" si="171"/>
        <v>0.53118799173032538</v>
      </c>
      <c r="Y126">
        <f t="shared" si="172"/>
        <v>2.4209496991132982</v>
      </c>
      <c r="Z126" s="6">
        <f t="shared" si="173"/>
        <v>0.59341664994572496</v>
      </c>
      <c r="AA126">
        <f t="shared" si="174"/>
        <v>2.5865278026027925</v>
      </c>
      <c r="AB126" s="6">
        <f t="shared" si="175"/>
        <v>0.67504904260778242</v>
      </c>
      <c r="AC126">
        <f t="shared" si="176"/>
        <v>2.7934847765103958</v>
      </c>
      <c r="AD126" s="6">
        <f t="shared" si="177"/>
        <v>0.78519644593718052</v>
      </c>
      <c r="AE126">
        <f t="shared" si="178"/>
        <v>3.0553368970682273</v>
      </c>
      <c r="AF126" s="6">
        <f t="shared" si="179"/>
        <v>0.93610171776691375</v>
      </c>
      <c r="AG126">
        <f t="shared" si="180"/>
        <v>3.3918264034387047</v>
      </c>
      <c r="AH126" s="6">
        <f t="shared" si="181"/>
        <v>1.1499148922585611</v>
      </c>
      <c r="AI126">
        <f t="shared" si="182"/>
        <v>3.8309166194208046</v>
      </c>
      <c r="AJ126">
        <f t="shared" si="183"/>
        <v>1.4960758046624232</v>
      </c>
      <c r="AK126">
        <f t="shared" si="184"/>
        <v>4.4211028371355656</v>
      </c>
      <c r="AL126">
        <f t="shared" si="185"/>
        <v>1.9879782393097987</v>
      </c>
      <c r="AM126">
        <f t="shared" si="186"/>
        <v>5.1006623998939853</v>
      </c>
      <c r="AN126">
        <f t="shared" si="187"/>
        <v>2.6411139540230351</v>
      </c>
      <c r="AO126">
        <f t="shared" si="188"/>
        <v>4.7661388982349724</v>
      </c>
      <c r="AP126">
        <f t="shared" si="189"/>
        <v>2.3085913493171337</v>
      </c>
    </row>
    <row r="127" spans="1:42" s="29" customFormat="1" x14ac:dyDescent="0.25">
      <c r="A127" s="129">
        <v>0.6</v>
      </c>
      <c r="B127" s="259">
        <f>'Sub C_D_0'!BA142</f>
        <v>1.6393903274596798E-2</v>
      </c>
      <c r="C127" s="259">
        <f>'C_L vs. α'!X428</f>
        <v>0.1521486942707525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</row>
    <row r="128" spans="1:42" s="29" customFormat="1" x14ac:dyDescent="0.25">
      <c r="A128" s="139">
        <v>0.65</v>
      </c>
      <c r="B128" s="259">
        <f>'Sub C_D_0'!BA143</f>
        <v>1.6795079401897138E-2</v>
      </c>
      <c r="C128" s="259">
        <f>'C_L vs. α'!X429</f>
        <v>0.16432263391237623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</row>
    <row r="129" spans="1:42" s="29" customFormat="1" x14ac:dyDescent="0.25">
      <c r="A129" s="129">
        <v>0.7</v>
      </c>
      <c r="B129" s="259">
        <f>'Sub C_D_0'!BA144</f>
        <v>1.6681399938447833E-2</v>
      </c>
      <c r="C129" s="259">
        <f>'C_L vs. α'!X430</f>
        <v>0.17972569982754277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</row>
    <row r="130" spans="1:42" s="29" customFormat="1" x14ac:dyDescent="0.25">
      <c r="A130" s="139">
        <v>0.75</v>
      </c>
      <c r="B130" s="259">
        <f>'Sub C_D_0'!BA145</f>
        <v>1.6577083568816368E-2</v>
      </c>
      <c r="C130" s="259">
        <f>'C_L vs. α'!X431</f>
        <v>0.19951920020227676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</row>
    <row r="131" spans="1:42" s="29" customFormat="1" x14ac:dyDescent="0.25">
      <c r="A131" s="129">
        <v>0.8</v>
      </c>
      <c r="B131" s="259">
        <f>'Sub C_D_0'!BA146</f>
        <v>1.658080263582546E-2</v>
      </c>
      <c r="C131" s="259">
        <f>'C_L vs. α'!X432</f>
        <v>0.22534803643651791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9" customFormat="1" x14ac:dyDescent="0.25">
      <c r="A132" s="139">
        <v>0.85</v>
      </c>
      <c r="B132" s="259">
        <f>'Sub C_D_0'!BA147</f>
        <v>1.7240890540452192E-2</v>
      </c>
      <c r="C132" s="259">
        <f>'C_L vs. α'!X433</f>
        <v>0.26006487277268031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</row>
    <row r="133" spans="1:42" s="29" customFormat="1" x14ac:dyDescent="0.25">
      <c r="A133" s="129">
        <v>0.9</v>
      </c>
      <c r="B133" s="259">
        <f>'Sub C_D_0'!BA148</f>
        <v>1.7653496270650292E-2</v>
      </c>
      <c r="C133" s="259">
        <f>'C_L vs. α'!X434</f>
        <v>0.30003896469964619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9" customFormat="1" x14ac:dyDescent="0.25">
      <c r="A134" s="139">
        <v>0.95</v>
      </c>
      <c r="B134" s="259">
        <f>'Sub C_D_0'!BA149</f>
        <v>1.8071738803546442E-2</v>
      </c>
      <c r="C134" s="259">
        <f>'C_L vs. α'!X435</f>
        <v>0.28036111166088074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</row>
    <row r="135" spans="1:42" s="29" customFormat="1" x14ac:dyDescent="0.25">
      <c r="A135" s="11"/>
      <c r="B135" s="11"/>
      <c r="C135" s="11"/>
    </row>
    <row r="137" spans="1:42" x14ac:dyDescent="0.25">
      <c r="A137" s="122" t="s">
        <v>537</v>
      </c>
      <c r="B137" s="122" t="s">
        <v>289</v>
      </c>
    </row>
    <row r="138" spans="1:42" x14ac:dyDescent="0.25">
      <c r="A138" s="122" t="s">
        <v>202</v>
      </c>
      <c r="B138" s="145">
        <v>30000</v>
      </c>
      <c r="C138" s="122" t="s">
        <v>538</v>
      </c>
      <c r="D138" s="122" t="s">
        <v>539</v>
      </c>
      <c r="E138" s="1" t="s">
        <v>536</v>
      </c>
      <c r="F138" s="140">
        <v>0.05</v>
      </c>
      <c r="G138" s="1" t="s">
        <v>536</v>
      </c>
      <c r="H138" s="140">
        <v>0.1</v>
      </c>
      <c r="I138" s="1" t="s">
        <v>536</v>
      </c>
      <c r="J138" s="140">
        <v>0.15</v>
      </c>
      <c r="K138" s="1" t="s">
        <v>536</v>
      </c>
      <c r="L138" s="140">
        <v>0.2</v>
      </c>
      <c r="M138" t="s">
        <v>536</v>
      </c>
      <c r="N138" s="141">
        <v>0.25</v>
      </c>
      <c r="O138" t="s">
        <v>536</v>
      </c>
      <c r="P138" s="141">
        <v>0.3</v>
      </c>
      <c r="Q138" t="s">
        <v>536</v>
      </c>
      <c r="R138" s="141">
        <v>0.35</v>
      </c>
      <c r="S138" t="s">
        <v>536</v>
      </c>
      <c r="T138" s="141">
        <v>0.4</v>
      </c>
      <c r="U138" t="s">
        <v>536</v>
      </c>
      <c r="V138" s="141">
        <v>0.45</v>
      </c>
      <c r="W138" t="s">
        <v>536</v>
      </c>
      <c r="X138" s="141">
        <v>0.5</v>
      </c>
      <c r="Y138" t="s">
        <v>536</v>
      </c>
      <c r="Z138" s="141">
        <v>0.55000000000000004</v>
      </c>
      <c r="AA138" t="s">
        <v>536</v>
      </c>
      <c r="AB138" s="141">
        <v>0.6</v>
      </c>
      <c r="AC138" t="s">
        <v>536</v>
      </c>
      <c r="AD138" s="141">
        <v>0.65</v>
      </c>
      <c r="AE138" t="s">
        <v>536</v>
      </c>
      <c r="AF138" s="141">
        <v>0.7</v>
      </c>
      <c r="AG138" t="s">
        <v>536</v>
      </c>
      <c r="AH138" s="141">
        <v>0.75</v>
      </c>
      <c r="AI138" t="s">
        <v>536</v>
      </c>
      <c r="AJ138" s="141">
        <v>0.8</v>
      </c>
      <c r="AK138" t="s">
        <v>536</v>
      </c>
      <c r="AL138" s="141">
        <v>0.85</v>
      </c>
      <c r="AM138" t="s">
        <v>536</v>
      </c>
      <c r="AN138" s="141">
        <v>0.9</v>
      </c>
      <c r="AO138" t="s">
        <v>536</v>
      </c>
      <c r="AP138" s="141">
        <v>0.95</v>
      </c>
    </row>
    <row r="139" spans="1:42" x14ac:dyDescent="0.25">
      <c r="A139" s="121" t="s">
        <v>182</v>
      </c>
      <c r="B139" s="121" t="s">
        <v>534</v>
      </c>
      <c r="C139" s="121" t="s">
        <v>535</v>
      </c>
      <c r="D139" s="121" t="s">
        <v>421</v>
      </c>
      <c r="E139" s="14" t="s">
        <v>244</v>
      </c>
      <c r="F139" s="6" t="s">
        <v>245</v>
      </c>
      <c r="G139" s="14" t="s">
        <v>244</v>
      </c>
      <c r="H139" s="6" t="s">
        <v>245</v>
      </c>
      <c r="I139" s="14" t="s">
        <v>244</v>
      </c>
      <c r="J139" s="6" t="s">
        <v>245</v>
      </c>
      <c r="K139" s="14" t="s">
        <v>244</v>
      </c>
      <c r="L139" s="6" t="s">
        <v>245</v>
      </c>
      <c r="M139" t="s">
        <v>244</v>
      </c>
      <c r="N139" t="s">
        <v>245</v>
      </c>
      <c r="O139" t="s">
        <v>244</v>
      </c>
      <c r="P139" t="s">
        <v>245</v>
      </c>
      <c r="Q139" t="s">
        <v>244</v>
      </c>
      <c r="R139" t="s">
        <v>245</v>
      </c>
      <c r="S139" t="s">
        <v>244</v>
      </c>
      <c r="T139" t="s">
        <v>245</v>
      </c>
      <c r="U139" t="s">
        <v>244</v>
      </c>
      <c r="V139" t="s">
        <v>245</v>
      </c>
      <c r="W139" t="s">
        <v>244</v>
      </c>
      <c r="X139" t="s">
        <v>245</v>
      </c>
      <c r="Y139" t="s">
        <v>244</v>
      </c>
      <c r="Z139" t="s">
        <v>245</v>
      </c>
      <c r="AA139" t="s">
        <v>244</v>
      </c>
      <c r="AB139" t="s">
        <v>245</v>
      </c>
      <c r="AC139" t="s">
        <v>244</v>
      </c>
      <c r="AD139" t="s">
        <v>245</v>
      </c>
      <c r="AE139" t="s">
        <v>244</v>
      </c>
      <c r="AF139" t="s">
        <v>245</v>
      </c>
      <c r="AG139" t="s">
        <v>244</v>
      </c>
      <c r="AH139" t="s">
        <v>245</v>
      </c>
      <c r="AI139" t="s">
        <v>244</v>
      </c>
      <c r="AJ139" t="s">
        <v>245</v>
      </c>
      <c r="AK139" t="s">
        <v>244</v>
      </c>
      <c r="AL139" t="s">
        <v>245</v>
      </c>
      <c r="AM139" t="s">
        <v>244</v>
      </c>
      <c r="AN139" t="s">
        <v>245</v>
      </c>
      <c r="AO139" t="s">
        <v>244</v>
      </c>
      <c r="AP139" t="s">
        <v>245</v>
      </c>
    </row>
    <row r="140" spans="1:42" x14ac:dyDescent="0.25">
      <c r="A140" s="129">
        <v>0</v>
      </c>
      <c r="B140" s="129" t="e">
        <f>'Sub C_D_0'!BA160</f>
        <v>#DIV/0!</v>
      </c>
      <c r="C140" s="129" t="e">
        <f>'C_L vs. α'!X441</f>
        <v>#NUM!</v>
      </c>
      <c r="D140" s="144">
        <v>-6</v>
      </c>
      <c r="E140" s="14">
        <f>(D140-$B$12)*$C$141</f>
        <v>-0.53126263485977143</v>
      </c>
      <c r="F140" s="6">
        <f>$B$141+$B$7*E140^2+$B$8*(E140-E$143)^2</f>
        <v>4.9792689922071302E-2</v>
      </c>
      <c r="G140" s="14">
        <f>(D140-$B$12)*$C$142</f>
        <v>-0.53551568935020843</v>
      </c>
      <c r="H140" s="6">
        <f>$B$142+$B$7*G140^2+$B$8*(G140-G$143)^2</f>
        <v>4.8975754789197662E-2</v>
      </c>
      <c r="I140" s="14">
        <f>(D140-$B$12)*$C$143</f>
        <v>-0.54174613167662611</v>
      </c>
      <c r="J140" s="6">
        <f>$B$143+$B$7*I140^2+$B$8*(I140-I$143)^2</f>
        <v>4.9029616603556432E-2</v>
      </c>
      <c r="K140" s="14">
        <f>(D140-$B$12)*$C$144</f>
        <v>-0.55031900679526591</v>
      </c>
      <c r="L140" s="6">
        <f>$B$144+$B$7*K140^2+$B$8*(K140-K$143)^2</f>
        <v>4.960649310165436E-2</v>
      </c>
      <c r="M140">
        <f>(D140-$B$12)*$C$145</f>
        <v>-0.56152754182081688</v>
      </c>
      <c r="N140" s="6">
        <f>$B$145+$B$7*M140^2+$B$8*(M140-M$143)^2</f>
        <v>5.0642282378416698E-2</v>
      </c>
      <c r="O140">
        <f>(D140-$B$12)*$C$146</f>
        <v>-0.57518600983374135</v>
      </c>
      <c r="P140" s="6">
        <f>$B$146+$B$7*O140^2+$B$8*(O140-O$143)^2</f>
        <v>5.2552945275183886E-2</v>
      </c>
      <c r="Q140">
        <f>(D140-$B$12)*$C$147</f>
        <v>-0.59282244600848555</v>
      </c>
      <c r="R140" s="6">
        <f>$B$147+$B$7*Q140^2+$B$8*(Q140-Q$143)^2</f>
        <v>5.4589563445340716E-2</v>
      </c>
      <c r="S140">
        <f>(D140-$B$12)*$C$148</f>
        <v>-0.61445212160883278</v>
      </c>
      <c r="T140" s="6">
        <f>$B$148+$B$7*S140^2+$B$8*(S140-S$143)^2</f>
        <v>5.7266122427987037E-2</v>
      </c>
      <c r="U140">
        <f>(D140-$B$12)*$C$149</f>
        <v>-0.64083850480831661</v>
      </c>
      <c r="V140" s="6">
        <f>$B$149+$B$7*U140^2+$B$8*(U140-U$143)^2</f>
        <v>6.0737629316282543E-2</v>
      </c>
      <c r="W140">
        <f>(D140-$B$12)*$C$150</f>
        <v>-0.67300756547032325</v>
      </c>
      <c r="X140" s="6">
        <f>$B$150+$B$7*W140^2+$B$8*(W140-W$143)^2</f>
        <v>6.5231983382357694E-2</v>
      </c>
      <c r="Y140">
        <f>(D140-$B$12)*$C$151</f>
        <v>-0.71235664087061346</v>
      </c>
      <c r="Z140" s="6">
        <f>$B$151+$B$7*Y140^2+$B$8*(Y140-Y$143)^2</f>
        <v>7.1085519266666217E-2</v>
      </c>
      <c r="AA140">
        <f>(D140-$B$12)*$C$152</f>
        <v>-0.7608191499083099</v>
      </c>
      <c r="AB140" s="6">
        <f>$B$152+$B$7*AA140^2+$B$8*(AA140-AA$143)^2</f>
        <v>7.8803361092143961E-2</v>
      </c>
      <c r="AC140">
        <f>(D140-$B$12)*$C$153</f>
        <v>-0.82131681196568496</v>
      </c>
      <c r="AD140" s="6">
        <f>$B$153+$B$7*AC140^2+$B$8*(AC140-AC$143)^2</f>
        <v>8.9663181444844697E-2</v>
      </c>
      <c r="AE140">
        <f>(D140-$B$12)*$C$154</f>
        <v>-0.89773573144003305</v>
      </c>
      <c r="AF140" s="6">
        <f>$B$154+$B$7*AE140^2+$B$8*(AE140-AE$143)^2</f>
        <v>0.10397331421606647</v>
      </c>
      <c r="AG140">
        <f>(D140-$B$12)*$C$155</f>
        <v>-0.99569825350747698</v>
      </c>
      <c r="AH140" s="6">
        <f>$B$155+$B$7*AG140^2+$B$8*(AG140-AG$143)^2</f>
        <v>0.12422666706432285</v>
      </c>
      <c r="AI140">
        <f>(D140-$B$12)*$C$156</f>
        <v>-1.1229969191984597</v>
      </c>
      <c r="AJ140">
        <f>$B$156+$B$9*AI140^2</f>
        <v>0.14272585697950602</v>
      </c>
      <c r="AK140">
        <f>(D140-$B$12)*$C$157</f>
        <v>-1.2924047999753883</v>
      </c>
      <c r="AL140">
        <f>$B$157+$B$9*AK140^2</f>
        <v>0.1846219502429437</v>
      </c>
      <c r="AM140">
        <f>(D140-$B$12)*$C$158</f>
        <v>-1.481854981946771</v>
      </c>
      <c r="AN140">
        <f>$B$158+$B$9*AM140^2</f>
        <v>0.23806435157880357</v>
      </c>
      <c r="AO140">
        <f>(D140-$B$12)*$C$159</f>
        <v>-1.3417230013545796</v>
      </c>
      <c r="AP140">
        <f>$B$159+$B$9*AO140^2</f>
        <v>0.19858111603994086</v>
      </c>
    </row>
    <row r="141" spans="1:42" x14ac:dyDescent="0.25">
      <c r="A141" s="139">
        <v>0.05</v>
      </c>
      <c r="B141" s="259">
        <f>'Sub C_D_0'!BA161</f>
        <v>1.8838452071513422E-2</v>
      </c>
      <c r="C141" s="259">
        <f>'C_L vs. α'!X442</f>
        <v>0.10625252697195428</v>
      </c>
      <c r="D141" s="144">
        <v>-4</v>
      </c>
      <c r="E141" s="14">
        <f t="shared" ref="E141:E151" si="190">(D141-$B$12)*$C$141</f>
        <v>-0.31875758091586281</v>
      </c>
      <c r="F141" s="6">
        <f t="shared" ref="F141:F151" si="191">$B$141+$B$7*E141^2+$B$8*(E141-E$143)^2</f>
        <v>3.0668385346580149E-2</v>
      </c>
      <c r="G141" s="14">
        <f t="shared" ref="G141:G151" si="192">(D141-$B$12)*$C$142</f>
        <v>-0.32130941361012511</v>
      </c>
      <c r="H141" s="6">
        <f t="shared" ref="H141:H151" si="193">$B$142+$B$7*G141^2+$B$8*(G141-G$143)^2</f>
        <v>2.9544023050509141E-2</v>
      </c>
      <c r="I141" s="14">
        <f t="shared" ref="I141:I151" si="194">(D141-$B$12)*$C$143</f>
        <v>-0.32504767900597564</v>
      </c>
      <c r="J141" s="6">
        <f t="shared" ref="J141:J151" si="195">$B$143+$B$7*I141^2+$B$8*(I141-I$143)^2</f>
        <v>2.9143098687337301E-2</v>
      </c>
      <c r="K141" s="14">
        <f t="shared" ref="K141:K151" si="196">(D141-$B$12)*$C$144</f>
        <v>-0.33019140407715952</v>
      </c>
      <c r="L141" s="6">
        <f t="shared" ref="L141:L151" si="197">$B$144+$B$7*K141^2+$B$8*(K141-K$143)^2</f>
        <v>2.9085605897826137E-2</v>
      </c>
      <c r="M141">
        <f t="shared" ref="M141:M151" si="198">(D141-$B$12)*$C$145</f>
        <v>-0.33691652509249015</v>
      </c>
      <c r="N141" s="6">
        <f t="shared" ref="N141:N151" si="199">$B$145+$B$7*M141^2+$B$8*(M141-M$143)^2</f>
        <v>2.9276970697672423E-2</v>
      </c>
      <c r="O141">
        <f t="shared" ref="O141:O151" si="200">(D141-$B$12)*$C$146</f>
        <v>-0.34511160590024481</v>
      </c>
      <c r="P141" s="6">
        <f t="shared" ref="P141:P151" si="201">$B$146+$B$7*O141^2+$B$8*(O141-O$143)^2</f>
        <v>3.0135622946771488E-2</v>
      </c>
      <c r="Q141">
        <f t="shared" ref="Q141:Q151" si="202">(D141-$B$12)*$C$147</f>
        <v>-0.35569346760509135</v>
      </c>
      <c r="R141" s="6">
        <f t="shared" ref="R141:R151" si="203">$B$147+$B$7*Q141^2+$B$8*(Q141-Q$143)^2</f>
        <v>3.0776438764790342E-2</v>
      </c>
      <c r="S141">
        <f t="shared" ref="S141:S151" si="204">(D141-$B$12)*$C$148</f>
        <v>-0.36867127296529967</v>
      </c>
      <c r="T141" s="6">
        <f t="shared" ref="T141:T151" si="205">$B$148+$B$7*S141^2+$B$8*(S141-S$143)^2</f>
        <v>3.1683609387805248E-2</v>
      </c>
      <c r="U141">
        <f t="shared" ref="U141:U151" si="206">(D141-$B$12)*$C$149</f>
        <v>-0.38450310288499001</v>
      </c>
      <c r="V141" s="6">
        <f t="shared" ref="V141:V151" si="207">$B$149+$B$7*U141^2+$B$8*(U141-U$143)^2</f>
        <v>3.2910762792090258E-2</v>
      </c>
      <c r="W141">
        <f t="shared" ref="W141:W151" si="208">(D141-$B$12)*$C$150</f>
        <v>-0.40380453928219395</v>
      </c>
      <c r="X141" s="6">
        <f t="shared" ref="X141:X151" si="209">$B$150+$B$7*W141^2+$B$8*(W141-W$143)^2</f>
        <v>3.4541268791186727E-2</v>
      </c>
      <c r="Y141">
        <f t="shared" ref="Y141:Y151" si="210">(D141-$B$12)*$C$151</f>
        <v>-0.42741398452236812</v>
      </c>
      <c r="Z141" s="6">
        <f t="shared" ref="Z141:Z151" si="211">$B$151+$B$7*Y141^2+$B$8*(Y141-Y$143)^2</f>
        <v>3.6701070798451425E-2</v>
      </c>
      <c r="AA141">
        <f t="shared" ref="AA141:AA151" si="212">(D141-$B$12)*$C$152</f>
        <v>-0.4564914899449859</v>
      </c>
      <c r="AB141" s="6">
        <f t="shared" ref="AB141:AB151" si="213">$B$152+$B$7*AA141^2+$B$8*(AA141-AA$143)^2</f>
        <v>3.9581339127119995E-2</v>
      </c>
      <c r="AC141">
        <f t="shared" ref="AC141:AC151" si="214">(D141-$B$12)*$C$153</f>
        <v>-0.49279008717941097</v>
      </c>
      <c r="AD141" s="6">
        <f t="shared" ref="AD141:AD151" si="215">$B$153+$B$7*AC141^2+$B$8*(AC141-AC$143)^2</f>
        <v>4.3955569311158023E-2</v>
      </c>
      <c r="AE141">
        <f t="shared" ref="AE141:AE151" si="216">(D141-$B$12)*$C$154</f>
        <v>-0.53864143886401983</v>
      </c>
      <c r="AF141" s="6">
        <f t="shared" ref="AF141:AF151" si="217">$B$154+$B$7*AE141^2+$B$8*(AE141-AE$143)^2</f>
        <v>4.9364325968383249E-2</v>
      </c>
      <c r="AG141">
        <f t="shared" ref="AG141:AG151" si="218">(D141-$B$12)*$C$155</f>
        <v>-0.59741895210448615</v>
      </c>
      <c r="AH141" s="6">
        <f t="shared" ref="AH141:AH151" si="219">$B$155+$B$7*AG141^2+$B$8*(AG141-AG$143)^2</f>
        <v>5.7049358706471681E-2</v>
      </c>
      <c r="AI141">
        <f t="shared" ref="AI141:AI151" si="220">(D141-$B$12)*$C$156</f>
        <v>-0.67379815151907585</v>
      </c>
      <c r="AJ141">
        <f t="shared" ref="AJ141:AJ151" si="221">$B$156+$B$9*AI141^2</f>
        <v>6.1309052977097829E-2</v>
      </c>
      <c r="AK141">
        <f t="shared" ref="AK141:AK151" si="222">(D141-$B$12)*$C$157</f>
        <v>-0.77544287998523287</v>
      </c>
      <c r="AL141">
        <f t="shared" ref="AL141:AL151" si="223">$B$157+$B$9*AK141^2</f>
        <v>7.6788364906976214E-2</v>
      </c>
      <c r="AM141">
        <f t="shared" ref="AM141:AM151" si="224">(D141-$B$12)*$C$158</f>
        <v>-0.8891129891680627</v>
      </c>
      <c r="AN141">
        <f t="shared" ref="AN141:AN151" si="225">$B$158+$B$9*AM141^2</f>
        <v>9.6299577624203811E-2</v>
      </c>
      <c r="AO141">
        <f t="shared" ref="AO141:AO151" si="226">(D141-$B$12)*$C$159</f>
        <v>-0.80503380081274767</v>
      </c>
      <c r="AP141">
        <f t="shared" ref="AP141:AP151" si="227">$B$159+$B$9*AO141^2</f>
        <v>8.2360639830038385E-2</v>
      </c>
    </row>
    <row r="142" spans="1:42" x14ac:dyDescent="0.25">
      <c r="A142" s="129">
        <v>0.1</v>
      </c>
      <c r="B142" s="259">
        <f>'Sub C_D_0'!BA162</f>
        <v>1.7523921144043976E-2</v>
      </c>
      <c r="C142" s="259">
        <f>'C_L vs. α'!X443</f>
        <v>0.10710313787004169</v>
      </c>
      <c r="D142" s="144">
        <v>-2</v>
      </c>
      <c r="E142" s="14">
        <f t="shared" si="190"/>
        <v>-0.10625252697195428</v>
      </c>
      <c r="F142" s="6">
        <f t="shared" si="191"/>
        <v>2.0654649079317543E-2</v>
      </c>
      <c r="G142" s="14">
        <f t="shared" si="192"/>
        <v>-0.10710313787004169</v>
      </c>
      <c r="H142" s="6">
        <f t="shared" si="193"/>
        <v>1.9369313895500513E-2</v>
      </c>
      <c r="I142" s="14">
        <f t="shared" si="194"/>
        <v>-0.10834922633532522</v>
      </c>
      <c r="J142" s="6">
        <f t="shared" si="195"/>
        <v>1.8730257535329194E-2</v>
      </c>
      <c r="K142" s="14">
        <f t="shared" si="196"/>
        <v>-0.11006380135905318</v>
      </c>
      <c r="L142" s="6">
        <f t="shared" si="197"/>
        <v>1.8340600681127823E-2</v>
      </c>
      <c r="M142">
        <f t="shared" si="198"/>
        <v>-0.11230550836416338</v>
      </c>
      <c r="N142" s="6">
        <f t="shared" si="199"/>
        <v>1.8089813768942958E-2</v>
      </c>
      <c r="O142">
        <f t="shared" si="200"/>
        <v>-0.11503720196674827</v>
      </c>
      <c r="P142" s="6">
        <f t="shared" si="201"/>
        <v>1.839761946911175E-2</v>
      </c>
      <c r="Q142">
        <f t="shared" si="202"/>
        <v>-0.11856448920169711</v>
      </c>
      <c r="R142" s="6">
        <f t="shared" si="203"/>
        <v>1.830757490052878E-2</v>
      </c>
      <c r="S142">
        <f t="shared" si="204"/>
        <v>-0.12289042432176656</v>
      </c>
      <c r="T142" s="6">
        <f t="shared" si="205"/>
        <v>1.8288270612115007E-2</v>
      </c>
      <c r="U142">
        <f t="shared" si="206"/>
        <v>-0.12816770096166333</v>
      </c>
      <c r="V142" s="6">
        <f t="shared" si="207"/>
        <v>1.8340251147202176E-2</v>
      </c>
      <c r="W142">
        <f t="shared" si="208"/>
        <v>-0.13460151309406465</v>
      </c>
      <c r="X142" s="6">
        <f t="shared" si="209"/>
        <v>1.8471208802512774E-2</v>
      </c>
      <c r="Y142">
        <f t="shared" si="210"/>
        <v>-0.1424713281741227</v>
      </c>
      <c r="Z142" s="6">
        <f t="shared" si="211"/>
        <v>1.869692339027608E-2</v>
      </c>
      <c r="AA142">
        <f t="shared" si="212"/>
        <v>-0.15216382998166197</v>
      </c>
      <c r="AB142" s="6">
        <f t="shared" si="213"/>
        <v>1.9044174898420495E-2</v>
      </c>
      <c r="AC142">
        <f t="shared" si="214"/>
        <v>-0.16426336239313699</v>
      </c>
      <c r="AD142" s="6">
        <f t="shared" si="215"/>
        <v>2.0022465155326723E-2</v>
      </c>
      <c r="AE142">
        <f t="shared" si="216"/>
        <v>-0.17954714628800661</v>
      </c>
      <c r="AF142" s="6">
        <f t="shared" si="217"/>
        <v>2.0770344734934977E-2</v>
      </c>
      <c r="AG142">
        <f t="shared" si="218"/>
        <v>-0.19913965070149539</v>
      </c>
      <c r="AH142" s="6">
        <f t="shared" si="219"/>
        <v>2.1874440508285548E-2</v>
      </c>
      <c r="AI142">
        <f t="shared" si="220"/>
        <v>-0.22459938383969194</v>
      </c>
      <c r="AJ142">
        <f t="shared" si="221"/>
        <v>2.0600650975893715E-2</v>
      </c>
      <c r="AK142">
        <f t="shared" si="222"/>
        <v>-0.25848095999507764</v>
      </c>
      <c r="AL142">
        <f t="shared" si="223"/>
        <v>2.2871572238992482E-2</v>
      </c>
      <c r="AM142">
        <f t="shared" si="224"/>
        <v>-0.29637099638935421</v>
      </c>
      <c r="AN142">
        <f t="shared" si="225"/>
        <v>2.5417190646903901E-2</v>
      </c>
      <c r="AO142">
        <f t="shared" si="226"/>
        <v>-0.26834460027091589</v>
      </c>
      <c r="AP142">
        <f t="shared" si="227"/>
        <v>2.4250401725087158E-2</v>
      </c>
    </row>
    <row r="143" spans="1:42" s="29" customFormat="1" x14ac:dyDescent="0.25">
      <c r="A143" s="139">
        <v>0.15</v>
      </c>
      <c r="B143" s="259">
        <f>'Sub C_D_0'!BA163</f>
        <v>1.6841674648955005E-2</v>
      </c>
      <c r="C143" s="259">
        <f>'C_L vs. α'!X444</f>
        <v>0.10834922633532522</v>
      </c>
      <c r="D143" s="143">
        <v>0</v>
      </c>
      <c r="E143" s="83">
        <f t="shared" si="190"/>
        <v>0.10625252697195428</v>
      </c>
      <c r="F143" s="21">
        <f t="shared" si="191"/>
        <v>1.9751481120283472E-2</v>
      </c>
      <c r="G143" s="83">
        <f t="shared" si="192"/>
        <v>0.10710313787004169</v>
      </c>
      <c r="H143" s="21">
        <f t="shared" si="193"/>
        <v>1.8451627324171781E-2</v>
      </c>
      <c r="I143" s="83">
        <f t="shared" si="194"/>
        <v>0.10834922633532522</v>
      </c>
      <c r="J143" s="21">
        <f t="shared" si="195"/>
        <v>1.7791093147532112E-2</v>
      </c>
      <c r="K143" s="83">
        <f t="shared" si="196"/>
        <v>0.11006380135905318</v>
      </c>
      <c r="L143" s="21">
        <f t="shared" si="197"/>
        <v>1.7371477451559415E-2</v>
      </c>
      <c r="M143" s="99">
        <f t="shared" si="198"/>
        <v>0.11230550836416338</v>
      </c>
      <c r="N143" s="21">
        <f t="shared" si="199"/>
        <v>1.7080811592228302E-2</v>
      </c>
      <c r="O143" s="99">
        <f t="shared" si="200"/>
        <v>0.11503720196674827</v>
      </c>
      <c r="P143" s="21">
        <f t="shared" si="201"/>
        <v>1.7338934842204674E-2</v>
      </c>
      <c r="Q143" s="99">
        <f t="shared" si="202"/>
        <v>0.11856448920169711</v>
      </c>
      <c r="R143" s="21">
        <f t="shared" si="203"/>
        <v>1.7182971852556031E-2</v>
      </c>
      <c r="S143" s="99">
        <f t="shared" si="204"/>
        <v>0.12289042432176656</v>
      </c>
      <c r="T143" s="21">
        <f t="shared" si="205"/>
        <v>1.7080106100916301E-2</v>
      </c>
      <c r="U143" s="99">
        <f t="shared" si="206"/>
        <v>0.12816770096166333</v>
      </c>
      <c r="V143" s="21">
        <f t="shared" si="207"/>
        <v>1.7026094381618308E-2</v>
      </c>
      <c r="W143" s="99">
        <f t="shared" si="208"/>
        <v>0.13460151309406465</v>
      </c>
      <c r="X143" s="21">
        <f t="shared" si="209"/>
        <v>1.7021803416335843E-2</v>
      </c>
      <c r="Y143" s="99">
        <f t="shared" si="210"/>
        <v>0.1424713281741227</v>
      </c>
      <c r="Z143" s="21">
        <f t="shared" si="211"/>
        <v>1.7073077042140193E-2</v>
      </c>
      <c r="AA143" s="99">
        <f t="shared" si="212"/>
        <v>0.15216382998166197</v>
      </c>
      <c r="AB143" s="21">
        <f t="shared" si="213"/>
        <v>1.7191868406045443E-2</v>
      </c>
      <c r="AC143" s="99">
        <f t="shared" si="214"/>
        <v>0.16426336239313699</v>
      </c>
      <c r="AD143" s="21">
        <f t="shared" si="215"/>
        <v>1.7863868977350799E-2</v>
      </c>
      <c r="AE143" s="99">
        <f t="shared" si="216"/>
        <v>0.17954714628800661</v>
      </c>
      <c r="AF143" s="21">
        <f t="shared" si="217"/>
        <v>1.819137051572163E-2</v>
      </c>
      <c r="AG143" s="99">
        <f t="shared" si="218"/>
        <v>0.19913965070149539</v>
      </c>
      <c r="AH143" s="21">
        <f t="shared" si="219"/>
        <v>1.8701912469764461E-2</v>
      </c>
      <c r="AI143" s="99">
        <f t="shared" si="220"/>
        <v>0.22459938383969194</v>
      </c>
      <c r="AJ143" s="99">
        <f t="shared" si="221"/>
        <v>2.0600650975893715E-2</v>
      </c>
      <c r="AK143" s="99">
        <f t="shared" si="222"/>
        <v>0.25848095999507764</v>
      </c>
      <c r="AL143" s="99">
        <f t="shared" si="223"/>
        <v>2.2871572238992482E-2</v>
      </c>
      <c r="AM143" s="99">
        <f t="shared" si="224"/>
        <v>0.29637099638935421</v>
      </c>
      <c r="AN143" s="99">
        <f t="shared" si="225"/>
        <v>2.5417190646903901E-2</v>
      </c>
      <c r="AO143" s="99">
        <f t="shared" si="226"/>
        <v>0.26834460027091589</v>
      </c>
      <c r="AP143" s="99">
        <f t="shared" si="227"/>
        <v>2.4250401725087158E-2</v>
      </c>
    </row>
    <row r="144" spans="1:42" x14ac:dyDescent="0.25">
      <c r="A144" s="129">
        <v>0.2</v>
      </c>
      <c r="B144" s="259">
        <f>'Sub C_D_0'!BA164</f>
        <v>1.639177301056028E-2</v>
      </c>
      <c r="C144" s="259">
        <f>'C_L vs. α'!X445</f>
        <v>0.11006380135905318</v>
      </c>
      <c r="D144" s="144">
        <v>2</v>
      </c>
      <c r="E144" s="14">
        <f t="shared" si="190"/>
        <v>0.31875758091586281</v>
      </c>
      <c r="F144" s="6">
        <f t="shared" si="191"/>
        <v>2.7958881469477941E-2</v>
      </c>
      <c r="G144" s="14">
        <f t="shared" si="192"/>
        <v>0.32130941361012511</v>
      </c>
      <c r="H144" s="6">
        <f t="shared" si="193"/>
        <v>2.6790963336522942E-2</v>
      </c>
      <c r="I144" s="14">
        <f t="shared" si="194"/>
        <v>0.32504767900597564</v>
      </c>
      <c r="J144" s="6">
        <f t="shared" si="195"/>
        <v>2.6325605523946052E-2</v>
      </c>
      <c r="K144" s="14">
        <f t="shared" si="196"/>
        <v>0.33019140407715952</v>
      </c>
      <c r="L144" s="6">
        <f t="shared" si="197"/>
        <v>2.6178236209120909E-2</v>
      </c>
      <c r="M144">
        <f t="shared" si="198"/>
        <v>0.33691652509249015</v>
      </c>
      <c r="N144" s="6">
        <f t="shared" si="199"/>
        <v>2.6249964167528464E-2</v>
      </c>
      <c r="O144">
        <f t="shared" si="200"/>
        <v>0.34511160590024481</v>
      </c>
      <c r="P144" s="6">
        <f t="shared" si="201"/>
        <v>2.6959569066050265E-2</v>
      </c>
      <c r="Q144">
        <f t="shared" si="202"/>
        <v>0.35569346760509135</v>
      </c>
      <c r="R144" s="6">
        <f t="shared" si="203"/>
        <v>2.7402629620872098E-2</v>
      </c>
      <c r="S144">
        <f t="shared" si="204"/>
        <v>0.36867127296529967</v>
      </c>
      <c r="T144" s="6">
        <f t="shared" si="205"/>
        <v>2.805911585420913E-2</v>
      </c>
      <c r="U144">
        <f t="shared" si="206"/>
        <v>0.38450310288499001</v>
      </c>
      <c r="V144" s="6">
        <f t="shared" si="207"/>
        <v>2.8968292495338648E-2</v>
      </c>
      <c r="W144">
        <f t="shared" si="208"/>
        <v>0.40380453928219395</v>
      </c>
      <c r="X144" s="6">
        <f t="shared" si="209"/>
        <v>3.0193052632655926E-2</v>
      </c>
      <c r="Y144">
        <f t="shared" si="210"/>
        <v>0.42741398452236812</v>
      </c>
      <c r="Z144" s="6">
        <f t="shared" si="211"/>
        <v>3.1829531754043766E-2</v>
      </c>
      <c r="AA144">
        <f t="shared" si="212"/>
        <v>0.4564914899449859</v>
      </c>
      <c r="AB144" s="6">
        <f t="shared" si="213"/>
        <v>3.4024419649994843E-2</v>
      </c>
      <c r="AC144">
        <f t="shared" si="214"/>
        <v>0.49279008717941097</v>
      </c>
      <c r="AD144" s="6">
        <f t="shared" si="215"/>
        <v>3.747978077723025E-2</v>
      </c>
      <c r="AE144">
        <f t="shared" si="216"/>
        <v>0.53864143886401983</v>
      </c>
      <c r="AF144" s="6">
        <f t="shared" si="217"/>
        <v>4.1627403310743209E-2</v>
      </c>
      <c r="AG144">
        <f t="shared" si="218"/>
        <v>0.59741895210448615</v>
      </c>
      <c r="AH144" s="6">
        <f t="shared" si="219"/>
        <v>4.7531774590908418E-2</v>
      </c>
      <c r="AI144">
        <f t="shared" si="220"/>
        <v>0.67379815151907585</v>
      </c>
      <c r="AJ144">
        <f t="shared" si="221"/>
        <v>6.1309052977097829E-2</v>
      </c>
      <c r="AK144">
        <f t="shared" si="222"/>
        <v>0.77544287998523287</v>
      </c>
      <c r="AL144">
        <f t="shared" si="223"/>
        <v>7.6788364906976214E-2</v>
      </c>
      <c r="AM144">
        <f t="shared" si="224"/>
        <v>0.8891129891680627</v>
      </c>
      <c r="AN144">
        <f t="shared" si="225"/>
        <v>9.6299577624203811E-2</v>
      </c>
      <c r="AO144">
        <f t="shared" si="226"/>
        <v>0.80503380081274767</v>
      </c>
      <c r="AP144">
        <f t="shared" si="227"/>
        <v>8.2360639830038385E-2</v>
      </c>
    </row>
    <row r="145" spans="1:42" x14ac:dyDescent="0.25">
      <c r="A145" s="139">
        <v>0.25</v>
      </c>
      <c r="B145" s="259">
        <f>'Sub C_D_0'!BA165</f>
        <v>1.6060792792405115E-2</v>
      </c>
      <c r="C145" s="259">
        <f>'C_L vs. α'!X446</f>
        <v>0.11230550836416338</v>
      </c>
      <c r="D145" s="144">
        <v>4</v>
      </c>
      <c r="E145" s="14">
        <f t="shared" si="190"/>
        <v>0.53126263485977143</v>
      </c>
      <c r="F145" s="6">
        <f t="shared" si="191"/>
        <v>4.5276850126900949E-2</v>
      </c>
      <c r="G145" s="14">
        <f t="shared" si="192"/>
        <v>0.53551568935020843</v>
      </c>
      <c r="H145" s="6">
        <f t="shared" si="193"/>
        <v>4.4387321932554E-2</v>
      </c>
      <c r="I145" s="14">
        <f t="shared" si="194"/>
        <v>0.54174613167662611</v>
      </c>
      <c r="J145" s="6">
        <f t="shared" si="195"/>
        <v>4.4333794664571019E-2</v>
      </c>
      <c r="K145" s="14">
        <f t="shared" si="196"/>
        <v>0.55031900679526591</v>
      </c>
      <c r="L145" s="6">
        <f t="shared" si="197"/>
        <v>4.4760876953812319E-2</v>
      </c>
      <c r="M145">
        <f t="shared" si="198"/>
        <v>0.56152754182081688</v>
      </c>
      <c r="N145" s="6">
        <f t="shared" si="199"/>
        <v>4.5597271494843432E-2</v>
      </c>
      <c r="O145">
        <f t="shared" si="200"/>
        <v>0.57518600983374135</v>
      </c>
      <c r="P145" s="6">
        <f t="shared" si="201"/>
        <v>4.7259522140648519E-2</v>
      </c>
      <c r="Q145">
        <f t="shared" si="202"/>
        <v>0.59282244600848555</v>
      </c>
      <c r="R145" s="6">
        <f t="shared" si="203"/>
        <v>4.8966548205476981E-2</v>
      </c>
      <c r="S145">
        <f t="shared" si="204"/>
        <v>0.61445212160883278</v>
      </c>
      <c r="T145" s="6">
        <f t="shared" si="205"/>
        <v>5.12252998719935E-2</v>
      </c>
      <c r="U145">
        <f t="shared" si="206"/>
        <v>0.64083850480831661</v>
      </c>
      <c r="V145" s="6">
        <f t="shared" si="207"/>
        <v>5.4166845488363202E-2</v>
      </c>
      <c r="W145">
        <f t="shared" si="208"/>
        <v>0.67300756547032325</v>
      </c>
      <c r="X145" s="6">
        <f t="shared" si="209"/>
        <v>5.7984956451473037E-2</v>
      </c>
      <c r="Y145">
        <f t="shared" si="210"/>
        <v>0.71235664087061346</v>
      </c>
      <c r="Z145" s="6">
        <f t="shared" si="211"/>
        <v>6.2966287525986792E-2</v>
      </c>
      <c r="AA145">
        <f t="shared" si="212"/>
        <v>0.7608191499083099</v>
      </c>
      <c r="AB145" s="6">
        <f t="shared" si="213"/>
        <v>6.9541828630268712E-2</v>
      </c>
      <c r="AC145">
        <f t="shared" si="214"/>
        <v>0.82131681196568496</v>
      </c>
      <c r="AD145" s="6">
        <f t="shared" si="215"/>
        <v>7.8870200554965075E-2</v>
      </c>
      <c r="AE145">
        <f t="shared" si="216"/>
        <v>0.89773573144003305</v>
      </c>
      <c r="AF145" s="6">
        <f t="shared" si="217"/>
        <v>9.1078443119999727E-2</v>
      </c>
      <c r="AG145">
        <f t="shared" si="218"/>
        <v>0.99569825350747698</v>
      </c>
      <c r="AH145" s="6">
        <f t="shared" si="219"/>
        <v>0.10836402687171741</v>
      </c>
      <c r="AI145">
        <f t="shared" si="220"/>
        <v>1.1229969191984597</v>
      </c>
      <c r="AJ145">
        <f t="shared" si="221"/>
        <v>0.14272585697950602</v>
      </c>
      <c r="AK145">
        <f t="shared" si="222"/>
        <v>1.2924047999753883</v>
      </c>
      <c r="AL145">
        <f t="shared" si="223"/>
        <v>0.1846219502429437</v>
      </c>
      <c r="AM145">
        <f t="shared" si="224"/>
        <v>1.481854981946771</v>
      </c>
      <c r="AN145">
        <f t="shared" si="225"/>
        <v>0.23806435157880357</v>
      </c>
      <c r="AO145">
        <f t="shared" si="226"/>
        <v>1.3417230013545796</v>
      </c>
      <c r="AP145">
        <f t="shared" si="227"/>
        <v>0.19858111603994086</v>
      </c>
    </row>
    <row r="146" spans="1:42" x14ac:dyDescent="0.25">
      <c r="A146" s="129">
        <v>0.3</v>
      </c>
      <c r="B146" s="259">
        <f>'Sub C_D_0'!BA166</f>
        <v>1.626869114258736E-2</v>
      </c>
      <c r="C146" s="259">
        <f>'C_L vs. α'!X447</f>
        <v>0.11503720196674827</v>
      </c>
      <c r="D146" s="144">
        <v>6</v>
      </c>
      <c r="E146" s="14">
        <f t="shared" si="190"/>
        <v>0.74376768880367994</v>
      </c>
      <c r="F146" s="6">
        <f t="shared" si="191"/>
        <v>7.1705387092552489E-2</v>
      </c>
      <c r="G146" s="14">
        <f t="shared" si="192"/>
        <v>0.74972196509029188</v>
      </c>
      <c r="H146" s="6">
        <f t="shared" si="193"/>
        <v>7.1240703112264964E-2</v>
      </c>
      <c r="I146" s="14">
        <f t="shared" si="194"/>
        <v>0.75844458434727657</v>
      </c>
      <c r="J146" s="6">
        <f t="shared" si="195"/>
        <v>7.1815660569407011E-2</v>
      </c>
      <c r="K146" s="14">
        <f t="shared" si="196"/>
        <v>0.77044660951337229</v>
      </c>
      <c r="L146" s="6">
        <f t="shared" si="197"/>
        <v>7.3119399685633621E-2</v>
      </c>
      <c r="M146">
        <f t="shared" si="198"/>
        <v>0.78613855854914361</v>
      </c>
      <c r="N146" s="6">
        <f t="shared" si="199"/>
        <v>7.5122733574173206E-2</v>
      </c>
      <c r="O146">
        <f t="shared" si="200"/>
        <v>0.80526041376723789</v>
      </c>
      <c r="P146" s="6">
        <f t="shared" si="201"/>
        <v>7.8238794065999442E-2</v>
      </c>
      <c r="Q146">
        <f t="shared" si="202"/>
        <v>0.82995142441187975</v>
      </c>
      <c r="R146" s="6">
        <f t="shared" si="203"/>
        <v>8.187472760637067E-2</v>
      </c>
      <c r="S146">
        <f t="shared" si="204"/>
        <v>0.86023297025236589</v>
      </c>
      <c r="T146" s="6">
        <f t="shared" si="205"/>
        <v>8.6578658154269406E-2</v>
      </c>
      <c r="U146">
        <f t="shared" si="206"/>
        <v>0.89717390673164332</v>
      </c>
      <c r="V146" s="6">
        <f t="shared" si="207"/>
        <v>9.2621753360691977E-2</v>
      </c>
      <c r="W146">
        <f t="shared" si="208"/>
        <v>0.94221059165845256</v>
      </c>
      <c r="X146" s="6">
        <f t="shared" si="209"/>
        <v>0.10039751487278716</v>
      </c>
      <c r="Y146">
        <f t="shared" si="210"/>
        <v>0.9972992972188589</v>
      </c>
      <c r="Z146" s="6">
        <f t="shared" si="211"/>
        <v>0.11048334435796929</v>
      </c>
      <c r="AA146">
        <f t="shared" si="212"/>
        <v>1.0651468098716339</v>
      </c>
      <c r="AB146" s="6">
        <f t="shared" si="213"/>
        <v>0.12374409534686703</v>
      </c>
      <c r="AC146">
        <f t="shared" si="214"/>
        <v>1.149843536751959</v>
      </c>
      <c r="AD146" s="6">
        <f t="shared" si="215"/>
        <v>0.14203512831055531</v>
      </c>
      <c r="AE146">
        <f t="shared" si="216"/>
        <v>1.2568300240160464</v>
      </c>
      <c r="AF146" s="6">
        <f t="shared" si="217"/>
        <v>0.16654448994349119</v>
      </c>
      <c r="AG146">
        <f t="shared" si="218"/>
        <v>1.3939775549104678</v>
      </c>
      <c r="AH146" s="6">
        <f t="shared" si="219"/>
        <v>0.20119866931219146</v>
      </c>
      <c r="AI146">
        <f t="shared" si="220"/>
        <v>1.5721956868778435</v>
      </c>
      <c r="AJ146">
        <f t="shared" si="221"/>
        <v>0.26485106298311833</v>
      </c>
      <c r="AK146">
        <f t="shared" si="222"/>
        <v>1.8093667199655434</v>
      </c>
      <c r="AL146">
        <f t="shared" si="223"/>
        <v>0.34637232824689496</v>
      </c>
      <c r="AM146">
        <f t="shared" si="224"/>
        <v>2.0745969747254795</v>
      </c>
      <c r="AN146">
        <f t="shared" si="225"/>
        <v>0.45071151251070329</v>
      </c>
      <c r="AO146">
        <f t="shared" si="226"/>
        <v>1.8784122018964111</v>
      </c>
      <c r="AP146">
        <f t="shared" si="227"/>
        <v>0.37291183035479447</v>
      </c>
    </row>
    <row r="147" spans="1:42" x14ac:dyDescent="0.25">
      <c r="A147" s="139">
        <v>0.35</v>
      </c>
      <c r="B147" s="259">
        <f>'Sub C_D_0'!BA167</f>
        <v>1.6046090012513115E-2</v>
      </c>
      <c r="C147" s="259">
        <f>'C_L vs. α'!X448</f>
        <v>0.11856448920169711</v>
      </c>
      <c r="D147" s="144">
        <v>8</v>
      </c>
      <c r="E147" s="14">
        <f t="shared" si="190"/>
        <v>0.95627274274758856</v>
      </c>
      <c r="F147" s="6">
        <f t="shared" si="191"/>
        <v>0.10724449236643262</v>
      </c>
      <c r="G147" s="14">
        <f t="shared" si="192"/>
        <v>0.9639282408303752</v>
      </c>
      <c r="H147" s="6">
        <f t="shared" si="193"/>
        <v>0.10735110687565579</v>
      </c>
      <c r="I147" s="14">
        <f t="shared" si="194"/>
        <v>0.97514303701792693</v>
      </c>
      <c r="J147" s="6">
        <f t="shared" si="195"/>
        <v>0.108771203238454</v>
      </c>
      <c r="K147" s="14">
        <f t="shared" si="196"/>
        <v>0.99057421223147857</v>
      </c>
      <c r="L147" s="6">
        <f t="shared" si="197"/>
        <v>0.11125380440458481</v>
      </c>
      <c r="M147">
        <f t="shared" si="198"/>
        <v>1.0107495752774704</v>
      </c>
      <c r="N147" s="6">
        <f t="shared" si="199"/>
        <v>0.11482635040551784</v>
      </c>
      <c r="O147">
        <f t="shared" si="200"/>
        <v>1.0353348177007344</v>
      </c>
      <c r="P147" s="6">
        <f t="shared" si="201"/>
        <v>0.11989738484210301</v>
      </c>
      <c r="Q147">
        <f t="shared" si="202"/>
        <v>1.0670804028152741</v>
      </c>
      <c r="R147" s="6">
        <f t="shared" si="203"/>
        <v>0.12612716782355321</v>
      </c>
      <c r="S147">
        <f t="shared" si="204"/>
        <v>1.106013818895899</v>
      </c>
      <c r="T147" s="6">
        <f t="shared" si="205"/>
        <v>0.13411919070103684</v>
      </c>
      <c r="U147">
        <f t="shared" si="206"/>
        <v>1.1535093086549699</v>
      </c>
      <c r="V147" s="6">
        <f t="shared" si="207"/>
        <v>0.14433301611232494</v>
      </c>
      <c r="W147">
        <f t="shared" si="208"/>
        <v>1.2114136178465817</v>
      </c>
      <c r="X147" s="6">
        <f t="shared" si="209"/>
        <v>0.15743072789659832</v>
      </c>
      <c r="Y147">
        <f t="shared" si="210"/>
        <v>1.2822419535671044</v>
      </c>
      <c r="Z147" s="6">
        <f t="shared" si="211"/>
        <v>0.17438070224999125</v>
      </c>
      <c r="AA147">
        <f t="shared" si="212"/>
        <v>1.3694744698349577</v>
      </c>
      <c r="AB147" s="6">
        <f t="shared" si="213"/>
        <v>0.19663121979978976</v>
      </c>
      <c r="AC147">
        <f t="shared" si="214"/>
        <v>1.4783702615382328</v>
      </c>
      <c r="AD147" s="6">
        <f t="shared" si="215"/>
        <v>0.22697456404400085</v>
      </c>
      <c r="AE147">
        <f t="shared" si="216"/>
        <v>1.6159243165920594</v>
      </c>
      <c r="AF147" s="6">
        <f t="shared" si="217"/>
        <v>0.26802554378121751</v>
      </c>
      <c r="AG147">
        <f t="shared" si="218"/>
        <v>1.7922568563134584</v>
      </c>
      <c r="AH147" s="6">
        <f t="shared" si="219"/>
        <v>0.3260357019123305</v>
      </c>
      <c r="AI147">
        <f t="shared" si="220"/>
        <v>2.0213944545572273</v>
      </c>
      <c r="AJ147">
        <f t="shared" si="221"/>
        <v>0.42768467098793472</v>
      </c>
      <c r="AK147">
        <f t="shared" si="222"/>
        <v>2.3263286399556988</v>
      </c>
      <c r="AL147">
        <f t="shared" si="223"/>
        <v>0.56203949891882987</v>
      </c>
      <c r="AM147">
        <f t="shared" si="224"/>
        <v>2.6673389675041879</v>
      </c>
      <c r="AN147">
        <f t="shared" si="225"/>
        <v>0.73424106041990289</v>
      </c>
      <c r="AO147">
        <f t="shared" si="226"/>
        <v>2.4151014024382431</v>
      </c>
      <c r="AP147">
        <f t="shared" si="227"/>
        <v>0.60535278277459947</v>
      </c>
    </row>
    <row r="148" spans="1:42" x14ac:dyDescent="0.25">
      <c r="A148" s="129">
        <v>0.4</v>
      </c>
      <c r="B148" s="259">
        <f>'Sub C_D_0'!BA168</f>
        <v>1.5858750445654535E-2</v>
      </c>
      <c r="C148" s="259">
        <f>'C_L vs. α'!X449</f>
        <v>0.12289042432176656</v>
      </c>
      <c r="D148" s="144">
        <v>10</v>
      </c>
      <c r="E148" s="14">
        <f t="shared" si="190"/>
        <v>1.1687777966914972</v>
      </c>
      <c r="F148" s="6">
        <f t="shared" si="191"/>
        <v>0.15189416594854127</v>
      </c>
      <c r="G148" s="14">
        <f t="shared" si="192"/>
        <v>1.1781345165704586</v>
      </c>
      <c r="H148" s="6">
        <f t="shared" si="193"/>
        <v>0.15271853322272655</v>
      </c>
      <c r="I148" s="14">
        <f t="shared" si="194"/>
        <v>1.1918414896885774</v>
      </c>
      <c r="J148" s="6">
        <f t="shared" si="195"/>
        <v>0.15520042267171205</v>
      </c>
      <c r="K148" s="14">
        <f t="shared" si="196"/>
        <v>1.210701814949585</v>
      </c>
      <c r="L148" s="6">
        <f t="shared" si="197"/>
        <v>0.15916409111066593</v>
      </c>
      <c r="M148">
        <f t="shared" si="198"/>
        <v>1.2353605920057971</v>
      </c>
      <c r="N148" s="6">
        <f t="shared" si="199"/>
        <v>0.16470812198887722</v>
      </c>
      <c r="O148">
        <f t="shared" si="200"/>
        <v>1.265409221634231</v>
      </c>
      <c r="P148" s="6">
        <f t="shared" si="201"/>
        <v>0.17223529446895924</v>
      </c>
      <c r="Q148">
        <f t="shared" si="202"/>
        <v>1.3042093812186681</v>
      </c>
      <c r="R148" s="6">
        <f t="shared" si="203"/>
        <v>0.18172386885702449</v>
      </c>
      <c r="S148">
        <f t="shared" si="204"/>
        <v>1.3517946675394321</v>
      </c>
      <c r="T148" s="6">
        <f t="shared" si="205"/>
        <v>0.19384689751229586</v>
      </c>
      <c r="U148">
        <f t="shared" si="206"/>
        <v>1.4098447105782965</v>
      </c>
      <c r="V148" s="6">
        <f t="shared" si="207"/>
        <v>0.20930063374326208</v>
      </c>
      <c r="W148">
        <f t="shared" si="208"/>
        <v>1.4806166440347113</v>
      </c>
      <c r="X148" s="6">
        <f t="shared" si="209"/>
        <v>0.22908459552290653</v>
      </c>
      <c r="Y148">
        <f t="shared" si="210"/>
        <v>1.5671846099153497</v>
      </c>
      <c r="Z148" s="6">
        <f t="shared" si="211"/>
        <v>0.25465836120205265</v>
      </c>
      <c r="AA148">
        <f t="shared" si="212"/>
        <v>1.6738021297982817</v>
      </c>
      <c r="AB148" s="6">
        <f t="shared" si="213"/>
        <v>0.28820320198903698</v>
      </c>
      <c r="AC148">
        <f t="shared" si="214"/>
        <v>1.806896986324507</v>
      </c>
      <c r="AD148" s="6">
        <f t="shared" si="215"/>
        <v>0.33368850775530184</v>
      </c>
      <c r="AE148">
        <f t="shared" si="216"/>
        <v>1.9750186091680728</v>
      </c>
      <c r="AF148" s="6">
        <f t="shared" si="217"/>
        <v>0.39552160463317887</v>
      </c>
      <c r="AG148">
        <f t="shared" si="218"/>
        <v>2.1905361577164495</v>
      </c>
      <c r="AH148" s="6">
        <f t="shared" si="219"/>
        <v>0.48287512467213478</v>
      </c>
      <c r="AI148">
        <f t="shared" si="220"/>
        <v>2.4705932222366114</v>
      </c>
      <c r="AJ148">
        <f t="shared" si="221"/>
        <v>0.63122668099395529</v>
      </c>
      <c r="AK148">
        <f t="shared" si="222"/>
        <v>2.8432905599458542</v>
      </c>
      <c r="AL148">
        <f t="shared" si="223"/>
        <v>0.83162346225874872</v>
      </c>
      <c r="AM148">
        <f t="shared" si="224"/>
        <v>3.2600809602828962</v>
      </c>
      <c r="AN148">
        <f t="shared" si="225"/>
        <v>1.0886529953064024</v>
      </c>
      <c r="AO148">
        <f t="shared" si="226"/>
        <v>2.9517906029800747</v>
      </c>
      <c r="AP148">
        <f t="shared" si="227"/>
        <v>0.89590397329935534</v>
      </c>
    </row>
    <row r="149" spans="1:42" x14ac:dyDescent="0.25">
      <c r="A149" s="139">
        <v>0.45</v>
      </c>
      <c r="B149" s="259">
        <f>'Sub C_D_0'!BA169</f>
        <v>1.569758921310125E-2</v>
      </c>
      <c r="C149" s="259">
        <f>'C_L vs. α'!X450</f>
        <v>0.12816770096166333</v>
      </c>
      <c r="D149" s="144">
        <v>12</v>
      </c>
      <c r="E149" s="14">
        <f t="shared" si="190"/>
        <v>1.3812828506354056</v>
      </c>
      <c r="F149" s="6">
        <f t="shared" si="191"/>
        <v>0.20565440783887839</v>
      </c>
      <c r="G149" s="14">
        <f t="shared" si="192"/>
        <v>1.392340792310542</v>
      </c>
      <c r="H149" s="6">
        <f t="shared" si="193"/>
        <v>0.20734298215347718</v>
      </c>
      <c r="I149" s="14">
        <f t="shared" si="194"/>
        <v>1.4085399423592277</v>
      </c>
      <c r="J149" s="6">
        <f t="shared" si="195"/>
        <v>0.21110331886918104</v>
      </c>
      <c r="K149" s="14">
        <f t="shared" si="196"/>
        <v>1.4308294176676912</v>
      </c>
      <c r="L149" s="6">
        <f t="shared" si="197"/>
        <v>0.21685025980387693</v>
      </c>
      <c r="M149">
        <f t="shared" si="198"/>
        <v>1.4599716087341239</v>
      </c>
      <c r="N149" s="6">
        <f t="shared" si="199"/>
        <v>0.22476804832425146</v>
      </c>
      <c r="O149">
        <f t="shared" si="200"/>
        <v>1.4954836255677275</v>
      </c>
      <c r="P149" s="6">
        <f t="shared" si="201"/>
        <v>0.23525252294656815</v>
      </c>
      <c r="Q149">
        <f t="shared" si="202"/>
        <v>1.5413383596220624</v>
      </c>
      <c r="R149" s="6">
        <f t="shared" si="203"/>
        <v>0.24866483070678466</v>
      </c>
      <c r="S149">
        <f t="shared" si="204"/>
        <v>1.5975755161829652</v>
      </c>
      <c r="T149" s="6">
        <f t="shared" si="205"/>
        <v>0.26576177858804634</v>
      </c>
      <c r="U149">
        <f t="shared" si="206"/>
        <v>1.6661801125016233</v>
      </c>
      <c r="V149" s="6">
        <f t="shared" si="207"/>
        <v>0.28752460625350351</v>
      </c>
      <c r="W149">
        <f t="shared" si="208"/>
        <v>1.7498196702228404</v>
      </c>
      <c r="X149" s="6">
        <f t="shared" si="209"/>
        <v>0.3153591177517116</v>
      </c>
      <c r="Y149">
        <f t="shared" si="210"/>
        <v>1.852127266263595</v>
      </c>
      <c r="Z149" s="6">
        <f t="shared" si="211"/>
        <v>0.35131632121415352</v>
      </c>
      <c r="AA149">
        <f t="shared" si="212"/>
        <v>1.9781297897616057</v>
      </c>
      <c r="AB149" s="6">
        <f t="shared" si="213"/>
        <v>0.39846004191460871</v>
      </c>
      <c r="AC149">
        <f t="shared" si="214"/>
        <v>2.1354237111107808</v>
      </c>
      <c r="AD149" s="6">
        <f t="shared" si="215"/>
        <v>0.46217695944445814</v>
      </c>
      <c r="AE149">
        <f t="shared" si="216"/>
        <v>2.3341129017440858</v>
      </c>
      <c r="AF149" s="6">
        <f t="shared" si="217"/>
        <v>0.54903267249937504</v>
      </c>
      <c r="AG149">
        <f t="shared" si="218"/>
        <v>2.5888154591194401</v>
      </c>
      <c r="AH149" s="6">
        <f t="shared" si="219"/>
        <v>0.67171693759160389</v>
      </c>
      <c r="AI149">
        <f t="shared" si="220"/>
        <v>2.9197919899159954</v>
      </c>
      <c r="AJ149">
        <f t="shared" si="221"/>
        <v>0.87547709300118004</v>
      </c>
      <c r="AK149">
        <f t="shared" si="222"/>
        <v>3.3602524799360092</v>
      </c>
      <c r="AL149">
        <f t="shared" si="223"/>
        <v>1.155124218266651</v>
      </c>
      <c r="AM149">
        <f t="shared" si="224"/>
        <v>3.8528229530616049</v>
      </c>
      <c r="AN149">
        <f t="shared" si="225"/>
        <v>1.513947317170202</v>
      </c>
      <c r="AO149">
        <f t="shared" si="226"/>
        <v>3.4884798035219067</v>
      </c>
      <c r="AP149">
        <f t="shared" si="227"/>
        <v>1.2445654019290631</v>
      </c>
    </row>
    <row r="150" spans="1:42" x14ac:dyDescent="0.25">
      <c r="A150" s="129">
        <v>0.5</v>
      </c>
      <c r="B150" s="259">
        <f>'Sub C_D_0'!BA170</f>
        <v>1.5556572937567948E-2</v>
      </c>
      <c r="C150" s="259">
        <f>'C_L vs. α'!X451</f>
        <v>0.13460151309406465</v>
      </c>
      <c r="D150" s="144">
        <v>14</v>
      </c>
      <c r="E150" s="14">
        <f t="shared" si="190"/>
        <v>1.5937879045793142</v>
      </c>
      <c r="F150" s="6">
        <f t="shared" si="191"/>
        <v>0.26852521803744406</v>
      </c>
      <c r="G150" s="14">
        <f t="shared" si="192"/>
        <v>1.6065470680506253</v>
      </c>
      <c r="H150" s="6">
        <f t="shared" si="193"/>
        <v>0.27122445366790765</v>
      </c>
      <c r="I150" s="14">
        <f t="shared" si="194"/>
        <v>1.6252383950298783</v>
      </c>
      <c r="J150" s="6">
        <f t="shared" si="195"/>
        <v>0.27647989183086119</v>
      </c>
      <c r="K150" s="14">
        <f t="shared" si="196"/>
        <v>1.6509570203857977</v>
      </c>
      <c r="L150" s="6">
        <f t="shared" si="197"/>
        <v>0.2843123104842179</v>
      </c>
      <c r="M150">
        <f t="shared" si="198"/>
        <v>1.6845826254624507</v>
      </c>
      <c r="N150" s="6">
        <f t="shared" si="199"/>
        <v>0.29500612941164051</v>
      </c>
      <c r="O150">
        <f t="shared" si="200"/>
        <v>1.7255580295012241</v>
      </c>
      <c r="P150" s="6">
        <f t="shared" si="201"/>
        <v>0.30894907027492968</v>
      </c>
      <c r="Q150">
        <f t="shared" si="202"/>
        <v>1.7784673380254568</v>
      </c>
      <c r="R150" s="6">
        <f t="shared" si="203"/>
        <v>0.32695005337283367</v>
      </c>
      <c r="S150">
        <f t="shared" si="204"/>
        <v>1.8433563648264983</v>
      </c>
      <c r="T150" s="6">
        <f t="shared" si="205"/>
        <v>0.34986383392828846</v>
      </c>
      <c r="U150">
        <f t="shared" si="206"/>
        <v>1.9225155144249499</v>
      </c>
      <c r="V150" s="6">
        <f t="shared" si="207"/>
        <v>0.3790049336430491</v>
      </c>
      <c r="W150">
        <f t="shared" si="208"/>
        <v>2.0190226964109699</v>
      </c>
      <c r="X150" s="6">
        <f t="shared" si="209"/>
        <v>0.41625429458301394</v>
      </c>
      <c r="Y150">
        <f t="shared" si="210"/>
        <v>2.1370699226118406</v>
      </c>
      <c r="Z150" s="6">
        <f t="shared" si="211"/>
        <v>0.46435458228629389</v>
      </c>
      <c r="AA150">
        <f t="shared" si="212"/>
        <v>2.2824574497249297</v>
      </c>
      <c r="AB150" s="6">
        <f t="shared" si="213"/>
        <v>0.52740173957650482</v>
      </c>
      <c r="AC150">
        <f t="shared" si="214"/>
        <v>2.463950435897055</v>
      </c>
      <c r="AD150" s="6">
        <f t="shared" si="215"/>
        <v>0.61243991911146978</v>
      </c>
      <c r="AE150">
        <f t="shared" si="216"/>
        <v>2.6932071943200993</v>
      </c>
      <c r="AF150" s="6">
        <f t="shared" si="217"/>
        <v>0.7285587473798063</v>
      </c>
      <c r="AG150">
        <f t="shared" si="218"/>
        <v>2.9870947605224307</v>
      </c>
      <c r="AH150" s="6">
        <f t="shared" si="219"/>
        <v>0.892561140670738</v>
      </c>
      <c r="AI150">
        <f t="shared" si="220"/>
        <v>3.368990757595379</v>
      </c>
      <c r="AJ150">
        <f t="shared" si="221"/>
        <v>1.1604359070096089</v>
      </c>
      <c r="AK150">
        <f t="shared" si="222"/>
        <v>3.8772143999261646</v>
      </c>
      <c r="AL150">
        <f t="shared" si="223"/>
        <v>1.5325417669425372</v>
      </c>
      <c r="AM150">
        <f t="shared" si="224"/>
        <v>4.4455649458403128</v>
      </c>
      <c r="AN150">
        <f t="shared" si="225"/>
        <v>2.0101240260113005</v>
      </c>
      <c r="AO150">
        <f t="shared" si="226"/>
        <v>4.0251690040637387</v>
      </c>
      <c r="AP150">
        <f t="shared" si="227"/>
        <v>1.6513370686637219</v>
      </c>
    </row>
    <row r="151" spans="1:42" x14ac:dyDescent="0.25">
      <c r="A151" s="139">
        <v>0.55000000000000004</v>
      </c>
      <c r="B151" s="259">
        <f>'Sub C_D_0'!BA171</f>
        <v>1.5431500996669232E-2</v>
      </c>
      <c r="C151" s="259">
        <f>'C_L vs. α'!X452</f>
        <v>0.1424713281741227</v>
      </c>
      <c r="D151" s="144">
        <v>16</v>
      </c>
      <c r="E151" s="14">
        <f t="shared" si="190"/>
        <v>1.8062929585232228</v>
      </c>
      <c r="F151" s="6">
        <f t="shared" si="191"/>
        <v>0.34050659654423837</v>
      </c>
      <c r="G151" s="14">
        <f t="shared" si="192"/>
        <v>1.8207533437907089</v>
      </c>
      <c r="H151" s="6">
        <f t="shared" si="193"/>
        <v>0.34436294776601817</v>
      </c>
      <c r="I151" s="14">
        <f t="shared" si="194"/>
        <v>1.8419368477005287</v>
      </c>
      <c r="J151" s="6">
        <f t="shared" si="195"/>
        <v>0.3513301415567523</v>
      </c>
      <c r="K151" s="14">
        <f t="shared" si="196"/>
        <v>1.871084623103904</v>
      </c>
      <c r="L151" s="6">
        <f t="shared" si="197"/>
        <v>0.36155024315168871</v>
      </c>
      <c r="M151">
        <f t="shared" si="198"/>
        <v>1.9091936421907774</v>
      </c>
      <c r="N151" s="6">
        <f t="shared" si="199"/>
        <v>0.37542236525104433</v>
      </c>
      <c r="O151">
        <f t="shared" si="200"/>
        <v>1.9556324334347206</v>
      </c>
      <c r="P151" s="6">
        <f t="shared" si="201"/>
        <v>0.39332493645404393</v>
      </c>
      <c r="Q151">
        <f t="shared" si="202"/>
        <v>2.0155963164288511</v>
      </c>
      <c r="R151" s="6">
        <f t="shared" si="203"/>
        <v>0.41657953685517146</v>
      </c>
      <c r="S151">
        <f t="shared" si="204"/>
        <v>2.0891372134700315</v>
      </c>
      <c r="T151" s="6">
        <f t="shared" si="205"/>
        <v>0.44615306353302203</v>
      </c>
      <c r="U151">
        <f t="shared" si="206"/>
        <v>2.1788509163482765</v>
      </c>
      <c r="V151" s="6">
        <f t="shared" si="207"/>
        <v>0.4837416159118989</v>
      </c>
      <c r="W151">
        <f t="shared" si="208"/>
        <v>2.288225722599099</v>
      </c>
      <c r="X151" s="6">
        <f t="shared" si="209"/>
        <v>0.53177012601681306</v>
      </c>
      <c r="Y151">
        <f t="shared" si="210"/>
        <v>2.4220125789600857</v>
      </c>
      <c r="Z151" s="6">
        <f t="shared" si="211"/>
        <v>0.59377314441847362</v>
      </c>
      <c r="AA151">
        <f t="shared" si="212"/>
        <v>2.5867851096882535</v>
      </c>
      <c r="AB151" s="6">
        <f t="shared" si="213"/>
        <v>0.67502829497472527</v>
      </c>
      <c r="AC151">
        <f t="shared" si="214"/>
        <v>2.7924771606833287</v>
      </c>
      <c r="AD151" s="6">
        <f t="shared" si="215"/>
        <v>0.78447738675633694</v>
      </c>
      <c r="AE151">
        <f t="shared" si="216"/>
        <v>3.0523014868961122</v>
      </c>
      <c r="AF151" s="6">
        <f t="shared" si="217"/>
        <v>0.93409982927447222</v>
      </c>
      <c r="AG151">
        <f t="shared" si="218"/>
        <v>3.3853740619254218</v>
      </c>
      <c r="AH151" s="6">
        <f t="shared" si="219"/>
        <v>1.1454077339095374</v>
      </c>
      <c r="AI151">
        <f t="shared" si="220"/>
        <v>3.8181895252747631</v>
      </c>
      <c r="AJ151">
        <f t="shared" si="221"/>
        <v>1.4861031230192419</v>
      </c>
      <c r="AK151">
        <f t="shared" si="222"/>
        <v>4.39417631991632</v>
      </c>
      <c r="AL151">
        <f t="shared" si="223"/>
        <v>1.9638761082864074</v>
      </c>
      <c r="AM151">
        <f t="shared" si="224"/>
        <v>5.038306938619022</v>
      </c>
      <c r="AN151">
        <f t="shared" si="225"/>
        <v>2.5771831218297003</v>
      </c>
      <c r="AO151">
        <f t="shared" si="226"/>
        <v>4.5618582046055698</v>
      </c>
      <c r="AP151">
        <f t="shared" si="227"/>
        <v>2.1162189735033312</v>
      </c>
    </row>
    <row r="152" spans="1:42" x14ac:dyDescent="0.25">
      <c r="A152" s="129">
        <v>0.6</v>
      </c>
      <c r="B152" s="259">
        <f>'Sub C_D_0'!BA172</f>
        <v>1.5319337812098649E-2</v>
      </c>
      <c r="C152" s="259">
        <f>'C_L vs. α'!X453</f>
        <v>0.15216382998166197</v>
      </c>
    </row>
    <row r="153" spans="1:42" x14ac:dyDescent="0.25">
      <c r="A153" s="139">
        <v>0.65</v>
      </c>
      <c r="B153" s="259">
        <f>'Sub C_D_0'!BA173</f>
        <v>1.5681704524612858E-2</v>
      </c>
      <c r="C153" s="259">
        <f>'C_L vs. α'!X454</f>
        <v>0.16426336239313699</v>
      </c>
    </row>
    <row r="154" spans="1:42" x14ac:dyDescent="0.25">
      <c r="A154" s="129">
        <v>0.7</v>
      </c>
      <c r="B154" s="259">
        <f>'Sub C_D_0'!BA174</f>
        <v>1.5584238193745603E-2</v>
      </c>
      <c r="C154" s="259">
        <f>'C_L vs. α'!X455</f>
        <v>0.17954714628800661</v>
      </c>
    </row>
    <row r="155" spans="1:42" x14ac:dyDescent="0.25">
      <c r="A155" s="139">
        <v>0.75</v>
      </c>
      <c r="B155" s="259">
        <f>'Sub C_D_0'!BA175</f>
        <v>1.5494745709436602E-2</v>
      </c>
      <c r="C155" s="259">
        <f>'C_L vs. α'!X456</f>
        <v>0.19913965070149539</v>
      </c>
    </row>
    <row r="156" spans="1:42" x14ac:dyDescent="0.25">
      <c r="A156" s="129">
        <v>0.8</v>
      </c>
      <c r="B156" s="259">
        <f>'Sub C_D_0'!BA176</f>
        <v>1.5512100725743201E-2</v>
      </c>
      <c r="C156" s="259">
        <f>'C_L vs. α'!X457</f>
        <v>0.22459938383969194</v>
      </c>
    </row>
    <row r="157" spans="1:42" x14ac:dyDescent="0.25">
      <c r="A157" s="139">
        <v>0.85</v>
      </c>
      <c r="B157" s="259">
        <f>'Sub C_D_0'!BA177</f>
        <v>1.6131973155494514E-2</v>
      </c>
      <c r="C157" s="259">
        <f>'C_L vs. α'!X458</f>
        <v>0.25848095999507764</v>
      </c>
    </row>
    <row r="158" spans="1:42" x14ac:dyDescent="0.25">
      <c r="A158" s="129">
        <v>0.9</v>
      </c>
      <c r="B158" s="259">
        <f>'Sub C_D_0'!BA178</f>
        <v>1.6556892274741414E-2</v>
      </c>
      <c r="C158" s="259">
        <f>'C_L vs. α'!X459</f>
        <v>0.29637099638935421</v>
      </c>
    </row>
    <row r="159" spans="1:42" x14ac:dyDescent="0.25">
      <c r="A159" s="139">
        <v>0.95</v>
      </c>
      <c r="B159" s="259">
        <f>'Sub C_D_0'!BA179</f>
        <v>1.6986621961968255E-2</v>
      </c>
      <c r="C159" s="259">
        <f>'C_L vs. α'!X460</f>
        <v>0.26834460027091589</v>
      </c>
    </row>
    <row r="161" spans="1:42" x14ac:dyDescent="0.25">
      <c r="A161" s="122" t="s">
        <v>537</v>
      </c>
      <c r="B161" s="122" t="s">
        <v>289</v>
      </c>
    </row>
    <row r="162" spans="1:42" x14ac:dyDescent="0.25">
      <c r="A162" s="122" t="s">
        <v>202</v>
      </c>
      <c r="B162" s="145">
        <v>36000</v>
      </c>
      <c r="C162" s="122" t="s">
        <v>538</v>
      </c>
      <c r="D162" s="122" t="s">
        <v>539</v>
      </c>
      <c r="E162" s="1" t="s">
        <v>536</v>
      </c>
      <c r="F162" s="140">
        <v>0.05</v>
      </c>
      <c r="G162" s="1" t="s">
        <v>536</v>
      </c>
      <c r="H162" s="140">
        <v>0.1</v>
      </c>
      <c r="I162" s="1" t="s">
        <v>536</v>
      </c>
      <c r="J162" s="140">
        <v>0.15</v>
      </c>
      <c r="K162" s="1" t="s">
        <v>536</v>
      </c>
      <c r="L162" s="140">
        <v>0.2</v>
      </c>
      <c r="M162" t="s">
        <v>536</v>
      </c>
      <c r="N162" s="141">
        <v>0.25</v>
      </c>
      <c r="O162" t="s">
        <v>536</v>
      </c>
      <c r="P162" s="141">
        <v>0.3</v>
      </c>
      <c r="Q162" t="s">
        <v>536</v>
      </c>
      <c r="R162" s="141">
        <v>0.35</v>
      </c>
      <c r="S162" t="s">
        <v>536</v>
      </c>
      <c r="T162" s="141">
        <v>0.4</v>
      </c>
      <c r="U162" t="s">
        <v>536</v>
      </c>
      <c r="V162" s="141">
        <v>0.45</v>
      </c>
      <c r="W162" t="s">
        <v>536</v>
      </c>
      <c r="X162" s="141">
        <v>0.5</v>
      </c>
      <c r="Y162" t="s">
        <v>536</v>
      </c>
      <c r="Z162" s="141">
        <v>0.55000000000000004</v>
      </c>
      <c r="AA162" t="s">
        <v>536</v>
      </c>
      <c r="AB162" s="141">
        <v>0.6</v>
      </c>
      <c r="AC162" t="s">
        <v>536</v>
      </c>
      <c r="AD162" s="141">
        <v>0.65</v>
      </c>
      <c r="AE162" t="s">
        <v>536</v>
      </c>
      <c r="AF162" s="141">
        <v>0.7</v>
      </c>
      <c r="AG162" t="s">
        <v>536</v>
      </c>
      <c r="AH162" s="141">
        <v>0.75</v>
      </c>
      <c r="AI162" t="s">
        <v>536</v>
      </c>
      <c r="AJ162" s="141">
        <v>0.8</v>
      </c>
      <c r="AK162" t="s">
        <v>536</v>
      </c>
      <c r="AL162" s="141">
        <v>0.85</v>
      </c>
      <c r="AM162" t="s">
        <v>536</v>
      </c>
      <c r="AN162" s="141">
        <v>0.9</v>
      </c>
      <c r="AO162" t="s">
        <v>536</v>
      </c>
      <c r="AP162" s="141">
        <v>0.95</v>
      </c>
    </row>
    <row r="163" spans="1:42" x14ac:dyDescent="0.25">
      <c r="A163" s="121" t="s">
        <v>182</v>
      </c>
      <c r="B163" s="121" t="s">
        <v>534</v>
      </c>
      <c r="C163" s="121" t="s">
        <v>535</v>
      </c>
      <c r="D163" s="121" t="s">
        <v>421</v>
      </c>
      <c r="E163" s="14" t="s">
        <v>244</v>
      </c>
      <c r="F163" s="6" t="s">
        <v>245</v>
      </c>
      <c r="G163" s="14" t="s">
        <v>244</v>
      </c>
      <c r="H163" s="6" t="s">
        <v>245</v>
      </c>
      <c r="I163" s="14" t="s">
        <v>244</v>
      </c>
      <c r="J163" s="6" t="s">
        <v>245</v>
      </c>
      <c r="K163" s="14" t="s">
        <v>244</v>
      </c>
      <c r="L163" s="6" t="s">
        <v>245</v>
      </c>
      <c r="M163" t="s">
        <v>244</v>
      </c>
      <c r="N163" t="s">
        <v>245</v>
      </c>
      <c r="O163" t="s">
        <v>244</v>
      </c>
      <c r="P163" t="s">
        <v>245</v>
      </c>
      <c r="Q163" t="s">
        <v>244</v>
      </c>
      <c r="R163" t="s">
        <v>245</v>
      </c>
      <c r="S163" t="s">
        <v>244</v>
      </c>
      <c r="T163" t="s">
        <v>245</v>
      </c>
      <c r="U163" t="s">
        <v>244</v>
      </c>
      <c r="V163" t="s">
        <v>245</v>
      </c>
      <c r="W163" t="s">
        <v>244</v>
      </c>
      <c r="X163" t="s">
        <v>245</v>
      </c>
      <c r="Y163" t="s">
        <v>244</v>
      </c>
      <c r="Z163" t="s">
        <v>245</v>
      </c>
      <c r="AA163" t="s">
        <v>244</v>
      </c>
      <c r="AB163" t="s">
        <v>245</v>
      </c>
      <c r="AC163" t="s">
        <v>244</v>
      </c>
      <c r="AD163" t="s">
        <v>245</v>
      </c>
      <c r="AE163" t="s">
        <v>244</v>
      </c>
      <c r="AF163" t="s">
        <v>245</v>
      </c>
      <c r="AG163" t="s">
        <v>244</v>
      </c>
      <c r="AH163" t="s">
        <v>245</v>
      </c>
      <c r="AI163" t="s">
        <v>244</v>
      </c>
      <c r="AJ163" t="s">
        <v>245</v>
      </c>
      <c r="AK163" t="s">
        <v>244</v>
      </c>
      <c r="AL163" t="s">
        <v>245</v>
      </c>
      <c r="AM163" t="s">
        <v>244</v>
      </c>
      <c r="AN163" t="s">
        <v>245</v>
      </c>
      <c r="AO163" t="s">
        <v>244</v>
      </c>
      <c r="AP163" t="s">
        <v>245</v>
      </c>
    </row>
    <row r="164" spans="1:42" x14ac:dyDescent="0.25">
      <c r="A164" s="129">
        <v>0</v>
      </c>
      <c r="B164" s="129" t="e">
        <f>'Sub C_D_0'!BA190</f>
        <v>#DIV/0!</v>
      </c>
      <c r="C164" s="129" t="e">
        <f>'C_L vs. α'!X466</f>
        <v>#NUM!</v>
      </c>
      <c r="D164" s="144">
        <v>-6</v>
      </c>
      <c r="E164" s="14">
        <f>(D164-$B$12)*$C$165</f>
        <v>-0.53128535299205581</v>
      </c>
      <c r="F164" s="6">
        <f>$B$165+$B$7*E164^2+$B$8*(E164-E$167)^2</f>
        <v>4.9757756039820161E-2</v>
      </c>
      <c r="G164" s="14">
        <f>(D164-$B$12)*$C$166</f>
        <v>-0.53553798169851552</v>
      </c>
      <c r="H164" s="6">
        <f>$B$166+$B$7*G164^2+$B$8*(G164-G$167)^2</f>
        <v>4.8946102765886138E-2</v>
      </c>
      <c r="I164" s="14">
        <f>(D164-$B$12)*$C$167</f>
        <v>-0.54176712266256621</v>
      </c>
      <c r="J164" s="6">
        <f>$B$167+$B$7*I164^2+$B$8*(I164-I$167)^2</f>
        <v>4.9002505886071482E-2</v>
      </c>
      <c r="K164" s="14">
        <f>(D164-$B$12)*$C$168</f>
        <v>-0.55033866395242814</v>
      </c>
      <c r="L164" s="6">
        <f>$B$168+$B$7*K164^2+$B$8*(K164-K$167)^2</f>
        <v>4.9580983132151167E-2</v>
      </c>
      <c r="M164">
        <f>(D164-$B$12)*$C$169</f>
        <v>-0.56154588087175217</v>
      </c>
      <c r="N164" s="6">
        <f>$B$169+$B$7*M164^2+$B$8*(M164-M$167)^2</f>
        <v>5.0617906932878855E-2</v>
      </c>
      <c r="O164">
        <f>(D164-$B$12)*$C$170</f>
        <v>-0.57520436545948939</v>
      </c>
      <c r="P164" s="6">
        <f>$B$170+$B$7*O164^2+$B$8*(O164-O$167)^2</f>
        <v>5.2528313803178996E-2</v>
      </c>
      <c r="Q164">
        <f>(D164-$B$12)*$C$171</f>
        <v>-0.5928393972765702</v>
      </c>
      <c r="R164" s="6">
        <f>$B$171+$B$7*Q164^2+$B$8*(Q164-Q$167)^2</f>
        <v>5.4565643635306034E-2</v>
      </c>
      <c r="S164">
        <f>(D164-$B$12)*$C$172</f>
        <v>-0.61446739584155285</v>
      </c>
      <c r="T164" s="6">
        <f>$B$172+$B$7*S164^2+$B$8*(S164-S$167)^2</f>
        <v>5.7242744349959573E-2</v>
      </c>
      <c r="U164">
        <f>(D164-$B$12)*$C$173</f>
        <v>-0.64085169280018595</v>
      </c>
      <c r="V164" s="6">
        <f>$B$173+$B$7*U164^2+$B$8*(U164-U$167)^2</f>
        <v>6.0714633592806641E-2</v>
      </c>
      <c r="W164">
        <f>(D164-$B$12)*$C$174</f>
        <v>-0.67301804692845424</v>
      </c>
      <c r="X164" s="6">
        <f>$B$174+$B$7*W164^2+$B$8*(W164-W$167)^2</f>
        <v>6.5209191846122727E-2</v>
      </c>
      <c r="Y164">
        <f>(D164-$B$12)*$C$175</f>
        <v>-0.71236346007140061</v>
      </c>
      <c r="Z164" s="6">
        <f>$B$175+$B$7*Y164^2+$B$8*(Y164-Y$167)^2</f>
        <v>7.1062696424567848E-2</v>
      </c>
      <c r="AA164">
        <f>(D164-$B$12)*$C$176</f>
        <v>-0.76082079493027577</v>
      </c>
      <c r="AB164" s="6">
        <f>$B$176+$B$7*AA164^2+$B$8*(AA164-AA$167)^2</f>
        <v>7.8780149242471162E-2</v>
      </c>
      <c r="AC164">
        <f>(D164-$B$12)*$C$177</f>
        <v>-0.82131021685919126</v>
      </c>
      <c r="AD164" s="6">
        <f>$B$177+$B$7*AC164^2+$B$8*(AC164-AC$167)^2</f>
        <v>8.9637652324788208E-2</v>
      </c>
      <c r="AE164">
        <f>(D164-$B$12)*$C$178</f>
        <v>-0.89771593053439713</v>
      </c>
      <c r="AF164" s="6">
        <f>$B$178+$B$7*AE164^2+$B$8*(AE164-AE$167)^2</f>
        <v>0.10394542085340164</v>
      </c>
      <c r="AG164">
        <f>(D164-$B$12)*$C$179</f>
        <v>-0.99565629010468493</v>
      </c>
      <c r="AH164" s="6">
        <f>$B$179+$B$7*AG164^2+$B$8*(AG164-AG$167)^2</f>
        <v>0.12419382512755114</v>
      </c>
      <c r="AI164">
        <f>(D164-$B$12)*$C$180</f>
        <v>-1.1229143744711729</v>
      </c>
      <c r="AJ164">
        <f>$B$180+$B$9*AI164^2</f>
        <v>0.1426837708677535</v>
      </c>
      <c r="AK164">
        <f>(D164-$B$12)*$C$181</f>
        <v>-1.2922260063787632</v>
      </c>
      <c r="AL164">
        <f>$B$181+$B$9*AK164^2</f>
        <v>0.18455106531152785</v>
      </c>
      <c r="AM164">
        <f>(D164-$B$12)*$C$182</f>
        <v>-1.4814420930783068</v>
      </c>
      <c r="AN164">
        <f>$B$182+$B$9*AM164^2</f>
        <v>0.23791692555828267</v>
      </c>
      <c r="AO164">
        <f>(D164-$B$12)*$C$183</f>
        <v>-1.3403738199248305</v>
      </c>
      <c r="AP164">
        <f>$B$183+$B$9*AO164^2</f>
        <v>0.19819233171796263</v>
      </c>
    </row>
    <row r="165" spans="1:42" x14ac:dyDescent="0.25">
      <c r="A165" s="139">
        <v>0.05</v>
      </c>
      <c r="B165" s="259">
        <f>'Sub C_D_0'!BA191</f>
        <v>1.8800870769850896E-2</v>
      </c>
      <c r="C165" s="259">
        <f>'C_L vs. α'!X467</f>
        <v>0.10625707059841116</v>
      </c>
      <c r="D165" s="144">
        <v>-4</v>
      </c>
      <c r="E165" s="14">
        <f t="shared" ref="E165:E175" si="228">(D165-$B$12)*$C$165</f>
        <v>-0.31877121179523349</v>
      </c>
      <c r="F165" s="6">
        <f t="shared" ref="F165:F175" si="229">$B$165+$B$7*E165^2+$B$8*(E165-E$167)^2</f>
        <v>3.0631815822210903E-2</v>
      </c>
      <c r="G165" s="14">
        <f t="shared" ref="G165:G175" si="230">(D165-$B$12)*$C$166</f>
        <v>-0.32132278901910932</v>
      </c>
      <c r="H165" s="6">
        <f t="shared" ref="H165:H175" si="231">$B$166+$B$7*G165^2+$B$8*(G165-G$167)^2</f>
        <v>2.9512753192438002E-2</v>
      </c>
      <c r="I165" s="14">
        <f t="shared" ref="I165:I175" si="232">(D165-$B$12)*$C$167</f>
        <v>-0.32506027359753975</v>
      </c>
      <c r="J165" s="6">
        <f t="shared" ref="J165:J175" si="233">$B$167+$B$7*I165^2+$B$8*(I165-I$167)^2</f>
        <v>2.9114446857952232E-2</v>
      </c>
      <c r="K165" s="14">
        <f t="shared" ref="K165:K175" si="234">(D165-$B$12)*$C$168</f>
        <v>-0.3302031983714569</v>
      </c>
      <c r="L165" s="6">
        <f t="shared" ref="L165:L175" si="235">$B$168+$B$7*K165^2+$B$8*(K165-K$167)^2</f>
        <v>2.9058629907690498E-2</v>
      </c>
      <c r="M165">
        <f t="shared" ref="M165:M175" si="236">(D165-$B$12)*$C$169</f>
        <v>-0.3369275285230513</v>
      </c>
      <c r="N165" s="6">
        <f t="shared" ref="N165:N175" si="237">$B$169+$B$7*M165^2+$B$8*(M165-M$167)^2</f>
        <v>2.9251199680561536E-2</v>
      </c>
      <c r="O165">
        <f t="shared" ref="O165:O175" si="238">(D165-$B$12)*$C$170</f>
        <v>-0.3451226192756936</v>
      </c>
      <c r="P165" s="6">
        <f t="shared" ref="P165:P175" si="239">$B$170+$B$7*O165^2+$B$8*(O165-O$167)^2</f>
        <v>3.0109560666166806E-2</v>
      </c>
      <c r="Q165">
        <f t="shared" ref="Q165:Q175" si="240">(D165-$B$12)*$C$171</f>
        <v>-0.3557036383659421</v>
      </c>
      <c r="R165" s="6">
        <f t="shared" ref="R165:R175" si="241">$B$171+$B$7*Q165^2+$B$8*(Q165-Q$167)^2</f>
        <v>3.0751157102031249E-2</v>
      </c>
      <c r="S165">
        <f t="shared" ref="S165:S175" si="242">(D165-$B$12)*$C$172</f>
        <v>-0.36868043750493174</v>
      </c>
      <c r="T165" s="6">
        <f t="shared" ref="T165:T175" si="243">$B$172+$B$7*S165^2+$B$8*(S165-S$167)^2</f>
        <v>3.1658959418606032E-2</v>
      </c>
      <c r="U165">
        <f t="shared" ref="U165:U175" si="244">(D165-$B$12)*$C$173</f>
        <v>-0.38451101568011153</v>
      </c>
      <c r="V165" s="6">
        <f t="shared" ref="V165:V175" si="245">$B$173+$B$7*U165^2+$B$8*(U165-U$167)^2</f>
        <v>3.2886621743348124E-2</v>
      </c>
      <c r="W165">
        <f t="shared" ref="W165:W175" si="246">(D165-$B$12)*$C$174</f>
        <v>-0.40381082815707259</v>
      </c>
      <c r="X165" s="6">
        <f t="shared" ref="X165:X175" si="247">$B$174+$B$7*W165^2+$B$8*(W165-W$167)^2</f>
        <v>3.451752128963588E-2</v>
      </c>
      <c r="Y165">
        <f t="shared" ref="Y165:Y175" si="248">(D165-$B$12)*$C$175</f>
        <v>-0.42741807604284032</v>
      </c>
      <c r="Z165" s="6">
        <f t="shared" ref="Z165:Z175" si="249">$B$175+$B$7*Y165^2+$B$8*(Y165-Y$167)^2</f>
        <v>3.6677589646829732E-2</v>
      </c>
      <c r="AA165">
        <f t="shared" ref="AA165:AA175" si="250">(D165-$B$12)*$C$176</f>
        <v>-0.45649247695816542</v>
      </c>
      <c r="AB165" s="6">
        <f t="shared" ref="AB165:AB175" si="251">$B$176+$B$7*AA165^2+$B$8*(AA165-AA$167)^2</f>
        <v>3.9557957667737877E-2</v>
      </c>
      <c r="AC165">
        <f t="shared" ref="AC165:AC175" si="252">(D165-$B$12)*$C$177</f>
        <v>-0.49278613011551475</v>
      </c>
      <c r="AD165" s="6">
        <f t="shared" ref="AD165:AD175" si="253">$B$177+$B$7*AC165^2+$B$8*(AC165-AC$167)^2</f>
        <v>4.3930774244891516E-2</v>
      </c>
      <c r="AE165">
        <f t="shared" ref="AE165:AE175" si="254">(D165-$B$12)*$C$178</f>
        <v>-0.53862955832063819</v>
      </c>
      <c r="AF165" s="6">
        <f t="shared" ref="AF165:AF175" si="255">$B$178+$B$7*AE165^2+$B$8*(AE165-AE$167)^2</f>
        <v>4.9338841545143175E-2</v>
      </c>
      <c r="AG165">
        <f t="shared" ref="AG165:AG175" si="256">(D165-$B$12)*$C$179</f>
        <v>-0.59739377406281091</v>
      </c>
      <c r="AH165" s="6">
        <f t="shared" ref="AH165:AH175" si="257">$B$179+$B$7*AG165^2+$B$8*(AG165-AG$167)^2</f>
        <v>5.7022178985208463E-2</v>
      </c>
      <c r="AI165">
        <f t="shared" ref="AI165:AI175" si="258">(D165-$B$12)*$C$180</f>
        <v>-0.6737486246827038</v>
      </c>
      <c r="AJ165">
        <f t="shared" ref="AJ165:AJ175" si="259">$B$180+$B$9*AI165^2</f>
        <v>6.1278935341438717E-2</v>
      </c>
      <c r="AK165">
        <f t="shared" ref="AK165:AK175" si="260">(D165-$B$12)*$C$181</f>
        <v>-0.77533560382725797</v>
      </c>
      <c r="AL165">
        <f t="shared" ref="AL165:AL175" si="261">$B$181+$B$9*AK165^2</f>
        <v>7.6747313694760136E-2</v>
      </c>
      <c r="AM165">
        <f t="shared" ref="AM165:AM175" si="262">(D165-$B$12)*$C$182</f>
        <v>-0.88886525584698406</v>
      </c>
      <c r="AN165">
        <f t="shared" ref="AN165:AN175" si="263">$B$182+$B$9*AM165^2</f>
        <v>9.623114036208151E-2</v>
      </c>
      <c r="AO165">
        <f t="shared" ref="AO165:AO175" si="264">(D165-$B$12)*$C$183</f>
        <v>-0.80422429195489831</v>
      </c>
      <c r="AP165">
        <f t="shared" ref="AP165:AP175" si="265">$B$183+$B$9*AO165^2</f>
        <v>8.2205471047223339E-2</v>
      </c>
    </row>
    <row r="166" spans="1:42" x14ac:dyDescent="0.25">
      <c r="A166" s="129">
        <v>0.1</v>
      </c>
      <c r="B166" s="259">
        <f>'Sub C_D_0'!BA192</f>
        <v>1.7491650523974889E-2</v>
      </c>
      <c r="C166" s="259">
        <f>'C_L vs. α'!X468</f>
        <v>0.10710759633970311</v>
      </c>
      <c r="D166" s="144">
        <v>-2</v>
      </c>
      <c r="E166" s="14">
        <f t="shared" si="228"/>
        <v>-0.10625707059841116</v>
      </c>
      <c r="F166" s="6">
        <f t="shared" si="229"/>
        <v>2.0617223111320037E-2</v>
      </c>
      <c r="G166" s="14">
        <f t="shared" si="230"/>
        <v>-0.10710759633970311</v>
      </c>
      <c r="H166" s="6">
        <f t="shared" si="231"/>
        <v>1.9337196917967182E-2</v>
      </c>
      <c r="I166" s="14">
        <f t="shared" si="232"/>
        <v>-0.10835342453251325</v>
      </c>
      <c r="J166" s="6">
        <f t="shared" si="233"/>
        <v>1.8700798759575685E-2</v>
      </c>
      <c r="K166" s="14">
        <f t="shared" si="234"/>
        <v>-0.11006773279048564</v>
      </c>
      <c r="L166" s="6">
        <f t="shared" si="235"/>
        <v>1.8312857063394652E-2</v>
      </c>
      <c r="M166">
        <f t="shared" si="236"/>
        <v>-0.11230917617435043</v>
      </c>
      <c r="N166" s="6">
        <f t="shared" si="237"/>
        <v>1.8063312012284425E-2</v>
      </c>
      <c r="O166">
        <f t="shared" si="238"/>
        <v>-0.11504087309189787</v>
      </c>
      <c r="P166" s="6">
        <f t="shared" si="239"/>
        <v>1.8370807998390862E-2</v>
      </c>
      <c r="Q166">
        <f t="shared" si="240"/>
        <v>-0.11856787945531404</v>
      </c>
      <c r="R166" s="6">
        <f t="shared" si="241"/>
        <v>1.8281580153852662E-2</v>
      </c>
      <c r="S166">
        <f t="shared" si="242"/>
        <v>-0.12289347916831057</v>
      </c>
      <c r="T166" s="6">
        <f t="shared" si="243"/>
        <v>1.8262954664045584E-2</v>
      </c>
      <c r="U166">
        <f t="shared" si="244"/>
        <v>-0.12817033856003718</v>
      </c>
      <c r="V166" s="6">
        <f t="shared" si="245"/>
        <v>1.8315510391155088E-2</v>
      </c>
      <c r="W166">
        <f t="shared" si="246"/>
        <v>-0.13460360938569085</v>
      </c>
      <c r="X166" s="6">
        <f t="shared" si="247"/>
        <v>1.8446960745006232E-2</v>
      </c>
      <c r="Y166">
        <f t="shared" si="248"/>
        <v>-0.14247269201428012</v>
      </c>
      <c r="Z166" s="6">
        <f t="shared" si="249"/>
        <v>1.8673097539168841E-2</v>
      </c>
      <c r="AA166">
        <f t="shared" si="250"/>
        <v>-0.15216415898605515</v>
      </c>
      <c r="AB166" s="6">
        <f t="shared" si="251"/>
        <v>1.9020704629173903E-2</v>
      </c>
      <c r="AC166">
        <f t="shared" si="252"/>
        <v>-0.16426204337183825</v>
      </c>
      <c r="AD166" s="6">
        <f t="shared" si="253"/>
        <v>1.9998054449235501E-2</v>
      </c>
      <c r="AE166">
        <f t="shared" si="254"/>
        <v>-0.17954318610687942</v>
      </c>
      <c r="AF166" s="6">
        <f t="shared" si="255"/>
        <v>2.0746121663917576E-2</v>
      </c>
      <c r="AG166">
        <f t="shared" si="256"/>
        <v>-0.19913125802093698</v>
      </c>
      <c r="AH166" s="6">
        <f t="shared" si="257"/>
        <v>2.1850225597197091E-2</v>
      </c>
      <c r="AI166">
        <f t="shared" si="258"/>
        <v>-0.22458287489423459</v>
      </c>
      <c r="AJ166">
        <f t="shared" si="259"/>
        <v>2.0576517578281321E-2</v>
      </c>
      <c r="AK166">
        <f t="shared" si="260"/>
        <v>-0.25844520127575266</v>
      </c>
      <c r="AL166">
        <f t="shared" si="261"/>
        <v>2.2845437886376274E-2</v>
      </c>
      <c r="AM166">
        <f t="shared" si="262"/>
        <v>-0.29628841861566135</v>
      </c>
      <c r="AN166">
        <f t="shared" si="263"/>
        <v>2.5388247763980916E-2</v>
      </c>
      <c r="AO166">
        <f t="shared" si="264"/>
        <v>-0.2680747639849661</v>
      </c>
      <c r="AP166">
        <f t="shared" si="265"/>
        <v>2.4212040711853691E-2</v>
      </c>
    </row>
    <row r="167" spans="1:42" s="29" customFormat="1" x14ac:dyDescent="0.25">
      <c r="A167" s="139">
        <v>0.15</v>
      </c>
      <c r="B167" s="259">
        <f>'Sub C_D_0'!BA193</f>
        <v>1.6812069516882466E-2</v>
      </c>
      <c r="C167" s="259">
        <f>'C_L vs. α'!X469</f>
        <v>0.10835342453251325</v>
      </c>
      <c r="D167" s="143">
        <v>0</v>
      </c>
      <c r="E167" s="83">
        <f t="shared" si="228"/>
        <v>0.10625707059841116</v>
      </c>
      <c r="F167" s="21">
        <f t="shared" si="229"/>
        <v>1.971397790714758E-2</v>
      </c>
      <c r="G167" s="83">
        <f t="shared" si="230"/>
        <v>0.10710759633970311</v>
      </c>
      <c r="H167" s="21">
        <f t="shared" si="231"/>
        <v>1.8419433942473678E-2</v>
      </c>
      <c r="I167" s="83">
        <f t="shared" si="232"/>
        <v>0.10835342453251325</v>
      </c>
      <c r="J167" s="21">
        <f t="shared" si="233"/>
        <v>1.7761561590941843E-2</v>
      </c>
      <c r="K167" s="83">
        <f t="shared" si="234"/>
        <v>0.11006773279048564</v>
      </c>
      <c r="L167" s="21">
        <f t="shared" si="235"/>
        <v>1.7343664599263633E-2</v>
      </c>
      <c r="M167" s="99">
        <f t="shared" si="236"/>
        <v>0.11230917617435043</v>
      </c>
      <c r="N167" s="21">
        <f t="shared" si="237"/>
        <v>1.7054243928047521E-2</v>
      </c>
      <c r="O167" s="99">
        <f t="shared" si="238"/>
        <v>0.11504087309189787</v>
      </c>
      <c r="P167" s="21">
        <f t="shared" si="239"/>
        <v>1.7312055799851171E-2</v>
      </c>
      <c r="Q167" s="99">
        <f t="shared" si="240"/>
        <v>0.11856787945531404</v>
      </c>
      <c r="R167" s="21">
        <f t="shared" si="241"/>
        <v>1.7156912790770272E-2</v>
      </c>
      <c r="S167" s="99">
        <f t="shared" si="242"/>
        <v>0.12289347916831057</v>
      </c>
      <c r="T167" s="21">
        <f t="shared" si="243"/>
        <v>1.7054730086278225E-2</v>
      </c>
      <c r="U167" s="99">
        <f t="shared" si="244"/>
        <v>0.12817033856003718</v>
      </c>
      <c r="V167" s="21">
        <f t="shared" si="245"/>
        <v>1.7001299536227522E-2</v>
      </c>
      <c r="W167" s="99">
        <f t="shared" si="246"/>
        <v>0.13460360938569085</v>
      </c>
      <c r="X167" s="21">
        <f t="shared" si="247"/>
        <v>1.699751021223378E-2</v>
      </c>
      <c r="Y167" s="99">
        <f t="shared" si="248"/>
        <v>0.14247269201428012</v>
      </c>
      <c r="Z167" s="21">
        <f t="shared" si="249"/>
        <v>1.7049220101585168E-2</v>
      </c>
      <c r="AA167" s="99">
        <f t="shared" si="250"/>
        <v>0.15216415898605515</v>
      </c>
      <c r="AB167" s="21">
        <f>$B$176+$B$7*AA167^2+$B$8*(AA167-AA$167)^2</f>
        <v>1.7168390126779225E-2</v>
      </c>
      <c r="AC167" s="99">
        <f t="shared" si="252"/>
        <v>0.16426204337183825</v>
      </c>
      <c r="AD167" s="21">
        <f t="shared" si="253"/>
        <v>1.7839492937820167E-2</v>
      </c>
      <c r="AE167" s="99">
        <f t="shared" si="254"/>
        <v>0.17954318610687942</v>
      </c>
      <c r="AF167" s="21">
        <f t="shared" si="255"/>
        <v>1.8167261209724814E-2</v>
      </c>
      <c r="AG167" s="99">
        <f t="shared" si="256"/>
        <v>0.19913125802093698</v>
      </c>
      <c r="AH167" s="21">
        <f t="shared" si="257"/>
        <v>1.8677964963517011E-2</v>
      </c>
      <c r="AI167" s="99">
        <f t="shared" si="258"/>
        <v>0.22458287489423459</v>
      </c>
      <c r="AJ167" s="99">
        <f t="shared" si="259"/>
        <v>2.0576517578281321E-2</v>
      </c>
      <c r="AK167" s="99">
        <f t="shared" si="260"/>
        <v>0.25844520127575266</v>
      </c>
      <c r="AL167" s="99">
        <f t="shared" si="261"/>
        <v>2.2845437886376274E-2</v>
      </c>
      <c r="AM167" s="99">
        <f t="shared" si="262"/>
        <v>0.29628841861566135</v>
      </c>
      <c r="AN167" s="99">
        <f t="shared" si="263"/>
        <v>2.5388247763980916E-2</v>
      </c>
      <c r="AO167" s="99">
        <f t="shared" si="264"/>
        <v>0.2680747639849661</v>
      </c>
      <c r="AP167" s="99">
        <f t="shared" si="265"/>
        <v>2.4212040711853691E-2</v>
      </c>
    </row>
    <row r="168" spans="1:42" x14ac:dyDescent="0.25">
      <c r="A168" s="129">
        <v>0.2</v>
      </c>
      <c r="B168" s="259">
        <f>'Sub C_D_0'!BA194</f>
        <v>1.6363890167775785E-2</v>
      </c>
      <c r="C168" s="259">
        <f>'C_L vs. α'!X470</f>
        <v>0.11006773279048564</v>
      </c>
      <c r="D168" s="144">
        <v>2</v>
      </c>
      <c r="E168" s="14">
        <f t="shared" si="228"/>
        <v>0.31877121179523349</v>
      </c>
      <c r="F168" s="6">
        <f t="shared" si="229"/>
        <v>2.7922080209693525E-2</v>
      </c>
      <c r="G168" s="14">
        <f t="shared" si="230"/>
        <v>0.32132278901910932</v>
      </c>
      <c r="H168" s="6">
        <f t="shared" si="231"/>
        <v>2.6759464265957492E-2</v>
      </c>
      <c r="I168" s="14">
        <f t="shared" si="232"/>
        <v>0.32506027359753975</v>
      </c>
      <c r="J168" s="6">
        <f t="shared" si="233"/>
        <v>2.6296735352050703E-2</v>
      </c>
      <c r="K168" s="14">
        <f t="shared" si="234"/>
        <v>0.3302031983714569</v>
      </c>
      <c r="L168" s="6">
        <f t="shared" si="235"/>
        <v>2.6151052515297438E-2</v>
      </c>
      <c r="M168">
        <f t="shared" si="236"/>
        <v>0.3369275285230513</v>
      </c>
      <c r="N168" s="6">
        <f t="shared" si="237"/>
        <v>2.6223995427850828E-2</v>
      </c>
      <c r="O168">
        <f t="shared" si="238"/>
        <v>0.3451226192756936</v>
      </c>
      <c r="P168" s="6">
        <f t="shared" si="239"/>
        <v>2.6933304070547729E-2</v>
      </c>
      <c r="Q168">
        <f t="shared" si="240"/>
        <v>0.3557036383659421</v>
      </c>
      <c r="R168" s="6">
        <f t="shared" si="241"/>
        <v>2.7377155012784076E-2</v>
      </c>
      <c r="S168">
        <f t="shared" si="242"/>
        <v>0.36868043750493174</v>
      </c>
      <c r="T168" s="6">
        <f t="shared" si="243"/>
        <v>2.8034285685303955E-2</v>
      </c>
      <c r="U168">
        <f t="shared" si="244"/>
        <v>0.38451101568011153</v>
      </c>
      <c r="V168" s="6">
        <f t="shared" si="245"/>
        <v>2.894398917856543E-2</v>
      </c>
      <c r="W168">
        <f t="shared" si="246"/>
        <v>0.40381082815707259</v>
      </c>
      <c r="X168" s="6">
        <f t="shared" si="247"/>
        <v>3.0169169691318529E-2</v>
      </c>
      <c r="Y168">
        <f t="shared" si="248"/>
        <v>0.42741807604284032</v>
      </c>
      <c r="Z168" s="6">
        <f t="shared" si="249"/>
        <v>3.1805957334078712E-2</v>
      </c>
      <c r="AA168">
        <f t="shared" si="250"/>
        <v>0.45649247695816542</v>
      </c>
      <c r="AB168" s="6">
        <f t="shared" si="251"/>
        <v>3.4001014160553844E-2</v>
      </c>
      <c r="AC168">
        <f t="shared" si="252"/>
        <v>0.49278613011551475</v>
      </c>
      <c r="AD168" s="6">
        <f t="shared" si="253"/>
        <v>3.7455089710645512E-2</v>
      </c>
      <c r="AE168">
        <f t="shared" si="254"/>
        <v>0.53862955832063819</v>
      </c>
      <c r="AF168" s="6">
        <f t="shared" si="255"/>
        <v>4.1602260182564889E-2</v>
      </c>
      <c r="AG168">
        <f t="shared" si="256"/>
        <v>0.59739377406281091</v>
      </c>
      <c r="AH168" s="6">
        <f t="shared" si="257"/>
        <v>4.7505397084168226E-2</v>
      </c>
      <c r="AI168">
        <f t="shared" si="258"/>
        <v>0.6737486246827038</v>
      </c>
      <c r="AJ168">
        <f t="shared" si="259"/>
        <v>6.1278935341438717E-2</v>
      </c>
      <c r="AK168">
        <f t="shared" si="260"/>
        <v>0.77533560382725797</v>
      </c>
      <c r="AL168">
        <f t="shared" si="261"/>
        <v>7.6747313694760136E-2</v>
      </c>
      <c r="AM168">
        <f t="shared" si="262"/>
        <v>0.88886525584698406</v>
      </c>
      <c r="AN168">
        <f t="shared" si="263"/>
        <v>9.623114036208151E-2</v>
      </c>
      <c r="AO168">
        <f t="shared" si="264"/>
        <v>0.80422429195489831</v>
      </c>
      <c r="AP168">
        <f t="shared" si="265"/>
        <v>8.2205471047223339E-2</v>
      </c>
    </row>
    <row r="169" spans="1:42" x14ac:dyDescent="0.25">
      <c r="A169" s="139">
        <v>0.25</v>
      </c>
      <c r="B169" s="259">
        <f>'Sub C_D_0'!BA195</f>
        <v>1.6034158501101722E-2</v>
      </c>
      <c r="C169" s="259">
        <f>'C_L vs. α'!X471</f>
        <v>0.11230917617435043</v>
      </c>
      <c r="D169" s="144">
        <v>4</v>
      </c>
      <c r="E169" s="14">
        <f t="shared" si="228"/>
        <v>0.53128535299205581</v>
      </c>
      <c r="F169" s="6">
        <f t="shared" si="229"/>
        <v>4.5241530018957872E-2</v>
      </c>
      <c r="G169" s="14">
        <f t="shared" si="230"/>
        <v>0.53553798169851552</v>
      </c>
      <c r="H169" s="6">
        <f t="shared" si="231"/>
        <v>4.4357287888418626E-2</v>
      </c>
      <c r="I169" s="14">
        <f t="shared" si="232"/>
        <v>0.54176712266256621</v>
      </c>
      <c r="J169" s="6">
        <f t="shared" si="233"/>
        <v>4.4306320042902261E-2</v>
      </c>
      <c r="K169" s="14">
        <f t="shared" si="234"/>
        <v>0.55033866395242814</v>
      </c>
      <c r="L169" s="6">
        <f t="shared" si="235"/>
        <v>4.4735020811496065E-2</v>
      </c>
      <c r="M169">
        <f t="shared" si="236"/>
        <v>0.56154588087175217</v>
      </c>
      <c r="N169" s="6">
        <f t="shared" si="237"/>
        <v>4.5572566511694342E-2</v>
      </c>
      <c r="O169">
        <f t="shared" si="238"/>
        <v>0.57520436545948939</v>
      </c>
      <c r="P169" s="6">
        <f t="shared" si="239"/>
        <v>4.7234552810480536E-2</v>
      </c>
      <c r="Q169">
        <f t="shared" si="240"/>
        <v>0.5928393972765702</v>
      </c>
      <c r="R169" s="6">
        <f t="shared" si="241"/>
        <v>4.8942306819894081E-2</v>
      </c>
      <c r="S169">
        <f t="shared" si="242"/>
        <v>0.61446739584155285</v>
      </c>
      <c r="T169" s="6">
        <f t="shared" si="243"/>
        <v>5.1201621461122782E-2</v>
      </c>
      <c r="U169">
        <f t="shared" si="244"/>
        <v>0.64085169280018595</v>
      </c>
      <c r="V169" s="6">
        <f t="shared" si="245"/>
        <v>5.4143579318168815E-2</v>
      </c>
      <c r="W169">
        <f t="shared" si="246"/>
        <v>0.67301804692845424</v>
      </c>
      <c r="X169" s="6">
        <f t="shared" si="247"/>
        <v>5.7961939182260468E-2</v>
      </c>
      <c r="Y169">
        <f t="shared" si="248"/>
        <v>0.71236346007140061</v>
      </c>
      <c r="Z169" s="6">
        <f t="shared" si="249"/>
        <v>6.2943309236649481E-2</v>
      </c>
      <c r="AA169">
        <f t="shared" si="250"/>
        <v>0.76082079493027577</v>
      </c>
      <c r="AB169" s="6">
        <f t="shared" si="251"/>
        <v>6.9518576730497772E-2</v>
      </c>
      <c r="AC169">
        <f t="shared" si="252"/>
        <v>0.82131021685919126</v>
      </c>
      <c r="AD169" s="6">
        <f t="shared" si="253"/>
        <v>7.8844844767711544E-2</v>
      </c>
      <c r="AE169">
        <f t="shared" si="254"/>
        <v>0.89771593053439713</v>
      </c>
      <c r="AF169" s="6">
        <f t="shared" si="255"/>
        <v>9.1051118582437807E-2</v>
      </c>
      <c r="AG169">
        <f t="shared" si="256"/>
        <v>0.99565629010468493</v>
      </c>
      <c r="AH169" s="6">
        <f t="shared" si="257"/>
        <v>0.10833252195915075</v>
      </c>
      <c r="AI169">
        <f t="shared" si="258"/>
        <v>1.1229143744711729</v>
      </c>
      <c r="AJ169">
        <f t="shared" si="259"/>
        <v>0.1426837708677535</v>
      </c>
      <c r="AK169">
        <f t="shared" si="260"/>
        <v>1.2922260063787632</v>
      </c>
      <c r="AL169">
        <f t="shared" si="261"/>
        <v>0.18455106531152785</v>
      </c>
      <c r="AM169">
        <f t="shared" si="262"/>
        <v>1.4814420930783068</v>
      </c>
      <c r="AN169">
        <f t="shared" si="263"/>
        <v>0.23791692555828267</v>
      </c>
      <c r="AO169">
        <f t="shared" si="264"/>
        <v>1.3403738199248305</v>
      </c>
      <c r="AP169">
        <f t="shared" si="265"/>
        <v>0.19819233171796263</v>
      </c>
    </row>
    <row r="170" spans="1:42" x14ac:dyDescent="0.25">
      <c r="A170" s="129">
        <v>0.3</v>
      </c>
      <c r="B170" s="259">
        <f>'Sub C_D_0'!BA196</f>
        <v>1.6241743790831563E-2</v>
      </c>
      <c r="C170" s="259">
        <f>'C_L vs. α'!X472</f>
        <v>0.11504087309189787</v>
      </c>
      <c r="D170" s="144">
        <v>6</v>
      </c>
      <c r="E170" s="14">
        <f t="shared" si="228"/>
        <v>0.74379949418887814</v>
      </c>
      <c r="F170" s="6">
        <f t="shared" si="229"/>
        <v>7.1672327334940625E-2</v>
      </c>
      <c r="G170" s="14">
        <f t="shared" si="230"/>
        <v>0.74975317437792177</v>
      </c>
      <c r="H170" s="6">
        <f t="shared" si="231"/>
        <v>7.1212904809857078E-2</v>
      </c>
      <c r="I170" s="14">
        <f t="shared" si="232"/>
        <v>0.75847397172759268</v>
      </c>
      <c r="J170" s="6">
        <f t="shared" si="233"/>
        <v>7.1790315663496515E-2</v>
      </c>
      <c r="K170" s="14">
        <f t="shared" si="234"/>
        <v>0.77047412953339944</v>
      </c>
      <c r="L170" s="6">
        <f t="shared" si="235"/>
        <v>7.309556948785953E-2</v>
      </c>
      <c r="M170">
        <f t="shared" si="236"/>
        <v>0.78616423322045303</v>
      </c>
      <c r="N170" s="6">
        <f t="shared" si="237"/>
        <v>7.5099957179578056E-2</v>
      </c>
      <c r="O170">
        <f t="shared" si="238"/>
        <v>0.80528611164328501</v>
      </c>
      <c r="P170" s="6">
        <f t="shared" si="239"/>
        <v>7.8215802019649575E-2</v>
      </c>
      <c r="Q170">
        <f t="shared" si="240"/>
        <v>0.8299751561871983</v>
      </c>
      <c r="R170" s="6">
        <f t="shared" si="241"/>
        <v>8.185236821210029E-2</v>
      </c>
      <c r="S170">
        <f t="shared" si="242"/>
        <v>0.86025435417817397</v>
      </c>
      <c r="T170" s="6">
        <f t="shared" si="243"/>
        <v>8.6556737413734666E-2</v>
      </c>
      <c r="U170">
        <f t="shared" si="244"/>
        <v>0.89719236992026019</v>
      </c>
      <c r="V170" s="6">
        <f t="shared" si="245"/>
        <v>9.2600069955037667E-2</v>
      </c>
      <c r="W170">
        <f t="shared" si="246"/>
        <v>0.942225265699836</v>
      </c>
      <c r="X170" s="6">
        <f t="shared" si="247"/>
        <v>0.10037581868505963</v>
      </c>
      <c r="Y170">
        <f t="shared" si="248"/>
        <v>0.99730884409996079</v>
      </c>
      <c r="Z170" s="6">
        <f t="shared" si="249"/>
        <v>0.11046127580929746</v>
      </c>
      <c r="AA170">
        <f t="shared" si="250"/>
        <v>1.065149112902386</v>
      </c>
      <c r="AB170" s="6">
        <f t="shared" si="251"/>
        <v>0.12372107783661099</v>
      </c>
      <c r="AC170">
        <f t="shared" si="252"/>
        <v>1.1498343036028678</v>
      </c>
      <c r="AD170" s="6">
        <f t="shared" si="253"/>
        <v>0.14200875810901825</v>
      </c>
      <c r="AE170">
        <f t="shared" si="254"/>
        <v>1.2568023027481559</v>
      </c>
      <c r="AF170" s="6">
        <f t="shared" si="255"/>
        <v>0.16651383640934356</v>
      </c>
      <c r="AG170">
        <f t="shared" si="256"/>
        <v>1.3939188061465588</v>
      </c>
      <c r="AH170" s="6">
        <f t="shared" si="257"/>
        <v>0.20115933958846458</v>
      </c>
      <c r="AI170">
        <f t="shared" si="258"/>
        <v>1.5720801242596421</v>
      </c>
      <c r="AJ170">
        <f t="shared" si="259"/>
        <v>0.26479102415722566</v>
      </c>
      <c r="AK170">
        <f t="shared" si="260"/>
        <v>1.8091164089302687</v>
      </c>
      <c r="AL170">
        <f t="shared" si="261"/>
        <v>0.34625669273667947</v>
      </c>
      <c r="AM170">
        <f t="shared" si="262"/>
        <v>2.0740189303096295</v>
      </c>
      <c r="AN170">
        <f t="shared" si="263"/>
        <v>0.45044560335258438</v>
      </c>
      <c r="AO170">
        <f t="shared" si="264"/>
        <v>1.8765233478947627</v>
      </c>
      <c r="AP170">
        <f t="shared" si="265"/>
        <v>0.37217262272407148</v>
      </c>
    </row>
    <row r="171" spans="1:42" x14ac:dyDescent="0.25">
      <c r="A171" s="139">
        <v>0.35</v>
      </c>
      <c r="B171" s="259">
        <f>'Sub C_D_0'!BA197</f>
        <v>1.6019965933403844E-2</v>
      </c>
      <c r="C171" s="259">
        <f>'C_L vs. α'!X473</f>
        <v>0.11856787945531404</v>
      </c>
      <c r="D171" s="144">
        <v>8</v>
      </c>
      <c r="E171" s="14">
        <f t="shared" si="228"/>
        <v>0.95631363538570047</v>
      </c>
      <c r="F171" s="6">
        <f t="shared" si="229"/>
        <v>0.10721447215764177</v>
      </c>
      <c r="G171" s="14">
        <f t="shared" si="230"/>
        <v>0.96396836705732802</v>
      </c>
      <c r="H171" s="6">
        <f t="shared" si="231"/>
        <v>0.10732631503027285</v>
      </c>
      <c r="I171" s="14">
        <f t="shared" si="232"/>
        <v>0.97518082079261925</v>
      </c>
      <c r="J171" s="6">
        <f t="shared" si="233"/>
        <v>0.1087487222138335</v>
      </c>
      <c r="K171" s="14">
        <f t="shared" si="234"/>
        <v>0.99060959511437074</v>
      </c>
      <c r="L171" s="6">
        <f t="shared" si="235"/>
        <v>0.11123269854438782</v>
      </c>
      <c r="M171">
        <f t="shared" si="236"/>
        <v>1.0107825855691539</v>
      </c>
      <c r="N171" s="6">
        <f t="shared" si="237"/>
        <v>0.11480616743150199</v>
      </c>
      <c r="O171">
        <f t="shared" si="238"/>
        <v>1.0353678578270809</v>
      </c>
      <c r="P171" s="6">
        <f t="shared" si="239"/>
        <v>0.11987705169805489</v>
      </c>
      <c r="Q171">
        <f t="shared" si="240"/>
        <v>1.0671109150978264</v>
      </c>
      <c r="R171" s="6">
        <f t="shared" si="241"/>
        <v>0.1261073391894027</v>
      </c>
      <c r="S171">
        <f t="shared" si="242"/>
        <v>1.1060413125147952</v>
      </c>
      <c r="T171" s="6">
        <f t="shared" si="243"/>
        <v>0.1340996335431397</v>
      </c>
      <c r="U171">
        <f t="shared" si="244"/>
        <v>1.1535330470403347</v>
      </c>
      <c r="V171" s="6">
        <f t="shared" si="245"/>
        <v>0.14431346108917201</v>
      </c>
      <c r="W171">
        <f t="shared" si="246"/>
        <v>1.2114324844712177</v>
      </c>
      <c r="X171" s="6">
        <f t="shared" si="247"/>
        <v>0.15741080819971595</v>
      </c>
      <c r="Y171">
        <f t="shared" si="248"/>
        <v>1.282254228128521</v>
      </c>
      <c r="Z171" s="6">
        <f t="shared" si="249"/>
        <v>0.17435985705202264</v>
      </c>
      <c r="AA171">
        <f t="shared" si="250"/>
        <v>1.3694774308744964</v>
      </c>
      <c r="AB171" s="6">
        <f t="shared" si="251"/>
        <v>0.19660851747889352</v>
      </c>
      <c r="AC171">
        <f t="shared" si="252"/>
        <v>1.4783583903465443</v>
      </c>
      <c r="AD171" s="6">
        <f t="shared" si="253"/>
        <v>0.22694682973456565</v>
      </c>
      <c r="AE171">
        <f t="shared" si="254"/>
        <v>1.6158886749619148</v>
      </c>
      <c r="AF171" s="6">
        <f t="shared" si="255"/>
        <v>0.26799041366328219</v>
      </c>
      <c r="AG171">
        <f t="shared" si="256"/>
        <v>1.7921813221884328</v>
      </c>
      <c r="AH171" s="6">
        <f t="shared" si="257"/>
        <v>0.32598584997210966</v>
      </c>
      <c r="AI171">
        <f t="shared" si="258"/>
        <v>2.0212458740481112</v>
      </c>
      <c r="AJ171">
        <f t="shared" si="259"/>
        <v>0.42760069520985516</v>
      </c>
      <c r="AK171">
        <f t="shared" si="260"/>
        <v>2.3260068114817738</v>
      </c>
      <c r="AL171">
        <f t="shared" si="261"/>
        <v>0.56186419597021486</v>
      </c>
      <c r="AM171">
        <f t="shared" si="262"/>
        <v>2.6665957675409522</v>
      </c>
      <c r="AN171">
        <f t="shared" si="263"/>
        <v>0.73381717374498678</v>
      </c>
      <c r="AO171">
        <f t="shared" si="264"/>
        <v>2.4126728758646951</v>
      </c>
      <c r="AP171">
        <f t="shared" si="265"/>
        <v>0.60414634406555023</v>
      </c>
    </row>
    <row r="172" spans="1:42" x14ac:dyDescent="0.25">
      <c r="A172" s="129">
        <v>0.4</v>
      </c>
      <c r="B172" s="259">
        <f>'Sub C_D_0'!BA198</f>
        <v>1.5833313708620927E-2</v>
      </c>
      <c r="C172" s="259">
        <f>'C_L vs. α'!X474</f>
        <v>0.12289347916831057</v>
      </c>
      <c r="D172" s="144">
        <v>10</v>
      </c>
      <c r="E172" s="14">
        <f t="shared" si="228"/>
        <v>1.1688277765825228</v>
      </c>
      <c r="F172" s="6">
        <f t="shared" si="229"/>
        <v>0.15186796448706133</v>
      </c>
      <c r="G172" s="14">
        <f t="shared" si="230"/>
        <v>1.1781835597367343</v>
      </c>
      <c r="H172" s="6">
        <f t="shared" si="231"/>
        <v>0.15269751854966596</v>
      </c>
      <c r="I172" s="14">
        <f t="shared" si="232"/>
        <v>1.1918876698576457</v>
      </c>
      <c r="J172" s="6">
        <f t="shared" si="233"/>
        <v>0.15518153969391316</v>
      </c>
      <c r="K172" s="14">
        <f t="shared" si="234"/>
        <v>1.210745060695342</v>
      </c>
      <c r="L172" s="6">
        <f t="shared" si="235"/>
        <v>0.15914640798108093</v>
      </c>
      <c r="M172">
        <f t="shared" si="236"/>
        <v>1.2354009379178548</v>
      </c>
      <c r="N172" s="6">
        <f t="shared" si="237"/>
        <v>0.16469119726746609</v>
      </c>
      <c r="O172">
        <f t="shared" si="238"/>
        <v>1.2654496040108765</v>
      </c>
      <c r="P172" s="6">
        <f t="shared" si="239"/>
        <v>0.17221830184569642</v>
      </c>
      <c r="Q172">
        <f t="shared" si="240"/>
        <v>1.3042466740084544</v>
      </c>
      <c r="R172" s="6">
        <f t="shared" si="241"/>
        <v>0.18170721975180126</v>
      </c>
      <c r="S172">
        <f t="shared" si="242"/>
        <v>1.3518282708514162</v>
      </c>
      <c r="T172" s="6">
        <f t="shared" si="243"/>
        <v>0.19383030984933775</v>
      </c>
      <c r="U172">
        <f t="shared" si="244"/>
        <v>1.4098737241604089</v>
      </c>
      <c r="V172" s="6">
        <f t="shared" si="245"/>
        <v>0.20928375272057181</v>
      </c>
      <c r="W172">
        <f t="shared" si="246"/>
        <v>1.4806397032425993</v>
      </c>
      <c r="X172" s="6">
        <f t="shared" si="247"/>
        <v>0.22906690772622948</v>
      </c>
      <c r="Y172">
        <f t="shared" si="248"/>
        <v>1.5671996121570813</v>
      </c>
      <c r="Z172" s="6">
        <f t="shared" si="249"/>
        <v>0.25463905296482509</v>
      </c>
      <c r="AA172">
        <f t="shared" si="250"/>
        <v>1.6738057488466067</v>
      </c>
      <c r="AB172" s="6">
        <f t="shared" si="251"/>
        <v>0.28818089565734539</v>
      </c>
      <c r="AC172">
        <f t="shared" si="252"/>
        <v>1.8068824770902208</v>
      </c>
      <c r="AD172" s="6">
        <f t="shared" si="253"/>
        <v>0.33365905964435366</v>
      </c>
      <c r="AE172">
        <f t="shared" si="254"/>
        <v>1.9749750471756735</v>
      </c>
      <c r="AF172" s="6">
        <f t="shared" si="255"/>
        <v>0.39548085034425362</v>
      </c>
      <c r="AG172">
        <f t="shared" si="256"/>
        <v>2.1904438382303066</v>
      </c>
      <c r="AH172" s="6">
        <f t="shared" si="257"/>
        <v>0.48281205311008601</v>
      </c>
      <c r="AI172">
        <f t="shared" si="258"/>
        <v>2.4704116238365805</v>
      </c>
      <c r="AJ172">
        <f t="shared" si="259"/>
        <v>0.6311127840256423</v>
      </c>
      <c r="AK172">
        <f t="shared" si="260"/>
        <v>2.8428972140332793</v>
      </c>
      <c r="AL172">
        <f t="shared" si="261"/>
        <v>0.83137357501213427</v>
      </c>
      <c r="AM172">
        <f t="shared" si="262"/>
        <v>3.2591726047722749</v>
      </c>
      <c r="AN172">
        <f t="shared" si="263"/>
        <v>1.0880316367354899</v>
      </c>
      <c r="AO172">
        <f t="shared" si="264"/>
        <v>2.9488224038346269</v>
      </c>
      <c r="AP172">
        <f t="shared" si="265"/>
        <v>0.89411349574239818</v>
      </c>
    </row>
    <row r="173" spans="1:42" x14ac:dyDescent="0.25">
      <c r="A173" s="139">
        <v>0.45</v>
      </c>
      <c r="B173" s="259">
        <f>'Sub C_D_0'!BA199</f>
        <v>1.5672739687801227E-2</v>
      </c>
      <c r="C173" s="259">
        <f>'C_L vs. α'!X475</f>
        <v>0.12817033856003718</v>
      </c>
      <c r="D173" s="144">
        <v>12</v>
      </c>
      <c r="E173" s="14">
        <f t="shared" si="228"/>
        <v>1.3813419177793451</v>
      </c>
      <c r="F173" s="6">
        <f t="shared" si="229"/>
        <v>0.2056328043231993</v>
      </c>
      <c r="G173" s="14">
        <f t="shared" si="230"/>
        <v>1.3923987524161405</v>
      </c>
      <c r="H173" s="6">
        <f t="shared" si="231"/>
        <v>0.20732651536803637</v>
      </c>
      <c r="I173" s="14">
        <f t="shared" si="232"/>
        <v>1.4085945189226723</v>
      </c>
      <c r="J173" s="6">
        <f t="shared" si="233"/>
        <v>0.21108876810373556</v>
      </c>
      <c r="K173" s="14">
        <f t="shared" si="234"/>
        <v>1.4308805262763133</v>
      </c>
      <c r="L173" s="6">
        <f t="shared" si="235"/>
        <v>0.21683669779793888</v>
      </c>
      <c r="M173">
        <f t="shared" si="236"/>
        <v>1.4600192902665556</v>
      </c>
      <c r="N173" s="6">
        <f t="shared" si="237"/>
        <v>0.22475504668747046</v>
      </c>
      <c r="O173">
        <f t="shared" si="238"/>
        <v>1.4955313501946723</v>
      </c>
      <c r="P173" s="6">
        <f t="shared" si="239"/>
        <v>0.23523955246257428</v>
      </c>
      <c r="Q173">
        <f t="shared" si="240"/>
        <v>1.5413824329190824</v>
      </c>
      <c r="R173" s="6">
        <f t="shared" si="241"/>
        <v>0.24865200989929606</v>
      </c>
      <c r="S173">
        <f t="shared" si="242"/>
        <v>1.5976152291880374</v>
      </c>
      <c r="T173" s="6">
        <f t="shared" si="243"/>
        <v>0.26574876633232897</v>
      </c>
      <c r="U173">
        <f t="shared" si="244"/>
        <v>1.6662144012804834</v>
      </c>
      <c r="V173" s="6">
        <f t="shared" si="245"/>
        <v>0.28751094484923712</v>
      </c>
      <c r="W173">
        <f t="shared" si="246"/>
        <v>1.7498469220139812</v>
      </c>
      <c r="X173" s="6">
        <f t="shared" si="247"/>
        <v>0.31534411726460027</v>
      </c>
      <c r="Y173">
        <f t="shared" si="248"/>
        <v>1.8521449961856415</v>
      </c>
      <c r="Z173" s="6">
        <f t="shared" si="249"/>
        <v>0.35129886354770479</v>
      </c>
      <c r="AA173">
        <f t="shared" si="250"/>
        <v>1.9781340668187168</v>
      </c>
      <c r="AB173" s="6">
        <f t="shared" si="251"/>
        <v>0.39843821237196642</v>
      </c>
      <c r="AC173">
        <f t="shared" si="252"/>
        <v>2.1354065638338975</v>
      </c>
      <c r="AD173" s="6">
        <f t="shared" si="253"/>
        <v>0.46214544783838257</v>
      </c>
      <c r="AE173">
        <f t="shared" si="254"/>
        <v>2.3340614193894322</v>
      </c>
      <c r="AF173" s="6">
        <f t="shared" si="255"/>
        <v>0.54898514645225782</v>
      </c>
      <c r="AG173">
        <f t="shared" si="256"/>
        <v>2.5887063542721807</v>
      </c>
      <c r="AH173" s="6">
        <f t="shared" si="257"/>
        <v>0.67163794900239371</v>
      </c>
      <c r="AI173">
        <f t="shared" si="258"/>
        <v>2.9195773736250499</v>
      </c>
      <c r="AJ173">
        <f t="shared" si="259"/>
        <v>0.87532729060458658</v>
      </c>
      <c r="AK173">
        <f t="shared" si="260"/>
        <v>3.3597876165847844</v>
      </c>
      <c r="AL173">
        <f t="shared" si="261"/>
        <v>1.1547848298624372</v>
      </c>
      <c r="AM173">
        <f t="shared" si="262"/>
        <v>3.8517494420035976</v>
      </c>
      <c r="AN173">
        <f t="shared" si="263"/>
        <v>1.5130889923240933</v>
      </c>
      <c r="AO173">
        <f t="shared" si="264"/>
        <v>3.4849719318045596</v>
      </c>
      <c r="AP173">
        <f t="shared" si="265"/>
        <v>1.2420740777546164</v>
      </c>
    </row>
    <row r="174" spans="1:42" x14ac:dyDescent="0.25">
      <c r="A174" s="129">
        <v>0.5</v>
      </c>
      <c r="B174" s="259">
        <f>'Sub C_D_0'!BA200</f>
        <v>1.5532234093944743E-2</v>
      </c>
      <c r="C174" s="259">
        <f>'C_L vs. α'!X476</f>
        <v>0.13460360938569085</v>
      </c>
      <c r="D174" s="144">
        <v>14</v>
      </c>
      <c r="E174" s="14">
        <f t="shared" si="228"/>
        <v>1.5938560589761674</v>
      </c>
      <c r="F174" s="6">
        <f t="shared" si="229"/>
        <v>0.26850899166605569</v>
      </c>
      <c r="G174" s="14">
        <f t="shared" si="230"/>
        <v>1.6066139450955468</v>
      </c>
      <c r="H174" s="6">
        <f t="shared" si="231"/>
        <v>0.27121330548538414</v>
      </c>
      <c r="I174" s="14">
        <f t="shared" si="232"/>
        <v>1.6253013679876986</v>
      </c>
      <c r="J174" s="6">
        <f t="shared" si="233"/>
        <v>0.27647040744330059</v>
      </c>
      <c r="K174" s="14">
        <f t="shared" si="234"/>
        <v>1.6510159918572846</v>
      </c>
      <c r="L174" s="6">
        <f t="shared" si="235"/>
        <v>0.28430356799496165</v>
      </c>
      <c r="M174">
        <f t="shared" si="236"/>
        <v>1.6846376426152565</v>
      </c>
      <c r="N174" s="6">
        <f t="shared" si="237"/>
        <v>0.29499771569151501</v>
      </c>
      <c r="O174">
        <f t="shared" si="238"/>
        <v>1.7256130963784679</v>
      </c>
      <c r="P174" s="6">
        <f t="shared" si="239"/>
        <v>0.3089408035486883</v>
      </c>
      <c r="Q174">
        <f t="shared" si="240"/>
        <v>1.7785181918297106</v>
      </c>
      <c r="R174" s="6">
        <f t="shared" si="241"/>
        <v>0.32694170963188707</v>
      </c>
      <c r="S174">
        <f t="shared" si="242"/>
        <v>1.8434021875246587</v>
      </c>
      <c r="T174" s="6">
        <f t="shared" si="243"/>
        <v>0.34985500299211331</v>
      </c>
      <c r="U174">
        <f t="shared" si="244"/>
        <v>1.9225550784005576</v>
      </c>
      <c r="V174" s="6">
        <f t="shared" si="245"/>
        <v>0.37899503747516783</v>
      </c>
      <c r="W174">
        <f t="shared" si="246"/>
        <v>2.0190541407853626</v>
      </c>
      <c r="X174" s="6">
        <f t="shared" si="247"/>
        <v>0.41624243681482809</v>
      </c>
      <c r="Y174">
        <f t="shared" si="248"/>
        <v>2.1370903802142016</v>
      </c>
      <c r="Z174" s="6">
        <f t="shared" si="249"/>
        <v>0.46433928880066161</v>
      </c>
      <c r="AA174">
        <f t="shared" si="250"/>
        <v>2.2824623847908274</v>
      </c>
      <c r="AB174" s="6">
        <f t="shared" si="251"/>
        <v>0.52738046762275703</v>
      </c>
      <c r="AC174">
        <f t="shared" si="252"/>
        <v>2.4639306505775735</v>
      </c>
      <c r="AD174" s="6">
        <f t="shared" si="253"/>
        <v>0.61240599431665177</v>
      </c>
      <c r="AE174">
        <f t="shared" si="254"/>
        <v>2.6931477916031912</v>
      </c>
      <c r="AF174" s="6">
        <f t="shared" si="255"/>
        <v>0.72850330198729507</v>
      </c>
      <c r="AG174">
        <f t="shared" si="256"/>
        <v>2.9869688703140547</v>
      </c>
      <c r="AH174" s="6">
        <f t="shared" si="257"/>
        <v>0.89246353764903286</v>
      </c>
      <c r="AI174">
        <f t="shared" si="258"/>
        <v>3.3687431234135188</v>
      </c>
      <c r="AJ174">
        <f t="shared" si="259"/>
        <v>1.1602442149466883</v>
      </c>
      <c r="AK174">
        <f t="shared" si="260"/>
        <v>3.87667801913629</v>
      </c>
      <c r="AL174">
        <f t="shared" si="261"/>
        <v>1.5320979605211247</v>
      </c>
      <c r="AM174">
        <f t="shared" si="262"/>
        <v>4.4443262792349199</v>
      </c>
      <c r="AN174">
        <f t="shared" si="263"/>
        <v>2.0089892405107972</v>
      </c>
      <c r="AO174">
        <f t="shared" si="264"/>
        <v>4.0211214597744913</v>
      </c>
      <c r="AP174">
        <f t="shared" si="265"/>
        <v>1.6480280901022035</v>
      </c>
    </row>
    <row r="175" spans="1:42" x14ac:dyDescent="0.25">
      <c r="A175" s="139">
        <v>0.55000000000000004</v>
      </c>
      <c r="B175" s="259">
        <f>'Sub C_D_0'!BA201</f>
        <v>1.5407612627221432E-2</v>
      </c>
      <c r="C175" s="259">
        <f>'C_L vs. α'!X477</f>
        <v>0.14247269201428012</v>
      </c>
      <c r="D175" s="144">
        <v>16</v>
      </c>
      <c r="E175" s="14">
        <f t="shared" si="228"/>
        <v>1.8063702001729898</v>
      </c>
      <c r="F175" s="6">
        <f t="shared" si="229"/>
        <v>0.34049652651563039</v>
      </c>
      <c r="G175" s="14">
        <f t="shared" si="230"/>
        <v>1.8208291377749528</v>
      </c>
      <c r="H175" s="6">
        <f t="shared" si="231"/>
        <v>0.3443578889017091</v>
      </c>
      <c r="I175" s="14">
        <f t="shared" si="232"/>
        <v>1.8420082170527252</v>
      </c>
      <c r="J175" s="6">
        <f t="shared" si="233"/>
        <v>0.3513264577126084</v>
      </c>
      <c r="K175" s="14">
        <f t="shared" si="234"/>
        <v>1.8711514574382557</v>
      </c>
      <c r="L175" s="6">
        <f t="shared" si="235"/>
        <v>0.36154701857214916</v>
      </c>
      <c r="M175">
        <f t="shared" si="236"/>
        <v>1.9092559949639574</v>
      </c>
      <c r="N175" s="6">
        <f t="shared" si="237"/>
        <v>0.37541920427959974</v>
      </c>
      <c r="O175">
        <f t="shared" si="238"/>
        <v>1.9556948425622638</v>
      </c>
      <c r="P175" s="6">
        <f t="shared" si="239"/>
        <v>0.39332205510403861</v>
      </c>
      <c r="Q175">
        <f t="shared" si="240"/>
        <v>2.0156539507403388</v>
      </c>
      <c r="R175" s="6">
        <f t="shared" si="241"/>
        <v>0.41657631894957431</v>
      </c>
      <c r="S175">
        <f t="shared" si="242"/>
        <v>2.0891891458612797</v>
      </c>
      <c r="T175" s="6">
        <f t="shared" si="243"/>
        <v>0.4461490198286906</v>
      </c>
      <c r="U175">
        <f t="shared" si="244"/>
        <v>2.1788957555206321</v>
      </c>
      <c r="V175" s="6">
        <f t="shared" si="245"/>
        <v>0.48373603059836412</v>
      </c>
      <c r="W175">
        <f t="shared" si="246"/>
        <v>2.2882613595567447</v>
      </c>
      <c r="X175" s="6">
        <f t="shared" si="247"/>
        <v>0.53176186637691336</v>
      </c>
      <c r="Y175">
        <f t="shared" si="248"/>
        <v>2.4220357642427621</v>
      </c>
      <c r="Z175" s="6">
        <f t="shared" si="249"/>
        <v>0.59376032872369588</v>
      </c>
      <c r="AA175">
        <f t="shared" si="250"/>
        <v>2.5867907027629373</v>
      </c>
      <c r="AB175" s="6">
        <f t="shared" si="251"/>
        <v>0.67500766140971658</v>
      </c>
      <c r="AC175">
        <f t="shared" si="252"/>
        <v>2.7924547373212505</v>
      </c>
      <c r="AD175" s="6">
        <f t="shared" si="253"/>
        <v>0.78444069907916214</v>
      </c>
      <c r="AE175">
        <f t="shared" si="254"/>
        <v>3.0522341638169501</v>
      </c>
      <c r="AF175" s="6">
        <f t="shared" si="255"/>
        <v>0.93403531694936492</v>
      </c>
      <c r="AG175">
        <f t="shared" si="256"/>
        <v>3.3852313863559287</v>
      </c>
      <c r="AH175" s="6">
        <f t="shared" si="257"/>
        <v>1.1452888190500032</v>
      </c>
      <c r="AI175">
        <f t="shared" si="258"/>
        <v>3.8179088732019881</v>
      </c>
      <c r="AJ175">
        <f t="shared" si="259"/>
        <v>1.4858635570519476</v>
      </c>
      <c r="AK175">
        <f t="shared" si="260"/>
        <v>4.393568421687795</v>
      </c>
      <c r="AL175">
        <f t="shared" si="261"/>
        <v>1.9633129669881955</v>
      </c>
      <c r="AM175">
        <f t="shared" si="262"/>
        <v>5.0369031164662434</v>
      </c>
      <c r="AN175">
        <f t="shared" si="263"/>
        <v>2.5757323812956026</v>
      </c>
      <c r="AO175">
        <f t="shared" si="264"/>
        <v>4.557270987744424</v>
      </c>
      <c r="AP175">
        <f t="shared" si="265"/>
        <v>2.1119755327851615</v>
      </c>
    </row>
    <row r="176" spans="1:42" x14ac:dyDescent="0.25">
      <c r="A176" s="129">
        <v>0.6</v>
      </c>
      <c r="B176" s="259">
        <f>'Sub C_D_0'!BA202</f>
        <v>1.5295851435356731E-2</v>
      </c>
      <c r="C176" s="259">
        <f>'C_L vs. α'!X478</f>
        <v>0.15216415898605515</v>
      </c>
    </row>
    <row r="177" spans="1:42" x14ac:dyDescent="0.25">
      <c r="A177" s="139">
        <v>0.65</v>
      </c>
      <c r="B177" s="259">
        <f>'Sub C_D_0'!BA203</f>
        <v>1.5657363530143915E-2</v>
      </c>
      <c r="C177" s="259">
        <f>'C_L vs. α'!X479</f>
        <v>0.16426204337183825</v>
      </c>
    </row>
    <row r="178" spans="1:42" x14ac:dyDescent="0.25">
      <c r="A178" s="129">
        <v>0.7</v>
      </c>
      <c r="B178" s="259">
        <f>'Sub C_D_0'!BA204</f>
        <v>1.55602438948939E-2</v>
      </c>
      <c r="C178" s="259">
        <f>'C_L vs. α'!X480</f>
        <v>0.17954318610687942</v>
      </c>
    </row>
    <row r="179" spans="1:42" x14ac:dyDescent="0.25">
      <c r="A179" s="139">
        <v>0.75</v>
      </c>
      <c r="B179" s="259">
        <f>'Sub C_D_0'!BA205</f>
        <v>1.5471068527645617E-2</v>
      </c>
      <c r="C179" s="259">
        <f>'C_L vs. α'!X481</f>
        <v>0.19913125802093698</v>
      </c>
    </row>
    <row r="180" spans="1:42" x14ac:dyDescent="0.25">
      <c r="A180" s="129">
        <v>0.8</v>
      </c>
      <c r="B180" s="259">
        <f>'Sub C_D_0'!BA206</f>
        <v>1.5488715357886648E-2</v>
      </c>
      <c r="C180" s="259">
        <f>'C_L vs. α'!X482</f>
        <v>0.22458287489423459</v>
      </c>
    </row>
    <row r="181" spans="1:42" x14ac:dyDescent="0.25">
      <c r="A181" s="139">
        <v>0.85</v>
      </c>
      <c r="B181" s="259">
        <f>'Sub C_D_0'!BA207</f>
        <v>1.6107703410328293E-2</v>
      </c>
      <c r="C181" s="259">
        <f>'C_L vs. α'!X483</f>
        <v>0.25844520127575266</v>
      </c>
    </row>
    <row r="182" spans="1:42" x14ac:dyDescent="0.25">
      <c r="A182" s="129">
        <v>0.9</v>
      </c>
      <c r="B182" s="259">
        <f>'Sub C_D_0'!BA208</f>
        <v>1.6532886189218342E-2</v>
      </c>
      <c r="C182" s="259">
        <f>'C_L vs. α'!X484</f>
        <v>0.29628841861566135</v>
      </c>
    </row>
    <row r="183" spans="1:42" x14ac:dyDescent="0.25">
      <c r="A183" s="139">
        <v>0.95</v>
      </c>
      <c r="B183" s="259">
        <f>'Sub C_D_0'!BA209</f>
        <v>1.6962861919932487E-2</v>
      </c>
      <c r="C183" s="259">
        <f>'C_L vs. α'!X485</f>
        <v>0.2680747639849661</v>
      </c>
    </row>
    <row r="185" spans="1:42" x14ac:dyDescent="0.25">
      <c r="A185" s="122" t="s">
        <v>537</v>
      </c>
      <c r="B185" s="122" t="s">
        <v>289</v>
      </c>
    </row>
    <row r="186" spans="1:42" x14ac:dyDescent="0.25">
      <c r="A186" s="122" t="s">
        <v>202</v>
      </c>
      <c r="B186" s="145">
        <v>40000</v>
      </c>
      <c r="C186" s="122" t="s">
        <v>538</v>
      </c>
      <c r="D186" s="122" t="s">
        <v>539</v>
      </c>
      <c r="E186" s="1" t="s">
        <v>536</v>
      </c>
      <c r="F186" s="140">
        <v>0.05</v>
      </c>
      <c r="G186" s="1" t="s">
        <v>536</v>
      </c>
      <c r="H186" s="140">
        <v>0.1</v>
      </c>
      <c r="I186" s="1" t="s">
        <v>536</v>
      </c>
      <c r="J186" s="140">
        <v>0.15</v>
      </c>
      <c r="K186" s="1" t="s">
        <v>536</v>
      </c>
      <c r="L186" s="140">
        <v>0.2</v>
      </c>
      <c r="M186" t="s">
        <v>536</v>
      </c>
      <c r="N186" s="141">
        <v>0.25</v>
      </c>
      <c r="O186" t="s">
        <v>536</v>
      </c>
      <c r="P186" s="141">
        <v>0.3</v>
      </c>
      <c r="Q186" t="s">
        <v>536</v>
      </c>
      <c r="R186" s="141">
        <v>0.35</v>
      </c>
      <c r="S186" t="s">
        <v>536</v>
      </c>
      <c r="T186" s="141">
        <v>0.4</v>
      </c>
      <c r="U186" t="s">
        <v>536</v>
      </c>
      <c r="V186" s="141">
        <v>0.45</v>
      </c>
      <c r="W186" t="s">
        <v>536</v>
      </c>
      <c r="X186" s="141">
        <v>0.5</v>
      </c>
      <c r="Y186" t="s">
        <v>536</v>
      </c>
      <c r="Z186" s="141">
        <v>0.55000000000000004</v>
      </c>
      <c r="AA186" t="s">
        <v>536</v>
      </c>
      <c r="AB186" s="141">
        <v>0.6</v>
      </c>
      <c r="AC186" t="s">
        <v>536</v>
      </c>
      <c r="AD186" s="141">
        <v>0.65</v>
      </c>
      <c r="AE186" t="s">
        <v>536</v>
      </c>
      <c r="AF186" s="141">
        <v>0.7</v>
      </c>
      <c r="AG186" t="s">
        <v>536</v>
      </c>
      <c r="AH186" s="141">
        <v>0.75</v>
      </c>
      <c r="AI186" t="s">
        <v>536</v>
      </c>
      <c r="AJ186" s="141">
        <v>0.8</v>
      </c>
      <c r="AK186" t="s">
        <v>536</v>
      </c>
      <c r="AL186" s="141">
        <v>0.85</v>
      </c>
      <c r="AM186" t="s">
        <v>536</v>
      </c>
      <c r="AN186" s="141">
        <v>0.9</v>
      </c>
      <c r="AO186" t="s">
        <v>536</v>
      </c>
      <c r="AP186" s="141">
        <v>0.95</v>
      </c>
    </row>
    <row r="187" spans="1:42" x14ac:dyDescent="0.25">
      <c r="A187" s="121" t="s">
        <v>182</v>
      </c>
      <c r="B187" s="121" t="s">
        <v>534</v>
      </c>
      <c r="C187" s="121" t="s">
        <v>535</v>
      </c>
      <c r="D187" s="121" t="s">
        <v>421</v>
      </c>
      <c r="E187" s="14" t="s">
        <v>244</v>
      </c>
      <c r="F187" s="6" t="s">
        <v>245</v>
      </c>
      <c r="G187" s="14" t="s">
        <v>244</v>
      </c>
      <c r="H187" s="6" t="s">
        <v>245</v>
      </c>
      <c r="I187" s="14" t="s">
        <v>244</v>
      </c>
      <c r="J187" s="6" t="s">
        <v>245</v>
      </c>
      <c r="K187" s="14" t="s">
        <v>244</v>
      </c>
      <c r="L187" s="6" t="s">
        <v>245</v>
      </c>
      <c r="M187" t="s">
        <v>244</v>
      </c>
      <c r="N187" t="s">
        <v>245</v>
      </c>
      <c r="O187" t="s">
        <v>244</v>
      </c>
      <c r="P187" t="s">
        <v>245</v>
      </c>
      <c r="Q187" t="s">
        <v>244</v>
      </c>
      <c r="R187" t="s">
        <v>245</v>
      </c>
      <c r="S187" t="s">
        <v>244</v>
      </c>
      <c r="T187" t="s">
        <v>245</v>
      </c>
      <c r="U187" t="s">
        <v>244</v>
      </c>
      <c r="V187" t="s">
        <v>245</v>
      </c>
      <c r="W187" t="s">
        <v>244</v>
      </c>
      <c r="X187" t="s">
        <v>245</v>
      </c>
      <c r="Y187" t="s">
        <v>244</v>
      </c>
      <c r="Z187" t="s">
        <v>245</v>
      </c>
      <c r="AA187" t="s">
        <v>244</v>
      </c>
      <c r="AB187" t="s">
        <v>245</v>
      </c>
      <c r="AC187" t="s">
        <v>244</v>
      </c>
      <c r="AD187" t="s">
        <v>245</v>
      </c>
      <c r="AE187" t="s">
        <v>244</v>
      </c>
      <c r="AF187" t="s">
        <v>245</v>
      </c>
      <c r="AG187" t="s">
        <v>244</v>
      </c>
      <c r="AH187" t="s">
        <v>245</v>
      </c>
      <c r="AI187" t="s">
        <v>244</v>
      </c>
      <c r="AJ187" t="s">
        <v>245</v>
      </c>
      <c r="AK187" t="s">
        <v>244</v>
      </c>
      <c r="AL187" t="s">
        <v>245</v>
      </c>
      <c r="AM187" t="s">
        <v>244</v>
      </c>
      <c r="AN187" t="s">
        <v>245</v>
      </c>
      <c r="AO187" t="s">
        <v>244</v>
      </c>
      <c r="AP187" t="s">
        <v>245</v>
      </c>
    </row>
    <row r="188" spans="1:42" x14ac:dyDescent="0.25">
      <c r="A188" s="129">
        <v>0</v>
      </c>
      <c r="B188" s="129" t="e">
        <f>'Sub C_D_0'!BA220</f>
        <v>#DIV/0!</v>
      </c>
      <c r="C188" s="129" t="e">
        <f>'C_L vs. α'!X491</f>
        <v>#NUM!</v>
      </c>
      <c r="D188" s="144">
        <v>-6</v>
      </c>
      <c r="E188" s="14">
        <f>(D188-$B$12)*$C$189</f>
        <v>-0.53142156643688421</v>
      </c>
      <c r="F188" s="6">
        <f>$B$189+$B$7*E188^2+$B$8*(E188-E$191)^2</f>
        <v>4.9552294570002174E-2</v>
      </c>
      <c r="G188" s="14">
        <f>(D188-$B$12)*$C$190</f>
        <v>-0.53567035246122652</v>
      </c>
      <c r="H188" s="6">
        <f>$B$190+$B$7*G188^2+$B$8*(G188-G$191)^2</f>
        <v>4.8771481366183617E-2</v>
      </c>
      <c r="I188" s="14">
        <f>(D188-$B$12)*$C$191</f>
        <v>-0.54189128441526069</v>
      </c>
      <c r="J188" s="6">
        <f>$B$191+$B$7*I188^2+$B$8*(I188-I$191)^2</f>
        <v>4.8842740776247076E-2</v>
      </c>
      <c r="K188" s="14">
        <f>(D188-$B$12)*$C$192</f>
        <v>-0.55045467258878689</v>
      </c>
      <c r="L188" s="6">
        <f>$B$192+$B$7*K188^2+$B$8*(K188-K$191)^2</f>
        <v>4.9430583540240901E-2</v>
      </c>
      <c r="M188">
        <f>(D188-$B$12)*$C$193</f>
        <v>-0.56165394198934249</v>
      </c>
      <c r="N188" s="6">
        <f>$B$193+$B$7*M188^2+$B$8*(M188-M$191)^2</f>
        <v>5.0474149068026317E-2</v>
      </c>
      <c r="O188">
        <f>(D188-$B$12)*$C$194</f>
        <v>-0.57531284110323644</v>
      </c>
      <c r="P188" s="6">
        <f>$B$194+$B$7*O188^2+$B$8*(O188-O$191)^2</f>
        <v>5.2383067046777955E-2</v>
      </c>
      <c r="Q188">
        <f>(D188-$B$12)*$C$195</f>
        <v>-0.59293946414242549</v>
      </c>
      <c r="R188" s="6">
        <f>$B$195+$B$7*Q188^2+$B$8*(Q188-Q$191)^2</f>
        <v>5.4424561441021771E-2</v>
      </c>
      <c r="S188">
        <f>(D188-$B$12)*$C$196</f>
        <v>-0.61455748281419853</v>
      </c>
      <c r="T188" s="6">
        <f>$B$196+$B$7*S188^2+$B$8*(S188-S$191)^2</f>
        <v>5.7104831801750494E-2</v>
      </c>
      <c r="U188">
        <f>(D188-$B$12)*$C$197</f>
        <v>-0.64092941745577159</v>
      </c>
      <c r="V188" s="6">
        <f>$B$197+$B$7*U188^2+$B$8*(U188-U$191)^2</f>
        <v>6.0578956481610123E-2</v>
      </c>
      <c r="W188">
        <f>(D188-$B$12)*$C$198</f>
        <v>-0.6730797811408793</v>
      </c>
      <c r="X188" s="6">
        <f>$B$198+$B$7*W188^2+$B$8*(W188-W$191)^2</f>
        <v>6.5074704762979663E-2</v>
      </c>
      <c r="Y188">
        <f>(D188-$B$12)*$C$199</f>
        <v>-0.712403601914256</v>
      </c>
      <c r="Z188" s="6">
        <f>$B$199+$B$7*Y188^2+$B$8*(Y188-Y$191)^2</f>
        <v>7.0928016689910098E-2</v>
      </c>
      <c r="AA188">
        <f>(D188-$B$12)*$C$200</f>
        <v>-0.7608304737650522</v>
      </c>
      <c r="AB188" s="6">
        <f>$B$200+$B$7*AA188^2+$B$8*(AA188-AA$191)^2</f>
        <v>7.8643176068462162E-2</v>
      </c>
      <c r="AC188">
        <f>(D188-$B$12)*$C$201</f>
        <v>-0.82127128061632959</v>
      </c>
      <c r="AD188" s="6">
        <f>$B$201+$B$7*AC188^2+$B$8*(AC188-AC$191)^2</f>
        <v>8.9487000987137841E-2</v>
      </c>
      <c r="AE188">
        <f>(D188-$B$12)*$C$202</f>
        <v>-0.89759908347829942</v>
      </c>
      <c r="AF188" s="6">
        <f>$B$202+$B$7*AE188^2+$B$8*(AE188-AE$191)^2</f>
        <v>0.10378081570592791</v>
      </c>
      <c r="AG188">
        <f>(D188-$B$12)*$C$203</f>
        <v>-0.9954087628192626</v>
      </c>
      <c r="AH188" s="6">
        <f>$B$203+$B$7*AG188^2+$B$8*(AG188-AG$191)^2</f>
        <v>0.12400004027070612</v>
      </c>
      <c r="AI188">
        <f>(D188-$B$12)*$C$204</f>
        <v>-1.1224276564227389</v>
      </c>
      <c r="AJ188">
        <f>$B$204+$B$9*AI188^2</f>
        <v>0.14243551474957766</v>
      </c>
      <c r="AK188">
        <f>(D188-$B$12)*$C$205</f>
        <v>-1.2911682043819241</v>
      </c>
      <c r="AL188">
        <f>$B$205+$B$9*AK188^2</f>
        <v>0.18413216632647147</v>
      </c>
      <c r="AM188">
        <f>(D188-$B$12)*$C$206</f>
        <v>-1.4790002308818497</v>
      </c>
      <c r="AN188">
        <f>$B$206+$B$9*AM188^2</f>
        <v>0.23704602286342585</v>
      </c>
      <c r="AO188">
        <f>(D188-$B$12)*$C$207</f>
        <v>-1.3323974242911165</v>
      </c>
      <c r="AP188">
        <f>$B$207+$B$9*AO188^2</f>
        <v>0.19590156027462333</v>
      </c>
    </row>
    <row r="189" spans="1:42" x14ac:dyDescent="0.25">
      <c r="A189" s="139">
        <v>0.05</v>
      </c>
      <c r="B189" s="259">
        <f>'Sub C_D_0'!BA221</f>
        <v>1.8579533520607084E-2</v>
      </c>
      <c r="C189" s="259">
        <f>'C_L vs. α'!X492</f>
        <v>0.10628431328737685</v>
      </c>
      <c r="D189" s="144">
        <v>-4</v>
      </c>
      <c r="E189" s="14">
        <f t="shared" ref="E189:E199" si="266">(D189-$B$12)*$C$189</f>
        <v>-0.31885293986213054</v>
      </c>
      <c r="F189" s="6">
        <f t="shared" ref="F189:F199" si="267">$B$189+$B$7*E189^2+$B$8*(E189-E$191)^2</f>
        <v>3.0416545897648251E-2</v>
      </c>
      <c r="G189" s="14">
        <f t="shared" ref="G189:G199" si="268">(D189-$B$12)*$C$190</f>
        <v>-0.32140221147673592</v>
      </c>
      <c r="H189" s="6">
        <f t="shared" ref="H189:H199" si="269">$B$190+$B$7*G189^2+$B$8*(G189-G$191)^2</f>
        <v>2.9328523789910799E-2</v>
      </c>
      <c r="I189" s="14">
        <f t="shared" ref="I189:I199" si="270">(D189-$B$12)*$C$191</f>
        <v>-0.32513477064915641</v>
      </c>
      <c r="J189" s="6">
        <f t="shared" ref="J189:J199" si="271">$B$191+$B$7*I189^2+$B$8*(I189-I$191)^2</f>
        <v>2.8945564844854953E-2</v>
      </c>
      <c r="K189" s="14">
        <f t="shared" ref="K189:K199" si="272">(D189-$B$12)*$C$192</f>
        <v>-0.3302728035532721</v>
      </c>
      <c r="L189" s="6">
        <f t="shared" ref="L189:L199" si="273">$B$192+$B$7*K189^2+$B$8*(K189-K$191)^2</f>
        <v>2.8899577385155424E-2</v>
      </c>
      <c r="M189">
        <f t="shared" ref="M189:M199" si="274">(D189-$B$12)*$C$193</f>
        <v>-0.33699236519360548</v>
      </c>
      <c r="N189" s="6">
        <f t="shared" ref="N189:N199" si="275">$B$193+$B$7*M189^2+$B$8*(M189-M$191)^2</f>
        <v>2.9099217617112885E-2</v>
      </c>
      <c r="O189">
        <f t="shared" ref="O189:O199" si="276">(D189-$B$12)*$C$194</f>
        <v>-0.34518770466194182</v>
      </c>
      <c r="P189" s="6">
        <f t="shared" ref="P189:P199" si="277">$B$194+$B$7*O189^2+$B$8*(O189-O$191)^2</f>
        <v>2.9955857374541088E-2</v>
      </c>
      <c r="Q189">
        <f t="shared" ref="Q189:Q198" si="278">(D189-$B$12)*$C$195</f>
        <v>-0.35576367848545531</v>
      </c>
      <c r="R189" s="6">
        <f t="shared" ref="R189:R199" si="279">$B$195+$B$7*Q189^2+$B$8*(Q189-Q$191)^2</f>
        <v>3.0602034814055316E-2</v>
      </c>
      <c r="S189">
        <f t="shared" ref="S189:S199" si="280">(D189-$B$12)*$C$196</f>
        <v>-0.36873448968851907</v>
      </c>
      <c r="T189" s="6">
        <f t="shared" ref="T189:T199" si="281">$B$196+$B$7*S189^2+$B$8*(S189-S$191)^2</f>
        <v>3.1513544650752547E-2</v>
      </c>
      <c r="U189">
        <f t="shared" ref="U189:U199" si="282">(D189-$B$12)*$C$197</f>
        <v>-0.38455765047346291</v>
      </c>
      <c r="V189" s="6">
        <f t="shared" ref="V189:V199" si="283">$B$197+$B$7*U189^2+$B$8*(U189-U$191)^2</f>
        <v>3.2744194072469195E-2</v>
      </c>
      <c r="W189">
        <f t="shared" ref="W189:W199" si="284">(D189-$B$12)*$C$198</f>
        <v>-0.40384786868452754</v>
      </c>
      <c r="X189" s="6">
        <f t="shared" ref="X189:X199" si="285">$B$198+$B$7*W189^2+$B$8*(W189-W$191)^2</f>
        <v>3.4377403412437189E-2</v>
      </c>
      <c r="Y189">
        <f t="shared" ref="Y189:Y199" si="286">(D189-$B$12)*$C$199</f>
        <v>-0.4274421611485536</v>
      </c>
      <c r="Z189" s="6">
        <f t="shared" ref="Z189:Z199" si="287">$B$199+$B$7*Y189^2+$B$8*(Y189-Y$191)^2</f>
        <v>3.653903458582583E-2</v>
      </c>
      <c r="AA189">
        <f t="shared" ref="AA189:AA199" si="288">(D189-$B$12)*$C$200</f>
        <v>-0.45649828425903127</v>
      </c>
      <c r="AB189" s="6">
        <f t="shared" ref="AB189:AB199" si="289">$B$200+$B$7*AA189^2+$B$8*(AA189-AA$191)^2</f>
        <v>3.9419986551692945E-2</v>
      </c>
      <c r="AC189">
        <f t="shared" ref="AC189:AC199" si="290">(D189-$B$12)*$C$201</f>
        <v>-0.49276276836979771</v>
      </c>
      <c r="AD189" s="6">
        <f t="shared" ref="AD189:AD199" si="291">$B$201+$B$7*AC189^2+$B$8*(AC189-AC$191)^2</f>
        <v>4.3784456499796995E-2</v>
      </c>
      <c r="AE189">
        <f t="shared" ref="AE189:AE199" si="292">(D189-$B$12)*$C$202</f>
        <v>-0.5385594500869797</v>
      </c>
      <c r="AF189" s="6">
        <f t="shared" ref="AF189:AF199" si="293">$B$202+$B$7*AE189^2+$B$8*(AE189-AE$191)^2</f>
        <v>4.918845069991553E-2</v>
      </c>
      <c r="AG189">
        <f t="shared" ref="AG189:AG199" si="294">(D189-$B$12)*$C$203</f>
        <v>-0.59724525769155756</v>
      </c>
      <c r="AH189" s="6">
        <f t="shared" ref="AH189:AH199" si="295">$B$203+$B$7*AG189^2+$B$8*(AG189-AG$191)^2</f>
        <v>5.6861788681523008E-2</v>
      </c>
      <c r="AI189">
        <f t="shared" ref="AI189:AI199" si="296">(D189-$B$12)*$C$204</f>
        <v>-0.67345659385364343</v>
      </c>
      <c r="AJ189">
        <f t="shared" ref="AJ189:AJ199" si="297">$B$204+$B$9*AI189^2</f>
        <v>6.110123244947134E-2</v>
      </c>
      <c r="AK189">
        <f t="shared" ref="AK189:AK199" si="298">(D189-$B$12)*$C$205</f>
        <v>-0.77470092262915458</v>
      </c>
      <c r="AL189">
        <f t="shared" ref="AL189:AL199" si="299">$B$205+$B$9*AK189^2</f>
        <v>7.6504836402590551E-2</v>
      </c>
      <c r="AM189">
        <f t="shared" ref="AM189:AM199" si="300">(D189-$B$12)*$C$206</f>
        <v>-0.88740013852910993</v>
      </c>
      <c r="AN189">
        <f t="shared" ref="AN189:AN199" si="301">$B$206+$B$9*AM189^2</f>
        <v>9.5826934309696271E-2</v>
      </c>
      <c r="AO189">
        <f t="shared" ref="AO189:AO199" si="302">(D189-$B$12)*$C$207</f>
        <v>-0.79943845457467</v>
      </c>
      <c r="AP189">
        <f t="shared" ref="AP189:AP199" si="303">$B$207+$B$9*AO189^2</f>
        <v>8.1291038545611025E-2</v>
      </c>
    </row>
    <row r="190" spans="1:42" x14ac:dyDescent="0.25">
      <c r="A190" s="129">
        <v>0.1</v>
      </c>
      <c r="B190" s="259">
        <f>'Sub C_D_0'!BA222</f>
        <v>1.7301477792534783E-2</v>
      </c>
      <c r="C190" s="259">
        <f>'C_L vs. α'!X493</f>
        <v>0.10713407049224531</v>
      </c>
      <c r="D190" s="144">
        <v>-2</v>
      </c>
      <c r="E190" s="14">
        <f t="shared" si="266"/>
        <v>-0.10628431328737685</v>
      </c>
      <c r="F190" s="6">
        <f t="shared" si="267"/>
        <v>2.0396817351432516E-2</v>
      </c>
      <c r="G190" s="14">
        <f t="shared" si="268"/>
        <v>-0.10713407049224531</v>
      </c>
      <c r="H190" s="6">
        <f t="shared" si="269"/>
        <v>1.9147936639364892E-2</v>
      </c>
      <c r="I190" s="14">
        <f t="shared" si="270"/>
        <v>-0.10837825688305214</v>
      </c>
      <c r="J190" s="6">
        <f t="shared" si="271"/>
        <v>1.8527143016558535E-2</v>
      </c>
      <c r="K190" s="14">
        <f t="shared" si="272"/>
        <v>-0.11009093451775737</v>
      </c>
      <c r="L190" s="6">
        <f t="shared" si="273"/>
        <v>1.814927375309296E-2</v>
      </c>
      <c r="M190">
        <f t="shared" si="274"/>
        <v>-0.11233078839786849</v>
      </c>
      <c r="N190" s="6">
        <f t="shared" si="275"/>
        <v>1.7907023650772708E-2</v>
      </c>
      <c r="O190">
        <f t="shared" si="276"/>
        <v>-0.11506256822064728</v>
      </c>
      <c r="P190" s="6">
        <f t="shared" si="277"/>
        <v>1.8212676754201414E-2</v>
      </c>
      <c r="Q190">
        <f t="shared" si="278"/>
        <v>-0.1185878928284851</v>
      </c>
      <c r="R190" s="6">
        <f t="shared" si="279"/>
        <v>1.8128247967552073E-2</v>
      </c>
      <c r="S190">
        <f t="shared" si="280"/>
        <v>-0.1229114965628397</v>
      </c>
      <c r="T190" s="6">
        <f t="shared" si="281"/>
        <v>1.8113611635760904E-2</v>
      </c>
      <c r="U190">
        <f t="shared" si="282"/>
        <v>-0.12818588349115431</v>
      </c>
      <c r="V190" s="6">
        <f t="shared" si="283"/>
        <v>1.816954803884242E-2</v>
      </c>
      <c r="W190">
        <f t="shared" si="284"/>
        <v>-0.13461595622817585</v>
      </c>
      <c r="X190" s="6">
        <f t="shared" si="285"/>
        <v>1.8303894510316908E-2</v>
      </c>
      <c r="Y190">
        <f t="shared" si="286"/>
        <v>-0.1424807203828512</v>
      </c>
      <c r="Z190" s="6">
        <f t="shared" si="287"/>
        <v>1.8532513306551042E-2</v>
      </c>
      <c r="AA190">
        <f t="shared" si="288"/>
        <v>-0.15216609475301043</v>
      </c>
      <c r="AB190" s="6">
        <f t="shared" si="289"/>
        <v>1.888221097761306E-2</v>
      </c>
      <c r="AC190">
        <f t="shared" si="290"/>
        <v>-0.16425425612326591</v>
      </c>
      <c r="AD190" s="6">
        <f t="shared" si="291"/>
        <v>1.9854005829942276E-2</v>
      </c>
      <c r="AE190">
        <f t="shared" si="292"/>
        <v>-0.17951981669565989</v>
      </c>
      <c r="AF190" s="6">
        <f t="shared" si="293"/>
        <v>2.0603173613451608E-2</v>
      </c>
      <c r="AG190">
        <f t="shared" si="294"/>
        <v>-0.19908175256385252</v>
      </c>
      <c r="AH190" s="6">
        <f t="shared" si="295"/>
        <v>2.1707321118775658E-2</v>
      </c>
      <c r="AI190">
        <f t="shared" si="296"/>
        <v>-0.22448553128454779</v>
      </c>
      <c r="AJ190">
        <f t="shared" si="297"/>
        <v>2.0434091299418162E-2</v>
      </c>
      <c r="AK190">
        <f t="shared" si="298"/>
        <v>-0.25823364087638484</v>
      </c>
      <c r="AL190">
        <f t="shared" si="299"/>
        <v>2.2691171440650072E-2</v>
      </c>
      <c r="AM190">
        <f t="shared" si="300"/>
        <v>-0.29580004617636996</v>
      </c>
      <c r="AN190">
        <f t="shared" si="301"/>
        <v>2.5217390032831469E-2</v>
      </c>
      <c r="AO190">
        <f t="shared" si="302"/>
        <v>-0.26647948485822331</v>
      </c>
      <c r="AP190">
        <f t="shared" si="303"/>
        <v>2.3985777681104853E-2</v>
      </c>
    </row>
    <row r="191" spans="1:42" s="29" customFormat="1" x14ac:dyDescent="0.25">
      <c r="A191" s="139">
        <v>0.15</v>
      </c>
      <c r="B191" s="259">
        <f>'Sub C_D_0'!BA223</f>
        <v>1.6637547959771043E-2</v>
      </c>
      <c r="C191" s="259">
        <f>'C_L vs. α'!X494</f>
        <v>0.10837825688305214</v>
      </c>
      <c r="D191" s="143">
        <v>0</v>
      </c>
      <c r="E191" s="83">
        <f t="shared" si="266"/>
        <v>0.10628431328737685</v>
      </c>
      <c r="F191" s="21">
        <f t="shared" si="267"/>
        <v>1.9493108931354974E-2</v>
      </c>
      <c r="G191" s="83">
        <f t="shared" si="268"/>
        <v>0.10713407049224531</v>
      </c>
      <c r="H191" s="21">
        <f t="shared" si="269"/>
        <v>1.8229719914545899E-2</v>
      </c>
      <c r="I191" s="83">
        <f t="shared" si="270"/>
        <v>0.10837825688305214</v>
      </c>
      <c r="J191" s="21">
        <f t="shared" si="271"/>
        <v>1.7587475291357828E-2</v>
      </c>
      <c r="K191" s="83">
        <f t="shared" si="272"/>
        <v>0.11009093451775737</v>
      </c>
      <c r="L191" s="21">
        <f t="shared" si="273"/>
        <v>1.7179672644053508E-2</v>
      </c>
      <c r="M191" s="99">
        <f t="shared" si="274"/>
        <v>0.11233078839786849</v>
      </c>
      <c r="N191" s="21">
        <f t="shared" si="275"/>
        <v>1.689756716900577E-2</v>
      </c>
      <c r="O191" s="99">
        <f t="shared" si="276"/>
        <v>0.11506256822064728</v>
      </c>
      <c r="P191" s="21">
        <f t="shared" si="277"/>
        <v>1.7153525185758925E-2</v>
      </c>
      <c r="Q191" s="99">
        <f t="shared" si="278"/>
        <v>0.1185878928284851</v>
      </c>
      <c r="R191" s="21">
        <f t="shared" si="279"/>
        <v>1.7003200901512052E-2</v>
      </c>
      <c r="S191" s="99">
        <f t="shared" si="280"/>
        <v>0.1229114965628397</v>
      </c>
      <c r="T191" s="21">
        <f t="shared" si="281"/>
        <v>1.6905032756775549E-2</v>
      </c>
      <c r="U191" s="99">
        <f t="shared" si="282"/>
        <v>0.12818588349115431</v>
      </c>
      <c r="V191" s="21">
        <f t="shared" si="283"/>
        <v>1.6855018380729798E-2</v>
      </c>
      <c r="W191" s="99">
        <f t="shared" si="284"/>
        <v>0.13461595622817585</v>
      </c>
      <c r="X191" s="21">
        <f t="shared" si="285"/>
        <v>1.6854178056618815E-2</v>
      </c>
      <c r="Y191" s="99">
        <f t="shared" si="286"/>
        <v>0.1424807203828512</v>
      </c>
      <c r="Z191" s="21">
        <f t="shared" si="287"/>
        <v>1.6908452852085743E-2</v>
      </c>
      <c r="AA191" s="99">
        <f t="shared" si="288"/>
        <v>0.15216609475301043</v>
      </c>
      <c r="AB191" s="21">
        <f t="shared" si="289"/>
        <v>1.7029849346222488E-2</v>
      </c>
      <c r="AC191" s="99">
        <f t="shared" si="290"/>
        <v>0.16425425612326591</v>
      </c>
      <c r="AD191" s="21">
        <f t="shared" si="291"/>
        <v>1.769564897757368E-2</v>
      </c>
      <c r="AE191" s="99">
        <f t="shared" si="292"/>
        <v>0.17951981669565989</v>
      </c>
      <c r="AF191" s="21">
        <f t="shared" si="293"/>
        <v>1.8024984446536142E-2</v>
      </c>
      <c r="AG191" s="99">
        <f t="shared" si="294"/>
        <v>0.19908175256385252</v>
      </c>
      <c r="AH191" s="21">
        <f t="shared" si="295"/>
        <v>1.8536637582464058E-2</v>
      </c>
      <c r="AI191" s="99">
        <f t="shared" si="296"/>
        <v>0.22448553128454779</v>
      </c>
      <c r="AJ191" s="99">
        <f t="shared" si="297"/>
        <v>2.0434091299418162E-2</v>
      </c>
      <c r="AK191" s="99">
        <f t="shared" si="298"/>
        <v>0.25823364087638484</v>
      </c>
      <c r="AL191" s="99">
        <f t="shared" si="299"/>
        <v>2.2691171440650072E-2</v>
      </c>
      <c r="AM191" s="99">
        <f t="shared" si="300"/>
        <v>0.29580004617636996</v>
      </c>
      <c r="AN191" s="99">
        <f t="shared" si="301"/>
        <v>2.5217390032831469E-2</v>
      </c>
      <c r="AO191" s="99">
        <f t="shared" si="302"/>
        <v>0.26647948485822331</v>
      </c>
      <c r="AP191" s="99">
        <f t="shared" si="303"/>
        <v>2.3985777681104853E-2</v>
      </c>
    </row>
    <row r="192" spans="1:42" x14ac:dyDescent="0.25">
      <c r="A192" s="129">
        <v>0.2</v>
      </c>
      <c r="B192" s="259">
        <f>'Sub C_D_0'!BA224</f>
        <v>1.6199485105935496E-2</v>
      </c>
      <c r="C192" s="259">
        <f>'C_L vs. α'!X495</f>
        <v>0.11009093451775737</v>
      </c>
      <c r="D192" s="144">
        <v>2</v>
      </c>
      <c r="E192" s="14">
        <f t="shared" si="266"/>
        <v>0.31885293986213054</v>
      </c>
      <c r="F192" s="6">
        <f t="shared" si="267"/>
        <v>2.7705420637415625E-2</v>
      </c>
      <c r="G192" s="14">
        <f t="shared" si="268"/>
        <v>0.32140221147673592</v>
      </c>
      <c r="H192" s="6">
        <f t="shared" si="269"/>
        <v>2.6573873615453828E-2</v>
      </c>
      <c r="I192" s="14">
        <f t="shared" si="270"/>
        <v>0.32513477064915641</v>
      </c>
      <c r="J192" s="6">
        <f t="shared" si="271"/>
        <v>2.6126561669252833E-2</v>
      </c>
      <c r="K192" s="14">
        <f t="shared" si="272"/>
        <v>0.3302728035532721</v>
      </c>
      <c r="L192" s="6">
        <f t="shared" si="273"/>
        <v>2.5990774058037069E-2</v>
      </c>
      <c r="M192">
        <f t="shared" si="274"/>
        <v>0.33699236519360548</v>
      </c>
      <c r="N192" s="6">
        <f t="shared" si="275"/>
        <v>2.6070848171812079E-2</v>
      </c>
      <c r="O192">
        <f t="shared" si="276"/>
        <v>0.34518770466194182</v>
      </c>
      <c r="P192" s="6">
        <f t="shared" si="277"/>
        <v>2.6778402669213622E-2</v>
      </c>
      <c r="Q192">
        <f t="shared" si="278"/>
        <v>0.35576367848545531</v>
      </c>
      <c r="R192" s="6">
        <f t="shared" si="279"/>
        <v>2.7226893615935253E-2</v>
      </c>
      <c r="S192">
        <f t="shared" si="280"/>
        <v>0.36873448968851907</v>
      </c>
      <c r="T192" s="6">
        <f t="shared" si="281"/>
        <v>2.7887808013796474E-2</v>
      </c>
      <c r="U192">
        <f t="shared" si="282"/>
        <v>0.38455765047346291</v>
      </c>
      <c r="V192" s="6">
        <f t="shared" si="283"/>
        <v>2.8800605098131322E-2</v>
      </c>
      <c r="W192">
        <f t="shared" si="284"/>
        <v>0.40384786868452754</v>
      </c>
      <c r="X192" s="6">
        <f t="shared" si="285"/>
        <v>3.0028254051342913E-2</v>
      </c>
      <c r="Y192">
        <f t="shared" si="286"/>
        <v>0.4274421611485536</v>
      </c>
      <c r="Z192" s="6">
        <f t="shared" si="287"/>
        <v>3.166685322242993E-2</v>
      </c>
      <c r="AA192">
        <f t="shared" si="288"/>
        <v>0.45649828425903127</v>
      </c>
      <c r="AB192" s="6">
        <f t="shared" si="289"/>
        <v>3.3862901657521226E-2</v>
      </c>
      <c r="AC192">
        <f t="shared" si="290"/>
        <v>0.49276276836979771</v>
      </c>
      <c r="AD192" s="6">
        <f t="shared" si="291"/>
        <v>3.7309385942691203E-2</v>
      </c>
      <c r="AE192">
        <f t="shared" si="292"/>
        <v>0.5385594500869797</v>
      </c>
      <c r="AF192" s="6">
        <f t="shared" si="293"/>
        <v>4.1453883199169136E-2</v>
      </c>
      <c r="AG192">
        <f t="shared" si="294"/>
        <v>0.59724525769155756</v>
      </c>
      <c r="AH192" s="6">
        <f t="shared" si="295"/>
        <v>4.7349738072588209E-2</v>
      </c>
      <c r="AI192">
        <f t="shared" si="296"/>
        <v>0.67345659385364343</v>
      </c>
      <c r="AJ192">
        <f t="shared" si="297"/>
        <v>6.110123244947134E-2</v>
      </c>
      <c r="AK192">
        <f t="shared" si="298"/>
        <v>0.77470092262915458</v>
      </c>
      <c r="AL192">
        <f t="shared" si="299"/>
        <v>7.6504836402590551E-2</v>
      </c>
      <c r="AM192">
        <f t="shared" si="300"/>
        <v>0.88740013852910993</v>
      </c>
      <c r="AN192">
        <f t="shared" si="301"/>
        <v>9.5826934309696271E-2</v>
      </c>
      <c r="AO192">
        <f t="shared" si="302"/>
        <v>0.79943845457467</v>
      </c>
      <c r="AP192">
        <f t="shared" si="303"/>
        <v>8.1291038545611025E-2</v>
      </c>
    </row>
    <row r="193" spans="1:42" x14ac:dyDescent="0.25">
      <c r="A193" s="139">
        <v>0.25</v>
      </c>
      <c r="B193" s="259">
        <f>'Sub C_D_0'!BA225</f>
        <v>1.5877089103875849E-2</v>
      </c>
      <c r="C193" s="259">
        <f>'C_L vs. α'!X496</f>
        <v>0.11233078839786849</v>
      </c>
      <c r="D193" s="144">
        <v>4</v>
      </c>
      <c r="E193" s="14">
        <f t="shared" si="266"/>
        <v>0.53142156643688421</v>
      </c>
      <c r="F193" s="6">
        <f t="shared" si="267"/>
        <v>4.5033752469614469E-2</v>
      </c>
      <c r="G193" s="14">
        <f t="shared" si="268"/>
        <v>0.53567035246122652</v>
      </c>
      <c r="H193" s="6">
        <f t="shared" si="269"/>
        <v>4.4180397742088658E-2</v>
      </c>
      <c r="I193" s="14">
        <f t="shared" si="270"/>
        <v>0.54189128441526069</v>
      </c>
      <c r="J193" s="6">
        <f t="shared" si="271"/>
        <v>4.4144402150243539E-2</v>
      </c>
      <c r="K193" s="14">
        <f t="shared" si="272"/>
        <v>0.55045467258878689</v>
      </c>
      <c r="L193" s="6">
        <f t="shared" si="273"/>
        <v>4.4582577995043643E-2</v>
      </c>
      <c r="M193">
        <f t="shared" si="274"/>
        <v>0.56165394198934249</v>
      </c>
      <c r="N193" s="6">
        <f t="shared" si="275"/>
        <v>4.5426866659191628E-2</v>
      </c>
      <c r="O193">
        <f t="shared" si="276"/>
        <v>0.57531284110323644</v>
      </c>
      <c r="P193" s="6">
        <f t="shared" si="277"/>
        <v>4.7087309204565511E-2</v>
      </c>
      <c r="Q193">
        <f t="shared" si="278"/>
        <v>0.59293946414242549</v>
      </c>
      <c r="R193" s="6">
        <f t="shared" si="279"/>
        <v>4.8799326110821661E-2</v>
      </c>
      <c r="S193">
        <f t="shared" si="280"/>
        <v>0.61455748281419853</v>
      </c>
      <c r="T193" s="6">
        <f t="shared" si="281"/>
        <v>5.1061937406823708E-2</v>
      </c>
      <c r="U193">
        <f t="shared" si="282"/>
        <v>0.64092941745577159</v>
      </c>
      <c r="V193" s="6">
        <f t="shared" si="283"/>
        <v>5.4006308191047007E-2</v>
      </c>
      <c r="W193">
        <f t="shared" si="284"/>
        <v>0.6730797811408793</v>
      </c>
      <c r="X193" s="6">
        <f t="shared" si="285"/>
        <v>5.7826122494489207E-2</v>
      </c>
      <c r="Y193">
        <f t="shared" si="286"/>
        <v>0.712403601914256</v>
      </c>
      <c r="Z193" s="6">
        <f t="shared" si="287"/>
        <v>6.2807714417583607E-2</v>
      </c>
      <c r="AA193">
        <f t="shared" si="288"/>
        <v>0.7608304737650522</v>
      </c>
      <c r="AB193" s="6">
        <f t="shared" si="289"/>
        <v>6.9381367911509298E-2</v>
      </c>
      <c r="AC193">
        <f t="shared" si="290"/>
        <v>0.82127128061632959</v>
      </c>
      <c r="AD193" s="6">
        <f t="shared" si="291"/>
        <v>7.8695216725294864E-2</v>
      </c>
      <c r="AE193">
        <f t="shared" si="292"/>
        <v>0.89759908347829942</v>
      </c>
      <c r="AF193" s="6">
        <f t="shared" si="293"/>
        <v>9.0889869871350573E-2</v>
      </c>
      <c r="AG193">
        <f t="shared" si="294"/>
        <v>0.9954087628192626</v>
      </c>
      <c r="AH193" s="6">
        <f t="shared" si="295"/>
        <v>0.10814662258914812</v>
      </c>
      <c r="AI193">
        <f t="shared" si="296"/>
        <v>1.1224276564227389</v>
      </c>
      <c r="AJ193">
        <f t="shared" si="297"/>
        <v>0.14243551474957766</v>
      </c>
      <c r="AK193">
        <f t="shared" si="298"/>
        <v>1.2911682043819241</v>
      </c>
      <c r="AL193">
        <f t="shared" si="299"/>
        <v>0.18413216632647147</v>
      </c>
      <c r="AM193">
        <f t="shared" si="300"/>
        <v>1.4790002308818497</v>
      </c>
      <c r="AN193">
        <f t="shared" si="301"/>
        <v>0.23704602286342585</v>
      </c>
      <c r="AO193">
        <f t="shared" si="302"/>
        <v>1.3323974242911165</v>
      </c>
      <c r="AP193">
        <f t="shared" si="303"/>
        <v>0.19590156027462333</v>
      </c>
    </row>
    <row r="194" spans="1:42" x14ac:dyDescent="0.25">
      <c r="A194" s="129">
        <v>0.3</v>
      </c>
      <c r="B194" s="259">
        <f>'Sub C_D_0'!BA226</f>
        <v>1.60828094463824E-2</v>
      </c>
      <c r="C194" s="259">
        <f>'C_L vs. α'!X497</f>
        <v>0.11506256822064728</v>
      </c>
      <c r="D194" s="144">
        <v>6</v>
      </c>
      <c r="E194" s="14">
        <f t="shared" si="266"/>
        <v>0.74399019301163793</v>
      </c>
      <c r="F194" s="6">
        <f t="shared" si="267"/>
        <v>7.1478104427951508E-2</v>
      </c>
      <c r="G194" s="14">
        <f t="shared" si="268"/>
        <v>0.74993849344571717</v>
      </c>
      <c r="H194" s="6">
        <f t="shared" si="269"/>
        <v>7.1049292294450422E-2</v>
      </c>
      <c r="I194" s="14">
        <f t="shared" si="270"/>
        <v>0.75864779818136496</v>
      </c>
      <c r="J194" s="6">
        <f t="shared" si="271"/>
        <v>7.164099673432997E-2</v>
      </c>
      <c r="K194" s="14">
        <f t="shared" si="272"/>
        <v>0.77063654162430151</v>
      </c>
      <c r="L194" s="6">
        <f t="shared" si="273"/>
        <v>7.2955084455073219E-2</v>
      </c>
      <c r="M194">
        <f t="shared" si="274"/>
        <v>0.78631551878507944</v>
      </c>
      <c r="N194" s="6">
        <f t="shared" si="275"/>
        <v>7.4965622631144424E-2</v>
      </c>
      <c r="O194">
        <f t="shared" si="276"/>
        <v>0.80543797754453095</v>
      </c>
      <c r="P194" s="6">
        <f t="shared" si="277"/>
        <v>7.8080244791814579E-2</v>
      </c>
      <c r="Q194">
        <f t="shared" si="278"/>
        <v>0.83011524979939566</v>
      </c>
      <c r="R194" s="6">
        <f t="shared" si="279"/>
        <v>8.1720498386171292E-2</v>
      </c>
      <c r="S194">
        <f t="shared" si="280"/>
        <v>0.86038047593987788</v>
      </c>
      <c r="T194" s="6">
        <f t="shared" si="281"/>
        <v>8.6427420935857202E-2</v>
      </c>
      <c r="U194">
        <f t="shared" si="282"/>
        <v>0.89730118443808016</v>
      </c>
      <c r="V194" s="6">
        <f t="shared" si="283"/>
        <v>9.2472127659476822E-2</v>
      </c>
      <c r="W194">
        <f t="shared" si="284"/>
        <v>0.94231169359723088</v>
      </c>
      <c r="X194" s="6">
        <f t="shared" si="285"/>
        <v>0.10024778338605767</v>
      </c>
      <c r="Y194">
        <f t="shared" si="286"/>
        <v>0.9973650426799584</v>
      </c>
      <c r="Z194" s="6">
        <f t="shared" si="287"/>
        <v>0.11033103643754677</v>
      </c>
      <c r="AA194">
        <f t="shared" si="288"/>
        <v>1.0651626632710731</v>
      </c>
      <c r="AB194" s="6">
        <f t="shared" si="289"/>
        <v>0.1235852481081867</v>
      </c>
      <c r="AC194">
        <f t="shared" si="290"/>
        <v>1.1497797928628615</v>
      </c>
      <c r="AD194" s="6">
        <f t="shared" si="291"/>
        <v>0.14185314132538465</v>
      </c>
      <c r="AE194">
        <f t="shared" si="292"/>
        <v>1.2566387168696191</v>
      </c>
      <c r="AF194" s="6">
        <f t="shared" si="293"/>
        <v>0.16633294446308045</v>
      </c>
      <c r="AG194">
        <f t="shared" si="294"/>
        <v>1.3935722679469675</v>
      </c>
      <c r="AH194" s="6">
        <f t="shared" si="295"/>
        <v>0.20092729113214372</v>
      </c>
      <c r="AI194">
        <f t="shared" si="296"/>
        <v>1.5713987189918346</v>
      </c>
      <c r="AJ194">
        <f t="shared" si="297"/>
        <v>0.26443693819973724</v>
      </c>
      <c r="AK194">
        <f t="shared" si="298"/>
        <v>1.8076354861346939</v>
      </c>
      <c r="AL194">
        <f t="shared" si="299"/>
        <v>0.34557316121229292</v>
      </c>
      <c r="AM194">
        <f t="shared" si="300"/>
        <v>2.0706003232345895</v>
      </c>
      <c r="AN194">
        <f t="shared" si="301"/>
        <v>0.44887465569402024</v>
      </c>
      <c r="AO194">
        <f t="shared" si="302"/>
        <v>1.8653563940075633</v>
      </c>
      <c r="AP194">
        <f t="shared" si="303"/>
        <v>0.36781734286814183</v>
      </c>
    </row>
    <row r="195" spans="1:42" x14ac:dyDescent="0.25">
      <c r="A195" s="139">
        <v>0.35</v>
      </c>
      <c r="B195" s="259">
        <f>'Sub C_D_0'!BA227</f>
        <v>1.5865870195464156E-2</v>
      </c>
      <c r="C195" s="259">
        <f>'C_L vs. α'!X498</f>
        <v>0.1185878928284851</v>
      </c>
      <c r="D195" s="144">
        <v>8</v>
      </c>
      <c r="E195" s="14">
        <f t="shared" si="266"/>
        <v>0.95655881958639166</v>
      </c>
      <c r="F195" s="6">
        <f t="shared" si="267"/>
        <v>0.10703847651242675</v>
      </c>
      <c r="G195" s="14">
        <f t="shared" si="268"/>
        <v>0.96420663443020782</v>
      </c>
      <c r="H195" s="6">
        <f t="shared" si="269"/>
        <v>0.1071805572725391</v>
      </c>
      <c r="I195" s="14">
        <f t="shared" si="270"/>
        <v>0.97540431194746924</v>
      </c>
      <c r="J195" s="6">
        <f t="shared" si="271"/>
        <v>0.10861634542151209</v>
      </c>
      <c r="K195" s="14">
        <f t="shared" si="272"/>
        <v>0.99081841065981635</v>
      </c>
      <c r="L195" s="6">
        <f t="shared" si="273"/>
        <v>0.11110829343812584</v>
      </c>
      <c r="M195">
        <f t="shared" si="274"/>
        <v>1.0109770955808164</v>
      </c>
      <c r="N195" s="6">
        <f t="shared" si="275"/>
        <v>0.11468711608767046</v>
      </c>
      <c r="O195">
        <f t="shared" si="276"/>
        <v>1.0355631139858255</v>
      </c>
      <c r="P195" s="6">
        <f t="shared" si="277"/>
        <v>0.11975720943096083</v>
      </c>
      <c r="Q195">
        <f t="shared" si="278"/>
        <v>1.0672910354563658</v>
      </c>
      <c r="R195" s="6">
        <f t="shared" si="279"/>
        <v>0.12599041044198414</v>
      </c>
      <c r="S195">
        <f t="shared" si="280"/>
        <v>1.1062034690655573</v>
      </c>
      <c r="T195" s="6">
        <f t="shared" si="281"/>
        <v>0.13398425860089702</v>
      </c>
      <c r="U195">
        <f t="shared" si="282"/>
        <v>1.1536729514203887</v>
      </c>
      <c r="V195" s="6">
        <f t="shared" si="283"/>
        <v>0.14419806350342079</v>
      </c>
      <c r="W195">
        <f t="shared" si="284"/>
        <v>1.2115436060535827</v>
      </c>
      <c r="X195" s="6">
        <f t="shared" si="285"/>
        <v>0.15729323672604834</v>
      </c>
      <c r="Y195">
        <f t="shared" si="286"/>
        <v>1.2823264834456607</v>
      </c>
      <c r="Z195" s="6">
        <f t="shared" si="287"/>
        <v>0.17423681928231941</v>
      </c>
      <c r="AA195">
        <f t="shared" si="288"/>
        <v>1.3694948527770938</v>
      </c>
      <c r="AB195" s="6">
        <f t="shared" si="289"/>
        <v>0.19647454224755337</v>
      </c>
      <c r="AC195">
        <f t="shared" si="290"/>
        <v>1.4782883051093931</v>
      </c>
      <c r="AD195" s="6">
        <f t="shared" si="291"/>
        <v>0.22678315974296054</v>
      </c>
      <c r="AE195">
        <f t="shared" si="292"/>
        <v>1.6156783502609391</v>
      </c>
      <c r="AF195" s="6">
        <f t="shared" si="293"/>
        <v>0.26778310697435886</v>
      </c>
      <c r="AG195">
        <f t="shared" si="294"/>
        <v>1.7917357730746728</v>
      </c>
      <c r="AH195" s="6">
        <f t="shared" si="295"/>
        <v>0.32569174370157522</v>
      </c>
      <c r="AI195">
        <f t="shared" si="296"/>
        <v>2.0203697815609303</v>
      </c>
      <c r="AJ195">
        <f t="shared" si="297"/>
        <v>0.42710550279994997</v>
      </c>
      <c r="AK195">
        <f t="shared" si="298"/>
        <v>2.3241027678874637</v>
      </c>
      <c r="AL195">
        <f t="shared" si="299"/>
        <v>0.5608278210600548</v>
      </c>
      <c r="AM195">
        <f t="shared" si="300"/>
        <v>2.6622004155873298</v>
      </c>
      <c r="AN195">
        <f t="shared" si="301"/>
        <v>0.73131283280147952</v>
      </c>
      <c r="AO195">
        <f t="shared" si="302"/>
        <v>2.3983153637240098</v>
      </c>
      <c r="AP195">
        <f t="shared" si="303"/>
        <v>0.59703838632616646</v>
      </c>
    </row>
    <row r="196" spans="1:42" x14ac:dyDescent="0.25">
      <c r="A196" s="129">
        <v>0.4</v>
      </c>
      <c r="B196" s="259">
        <f>'Sub C_D_0'!BA228</f>
        <v>1.56832582095211E-2</v>
      </c>
      <c r="C196" s="259">
        <f>'C_L vs. α'!X499</f>
        <v>0.1229114965628397</v>
      </c>
      <c r="D196" s="144">
        <v>10</v>
      </c>
      <c r="E196" s="14">
        <f t="shared" si="266"/>
        <v>1.1691274461611454</v>
      </c>
      <c r="F196" s="6">
        <f t="shared" si="267"/>
        <v>0.15171486872304019</v>
      </c>
      <c r="G196" s="14">
        <f t="shared" si="268"/>
        <v>1.1784747754146985</v>
      </c>
      <c r="H196" s="6">
        <f t="shared" si="269"/>
        <v>0.15257419267635466</v>
      </c>
      <c r="I196" s="14">
        <f t="shared" si="270"/>
        <v>1.1921608257135734</v>
      </c>
      <c r="J196" s="6">
        <f t="shared" si="271"/>
        <v>0.15507044821178992</v>
      </c>
      <c r="K196" s="14">
        <f t="shared" si="272"/>
        <v>1.211000279695331</v>
      </c>
      <c r="L196" s="6">
        <f t="shared" si="273"/>
        <v>0.1590422049442014</v>
      </c>
      <c r="M196">
        <f t="shared" si="274"/>
        <v>1.2356386723765533</v>
      </c>
      <c r="N196" s="6">
        <f t="shared" si="275"/>
        <v>0.16459134702876971</v>
      </c>
      <c r="O196">
        <f t="shared" si="276"/>
        <v>1.2656882504271201</v>
      </c>
      <c r="P196" s="6">
        <f t="shared" si="277"/>
        <v>0.17211820312200429</v>
      </c>
      <c r="Q196">
        <f t="shared" si="278"/>
        <v>1.3044668211133361</v>
      </c>
      <c r="R196" s="6">
        <f t="shared" si="279"/>
        <v>0.18160906227826021</v>
      </c>
      <c r="S196">
        <f t="shared" si="280"/>
        <v>1.3520264621912368</v>
      </c>
      <c r="T196" s="6">
        <f t="shared" si="281"/>
        <v>0.19373245040194312</v>
      </c>
      <c r="U196">
        <f t="shared" si="282"/>
        <v>1.4100447184026974</v>
      </c>
      <c r="V196" s="6">
        <f t="shared" si="283"/>
        <v>0.20918411572287895</v>
      </c>
      <c r="W196">
        <f t="shared" si="284"/>
        <v>1.4807755185099343</v>
      </c>
      <c r="X196" s="6">
        <f t="shared" si="285"/>
        <v>0.22896248251446119</v>
      </c>
      <c r="Y196">
        <f t="shared" si="286"/>
        <v>1.5672879242113633</v>
      </c>
      <c r="Z196" s="6">
        <f t="shared" si="287"/>
        <v>0.25452506295190164</v>
      </c>
      <c r="AA196">
        <f t="shared" si="288"/>
        <v>1.6738270422831147</v>
      </c>
      <c r="AB196" s="6">
        <f t="shared" si="289"/>
        <v>0.28804925032960937</v>
      </c>
      <c r="AC196">
        <f t="shared" si="290"/>
        <v>1.806796817355925</v>
      </c>
      <c r="AD196" s="6">
        <f t="shared" si="291"/>
        <v>0.33348527197802247</v>
      </c>
      <c r="AE196">
        <f t="shared" si="292"/>
        <v>1.9747179836522588</v>
      </c>
      <c r="AF196" s="6">
        <f t="shared" si="293"/>
        <v>0.39524035740518565</v>
      </c>
      <c r="AG196">
        <f t="shared" si="294"/>
        <v>2.1898992782023776</v>
      </c>
      <c r="AH196" s="6">
        <f t="shared" si="295"/>
        <v>0.48243998029744228</v>
      </c>
      <c r="AI196">
        <f t="shared" si="296"/>
        <v>2.4693408441300257</v>
      </c>
      <c r="AJ196">
        <f t="shared" si="297"/>
        <v>0.63044120855021579</v>
      </c>
      <c r="AK196">
        <f t="shared" si="298"/>
        <v>2.8405700496402333</v>
      </c>
      <c r="AL196">
        <f t="shared" si="299"/>
        <v>0.82989614586975713</v>
      </c>
      <c r="AM196">
        <f t="shared" si="300"/>
        <v>3.2538005079400696</v>
      </c>
      <c r="AN196">
        <f t="shared" si="301"/>
        <v>1.0843605541858035</v>
      </c>
      <c r="AO196">
        <f t="shared" si="302"/>
        <v>2.9312743334404563</v>
      </c>
      <c r="AP196">
        <f t="shared" si="303"/>
        <v>0.88356469064869714</v>
      </c>
    </row>
    <row r="197" spans="1:42" x14ac:dyDescent="0.25">
      <c r="A197" s="139">
        <v>0.45</v>
      </c>
      <c r="B197" s="259">
        <f>'Sub C_D_0'!BA229</f>
        <v>1.5526136248318684E-2</v>
      </c>
      <c r="C197" s="259">
        <f>'C_L vs. α'!X500</f>
        <v>0.12818588349115431</v>
      </c>
      <c r="D197" s="144">
        <v>12</v>
      </c>
      <c r="E197" s="14">
        <f t="shared" si="266"/>
        <v>1.3816960727358991</v>
      </c>
      <c r="F197" s="6">
        <f t="shared" si="267"/>
        <v>0.20550728105979185</v>
      </c>
      <c r="G197" s="14">
        <f t="shared" si="268"/>
        <v>1.3927429163991891</v>
      </c>
      <c r="H197" s="6">
        <f t="shared" si="269"/>
        <v>0.20723019850589719</v>
      </c>
      <c r="I197" s="14">
        <f t="shared" si="270"/>
        <v>1.4089173394796779</v>
      </c>
      <c r="J197" s="6">
        <f t="shared" si="271"/>
        <v>0.21100330510516352</v>
      </c>
      <c r="K197" s="14">
        <f t="shared" si="272"/>
        <v>1.4311821487308458</v>
      </c>
      <c r="L197" s="6">
        <f t="shared" si="273"/>
        <v>0.21675681897330007</v>
      </c>
      <c r="M197">
        <f t="shared" si="274"/>
        <v>1.4603002491722903</v>
      </c>
      <c r="N197" s="6">
        <f t="shared" si="275"/>
        <v>0.22467831545444222</v>
      </c>
      <c r="O197">
        <f t="shared" si="276"/>
        <v>1.4958133868684147</v>
      </c>
      <c r="P197" s="6">
        <f t="shared" si="277"/>
        <v>0.23516322586494495</v>
      </c>
      <c r="Q197">
        <f t="shared" si="278"/>
        <v>1.5416426067703064</v>
      </c>
      <c r="R197" s="6">
        <f t="shared" si="279"/>
        <v>0.24857645389499952</v>
      </c>
      <c r="S197">
        <f t="shared" si="280"/>
        <v>1.597849455316916</v>
      </c>
      <c r="T197" s="6">
        <f t="shared" si="281"/>
        <v>0.26567199633899541</v>
      </c>
      <c r="U197">
        <f t="shared" si="282"/>
        <v>1.6664164853850061</v>
      </c>
      <c r="V197" s="6">
        <f t="shared" si="283"/>
        <v>0.28743028431785123</v>
      </c>
      <c r="W197">
        <f t="shared" si="284"/>
        <v>1.7500074309662861</v>
      </c>
      <c r="X197" s="6">
        <f t="shared" si="285"/>
        <v>0.3152555207512962</v>
      </c>
      <c r="Y197">
        <f t="shared" si="286"/>
        <v>1.8522493649770655</v>
      </c>
      <c r="Z197" s="6">
        <f t="shared" si="287"/>
        <v>0.35119576744629316</v>
      </c>
      <c r="AA197">
        <f t="shared" si="288"/>
        <v>1.9781592317891357</v>
      </c>
      <c r="AB197" s="6">
        <f t="shared" si="289"/>
        <v>0.39830937235435482</v>
      </c>
      <c r="AC197">
        <f t="shared" si="290"/>
        <v>2.1353053296024567</v>
      </c>
      <c r="AD197" s="6">
        <f t="shared" si="291"/>
        <v>0.46195947803057058</v>
      </c>
      <c r="AE197">
        <f t="shared" si="292"/>
        <v>2.3337576170435788</v>
      </c>
      <c r="AF197" s="6">
        <f t="shared" si="293"/>
        <v>0.54870469575556102</v>
      </c>
      <c r="AG197">
        <f t="shared" si="294"/>
        <v>2.5880627833300829</v>
      </c>
      <c r="AH197" s="6">
        <f t="shared" si="295"/>
        <v>0.67117200091974538</v>
      </c>
      <c r="AI197">
        <f t="shared" si="296"/>
        <v>2.9183119066991212</v>
      </c>
      <c r="AJ197">
        <f t="shared" si="297"/>
        <v>0.87444405545053483</v>
      </c>
      <c r="AK197">
        <f t="shared" si="298"/>
        <v>3.3570373313930029</v>
      </c>
      <c r="AL197">
        <f t="shared" si="299"/>
        <v>1.1527781356414</v>
      </c>
      <c r="AM197">
        <f t="shared" si="300"/>
        <v>3.8454006002928094</v>
      </c>
      <c r="AN197">
        <f t="shared" si="301"/>
        <v>1.508017819846992</v>
      </c>
      <c r="AO197">
        <f t="shared" si="302"/>
        <v>3.4642333031569033</v>
      </c>
      <c r="AP197">
        <f t="shared" si="303"/>
        <v>1.2273962558357345</v>
      </c>
    </row>
    <row r="198" spans="1:42" x14ac:dyDescent="0.25">
      <c r="A198" s="129">
        <v>0.5</v>
      </c>
      <c r="B198" s="259">
        <f>'Sub C_D_0'!BA230</f>
        <v>1.5388633113990566E-2</v>
      </c>
      <c r="C198" s="259">
        <f>'C_L vs. α'!X501</f>
        <v>0.13461595622817585</v>
      </c>
      <c r="D198" s="144">
        <v>14</v>
      </c>
      <c r="E198" s="14">
        <f t="shared" si="266"/>
        <v>1.5942646993106528</v>
      </c>
      <c r="F198" s="6">
        <f t="shared" si="267"/>
        <v>0.26841571352268168</v>
      </c>
      <c r="G198" s="14">
        <f t="shared" si="268"/>
        <v>1.6070110573836798</v>
      </c>
      <c r="H198" s="6">
        <f t="shared" si="269"/>
        <v>0.27114857476116666</v>
      </c>
      <c r="I198" s="14">
        <f t="shared" si="270"/>
        <v>1.625673853245782</v>
      </c>
      <c r="J198" s="6">
        <f t="shared" si="271"/>
        <v>0.27641491610163271</v>
      </c>
      <c r="K198" s="14">
        <f t="shared" si="272"/>
        <v>1.6513640177663604</v>
      </c>
      <c r="L198" s="6">
        <f t="shared" si="273"/>
        <v>0.28425213552542161</v>
      </c>
      <c r="M198">
        <f t="shared" si="274"/>
        <v>1.6849618259680272</v>
      </c>
      <c r="N198" s="6">
        <f t="shared" si="275"/>
        <v>0.29494802136468795</v>
      </c>
      <c r="O198">
        <f t="shared" si="276"/>
        <v>1.7259385233097093</v>
      </c>
      <c r="P198" s="6">
        <f t="shared" si="277"/>
        <v>0.30889227765978278</v>
      </c>
      <c r="Q198">
        <f t="shared" si="278"/>
        <v>1.7788183924272765</v>
      </c>
      <c r="R198" s="6">
        <f t="shared" si="279"/>
        <v>0.326892585292202</v>
      </c>
      <c r="S198">
        <f t="shared" si="280"/>
        <v>1.8436724484425955</v>
      </c>
      <c r="T198" s="6">
        <f t="shared" si="281"/>
        <v>0.34980289641205409</v>
      </c>
      <c r="U198">
        <f t="shared" si="282"/>
        <v>1.9227882523673148</v>
      </c>
      <c r="V198" s="6">
        <f t="shared" si="283"/>
        <v>0.37893656928833769</v>
      </c>
      <c r="W198">
        <f t="shared" si="284"/>
        <v>2.0192393434226377</v>
      </c>
      <c r="X198" s="6">
        <f t="shared" si="285"/>
        <v>0.4161723514365534</v>
      </c>
      <c r="Y198">
        <f t="shared" si="286"/>
        <v>2.1372108057427681</v>
      </c>
      <c r="Z198" s="6">
        <f t="shared" si="287"/>
        <v>0.46424893276549439</v>
      </c>
      <c r="AA198">
        <f t="shared" si="288"/>
        <v>2.2824914212951564</v>
      </c>
      <c r="AB198" s="6">
        <f t="shared" si="289"/>
        <v>0.52725490832178934</v>
      </c>
      <c r="AC198">
        <f t="shared" si="290"/>
        <v>2.4638138418489888</v>
      </c>
      <c r="AD198" s="6">
        <f t="shared" si="291"/>
        <v>0.61220577790060504</v>
      </c>
      <c r="AE198">
        <f t="shared" si="292"/>
        <v>2.6927972504348983</v>
      </c>
      <c r="AF198" s="6">
        <f t="shared" si="293"/>
        <v>0.72817612202548454</v>
      </c>
      <c r="AG198">
        <f t="shared" si="294"/>
        <v>2.9862262884577877</v>
      </c>
      <c r="AH198" s="6">
        <f t="shared" si="295"/>
        <v>0.8918878055684839</v>
      </c>
      <c r="AI198">
        <f t="shared" si="296"/>
        <v>3.3672829692682167</v>
      </c>
      <c r="AJ198">
        <f t="shared" si="297"/>
        <v>1.1591140435009069</v>
      </c>
      <c r="AK198">
        <f t="shared" si="298"/>
        <v>3.8735046131457724</v>
      </c>
      <c r="AL198">
        <f t="shared" si="299"/>
        <v>1.5294737903749831</v>
      </c>
      <c r="AM198">
        <f t="shared" si="300"/>
        <v>4.4370006926455492</v>
      </c>
      <c r="AN198">
        <f t="shared" si="301"/>
        <v>2.0022846297850458</v>
      </c>
      <c r="AO198">
        <f t="shared" si="302"/>
        <v>3.9971922728733498</v>
      </c>
      <c r="AP198">
        <f t="shared" si="303"/>
        <v>1.6285330818872774</v>
      </c>
    </row>
    <row r="199" spans="1:42" x14ac:dyDescent="0.25">
      <c r="A199" s="139">
        <v>0.55000000000000004</v>
      </c>
      <c r="B199" s="259">
        <f>'Sub C_D_0'!BA231</f>
        <v>1.5266660362600883E-2</v>
      </c>
      <c r="C199" s="259">
        <f>'C_L vs. α'!X502</f>
        <v>0.1424807203828512</v>
      </c>
      <c r="D199" s="144">
        <v>16</v>
      </c>
      <c r="E199" s="14">
        <f t="shared" si="266"/>
        <v>1.8068333258854063</v>
      </c>
      <c r="F199" s="6">
        <f t="shared" si="267"/>
        <v>0.34044016611170963</v>
      </c>
      <c r="G199" s="14">
        <f t="shared" si="268"/>
        <v>1.8212791983681702</v>
      </c>
      <c r="H199" s="6">
        <f t="shared" si="269"/>
        <v>0.34432932144216288</v>
      </c>
      <c r="I199" s="14">
        <f t="shared" si="270"/>
        <v>1.8424303670118864</v>
      </c>
      <c r="J199" s="6">
        <f t="shared" si="271"/>
        <v>0.35130528120119775</v>
      </c>
      <c r="K199" s="14">
        <f t="shared" si="272"/>
        <v>1.8715458868018753</v>
      </c>
      <c r="L199" s="6">
        <f t="shared" si="273"/>
        <v>0.36152815460056636</v>
      </c>
      <c r="M199">
        <f t="shared" si="274"/>
        <v>1.9096234027637644</v>
      </c>
      <c r="N199" s="6">
        <f t="shared" si="275"/>
        <v>0.37540046475950706</v>
      </c>
      <c r="O199">
        <f t="shared" si="276"/>
        <v>1.9560636597510037</v>
      </c>
      <c r="P199" s="6">
        <f t="shared" si="277"/>
        <v>0.39330535850651777</v>
      </c>
      <c r="Q199">
        <f>(D199-$B$12)*$C$195</f>
        <v>2.0159941780842465</v>
      </c>
      <c r="R199" s="6">
        <f t="shared" si="279"/>
        <v>0.41655745646986764</v>
      </c>
      <c r="S199">
        <f t="shared" si="280"/>
        <v>2.0894954415682747</v>
      </c>
      <c r="T199" s="6">
        <f t="shared" si="281"/>
        <v>0.44612515062111902</v>
      </c>
      <c r="U199">
        <f t="shared" si="282"/>
        <v>2.1791600193496232</v>
      </c>
      <c r="V199" s="6">
        <f t="shared" si="283"/>
        <v>0.48370297063433815</v>
      </c>
      <c r="W199">
        <f t="shared" si="284"/>
        <v>2.2884712558789895</v>
      </c>
      <c r="X199" s="6">
        <f t="shared" si="285"/>
        <v>0.53171297457023292</v>
      </c>
      <c r="Y199">
        <f t="shared" si="286"/>
        <v>2.4221722465084703</v>
      </c>
      <c r="Z199" s="6">
        <f t="shared" si="287"/>
        <v>0.59368455890950489</v>
      </c>
      <c r="AA199">
        <f t="shared" si="288"/>
        <v>2.5868236108011775</v>
      </c>
      <c r="AB199" s="6">
        <f t="shared" si="289"/>
        <v>0.67488585823191349</v>
      </c>
      <c r="AC199">
        <f t="shared" si="290"/>
        <v>2.7923223540955204</v>
      </c>
      <c r="AD199" s="6">
        <f t="shared" si="291"/>
        <v>0.7842241715881253</v>
      </c>
      <c r="AE199">
        <f t="shared" si="292"/>
        <v>3.0518368838262182</v>
      </c>
      <c r="AF199" s="6">
        <f t="shared" si="293"/>
        <v>0.93365463621495681</v>
      </c>
      <c r="AG199">
        <f t="shared" si="294"/>
        <v>3.384389793585493</v>
      </c>
      <c r="AH199" s="6">
        <f t="shared" si="295"/>
        <v>1.1445873942436582</v>
      </c>
      <c r="AI199">
        <f t="shared" si="296"/>
        <v>3.8162540318373126</v>
      </c>
      <c r="AJ199">
        <f t="shared" si="297"/>
        <v>1.4844511727013325</v>
      </c>
      <c r="AK199">
        <f t="shared" si="298"/>
        <v>4.389971894898542</v>
      </c>
      <c r="AL199">
        <f t="shared" si="299"/>
        <v>1.959983110070507</v>
      </c>
      <c r="AM199">
        <f t="shared" si="300"/>
        <v>5.0286007849982894</v>
      </c>
      <c r="AN199">
        <f t="shared" si="301"/>
        <v>2.5671609839999645</v>
      </c>
      <c r="AO199">
        <f t="shared" si="302"/>
        <v>4.5301512425897963</v>
      </c>
      <c r="AP199">
        <f t="shared" si="303"/>
        <v>2.0869751688033267</v>
      </c>
    </row>
    <row r="200" spans="1:42" x14ac:dyDescent="0.25">
      <c r="A200" s="129">
        <v>0.6</v>
      </c>
      <c r="B200" s="259">
        <f>'Sub C_D_0'!BA232</f>
        <v>1.5157263011233966E-2</v>
      </c>
      <c r="C200" s="259">
        <f>'C_L vs. α'!X503</f>
        <v>0.15216609475301043</v>
      </c>
    </row>
    <row r="201" spans="1:42" x14ac:dyDescent="0.25">
      <c r="A201" s="139">
        <v>0.65</v>
      </c>
      <c r="B201" s="259">
        <f>'Sub C_D_0'!BA233</f>
        <v>1.5513726463480064E-2</v>
      </c>
      <c r="C201" s="259">
        <f>'C_L vs. α'!X504</f>
        <v>0.16425425612326591</v>
      </c>
    </row>
    <row r="202" spans="1:42" x14ac:dyDescent="0.25">
      <c r="A202" s="129">
        <v>0.7</v>
      </c>
      <c r="B202" s="259">
        <f>'Sub C_D_0'!BA234</f>
        <v>1.5418645748321453E-2</v>
      </c>
      <c r="C202" s="259">
        <f>'C_L vs. α'!X505</f>
        <v>0.17951981669565989</v>
      </c>
    </row>
    <row r="203" spans="1:42" x14ac:dyDescent="0.25">
      <c r="A203" s="139">
        <v>0.75</v>
      </c>
      <c r="B203" s="259">
        <f>'Sub C_D_0'!BA235</f>
        <v>1.533133546323749E-2</v>
      </c>
      <c r="C203" s="259">
        <f>'C_L vs. α'!X506</f>
        <v>0.19908175256385252</v>
      </c>
    </row>
    <row r="204" spans="1:42" x14ac:dyDescent="0.25">
      <c r="A204" s="129">
        <v>0.8</v>
      </c>
      <c r="B204" s="259">
        <f>'Sub C_D_0'!BA236</f>
        <v>1.5350698655661516E-2</v>
      </c>
      <c r="C204" s="259">
        <f>'C_L vs. α'!X507</f>
        <v>0.22448553128454779</v>
      </c>
    </row>
    <row r="205" spans="1:42" x14ac:dyDescent="0.25">
      <c r="A205" s="139">
        <v>0.85</v>
      </c>
      <c r="B205" s="259">
        <f>'Sub C_D_0'!BA237</f>
        <v>1.5964463320407511E-2</v>
      </c>
      <c r="C205" s="259">
        <f>'C_L vs. α'!X508</f>
        <v>0.25823364087638484</v>
      </c>
    </row>
    <row r="206" spans="1:42" x14ac:dyDescent="0.25">
      <c r="A206" s="129">
        <v>0.9</v>
      </c>
      <c r="B206" s="259">
        <f>'Sub C_D_0'!BA238</f>
        <v>1.6391196998223369E-2</v>
      </c>
      <c r="C206" s="259">
        <f>'C_L vs. α'!X509</f>
        <v>0.29580004617636996</v>
      </c>
    </row>
    <row r="207" spans="1:42" x14ac:dyDescent="0.25">
      <c r="A207" s="139">
        <v>0.95</v>
      </c>
      <c r="B207" s="259">
        <f>'Sub C_D_0'!BA239</f>
        <v>1.6822620073041583E-2</v>
      </c>
      <c r="C207" s="259">
        <f>'C_L vs. α'!X510</f>
        <v>0.26647948485822331</v>
      </c>
    </row>
    <row r="209" spans="1:42" x14ac:dyDescent="0.25">
      <c r="A209" s="122" t="s">
        <v>537</v>
      </c>
      <c r="B209" s="122" t="s">
        <v>289</v>
      </c>
    </row>
    <row r="210" spans="1:42" x14ac:dyDescent="0.25">
      <c r="A210" s="122" t="s">
        <v>202</v>
      </c>
      <c r="B210" s="145">
        <v>45000</v>
      </c>
      <c r="C210" s="122" t="s">
        <v>538</v>
      </c>
      <c r="D210" s="122" t="s">
        <v>539</v>
      </c>
      <c r="E210" s="1" t="s">
        <v>536</v>
      </c>
      <c r="F210" s="140">
        <v>0.05</v>
      </c>
      <c r="G210" s="1" t="s">
        <v>536</v>
      </c>
      <c r="H210" s="140">
        <v>0.1</v>
      </c>
      <c r="I210" s="1" t="s">
        <v>536</v>
      </c>
      <c r="J210" s="140">
        <v>0.15</v>
      </c>
      <c r="K210" s="1" t="s">
        <v>536</v>
      </c>
      <c r="L210" s="140">
        <v>0.2</v>
      </c>
      <c r="M210" t="s">
        <v>536</v>
      </c>
      <c r="N210" s="141">
        <v>0.25</v>
      </c>
      <c r="O210" t="s">
        <v>536</v>
      </c>
      <c r="P210" s="141">
        <v>0.3</v>
      </c>
      <c r="Q210" t="s">
        <v>536</v>
      </c>
      <c r="R210" s="141">
        <v>0.35</v>
      </c>
      <c r="S210" t="s">
        <v>536</v>
      </c>
      <c r="T210" s="141">
        <v>0.4</v>
      </c>
      <c r="U210" t="s">
        <v>536</v>
      </c>
      <c r="V210" s="141">
        <v>0.45</v>
      </c>
      <c r="W210" t="s">
        <v>536</v>
      </c>
      <c r="X210" s="141">
        <v>0.5</v>
      </c>
      <c r="Y210" t="s">
        <v>536</v>
      </c>
      <c r="Z210" s="141">
        <v>0.55000000000000004</v>
      </c>
      <c r="AA210" t="s">
        <v>536</v>
      </c>
      <c r="AB210" s="141">
        <v>0.6</v>
      </c>
      <c r="AC210" t="s">
        <v>536</v>
      </c>
      <c r="AD210" s="141">
        <v>0.65</v>
      </c>
      <c r="AE210" t="s">
        <v>536</v>
      </c>
      <c r="AF210" s="141">
        <v>0.7</v>
      </c>
      <c r="AG210" t="s">
        <v>536</v>
      </c>
      <c r="AH210" s="141">
        <v>0.75</v>
      </c>
      <c r="AI210" t="s">
        <v>536</v>
      </c>
      <c r="AJ210" s="141">
        <v>0.8</v>
      </c>
      <c r="AK210" t="s">
        <v>536</v>
      </c>
      <c r="AL210" s="141">
        <v>0.85</v>
      </c>
      <c r="AM210" t="s">
        <v>536</v>
      </c>
      <c r="AN210" s="141">
        <v>0.9</v>
      </c>
      <c r="AO210" t="s">
        <v>536</v>
      </c>
      <c r="AP210" s="141">
        <v>0.95</v>
      </c>
    </row>
    <row r="211" spans="1:42" x14ac:dyDescent="0.25">
      <c r="A211" s="121" t="s">
        <v>182</v>
      </c>
      <c r="B211" s="121" t="s">
        <v>534</v>
      </c>
      <c r="C211" s="121" t="s">
        <v>535</v>
      </c>
      <c r="D211" s="121" t="s">
        <v>421</v>
      </c>
      <c r="E211" s="14" t="s">
        <v>244</v>
      </c>
      <c r="F211" s="6" t="s">
        <v>245</v>
      </c>
      <c r="G211" s="14" t="s">
        <v>244</v>
      </c>
      <c r="H211" s="6" t="s">
        <v>245</v>
      </c>
      <c r="I211" s="14" t="s">
        <v>244</v>
      </c>
      <c r="J211" s="6" t="s">
        <v>245</v>
      </c>
      <c r="K211" s="14" t="s">
        <v>244</v>
      </c>
      <c r="L211" s="6" t="s">
        <v>245</v>
      </c>
      <c r="M211" t="s">
        <v>244</v>
      </c>
      <c r="N211" t="s">
        <v>245</v>
      </c>
      <c r="O211" t="s">
        <v>244</v>
      </c>
      <c r="P211" t="s">
        <v>245</v>
      </c>
      <c r="Q211" t="s">
        <v>244</v>
      </c>
      <c r="R211" t="s">
        <v>245</v>
      </c>
      <c r="S211" t="s">
        <v>244</v>
      </c>
      <c r="T211" t="s">
        <v>245</v>
      </c>
      <c r="U211" t="s">
        <v>244</v>
      </c>
      <c r="V211" t="s">
        <v>245</v>
      </c>
      <c r="W211" t="s">
        <v>244</v>
      </c>
      <c r="X211" t="s">
        <v>245</v>
      </c>
      <c r="Y211" t="s">
        <v>244</v>
      </c>
      <c r="Z211" t="s">
        <v>245</v>
      </c>
      <c r="AA211" t="s">
        <v>244</v>
      </c>
      <c r="AB211" t="s">
        <v>245</v>
      </c>
      <c r="AC211" t="s">
        <v>244</v>
      </c>
      <c r="AD211" t="s">
        <v>245</v>
      </c>
      <c r="AE211" t="s">
        <v>244</v>
      </c>
      <c r="AF211" t="s">
        <v>245</v>
      </c>
      <c r="AG211" t="s">
        <v>244</v>
      </c>
      <c r="AH211" t="s">
        <v>245</v>
      </c>
      <c r="AI211" t="s">
        <v>244</v>
      </c>
      <c r="AJ211" t="s">
        <v>245</v>
      </c>
      <c r="AK211" t="s">
        <v>244</v>
      </c>
      <c r="AL211" t="s">
        <v>245</v>
      </c>
      <c r="AM211" t="s">
        <v>244</v>
      </c>
      <c r="AN211" t="s">
        <v>245</v>
      </c>
      <c r="AO211" t="s">
        <v>244</v>
      </c>
      <c r="AP211" t="s">
        <v>245</v>
      </c>
    </row>
    <row r="212" spans="1:42" x14ac:dyDescent="0.25">
      <c r="A212" s="129">
        <v>0</v>
      </c>
      <c r="B212" s="129" t="e">
        <f>'Sub C_D_0'!BA250</f>
        <v>#DIV/0!</v>
      </c>
      <c r="C212" s="129" t="e">
        <f>'C_L vs. α'!X516</f>
        <v>#NUM!</v>
      </c>
      <c r="D212" s="144">
        <v>-6</v>
      </c>
      <c r="E212" s="14">
        <f>(D212-$B$12)*$C$213</f>
        <v>-0.53166131047017628</v>
      </c>
      <c r="F212" s="6">
        <f>$B$213+$B$7*E212^2+$B$8*(E212-E$215)^2</f>
        <v>4.9205052942224228E-2</v>
      </c>
      <c r="G212" s="14">
        <f>(D212-$B$12)*$C$214</f>
        <v>-0.53589846446135525</v>
      </c>
      <c r="H212" s="6">
        <f>$B$214+$B$7*G212^2+$B$8*(G212-G$215)^2</f>
        <v>4.8475476957840866E-2</v>
      </c>
      <c r="I212" s="14">
        <f>(D212-$B$12)*$C$215</f>
        <v>-0.54210341958264752</v>
      </c>
      <c r="J212" s="6">
        <f>$B$215+$B$7*I212^2+$B$8*(I212-I$215)^2</f>
        <v>4.8571490924990912E-2</v>
      </c>
      <c r="K212" s="14">
        <f>(D212-$B$12)*$C$216</f>
        <v>-0.550651873047037</v>
      </c>
      <c r="L212" s="6">
        <f>$B$216+$B$7*K212^2+$B$8*(K212-K$215)^2</f>
        <v>4.9174969778519914E-2</v>
      </c>
      <c r="M212">
        <f>(D212-$B$12)*$C$217</f>
        <v>-0.56183698829887363</v>
      </c>
      <c r="N212" s="6">
        <f>$B$217+$B$7*M212^2+$B$8*(M212-M$215)^2</f>
        <v>5.0229639758568742E-2</v>
      </c>
      <c r="O212">
        <f>(D212-$B$12)*$C$218</f>
        <v>-0.57549783145280375</v>
      </c>
      <c r="P212" s="6">
        <f>$B$218+$B$7*O212^2+$B$8*(O212-O$215)^2</f>
        <v>5.2136106285636974E-2</v>
      </c>
      <c r="Q212">
        <f>(D212-$B$12)*$C$219</f>
        <v>-0.59310969543334346</v>
      </c>
      <c r="R212" s="6">
        <f>$B$219+$B$7*Q212^2+$B$8*(Q212-Q$215)^2</f>
        <v>5.418455761219456E-2</v>
      </c>
      <c r="S212">
        <f>(D212-$B$12)*$C$220</f>
        <v>-0.6147104300100148</v>
      </c>
      <c r="T212" s="6">
        <f>$B$220+$B$7*S212^2+$B$8*(S212-S$215)^2</f>
        <v>5.6870121884416702E-2</v>
      </c>
      <c r="U212">
        <f>(D212-$B$12)*$C$221</f>
        <v>-0.64106115481239168</v>
      </c>
      <c r="V212" s="6">
        <f>$B$221+$B$7*U212^2+$B$8*(U212-U$215)^2</f>
        <v>6.0347975160303352E-2</v>
      </c>
      <c r="W212">
        <f>(D212-$B$12)*$C$222</f>
        <v>-0.67318426527554143</v>
      </c>
      <c r="X212" s="6">
        <f>$B$222+$B$7*W212^2+$B$8*(W212-W$215)^2</f>
        <v>6.484569682340538E-2</v>
      </c>
      <c r="Y212">
        <f>(D212-$B$12)*$C$223</f>
        <v>-0.71247145591155991</v>
      </c>
      <c r="Z212" s="6">
        <f>$B$223+$B$7*Y212^2+$B$8*(Y212-Y$215)^2</f>
        <v>7.0698657755168731E-2</v>
      </c>
      <c r="AA212">
        <f>(D212-$B$12)*$C$224</f>
        <v>-0.76084681622353978</v>
      </c>
      <c r="AB212" s="6">
        <f>$B$224+$B$7*AA212^2+$B$8*(AA212-AA$215)^2</f>
        <v>7.8409933018752889E-2</v>
      </c>
      <c r="AC212">
        <f>(D212-$B$12)*$C$225</f>
        <v>-0.82120501862513162</v>
      </c>
      <c r="AD212" s="6">
        <f>$B$225+$B$7*AC212^2+$B$8*(AC212-AC$215)^2</f>
        <v>8.9230475530912207E-2</v>
      </c>
      <c r="AE212">
        <f>(D212-$B$12)*$C$226</f>
        <v>-0.89740043855688356</v>
      </c>
      <c r="AF212" s="6">
        <f>$B$226+$B$7*AE212^2+$B$8*(AE212-AE$215)^2</f>
        <v>0.10350056478945316</v>
      </c>
      <c r="AG212">
        <f>(D212-$B$12)*$C$227</f>
        <v>-0.99498835119726281</v>
      </c>
      <c r="AH212" s="6">
        <f>$B$227+$B$7*AG212^2+$B$8*(AG212-AG$215)^2</f>
        <v>0.12367027326815533</v>
      </c>
      <c r="AI212">
        <f>(D212-$B$12)*$C$228</f>
        <v>-1.121601700496375</v>
      </c>
      <c r="AJ212">
        <f>$B$228+$B$9*AI212^2</f>
        <v>0.1420134553575837</v>
      </c>
      <c r="AK212">
        <f>(D212-$B$12)*$C$229</f>
        <v>-1.2893591862852709</v>
      </c>
      <c r="AL212">
        <f>$B$229+$B$9*AK212^2</f>
        <v>0.18341726019426066</v>
      </c>
      <c r="AM212">
        <f>(D212-$B$12)*$C$230</f>
        <v>-1.4748277929092191</v>
      </c>
      <c r="AN212">
        <f>$B$230+$B$9*AM212^2</f>
        <v>0.23556140591963182</v>
      </c>
      <c r="AO212">
        <f>(D212-$B$12)*$C$231</f>
        <v>-1.318778775413614</v>
      </c>
      <c r="AP212">
        <f>$B$231+$B$9*AO212^2</f>
        <v>0.1920205406881367</v>
      </c>
    </row>
    <row r="213" spans="1:42" x14ac:dyDescent="0.25">
      <c r="A213" s="139">
        <v>0.05</v>
      </c>
      <c r="B213" s="259">
        <f>'Sub C_D_0'!BA251</f>
        <v>1.8204339660203725E-2</v>
      </c>
      <c r="C213" s="259">
        <f>'C_L vs. α'!X517</f>
        <v>0.10633226209403525</v>
      </c>
      <c r="D213" s="144">
        <v>-4</v>
      </c>
      <c r="E213" s="14">
        <f t="shared" ref="E213:E223" si="304">(D213-$B$12)*$C$213</f>
        <v>-0.31899678628210576</v>
      </c>
      <c r="F213" s="6">
        <f t="shared" ref="F213:F223" si="305">$B$213+$B$7*E213^2+$B$8*(E213-E$215)^2</f>
        <v>3.0052034679422808E-2</v>
      </c>
      <c r="G213" s="14">
        <f t="shared" ref="G213:G223" si="306">(D213-$B$12)*$C$214</f>
        <v>-0.32153907867681319</v>
      </c>
      <c r="H213" s="6">
        <f t="shared" ref="H213:H223" si="307">$B$214+$B$7*G213^2+$B$8*(G213-G$215)^2</f>
        <v>2.9015956522464813E-2</v>
      </c>
      <c r="I213" s="14">
        <f t="shared" ref="I213:I223" si="308">(D213-$B$12)*$C$215</f>
        <v>-0.32526205174958855</v>
      </c>
      <c r="J213" s="6">
        <f t="shared" ref="J213:J223" si="309">$B$215+$B$7*I213^2+$B$8*(I213-I$215)^2</f>
        <v>2.8658733577000887E-2</v>
      </c>
      <c r="K213" s="14">
        <f t="shared" ref="K213:K223" si="310">(D213-$B$12)*$C$216</f>
        <v>-0.33039112382822222</v>
      </c>
      <c r="L213" s="6">
        <f t="shared" ref="L213:L223" si="311">$B$216+$B$7*K213^2+$B$8*(K213-K$215)^2</f>
        <v>2.8629250517154523E-2</v>
      </c>
      <c r="M213">
        <f t="shared" ref="M213:M223" si="312">(D213-$B$12)*$C$217</f>
        <v>-0.3371021929793242</v>
      </c>
      <c r="N213" s="6">
        <f t="shared" ref="N213:N223" si="313">$B$217+$B$7*M213^2+$B$8*(M213-M$215)^2</f>
        <v>2.8840773606601793E-2</v>
      </c>
      <c r="O213">
        <f t="shared" ref="O213:O223" si="314">(D213-$B$12)*$C$218</f>
        <v>-0.34529869887168224</v>
      </c>
      <c r="P213" s="6">
        <f t="shared" ref="P213:P223" si="315">$B$218+$B$7*O213^2+$B$8*(O213-O$215)^2</f>
        <v>2.9694471472567679E-2</v>
      </c>
      <c r="Q213">
        <f t="shared" ref="Q213:Q223" si="316">(D213-$B$12)*$C$219</f>
        <v>-0.3558658172600061</v>
      </c>
      <c r="R213" s="6">
        <f t="shared" ref="R213:R223" si="317">$B$219+$B$7*Q213^2+$B$8*(Q213-Q$215)^2</f>
        <v>3.0348350257786857E-2</v>
      </c>
      <c r="S213">
        <f t="shared" ref="S213:S223" si="318">(D213-$B$12)*$C$220</f>
        <v>-0.36882625800600888</v>
      </c>
      <c r="T213" s="6">
        <f t="shared" ref="T213:T223" si="319">$B$220+$B$7*S213^2+$B$8*(S213-S$215)^2</f>
        <v>3.1266095151600094E-2</v>
      </c>
      <c r="U213">
        <f t="shared" ref="U213:U223" si="320">(D213-$B$12)*$C$221</f>
        <v>-0.38463669288743496</v>
      </c>
      <c r="V213" s="6">
        <f t="shared" ref="V213:V223" si="321">$B$221+$B$7*U213^2+$B$8*(U213-U$215)^2</f>
        <v>3.250176919819333E-2</v>
      </c>
      <c r="W213">
        <f t="shared" ref="W213:W222" si="322">(D213-$B$12)*$C$222</f>
        <v>-0.40391055916532481</v>
      </c>
      <c r="X213" s="6">
        <f t="shared" ref="X213:X223" si="323">$B$222+$B$7*W213^2+$B$8*(W213-W$215)^2</f>
        <v>3.4138864270163043E-2</v>
      </c>
      <c r="Y213">
        <f t="shared" ref="Y213:Y223" si="324">(D213-$B$12)*$C$223</f>
        <v>-0.42748287354693598</v>
      </c>
      <c r="Z213" s="6">
        <f t="shared" ref="Z213:Z223" si="325">$B$223+$B$7*Y213^2+$B$8*(Y213-Y$215)^2</f>
        <v>3.630312447414405E-2</v>
      </c>
      <c r="AA213">
        <f t="shared" ref="AA213:AA223" si="326">(D213-$B$12)*$C$224</f>
        <v>-0.45650808973412382</v>
      </c>
      <c r="AB213" s="6">
        <f t="shared" ref="AB213:AB223" si="327">$B$224+$B$7*AA213^2+$B$8*(AA213-AA$215)^2</f>
        <v>3.9185058474233508E-2</v>
      </c>
      <c r="AC213">
        <f t="shared" ref="AC213:AC223" si="328">(D213-$B$12)*$C$225</f>
        <v>-0.49272301117507894</v>
      </c>
      <c r="AD213" s="6">
        <f t="shared" ref="AD213:AD223" si="329">$B$225+$B$7*AC213^2+$B$8*(AC213-AC$215)^2</f>
        <v>4.3535305511680375E-2</v>
      </c>
      <c r="AE213">
        <f t="shared" ref="AE213:AE223" si="330">(D213-$B$12)*$C$226</f>
        <v>-0.53844026313413018</v>
      </c>
      <c r="AF213" s="6">
        <f t="shared" ref="AF213:AF223" si="331">$B$226+$B$7*AE213^2+$B$8*(AE213-AE$215)^2</f>
        <v>4.8932360449989803E-2</v>
      </c>
      <c r="AG213">
        <f t="shared" ref="AG213:AG223" si="332">(D213-$B$12)*$C$227</f>
        <v>-0.59699301071835764</v>
      </c>
      <c r="AH213" s="6">
        <f t="shared" ref="AH213:AH223" si="333">$B$227+$B$7*AG213^2+$B$8*(AG213-AG$215)^2</f>
        <v>5.6588721482570672E-2</v>
      </c>
      <c r="AI213">
        <f t="shared" ref="AI213:AI223" si="334">(D213-$B$12)*$C$228</f>
        <v>-0.6729610202978249</v>
      </c>
      <c r="AJ213">
        <f t="shared" ref="AJ213:AJ223" si="335">$B$228+$B$9*AI213^2</f>
        <v>6.079883121969696E-2</v>
      </c>
      <c r="AK213">
        <f t="shared" ref="AK213:AK223" si="336">(D213-$B$12)*$C$229</f>
        <v>-0.77361551177116261</v>
      </c>
      <c r="AL213">
        <f t="shared" ref="AL213:AL223" si="337">$B$229+$B$9*AK213^2</f>
        <v>7.6091306021069449E-2</v>
      </c>
      <c r="AM213">
        <f t="shared" ref="AM213:AM223" si="338">(D213-$B$12)*$C$230</f>
        <v>-0.88489667574553144</v>
      </c>
      <c r="AN213">
        <f t="shared" ref="AN213:AN223" si="339">$B$230+$B$9*AM213^2</f>
        <v>9.5137985593397242E-2</v>
      </c>
      <c r="AO213">
        <f t="shared" ref="AO213:AO223" si="340">(D213-$B$12)*$C$231</f>
        <v>-0.79126726524816848</v>
      </c>
      <c r="AP213">
        <f t="shared" ref="AP213:AP223" si="341">$B$231+$B$9*AO213^2</f>
        <v>7.9740950592333132E-2</v>
      </c>
    </row>
    <row r="214" spans="1:42" x14ac:dyDescent="0.25">
      <c r="A214" s="129">
        <v>0.1</v>
      </c>
      <c r="B214" s="259">
        <f>'Sub C_D_0'!BA252</f>
        <v>1.6978665053560028E-2</v>
      </c>
      <c r="C214" s="259">
        <f>'C_L vs. α'!X518</f>
        <v>0.10717969289227106</v>
      </c>
      <c r="D214" s="144">
        <v>-2</v>
      </c>
      <c r="E214" s="14">
        <f t="shared" si="304"/>
        <v>-0.10633226209403525</v>
      </c>
      <c r="F214" s="6">
        <f t="shared" si="305"/>
        <v>2.0023263549540718E-2</v>
      </c>
      <c r="G214" s="14">
        <f t="shared" si="306"/>
        <v>-0.10717969289227106</v>
      </c>
      <c r="H214" s="6">
        <f t="shared" si="307"/>
        <v>1.882669684203752E-2</v>
      </c>
      <c r="I214" s="14">
        <f t="shared" si="308"/>
        <v>-0.10842068391652951</v>
      </c>
      <c r="J214" s="6">
        <f t="shared" si="309"/>
        <v>1.8232153114968751E-2</v>
      </c>
      <c r="K214" s="14">
        <f t="shared" si="310"/>
        <v>-0.1101303746094074</v>
      </c>
      <c r="L214" s="6">
        <f t="shared" si="311"/>
        <v>1.7871242910007488E-2</v>
      </c>
      <c r="M214">
        <f t="shared" si="312"/>
        <v>-0.11236739765977473</v>
      </c>
      <c r="N214" s="6">
        <f t="shared" si="313"/>
        <v>1.7641283248345116E-2</v>
      </c>
      <c r="O214">
        <f t="shared" si="314"/>
        <v>-0.11509956629056074</v>
      </c>
      <c r="P214" s="6">
        <f t="shared" si="315"/>
        <v>1.7943737659622028E-2</v>
      </c>
      <c r="Q214">
        <f t="shared" si="316"/>
        <v>-0.1186219390866687</v>
      </c>
      <c r="R214" s="6">
        <f t="shared" si="317"/>
        <v>1.786740000327575E-2</v>
      </c>
      <c r="S214">
        <f t="shared" si="318"/>
        <v>-0.12294208600200296</v>
      </c>
      <c r="T214" s="6">
        <f t="shared" si="319"/>
        <v>1.7859491524770833E-2</v>
      </c>
      <c r="U214">
        <f t="shared" si="320"/>
        <v>-0.12821223096247833</v>
      </c>
      <c r="V214" s="6">
        <f t="shared" si="321"/>
        <v>1.7921131170403282E-2</v>
      </c>
      <c r="W214">
        <f t="shared" si="322"/>
        <v>-0.13463685305510828</v>
      </c>
      <c r="X214" s="6">
        <f t="shared" si="323"/>
        <v>1.8060364705518563E-2</v>
      </c>
      <c r="Y214">
        <f t="shared" si="324"/>
        <v>-0.14249429118231199</v>
      </c>
      <c r="Z214" s="6">
        <f t="shared" si="325"/>
        <v>1.8293172912849712E-2</v>
      </c>
      <c r="AA214">
        <f t="shared" si="326"/>
        <v>-0.15216936324470795</v>
      </c>
      <c r="AB214" s="6">
        <f t="shared" si="327"/>
        <v>1.8646400597561834E-2</v>
      </c>
      <c r="AC214">
        <f t="shared" si="328"/>
        <v>-0.16424100372502631</v>
      </c>
      <c r="AD214" s="6">
        <f t="shared" si="329"/>
        <v>1.9608716209880302E-2</v>
      </c>
      <c r="AE214">
        <f t="shared" si="330"/>
        <v>-0.17948008771137672</v>
      </c>
      <c r="AF214" s="6">
        <f t="shared" si="331"/>
        <v>2.0359734204862784E-2</v>
      </c>
      <c r="AG214">
        <f t="shared" si="332"/>
        <v>-0.19899767023945256</v>
      </c>
      <c r="AH214" s="6">
        <f t="shared" si="333"/>
        <v>2.1463942679349157E-2</v>
      </c>
      <c r="AI214">
        <f t="shared" si="334"/>
        <v>-0.22432034009927498</v>
      </c>
      <c r="AJ214">
        <f t="shared" si="335"/>
        <v>2.0191519150753609E-2</v>
      </c>
      <c r="AK214">
        <f t="shared" si="336"/>
        <v>-0.2578718372570542</v>
      </c>
      <c r="AL214">
        <f t="shared" si="337"/>
        <v>2.2428328934473836E-2</v>
      </c>
      <c r="AM214">
        <f t="shared" si="338"/>
        <v>-0.29496555858184381</v>
      </c>
      <c r="AN214">
        <f t="shared" si="339"/>
        <v>2.4926275430279959E-2</v>
      </c>
      <c r="AO214">
        <f t="shared" si="340"/>
        <v>-0.26375575508272281</v>
      </c>
      <c r="AP214">
        <f t="shared" si="341"/>
        <v>2.3601155544431329E-2</v>
      </c>
    </row>
    <row r="215" spans="1:42" s="29" customFormat="1" x14ac:dyDescent="0.25">
      <c r="A215" s="139">
        <v>0.15</v>
      </c>
      <c r="B215" s="259">
        <f>'Sub C_D_0'!BA253</f>
        <v>1.6341078322168336E-2</v>
      </c>
      <c r="C215" s="259">
        <f>'C_L vs. α'!X519</f>
        <v>0.10842068391652951</v>
      </c>
      <c r="D215" s="143">
        <v>0</v>
      </c>
      <c r="E215" s="83">
        <f t="shared" si="304"/>
        <v>0.10633226209403525</v>
      </c>
      <c r="F215" s="21">
        <f t="shared" si="305"/>
        <v>1.9118739552577948E-2</v>
      </c>
      <c r="G215" s="83">
        <f t="shared" si="306"/>
        <v>0.10717969289227106</v>
      </c>
      <c r="H215" s="21">
        <f t="shared" si="307"/>
        <v>1.7907697916558996E-2</v>
      </c>
      <c r="I215" s="83">
        <f t="shared" si="308"/>
        <v>0.10842068391652951</v>
      </c>
      <c r="J215" s="21">
        <f t="shared" si="309"/>
        <v>1.7291749538894511E-2</v>
      </c>
      <c r="K215" s="83">
        <f t="shared" si="310"/>
        <v>0.1101303746094074</v>
      </c>
      <c r="L215" s="21">
        <f t="shared" si="311"/>
        <v>1.6900946957078816E-2</v>
      </c>
      <c r="M215" s="99">
        <f t="shared" si="312"/>
        <v>0.11236739765977473</v>
      </c>
      <c r="N215" s="21">
        <f t="shared" si="313"/>
        <v>1.6631168683798721E-2</v>
      </c>
      <c r="O215" s="99">
        <f t="shared" si="314"/>
        <v>0.11509956629056074</v>
      </c>
      <c r="P215" s="21">
        <f t="shared" si="315"/>
        <v>1.6883904846800014E-2</v>
      </c>
      <c r="Q215" s="99">
        <f t="shared" si="316"/>
        <v>0.1186219390866687</v>
      </c>
      <c r="R215" s="21">
        <f t="shared" si="317"/>
        <v>1.6741706848661244E-2</v>
      </c>
      <c r="S215" s="99">
        <f t="shared" si="318"/>
        <v>0.12294208600200296</v>
      </c>
      <c r="T215" s="21">
        <f t="shared" si="319"/>
        <v>1.6650311003928921E-2</v>
      </c>
      <c r="U215" s="99">
        <f t="shared" si="320"/>
        <v>0.12821223096247833</v>
      </c>
      <c r="V215" s="21">
        <f t="shared" si="321"/>
        <v>1.6606061076933212E-2</v>
      </c>
      <c r="W215" s="99">
        <f t="shared" si="322"/>
        <v>0.13463685305510828</v>
      </c>
      <c r="X215" s="21">
        <f t="shared" si="323"/>
        <v>1.6610198129471936E-2</v>
      </c>
      <c r="Y215" s="99">
        <f t="shared" si="324"/>
        <v>0.14249429118231199</v>
      </c>
      <c r="Z215" s="21">
        <f t="shared" si="325"/>
        <v>1.6668803071285751E-2</v>
      </c>
      <c r="AA215" s="99">
        <f t="shared" si="326"/>
        <v>0.15216936324470795</v>
      </c>
      <c r="AB215" s="21">
        <f t="shared" si="327"/>
        <v>1.6793959388737845E-2</v>
      </c>
      <c r="AC215" s="99">
        <f t="shared" si="328"/>
        <v>0.16424100372502631</v>
      </c>
      <c r="AD215" s="21">
        <f t="shared" si="329"/>
        <v>1.7450707625511975E-2</v>
      </c>
      <c r="AE215" s="99">
        <f t="shared" si="330"/>
        <v>0.17948008771137672</v>
      </c>
      <c r="AF215" s="21">
        <f t="shared" si="331"/>
        <v>1.7782686054072107E-2</v>
      </c>
      <c r="AG215" s="99">
        <f t="shared" si="332"/>
        <v>0.19899767023945256</v>
      </c>
      <c r="AH215" s="21">
        <f t="shared" si="333"/>
        <v>1.8295936858490763E-2</v>
      </c>
      <c r="AI215" s="99">
        <f t="shared" si="334"/>
        <v>0.22432034009927498</v>
      </c>
      <c r="AJ215" s="99">
        <f t="shared" si="335"/>
        <v>2.0191519150753609E-2</v>
      </c>
      <c r="AK215" s="99">
        <f t="shared" si="336"/>
        <v>0.2578718372570542</v>
      </c>
      <c r="AL215" s="99">
        <f t="shared" si="337"/>
        <v>2.2428328934473836E-2</v>
      </c>
      <c r="AM215" s="99">
        <f t="shared" si="338"/>
        <v>0.29496555858184381</v>
      </c>
      <c r="AN215" s="99">
        <f t="shared" si="339"/>
        <v>2.4926275430279959E-2</v>
      </c>
      <c r="AO215" s="99">
        <f t="shared" si="340"/>
        <v>0.26375575508272281</v>
      </c>
      <c r="AP215" s="99">
        <f t="shared" si="341"/>
        <v>2.3601155544431329E-2</v>
      </c>
    </row>
    <row r="216" spans="1:42" x14ac:dyDescent="0.25">
      <c r="A216" s="129">
        <v>0.2</v>
      </c>
      <c r="B216" s="259">
        <f>'Sub C_D_0'!BA254</f>
        <v>1.5920056988533687E-2</v>
      </c>
      <c r="C216" s="259">
        <f>'C_L vs. α'!X520</f>
        <v>0.1101303746094074</v>
      </c>
      <c r="D216" s="144">
        <v>2</v>
      </c>
      <c r="E216" s="14">
        <f t="shared" si="304"/>
        <v>0.31899678628210576</v>
      </c>
      <c r="F216" s="6">
        <f t="shared" si="305"/>
        <v>2.7338462688534505E-2</v>
      </c>
      <c r="G216" s="14">
        <f t="shared" si="306"/>
        <v>0.32153907867681319</v>
      </c>
      <c r="H216" s="6">
        <f t="shared" si="307"/>
        <v>2.6258959746029244E-2</v>
      </c>
      <c r="I216" s="14">
        <f t="shared" si="308"/>
        <v>0.32526205174958855</v>
      </c>
      <c r="J216" s="6">
        <f t="shared" si="309"/>
        <v>2.5837522848778167E-2</v>
      </c>
      <c r="K216" s="14">
        <f t="shared" si="310"/>
        <v>0.33039112382822222</v>
      </c>
      <c r="L216" s="6">
        <f t="shared" si="311"/>
        <v>2.5718362658368504E-2</v>
      </c>
      <c r="M216">
        <f t="shared" si="312"/>
        <v>0.3371021929793242</v>
      </c>
      <c r="N216" s="6">
        <f t="shared" si="313"/>
        <v>2.5810429912962604E-2</v>
      </c>
      <c r="O216">
        <f t="shared" si="314"/>
        <v>0.34529869887168224</v>
      </c>
      <c r="P216" s="6">
        <f t="shared" si="315"/>
        <v>2.6514973034101635E-2</v>
      </c>
      <c r="Q216">
        <f t="shared" si="316"/>
        <v>0.3558658172600061</v>
      </c>
      <c r="R216" s="6">
        <f t="shared" si="317"/>
        <v>2.6971270793943333E-2</v>
      </c>
      <c r="S216">
        <f t="shared" si="318"/>
        <v>0.36882625800600888</v>
      </c>
      <c r="T216" s="6">
        <f t="shared" si="319"/>
        <v>2.7638553589074358E-2</v>
      </c>
      <c r="U216">
        <f t="shared" si="320"/>
        <v>0.38463669288743496</v>
      </c>
      <c r="V216" s="6">
        <f t="shared" si="321"/>
        <v>2.8556558917783113E-2</v>
      </c>
      <c r="W216">
        <f t="shared" si="322"/>
        <v>0.40391055916532481</v>
      </c>
      <c r="X216" s="6">
        <f t="shared" si="323"/>
        <v>2.9788364542023167E-2</v>
      </c>
      <c r="Y216">
        <f t="shared" si="324"/>
        <v>0.42748287354693598</v>
      </c>
      <c r="Z216" s="6">
        <f t="shared" si="325"/>
        <v>3.1430014949452162E-2</v>
      </c>
      <c r="AA216">
        <f t="shared" si="326"/>
        <v>0.45650808973412382</v>
      </c>
      <c r="AB216" s="6">
        <f t="shared" si="327"/>
        <v>3.3627734847761534E-2</v>
      </c>
      <c r="AC216">
        <f t="shared" si="328"/>
        <v>0.49272301117507894</v>
      </c>
      <c r="AD216" s="6">
        <f t="shared" si="329"/>
        <v>3.7061279758575386E-2</v>
      </c>
      <c r="AE216">
        <f t="shared" si="330"/>
        <v>0.53844026313413018</v>
      </c>
      <c r="AF216" s="6">
        <f t="shared" si="331"/>
        <v>4.1201215997617766E-2</v>
      </c>
      <c r="AG216">
        <f t="shared" si="332"/>
        <v>0.59699301071835764</v>
      </c>
      <c r="AH216" s="6">
        <f t="shared" si="333"/>
        <v>4.7084704019995496E-2</v>
      </c>
      <c r="AI216">
        <f t="shared" si="334"/>
        <v>0.6729610202978249</v>
      </c>
      <c r="AJ216">
        <f t="shared" si="335"/>
        <v>6.079883121969696E-2</v>
      </c>
      <c r="AK216">
        <f t="shared" si="336"/>
        <v>0.77361551177116261</v>
      </c>
      <c r="AL216">
        <f t="shared" si="337"/>
        <v>7.6091306021069449E-2</v>
      </c>
      <c r="AM216">
        <f t="shared" si="338"/>
        <v>0.88489667574553144</v>
      </c>
      <c r="AN216">
        <f t="shared" si="339"/>
        <v>9.5137985593397242E-2</v>
      </c>
      <c r="AO216">
        <f t="shared" si="340"/>
        <v>0.79126726524816848</v>
      </c>
      <c r="AP216">
        <f t="shared" si="341"/>
        <v>7.9740950592333132E-2</v>
      </c>
    </row>
    <row r="217" spans="1:42" x14ac:dyDescent="0.25">
      <c r="A217" s="139">
        <v>0.25</v>
      </c>
      <c r="B217" s="259">
        <f>'Sub C_D_0'!BA255</f>
        <v>1.5610025350721535E-2</v>
      </c>
      <c r="C217" s="259">
        <f>'C_L vs. α'!X521</f>
        <v>0.11236739765977473</v>
      </c>
      <c r="D217" s="144">
        <v>4</v>
      </c>
      <c r="E217" s="14">
        <f t="shared" si="304"/>
        <v>0.53166131047017628</v>
      </c>
      <c r="F217" s="6">
        <f t="shared" si="305"/>
        <v>4.4682432957410381E-2</v>
      </c>
      <c r="G217" s="14">
        <f t="shared" si="306"/>
        <v>0.53589846446135525</v>
      </c>
      <c r="H217" s="6">
        <f t="shared" si="307"/>
        <v>4.3880482330448251E-2</v>
      </c>
      <c r="I217" s="14">
        <f t="shared" si="308"/>
        <v>0.54210341958264752</v>
      </c>
      <c r="J217" s="6">
        <f t="shared" si="309"/>
        <v>4.386947304461971E-2</v>
      </c>
      <c r="K217" s="14">
        <f t="shared" si="310"/>
        <v>0.550651873047037</v>
      </c>
      <c r="L217" s="6">
        <f t="shared" si="311"/>
        <v>4.4323490013876553E-2</v>
      </c>
      <c r="M217">
        <f t="shared" si="312"/>
        <v>0.56183698829887363</v>
      </c>
      <c r="N217" s="6">
        <f t="shared" si="313"/>
        <v>4.5179066935836759E-2</v>
      </c>
      <c r="O217">
        <f t="shared" si="314"/>
        <v>0.57549783145280375</v>
      </c>
      <c r="P217" s="6">
        <f t="shared" si="315"/>
        <v>4.68369422215269E-2</v>
      </c>
      <c r="Q217">
        <f t="shared" si="316"/>
        <v>0.59310969543334346</v>
      </c>
      <c r="R217" s="6">
        <f t="shared" si="317"/>
        <v>4.8556091839122024E-2</v>
      </c>
      <c r="S217">
        <f t="shared" si="318"/>
        <v>0.6147104300100148</v>
      </c>
      <c r="T217" s="6">
        <f t="shared" si="319"/>
        <v>5.0824219280207146E-2</v>
      </c>
      <c r="U217">
        <f t="shared" si="320"/>
        <v>0.64106115481239168</v>
      </c>
      <c r="V217" s="6">
        <f t="shared" si="321"/>
        <v>5.3772624692952999E-2</v>
      </c>
      <c r="W217">
        <f t="shared" si="322"/>
        <v>0.67318426527554143</v>
      </c>
      <c r="X217" s="6">
        <f t="shared" si="323"/>
        <v>5.7594863943172259E-2</v>
      </c>
      <c r="Y217">
        <f t="shared" si="324"/>
        <v>0.71247145591155991</v>
      </c>
      <c r="Z217" s="6">
        <f t="shared" si="325"/>
        <v>6.2576808547348942E-2</v>
      </c>
      <c r="AA217">
        <f t="shared" si="326"/>
        <v>0.76084681622353978</v>
      </c>
      <c r="AB217" s="6">
        <f t="shared" si="327"/>
        <v>6.9147726974632936E-2</v>
      </c>
      <c r="AC217">
        <f t="shared" si="328"/>
        <v>0.82120501862513162</v>
      </c>
      <c r="AD217" s="6">
        <f t="shared" si="329"/>
        <v>7.8440432609070548E-2</v>
      </c>
      <c r="AE217">
        <f t="shared" si="330"/>
        <v>0.89740043855688356</v>
      </c>
      <c r="AF217" s="6">
        <f t="shared" si="331"/>
        <v>9.0615324035499753E-2</v>
      </c>
      <c r="AG217">
        <f t="shared" si="332"/>
        <v>0.99498835119726281</v>
      </c>
      <c r="AH217" s="6">
        <f t="shared" si="333"/>
        <v>0.10783024416386337</v>
      </c>
      <c r="AI217">
        <f t="shared" si="334"/>
        <v>1.121601700496375</v>
      </c>
      <c r="AJ217">
        <f t="shared" si="335"/>
        <v>0.1420134553575837</v>
      </c>
      <c r="AK217">
        <f t="shared" si="336"/>
        <v>1.2893591862852709</v>
      </c>
      <c r="AL217">
        <f t="shared" si="337"/>
        <v>0.18341726019426066</v>
      </c>
      <c r="AM217">
        <f t="shared" si="338"/>
        <v>1.4748277929092191</v>
      </c>
      <c r="AN217">
        <f t="shared" si="339"/>
        <v>0.23556140591963182</v>
      </c>
      <c r="AO217">
        <f t="shared" si="340"/>
        <v>1.318778775413614</v>
      </c>
      <c r="AP217">
        <f t="shared" si="341"/>
        <v>0.1920205406881367</v>
      </c>
    </row>
    <row r="218" spans="1:42" x14ac:dyDescent="0.25">
      <c r="A218" s="129">
        <v>0.3</v>
      </c>
      <c r="B218" s="259">
        <f>'Sub C_D_0'!BA256</f>
        <v>1.5812500424990064E-2</v>
      </c>
      <c r="C218" s="259">
        <f>'C_L vs. α'!X522</f>
        <v>0.11509956629056074</v>
      </c>
      <c r="D218" s="144">
        <v>6</v>
      </c>
      <c r="E218" s="14">
        <f t="shared" si="304"/>
        <v>0.74432583465824675</v>
      </c>
      <c r="F218" s="6">
        <f t="shared" si="305"/>
        <v>7.1150650359205578E-2</v>
      </c>
      <c r="G218" s="14">
        <f t="shared" si="306"/>
        <v>0.75025785024589742</v>
      </c>
      <c r="H218" s="6">
        <f t="shared" si="307"/>
        <v>7.0772265669816051E-2</v>
      </c>
      <c r="I218" s="14">
        <f t="shared" si="308"/>
        <v>0.75894478741570659</v>
      </c>
      <c r="J218" s="6">
        <f t="shared" si="309"/>
        <v>7.1387600126419148E-2</v>
      </c>
      <c r="K218" s="14">
        <f t="shared" si="310"/>
        <v>0.77091262226585178</v>
      </c>
      <c r="L218" s="6">
        <f t="shared" si="311"/>
        <v>7.2716329023602949E-2</v>
      </c>
      <c r="M218">
        <f t="shared" si="312"/>
        <v>0.78657178361842306</v>
      </c>
      <c r="N218" s="6">
        <f t="shared" si="313"/>
        <v>7.4737079752421193E-2</v>
      </c>
      <c r="O218">
        <f t="shared" si="314"/>
        <v>0.80569696403392521</v>
      </c>
      <c r="P218" s="6">
        <f t="shared" si="315"/>
        <v>7.7849812409075791E-2</v>
      </c>
      <c r="Q218">
        <f t="shared" si="316"/>
        <v>0.83035357360668083</v>
      </c>
      <c r="R218" s="6">
        <f t="shared" si="317"/>
        <v>8.1496169984197286E-2</v>
      </c>
      <c r="S218">
        <f t="shared" si="318"/>
        <v>0.86059460201402072</v>
      </c>
      <c r="T218" s="6">
        <f t="shared" si="319"/>
        <v>8.6207308077327266E-2</v>
      </c>
      <c r="U218">
        <f t="shared" si="320"/>
        <v>0.89748561673734828</v>
      </c>
      <c r="V218" s="6">
        <f t="shared" si="321"/>
        <v>9.2254258402442849E-2</v>
      </c>
      <c r="W218">
        <f t="shared" si="322"/>
        <v>0.94245797138575793</v>
      </c>
      <c r="X218" s="6">
        <f t="shared" si="323"/>
        <v>0.10002969633291919</v>
      </c>
      <c r="Y218">
        <f t="shared" si="324"/>
        <v>0.99746003827618401</v>
      </c>
      <c r="Z218" s="6">
        <f t="shared" si="325"/>
        <v>0.11010918386497609</v>
      </c>
      <c r="AA218">
        <f t="shared" si="326"/>
        <v>1.0651855427129557</v>
      </c>
      <c r="AB218" s="6">
        <f t="shared" si="327"/>
        <v>0.12335393576935201</v>
      </c>
      <c r="AC218">
        <f t="shared" si="328"/>
        <v>1.1496870260751841</v>
      </c>
      <c r="AD218" s="6">
        <f t="shared" si="329"/>
        <v>0.14158816617699743</v>
      </c>
      <c r="AE218">
        <f t="shared" si="330"/>
        <v>1.2563606139796371</v>
      </c>
      <c r="AF218" s="6">
        <f t="shared" si="331"/>
        <v>0.16602501016771806</v>
      </c>
      <c r="AG218">
        <f t="shared" si="332"/>
        <v>1.392983691676168</v>
      </c>
      <c r="AH218" s="6">
        <f t="shared" si="333"/>
        <v>0.20053255729009439</v>
      </c>
      <c r="AI218">
        <f t="shared" si="334"/>
        <v>1.5702423806949248</v>
      </c>
      <c r="AJ218">
        <f t="shared" si="335"/>
        <v>0.26383539156441371</v>
      </c>
      <c r="AK218">
        <f t="shared" si="336"/>
        <v>1.8051028607993795</v>
      </c>
      <c r="AL218">
        <f t="shared" si="337"/>
        <v>0.34440619145404755</v>
      </c>
      <c r="AM218">
        <f t="shared" si="338"/>
        <v>2.0647589100729067</v>
      </c>
      <c r="AN218">
        <f t="shared" si="339"/>
        <v>0.44619653640898366</v>
      </c>
      <c r="AO218">
        <f t="shared" si="340"/>
        <v>1.8462902855790597</v>
      </c>
      <c r="AP218">
        <f t="shared" si="341"/>
        <v>0.36043992583184215</v>
      </c>
    </row>
    <row r="219" spans="1:42" x14ac:dyDescent="0.25">
      <c r="A219" s="139">
        <v>0.35</v>
      </c>
      <c r="B219" s="259">
        <f>'Sub C_D_0'!BA257</f>
        <v>1.5603722999827797E-2</v>
      </c>
      <c r="C219" s="259">
        <f>'C_L vs. α'!X523</f>
        <v>0.1186219390866687</v>
      </c>
      <c r="D219" s="144">
        <v>8</v>
      </c>
      <c r="E219" s="14">
        <f t="shared" si="304"/>
        <v>0.95699035884631722</v>
      </c>
      <c r="F219" s="6">
        <f t="shared" si="305"/>
        <v>0.10674311489392009</v>
      </c>
      <c r="G219" s="14">
        <f t="shared" si="306"/>
        <v>0.96461723603043947</v>
      </c>
      <c r="H219" s="6">
        <f t="shared" si="307"/>
        <v>0.10693430976413261</v>
      </c>
      <c r="I219" s="14">
        <f t="shared" si="308"/>
        <v>0.97578615524876555</v>
      </c>
      <c r="J219" s="6">
        <f t="shared" si="309"/>
        <v>0.10839190409417648</v>
      </c>
      <c r="K219" s="14">
        <f t="shared" si="310"/>
        <v>0.99117337148466667</v>
      </c>
      <c r="L219" s="6">
        <f t="shared" si="311"/>
        <v>0.11089687968754774</v>
      </c>
      <c r="M219">
        <f t="shared" si="312"/>
        <v>1.0113065789379725</v>
      </c>
      <c r="N219" s="6">
        <f t="shared" si="313"/>
        <v>0.11448446836271588</v>
      </c>
      <c r="O219">
        <f t="shared" si="314"/>
        <v>1.0358960966150468</v>
      </c>
      <c r="P219" s="6">
        <f t="shared" si="315"/>
        <v>0.11955358359674835</v>
      </c>
      <c r="Q219">
        <f t="shared" si="316"/>
        <v>1.0675974517800182</v>
      </c>
      <c r="R219" s="6">
        <f t="shared" si="317"/>
        <v>0.12579150522916918</v>
      </c>
      <c r="S219">
        <f t="shared" si="318"/>
        <v>1.1064787740180266</v>
      </c>
      <c r="T219" s="6">
        <f t="shared" si="319"/>
        <v>0.13378781998043476</v>
      </c>
      <c r="U219">
        <f t="shared" si="320"/>
        <v>1.1539100786623049</v>
      </c>
      <c r="V219" s="6">
        <f t="shared" si="321"/>
        <v>0.14400146004625269</v>
      </c>
      <c r="W219">
        <f t="shared" si="322"/>
        <v>1.2117316774959745</v>
      </c>
      <c r="X219" s="6">
        <f t="shared" si="323"/>
        <v>0.15709286171126402</v>
      </c>
      <c r="Y219">
        <f t="shared" si="324"/>
        <v>1.2824486206408079</v>
      </c>
      <c r="Z219" s="6">
        <f t="shared" si="325"/>
        <v>0.17402714090233362</v>
      </c>
      <c r="AA219">
        <f t="shared" si="326"/>
        <v>1.3695242692023715</v>
      </c>
      <c r="AB219" s="6">
        <f t="shared" si="327"/>
        <v>0.19624636123191874</v>
      </c>
      <c r="AC219">
        <f t="shared" si="328"/>
        <v>1.4781690335252369</v>
      </c>
      <c r="AD219" s="6">
        <f t="shared" si="329"/>
        <v>0.22650448046235611</v>
      </c>
      <c r="AE219">
        <f t="shared" si="330"/>
        <v>1.6153207894023904</v>
      </c>
      <c r="AF219" s="6">
        <f t="shared" si="331"/>
        <v>0.26743027439427275</v>
      </c>
      <c r="AG219">
        <f t="shared" si="332"/>
        <v>1.7909790321550729</v>
      </c>
      <c r="AH219" s="6">
        <f t="shared" si="333"/>
        <v>0.3251916433986885</v>
      </c>
      <c r="AI219">
        <f t="shared" si="334"/>
        <v>2.0188830608934749</v>
      </c>
      <c r="AJ219">
        <f t="shared" si="335"/>
        <v>0.4262646398401872</v>
      </c>
      <c r="AK219">
        <f t="shared" si="336"/>
        <v>2.3208465353134877</v>
      </c>
      <c r="AL219">
        <f t="shared" si="337"/>
        <v>0.55905809980042998</v>
      </c>
      <c r="AM219">
        <f t="shared" si="338"/>
        <v>2.6546900272365943</v>
      </c>
      <c r="AN219">
        <f t="shared" si="339"/>
        <v>0.72704337706145283</v>
      </c>
      <c r="AO219">
        <f t="shared" si="340"/>
        <v>2.3738017957445052</v>
      </c>
      <c r="AP219">
        <f t="shared" si="341"/>
        <v>0.58499910602344929</v>
      </c>
    </row>
    <row r="220" spans="1:42" x14ac:dyDescent="0.25">
      <c r="A220" s="129">
        <v>0.4</v>
      </c>
      <c r="B220" s="259">
        <f>'Sub C_D_0'!BA258</f>
        <v>1.5427928245890978E-2</v>
      </c>
      <c r="C220" s="259">
        <f>'C_L vs. α'!X524</f>
        <v>0.12294208600200296</v>
      </c>
      <c r="D220" s="144">
        <v>10</v>
      </c>
      <c r="E220" s="14">
        <f t="shared" si="304"/>
        <v>1.1696548830343878</v>
      </c>
      <c r="F220" s="6">
        <f t="shared" si="305"/>
        <v>0.15145982656155396</v>
      </c>
      <c r="G220" s="14">
        <f t="shared" si="306"/>
        <v>1.1789766218149815</v>
      </c>
      <c r="H220" s="6">
        <f t="shared" si="307"/>
        <v>0.1523666146133979</v>
      </c>
      <c r="I220" s="14">
        <f t="shared" si="308"/>
        <v>1.1926275230818246</v>
      </c>
      <c r="J220" s="6">
        <f t="shared" si="309"/>
        <v>0.15488238494789172</v>
      </c>
      <c r="K220" s="14">
        <f t="shared" si="310"/>
        <v>1.2114341207034813</v>
      </c>
      <c r="L220" s="6">
        <f t="shared" si="311"/>
        <v>0.15886514200571084</v>
      </c>
      <c r="M220">
        <f t="shared" si="312"/>
        <v>1.236041374257522</v>
      </c>
      <c r="N220" s="6">
        <f t="shared" si="313"/>
        <v>0.16442123276672094</v>
      </c>
      <c r="O220">
        <f t="shared" si="314"/>
        <v>1.2660952291961682</v>
      </c>
      <c r="P220" s="6">
        <f t="shared" si="315"/>
        <v>0.17194825578454448</v>
      </c>
      <c r="Q220">
        <f t="shared" si="316"/>
        <v>1.3048413299533557</v>
      </c>
      <c r="R220" s="6">
        <f t="shared" si="317"/>
        <v>0.18144209757403762</v>
      </c>
      <c r="S220">
        <f t="shared" si="318"/>
        <v>1.3523629460220326</v>
      </c>
      <c r="T220" s="6">
        <f t="shared" si="319"/>
        <v>0.1935657549895296</v>
      </c>
      <c r="U220">
        <f t="shared" si="320"/>
        <v>1.4103345405872616</v>
      </c>
      <c r="V220" s="6">
        <f t="shared" si="321"/>
        <v>0.20901422962438249</v>
      </c>
      <c r="W220">
        <f t="shared" si="322"/>
        <v>1.4810053836061912</v>
      </c>
      <c r="X220" s="6">
        <f t="shared" si="323"/>
        <v>0.22878436007820666</v>
      </c>
      <c r="Y220">
        <f t="shared" si="324"/>
        <v>1.567437203005432</v>
      </c>
      <c r="Z220" s="6">
        <f t="shared" si="325"/>
        <v>0.25433067965942158</v>
      </c>
      <c r="AA220">
        <f t="shared" si="326"/>
        <v>1.6738629956917874</v>
      </c>
      <c r="AB220" s="6">
        <f t="shared" si="327"/>
        <v>0.28782500336233319</v>
      </c>
      <c r="AC220">
        <f t="shared" si="328"/>
        <v>1.8066510409752894</v>
      </c>
      <c r="AD220" s="6">
        <f t="shared" si="329"/>
        <v>0.33318937546514638</v>
      </c>
      <c r="AE220">
        <f t="shared" si="330"/>
        <v>1.9742809648251438</v>
      </c>
      <c r="AF220" s="6">
        <f t="shared" si="331"/>
        <v>0.39483111671516369</v>
      </c>
      <c r="AG220">
        <f t="shared" si="332"/>
        <v>2.1889743726339783</v>
      </c>
      <c r="AH220" s="6">
        <f t="shared" si="333"/>
        <v>0.48180750248964582</v>
      </c>
      <c r="AI220">
        <f t="shared" si="334"/>
        <v>2.467523741092025</v>
      </c>
      <c r="AJ220">
        <f t="shared" si="335"/>
        <v>0.6293012001849041</v>
      </c>
      <c r="AK220">
        <f t="shared" si="336"/>
        <v>2.8365902098275964</v>
      </c>
      <c r="AL220">
        <f t="shared" si="337"/>
        <v>0.82737298523340819</v>
      </c>
      <c r="AM220">
        <f t="shared" si="338"/>
        <v>3.2446211444002819</v>
      </c>
      <c r="AN220">
        <f t="shared" si="339"/>
        <v>1.0781019278770394</v>
      </c>
      <c r="AO220">
        <f t="shared" si="340"/>
        <v>2.9013133059099507</v>
      </c>
      <c r="AP220">
        <f t="shared" si="341"/>
        <v>0.86569808126295822</v>
      </c>
    </row>
    <row r="221" spans="1:42" x14ac:dyDescent="0.25">
      <c r="A221" s="139">
        <v>0.45</v>
      </c>
      <c r="B221" s="259">
        <f>'Sub C_D_0'!BA259</f>
        <v>1.5276632608510733E-2</v>
      </c>
      <c r="C221" s="259">
        <f>'C_L vs. α'!X525</f>
        <v>0.12821223096247833</v>
      </c>
      <c r="D221" s="144">
        <v>12</v>
      </c>
      <c r="E221" s="14">
        <f t="shared" si="304"/>
        <v>1.3823194072224583</v>
      </c>
      <c r="F221" s="6">
        <f t="shared" si="305"/>
        <v>0.20530078536210711</v>
      </c>
      <c r="G221" s="14">
        <f t="shared" si="306"/>
        <v>1.3933360075995238</v>
      </c>
      <c r="H221" s="6">
        <f t="shared" si="307"/>
        <v>0.207069180217612</v>
      </c>
      <c r="I221" s="14">
        <f t="shared" si="308"/>
        <v>1.4094688909148836</v>
      </c>
      <c r="J221" s="6">
        <f t="shared" si="309"/>
        <v>0.21085904268756483</v>
      </c>
      <c r="K221" s="14">
        <f t="shared" si="310"/>
        <v>1.4316948699222962</v>
      </c>
      <c r="L221" s="6">
        <f t="shared" si="311"/>
        <v>0.21662111597809236</v>
      </c>
      <c r="M221">
        <f t="shared" si="312"/>
        <v>1.4607761695770716</v>
      </c>
      <c r="N221" s="6">
        <f t="shared" si="313"/>
        <v>0.22454737296443622</v>
      </c>
      <c r="O221">
        <f t="shared" si="314"/>
        <v>1.4962943617772897</v>
      </c>
      <c r="P221" s="6">
        <f t="shared" si="315"/>
        <v>0.23503382897246433</v>
      </c>
      <c r="Q221">
        <f t="shared" si="316"/>
        <v>1.5420852081266931</v>
      </c>
      <c r="R221" s="6">
        <f t="shared" si="317"/>
        <v>0.24844794701880274</v>
      </c>
      <c r="S221">
        <f t="shared" si="318"/>
        <v>1.5982471180260385</v>
      </c>
      <c r="T221" s="6">
        <f t="shared" si="319"/>
        <v>0.26554111310461181</v>
      </c>
      <c r="U221">
        <f t="shared" si="320"/>
        <v>1.6667590025122183</v>
      </c>
      <c r="V221" s="6">
        <f t="shared" si="321"/>
        <v>0.28729256713683227</v>
      </c>
      <c r="W221">
        <f t="shared" si="322"/>
        <v>1.7502790897164076</v>
      </c>
      <c r="X221" s="6">
        <f t="shared" si="323"/>
        <v>0.31510419143374713</v>
      </c>
      <c r="Y221">
        <f t="shared" si="324"/>
        <v>1.8524257853700559</v>
      </c>
      <c r="Z221" s="6">
        <f t="shared" si="325"/>
        <v>0.35101980013623973</v>
      </c>
      <c r="AA221">
        <f t="shared" si="326"/>
        <v>1.9782017221812034</v>
      </c>
      <c r="AB221" s="6">
        <f t="shared" si="327"/>
        <v>0.39808986216059533</v>
      </c>
      <c r="AC221">
        <f t="shared" si="328"/>
        <v>2.1351330484253421</v>
      </c>
      <c r="AD221" s="6">
        <f t="shared" si="329"/>
        <v>0.46164285118536852</v>
      </c>
      <c r="AE221">
        <f t="shared" si="330"/>
        <v>2.3332411402478974</v>
      </c>
      <c r="AF221" s="6">
        <f t="shared" si="331"/>
        <v>0.54822753713039107</v>
      </c>
      <c r="AG221">
        <f t="shared" si="332"/>
        <v>2.5869697131128833</v>
      </c>
      <c r="AH221" s="6">
        <f t="shared" si="333"/>
        <v>0.67038013456296608</v>
      </c>
      <c r="AI221">
        <f t="shared" si="334"/>
        <v>2.9161644212905746</v>
      </c>
      <c r="AJ221">
        <f t="shared" si="335"/>
        <v>0.87294507259856391</v>
      </c>
      <c r="AK221">
        <f t="shared" si="336"/>
        <v>3.3523338843417045</v>
      </c>
      <c r="AL221">
        <f t="shared" si="337"/>
        <v>1.1493508477529815</v>
      </c>
      <c r="AM221">
        <f t="shared" si="338"/>
        <v>3.8345522615639696</v>
      </c>
      <c r="AN221">
        <f t="shared" si="339"/>
        <v>1.499372188855743</v>
      </c>
      <c r="AO221">
        <f t="shared" si="340"/>
        <v>3.4288248160753967</v>
      </c>
      <c r="AP221">
        <f t="shared" si="341"/>
        <v>1.2025368515503694</v>
      </c>
    </row>
    <row r="222" spans="1:42" x14ac:dyDescent="0.25">
      <c r="A222" s="129">
        <v>0.5</v>
      </c>
      <c r="B222" s="259">
        <f>'Sub C_D_0'!BA260</f>
        <v>1.5144198149908861E-2</v>
      </c>
      <c r="C222" s="259">
        <f>'C_L vs. α'!X526</f>
        <v>0.13463685305510828</v>
      </c>
      <c r="D222" s="144">
        <v>14</v>
      </c>
      <c r="E222" s="14">
        <f t="shared" si="304"/>
        <v>1.5949839314105287</v>
      </c>
      <c r="F222" s="6">
        <f t="shared" si="305"/>
        <v>0.26826599129557954</v>
      </c>
      <c r="G222" s="14">
        <f t="shared" si="306"/>
        <v>1.6076953933840659</v>
      </c>
      <c r="H222" s="6">
        <f t="shared" si="307"/>
        <v>0.27104200657677491</v>
      </c>
      <c r="I222" s="14">
        <f t="shared" si="308"/>
        <v>1.6263102587479425</v>
      </c>
      <c r="J222" s="6">
        <f t="shared" si="309"/>
        <v>0.27632187731319585</v>
      </c>
      <c r="K222" s="14">
        <f t="shared" si="310"/>
        <v>1.6519556191411111</v>
      </c>
      <c r="L222" s="6">
        <f t="shared" si="311"/>
        <v>0.28416480160469226</v>
      </c>
      <c r="M222">
        <f t="shared" si="312"/>
        <v>1.6855109648966209</v>
      </c>
      <c r="N222" s="6">
        <f t="shared" si="313"/>
        <v>0.29486288895586166</v>
      </c>
      <c r="O222">
        <f t="shared" si="314"/>
        <v>1.7264934943584112</v>
      </c>
      <c r="P222" s="6">
        <f t="shared" si="315"/>
        <v>0.30881030316050773</v>
      </c>
      <c r="Q222">
        <f t="shared" si="316"/>
        <v>1.7793290863000304</v>
      </c>
      <c r="R222" s="6">
        <f t="shared" si="317"/>
        <v>0.3268090535634644</v>
      </c>
      <c r="S222">
        <f t="shared" si="318"/>
        <v>1.8441312900300444</v>
      </c>
      <c r="T222" s="6">
        <f t="shared" si="319"/>
        <v>0.34971389432568134</v>
      </c>
      <c r="U222">
        <f t="shared" si="320"/>
        <v>1.923183464437175</v>
      </c>
      <c r="V222" s="6">
        <f t="shared" si="321"/>
        <v>0.37883647258360209</v>
      </c>
      <c r="W222">
        <f t="shared" si="322"/>
        <v>2.0195527958266242</v>
      </c>
      <c r="X222" s="6">
        <f t="shared" si="323"/>
        <v>0.41605235577788552</v>
      </c>
      <c r="Y222">
        <f t="shared" si="324"/>
        <v>2.1374143677346797</v>
      </c>
      <c r="Z222" s="6">
        <f t="shared" si="325"/>
        <v>0.46409450233278832</v>
      </c>
      <c r="AA222">
        <f t="shared" si="326"/>
        <v>2.2825404486706193</v>
      </c>
      <c r="AB222" s="6">
        <f t="shared" si="327"/>
        <v>0.52704093762670523</v>
      </c>
      <c r="AC222">
        <f t="shared" si="328"/>
        <v>2.4636150558753949</v>
      </c>
      <c r="AD222" s="6">
        <f t="shared" si="329"/>
        <v>0.61186490762302259</v>
      </c>
      <c r="AE222">
        <f t="shared" si="330"/>
        <v>2.6922013156706508</v>
      </c>
      <c r="AF222" s="6">
        <f t="shared" si="331"/>
        <v>0.72761953563995474</v>
      </c>
      <c r="AG222">
        <f t="shared" si="332"/>
        <v>2.9849650535917882</v>
      </c>
      <c r="AH222" s="6">
        <f t="shared" si="333"/>
        <v>0.89090953961864949</v>
      </c>
      <c r="AI222">
        <f t="shared" si="334"/>
        <v>3.3648051014891247</v>
      </c>
      <c r="AJ222">
        <f t="shared" si="335"/>
        <v>1.1571962570811676</v>
      </c>
      <c r="AK222">
        <f t="shared" si="336"/>
        <v>3.8680775588558132</v>
      </c>
      <c r="AL222">
        <f t="shared" si="337"/>
        <v>1.5249916873591511</v>
      </c>
      <c r="AM222">
        <f t="shared" si="338"/>
        <v>4.4244833787276576</v>
      </c>
      <c r="AN222">
        <f t="shared" si="339"/>
        <v>1.9908541599975642</v>
      </c>
      <c r="AO222">
        <f t="shared" si="340"/>
        <v>3.9563363262408422</v>
      </c>
      <c r="AP222">
        <f t="shared" si="341"/>
        <v>1.5955154168856818</v>
      </c>
    </row>
    <row r="223" spans="1:42" x14ac:dyDescent="0.25">
      <c r="A223" s="139">
        <v>0.55000000000000004</v>
      </c>
      <c r="B223" s="259">
        <f>'Sub C_D_0'!BA261</f>
        <v>1.5026697816710446E-2</v>
      </c>
      <c r="C223" s="259">
        <f>'C_L vs. α'!X527</f>
        <v>0.14249429118231199</v>
      </c>
      <c r="D223" s="144">
        <v>16</v>
      </c>
      <c r="E223" s="14">
        <f t="shared" si="304"/>
        <v>1.8076484555985992</v>
      </c>
      <c r="F223" s="6">
        <f t="shared" si="305"/>
        <v>0.3403554443619714</v>
      </c>
      <c r="G223" s="14">
        <f t="shared" si="306"/>
        <v>1.8220547791686079</v>
      </c>
      <c r="H223" s="6">
        <f t="shared" si="307"/>
        <v>0.34428509369088656</v>
      </c>
      <c r="I223" s="14">
        <f t="shared" si="308"/>
        <v>1.8431516265810017</v>
      </c>
      <c r="J223" s="6">
        <f t="shared" si="309"/>
        <v>0.3512708888247848</v>
      </c>
      <c r="K223" s="14">
        <f t="shared" si="310"/>
        <v>1.8722163683599258</v>
      </c>
      <c r="L223" s="6">
        <f t="shared" si="311"/>
        <v>0.36149619888551043</v>
      </c>
      <c r="M223">
        <f t="shared" si="312"/>
        <v>1.9102457602161704</v>
      </c>
      <c r="N223" s="6">
        <f t="shared" si="313"/>
        <v>0.37536778074099758</v>
      </c>
      <c r="O223">
        <f t="shared" si="314"/>
        <v>1.9566926269395326</v>
      </c>
      <c r="P223" s="6">
        <f t="shared" si="315"/>
        <v>0.39327767834867478</v>
      </c>
      <c r="Q223">
        <f t="shared" si="316"/>
        <v>2.0165729644733679</v>
      </c>
      <c r="R223" s="6">
        <f t="shared" si="317"/>
        <v>0.41652541720802266</v>
      </c>
      <c r="S223">
        <f t="shared" si="318"/>
        <v>2.0900154620340503</v>
      </c>
      <c r="T223" s="6">
        <f t="shared" si="319"/>
        <v>0.44608409865273824</v>
      </c>
      <c r="U223">
        <f t="shared" si="320"/>
        <v>2.1796079263621317</v>
      </c>
      <c r="V223" s="6">
        <f t="shared" si="321"/>
        <v>0.48364594596469179</v>
      </c>
      <c r="W223">
        <f>(D223-$B$12)*$C$222</f>
        <v>2.2888265019368408</v>
      </c>
      <c r="X223" s="6">
        <f t="shared" si="323"/>
        <v>0.5316288531106218</v>
      </c>
      <c r="Y223">
        <f t="shared" si="324"/>
        <v>2.4224029500993041</v>
      </c>
      <c r="Z223" s="6">
        <f t="shared" si="325"/>
        <v>0.59355478624906755</v>
      </c>
      <c r="AA223">
        <f t="shared" si="326"/>
        <v>2.5868791751600351</v>
      </c>
      <c r="AB223" s="6">
        <f t="shared" si="327"/>
        <v>0.67467822976066261</v>
      </c>
      <c r="AC223">
        <f t="shared" si="328"/>
        <v>2.7920970633254472</v>
      </c>
      <c r="AD223" s="6">
        <f t="shared" si="329"/>
        <v>0.78385554477810804</v>
      </c>
      <c r="AE223">
        <f t="shared" si="330"/>
        <v>3.0511614910934042</v>
      </c>
      <c r="AF223" s="6">
        <f t="shared" si="331"/>
        <v>0.93300711224385469</v>
      </c>
      <c r="AG223">
        <f t="shared" si="332"/>
        <v>3.3829603940706936</v>
      </c>
      <c r="AH223" s="6">
        <f t="shared" si="333"/>
        <v>1.1433957176566965</v>
      </c>
      <c r="AI223">
        <f t="shared" si="334"/>
        <v>3.8134457816876748</v>
      </c>
      <c r="AJ223">
        <f t="shared" si="335"/>
        <v>1.4820547536327144</v>
      </c>
      <c r="AK223">
        <f t="shared" si="336"/>
        <v>4.3838212333699218</v>
      </c>
      <c r="AL223">
        <f t="shared" si="337"/>
        <v>1.9542955040519161</v>
      </c>
      <c r="AM223">
        <f t="shared" si="338"/>
        <v>5.0144144958913444</v>
      </c>
      <c r="AN223">
        <f t="shared" si="339"/>
        <v>2.552547841302502</v>
      </c>
      <c r="AO223">
        <f t="shared" si="340"/>
        <v>4.4838478364062881</v>
      </c>
      <c r="AP223">
        <f t="shared" si="341"/>
        <v>2.0446337772688965</v>
      </c>
    </row>
    <row r="224" spans="1:42" x14ac:dyDescent="0.25">
      <c r="A224" s="129">
        <v>0.6</v>
      </c>
      <c r="B224" s="259">
        <f>'Sub C_D_0'!BA262</f>
        <v>1.492129260746288E-2</v>
      </c>
      <c r="C224" s="259">
        <f>'C_L vs. α'!X528</f>
        <v>0.15216936324470795</v>
      </c>
    </row>
    <row r="225" spans="1:3" x14ac:dyDescent="0.25">
      <c r="A225" s="139">
        <v>0.65</v>
      </c>
      <c r="B225" s="259">
        <f>'Sub C_D_0'!BA263</f>
        <v>1.526913718192509E-2</v>
      </c>
      <c r="C225" s="259">
        <f>'C_L vs. α'!X529</f>
        <v>0.16424100372502631</v>
      </c>
    </row>
    <row r="226" spans="1:3" x14ac:dyDescent="0.25">
      <c r="A226" s="129">
        <v>0.7</v>
      </c>
      <c r="B226" s="259">
        <f>'Sub C_D_0'!BA264</f>
        <v>1.5177500829977734E-2</v>
      </c>
      <c r="C226" s="259">
        <f>'C_L vs. α'!X530</f>
        <v>0.17948008771137672</v>
      </c>
    </row>
    <row r="227" spans="1:3" x14ac:dyDescent="0.25">
      <c r="A227" s="139">
        <v>0.75</v>
      </c>
      <c r="B227" s="259">
        <f>'Sub C_D_0'!BA265</f>
        <v>1.509334169090997E-2</v>
      </c>
      <c r="C227" s="259">
        <f>'C_L vs. α'!X531</f>
        <v>0.19899767023945256</v>
      </c>
    </row>
    <row r="228" spans="1:3" x14ac:dyDescent="0.25">
      <c r="A228" s="129">
        <v>0.8</v>
      </c>
      <c r="B228" s="259">
        <f>'Sub C_D_0'!BA266</f>
        <v>1.5115605142135689E-2</v>
      </c>
      <c r="C228" s="259">
        <f>'C_L vs. α'!X532</f>
        <v>0.22432034009927498</v>
      </c>
    </row>
    <row r="229" spans="1:3" x14ac:dyDescent="0.25">
      <c r="A229" s="139">
        <v>0.85</v>
      </c>
      <c r="B229" s="259">
        <f>'Sub C_D_0'!BA267</f>
        <v>1.5720456798649383E-2</v>
      </c>
      <c r="C229" s="259">
        <f>'C_L vs. α'!X533</f>
        <v>0.2578718372570542</v>
      </c>
    </row>
    <row r="230" spans="1:3" x14ac:dyDescent="0.25">
      <c r="A230" s="129">
        <v>0.9</v>
      </c>
      <c r="B230" s="259">
        <f>'Sub C_D_0'!BA268</f>
        <v>1.6149811659890299E-2</v>
      </c>
      <c r="C230" s="259">
        <f>'C_L vs. α'!X534</f>
        <v>0.29496555858184381</v>
      </c>
    </row>
    <row r="231" spans="1:3" x14ac:dyDescent="0.25">
      <c r="A231" s="139">
        <v>0.95</v>
      </c>
      <c r="B231" s="259">
        <f>'Sub C_D_0'!BA269</f>
        <v>1.6583681163443605E-2</v>
      </c>
      <c r="C231" s="259">
        <f>'C_L vs. α'!X535</f>
        <v>0.26375575508272281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B3209-E3C6-4146-9BAF-9AE7E5922D61}">
  <dimension ref="A1:CQ535"/>
  <sheetViews>
    <sheetView topLeftCell="A241" zoomScale="90" zoomScaleNormal="90" workbookViewId="0">
      <selection activeCell="B369" sqref="B369:C369"/>
    </sheetView>
  </sheetViews>
  <sheetFormatPr defaultRowHeight="15" x14ac:dyDescent="0.25"/>
  <cols>
    <col min="1" max="1" width="30" bestFit="1" customWidth="1"/>
    <col min="2" max="2" width="13" bestFit="1" customWidth="1"/>
    <col min="3" max="3" width="16.28515625" bestFit="1" customWidth="1"/>
    <col min="4" max="4" width="51.85546875" bestFit="1" customWidth="1"/>
    <col min="5" max="5" width="10.7109375" bestFit="1" customWidth="1"/>
    <col min="7" max="7" width="11.28515625" customWidth="1"/>
    <col min="13" max="13" width="15.28515625" customWidth="1"/>
    <col min="15" max="15" width="13.140625" customWidth="1"/>
    <col min="16" max="16" width="12.28515625" customWidth="1"/>
    <col min="18" max="18" width="9.140625" customWidth="1"/>
    <col min="19" max="19" width="13.85546875" customWidth="1"/>
    <col min="20" max="20" width="16.7109375" customWidth="1"/>
    <col min="21" max="21" width="10" customWidth="1"/>
    <col min="22" max="22" width="12.42578125" bestFit="1" customWidth="1"/>
    <col min="23" max="23" width="9.5703125" customWidth="1"/>
    <col min="24" max="24" width="11.5703125" customWidth="1"/>
    <col min="26" max="26" width="13.5703125" customWidth="1"/>
    <col min="27" max="27" width="10.42578125" customWidth="1"/>
    <col min="28" max="28" width="13" customWidth="1"/>
    <col min="29" max="29" width="10.5703125" customWidth="1"/>
  </cols>
  <sheetData>
    <row r="1" spans="1:11" x14ac:dyDescent="0.25">
      <c r="A1" t="s">
        <v>897</v>
      </c>
      <c r="C1" t="s">
        <v>654</v>
      </c>
    </row>
    <row r="2" spans="1:11" x14ac:dyDescent="0.25">
      <c r="A2" t="s">
        <v>511</v>
      </c>
    </row>
    <row r="3" spans="1:11" x14ac:dyDescent="0.25">
      <c r="A3" s="319" t="s">
        <v>687</v>
      </c>
      <c r="B3" s="319"/>
      <c r="C3" s="319"/>
      <c r="D3" s="319"/>
      <c r="E3" s="176" t="s">
        <v>690</v>
      </c>
    </row>
    <row r="4" spans="1:11" x14ac:dyDescent="0.25">
      <c r="A4" s="295" t="s">
        <v>641</v>
      </c>
      <c r="B4" s="296"/>
      <c r="C4" s="296"/>
      <c r="D4" s="296"/>
      <c r="E4" s="297"/>
      <c r="F4" t="s">
        <v>650</v>
      </c>
    </row>
    <row r="5" spans="1:11" x14ac:dyDescent="0.25">
      <c r="A5" s="177" t="s">
        <v>489</v>
      </c>
      <c r="B5" s="5">
        <v>-1</v>
      </c>
      <c r="C5" s="5" t="s">
        <v>490</v>
      </c>
      <c r="D5" s="5"/>
      <c r="E5" s="6"/>
      <c r="F5" s="296" t="s">
        <v>652</v>
      </c>
      <c r="G5" s="296"/>
      <c r="H5" s="165" t="s">
        <v>240</v>
      </c>
      <c r="I5" s="167"/>
      <c r="J5" s="166" t="s">
        <v>653</v>
      </c>
      <c r="K5" s="167"/>
    </row>
    <row r="6" spans="1:11" x14ac:dyDescent="0.25">
      <c r="A6" s="177" t="s">
        <v>643</v>
      </c>
      <c r="B6" s="5">
        <v>-0.02</v>
      </c>
      <c r="C6" s="5"/>
      <c r="D6" s="5"/>
      <c r="E6" s="6"/>
      <c r="F6" s="5" t="s">
        <v>421</v>
      </c>
      <c r="G6" s="5" t="s">
        <v>651</v>
      </c>
      <c r="H6" s="14" t="s">
        <v>421</v>
      </c>
      <c r="I6" s="6" t="s">
        <v>651</v>
      </c>
      <c r="J6" s="5" t="s">
        <v>421</v>
      </c>
      <c r="K6" s="6" t="s">
        <v>651</v>
      </c>
    </row>
    <row r="7" spans="1:11" x14ac:dyDescent="0.25">
      <c r="A7" s="177" t="s">
        <v>642</v>
      </c>
      <c r="B7" s="5">
        <v>0.108</v>
      </c>
      <c r="C7" s="5" t="s">
        <v>493</v>
      </c>
      <c r="D7" s="5" t="s">
        <v>662</v>
      </c>
      <c r="E7" s="6"/>
      <c r="F7" s="5">
        <f>B5</f>
        <v>-1</v>
      </c>
      <c r="G7" s="5">
        <v>0</v>
      </c>
      <c r="H7" s="14">
        <v>-1</v>
      </c>
      <c r="I7" s="6">
        <f>G7+B20</f>
        <v>0.515221195188726</v>
      </c>
      <c r="J7" s="5">
        <v>-1</v>
      </c>
      <c r="K7" s="6">
        <f>G7+B34</f>
        <v>0.74707073302365268</v>
      </c>
    </row>
    <row r="8" spans="1:11" x14ac:dyDescent="0.25">
      <c r="A8" s="177" t="s">
        <v>494</v>
      </c>
      <c r="B8" s="5">
        <v>0.247</v>
      </c>
      <c r="C8" s="5" t="s">
        <v>498</v>
      </c>
      <c r="D8" s="5"/>
      <c r="E8" s="6"/>
      <c r="F8" s="5">
        <f>B11</f>
        <v>11</v>
      </c>
      <c r="G8" s="5">
        <f>F8*B7</f>
        <v>1.1879999999999999</v>
      </c>
      <c r="H8" s="14">
        <v>9</v>
      </c>
      <c r="I8" s="6">
        <f>B26*(H8-H7)+I7</f>
        <v>1.5952211951887261</v>
      </c>
      <c r="J8" s="5">
        <v>8</v>
      </c>
      <c r="K8" s="6">
        <f>B40*(J8-J7)+K7</f>
        <v>1.7190707330236528</v>
      </c>
    </row>
    <row r="9" spans="1:11" x14ac:dyDescent="0.25">
      <c r="A9" s="14" t="s">
        <v>644</v>
      </c>
      <c r="B9" s="5">
        <v>14.3</v>
      </c>
      <c r="C9" s="5" t="s">
        <v>490</v>
      </c>
      <c r="D9" s="5"/>
      <c r="E9" s="6"/>
      <c r="F9" s="5">
        <f>B9</f>
        <v>14.3</v>
      </c>
      <c r="G9" s="5">
        <f>B10</f>
        <v>1.5</v>
      </c>
      <c r="H9" s="14">
        <v>12</v>
      </c>
      <c r="I9" s="6">
        <f>G9+B27</f>
        <v>1.8854</v>
      </c>
      <c r="J9" s="5">
        <v>11</v>
      </c>
      <c r="K9" s="6">
        <f>G9+B41</f>
        <v>1.9838</v>
      </c>
    </row>
    <row r="10" spans="1:11" x14ac:dyDescent="0.25">
      <c r="A10" s="14" t="s">
        <v>645</v>
      </c>
      <c r="B10" s="5">
        <v>1.5</v>
      </c>
      <c r="C10" s="5"/>
      <c r="D10" s="5" t="s">
        <v>663</v>
      </c>
      <c r="E10" s="6"/>
      <c r="F10" s="8">
        <v>16.5</v>
      </c>
      <c r="G10" s="8">
        <v>1.35</v>
      </c>
      <c r="H10" s="10">
        <v>14</v>
      </c>
      <c r="I10" s="9">
        <v>1.75</v>
      </c>
      <c r="J10" s="8">
        <v>13</v>
      </c>
      <c r="K10" s="9">
        <v>1.95</v>
      </c>
    </row>
    <row r="11" spans="1:11" x14ac:dyDescent="0.25">
      <c r="A11" s="14" t="s">
        <v>708</v>
      </c>
      <c r="B11" s="5">
        <v>11</v>
      </c>
      <c r="C11" s="5" t="s">
        <v>490</v>
      </c>
      <c r="D11" s="5" t="s">
        <v>664</v>
      </c>
      <c r="E11" s="6"/>
    </row>
    <row r="12" spans="1:11" x14ac:dyDescent="0.25">
      <c r="A12" s="14" t="s">
        <v>646</v>
      </c>
      <c r="B12" s="5">
        <v>30</v>
      </c>
      <c r="C12" s="5" t="s">
        <v>647</v>
      </c>
      <c r="D12" s="5"/>
      <c r="E12" s="6"/>
    </row>
    <row r="13" spans="1:11" x14ac:dyDescent="0.25">
      <c r="A13" s="14" t="s">
        <v>403</v>
      </c>
      <c r="B13" s="5">
        <v>1</v>
      </c>
      <c r="C13" s="5" t="s">
        <v>647</v>
      </c>
      <c r="D13" s="5"/>
      <c r="E13" s="6"/>
    </row>
    <row r="14" spans="1:11" x14ac:dyDescent="0.25">
      <c r="A14" s="14" t="s">
        <v>648</v>
      </c>
      <c r="B14" s="5">
        <v>40</v>
      </c>
      <c r="C14" s="5" t="s">
        <v>647</v>
      </c>
      <c r="D14" s="5"/>
      <c r="E14" s="6"/>
    </row>
    <row r="15" spans="1:11" x14ac:dyDescent="0.25">
      <c r="A15" s="76" t="s">
        <v>649</v>
      </c>
      <c r="B15" s="5">
        <v>2.6</v>
      </c>
      <c r="C15" s="5" t="s">
        <v>647</v>
      </c>
      <c r="D15" s="5"/>
      <c r="E15" s="6"/>
    </row>
    <row r="16" spans="1:11" x14ac:dyDescent="0.25">
      <c r="A16" s="76" t="s">
        <v>567</v>
      </c>
      <c r="B16" s="5">
        <v>0.25</v>
      </c>
      <c r="C16" s="5"/>
      <c r="D16" s="5" t="s">
        <v>661</v>
      </c>
      <c r="E16" s="6"/>
    </row>
    <row r="17" spans="1:5" x14ac:dyDescent="0.25">
      <c r="A17" s="111" t="s">
        <v>219</v>
      </c>
      <c r="B17" s="8">
        <v>10</v>
      </c>
      <c r="C17" s="8" t="s">
        <v>665</v>
      </c>
      <c r="D17" s="8"/>
      <c r="E17" s="9"/>
    </row>
    <row r="19" spans="1:5" x14ac:dyDescent="0.25">
      <c r="A19" s="295" t="s">
        <v>240</v>
      </c>
      <c r="B19" s="296"/>
      <c r="C19" s="296"/>
      <c r="D19" s="296"/>
      <c r="E19" s="297"/>
    </row>
    <row r="20" spans="1:5" x14ac:dyDescent="0.25">
      <c r="A20" s="169" t="s">
        <v>655</v>
      </c>
      <c r="B20" s="170">
        <f>B22*B23*B24*B25</f>
        <v>0.515221195188726</v>
      </c>
      <c r="C20" s="11"/>
      <c r="D20" s="11" t="s">
        <v>659</v>
      </c>
      <c r="E20" s="124" t="s">
        <v>660</v>
      </c>
    </row>
    <row r="21" spans="1:5" x14ac:dyDescent="0.25">
      <c r="A21" s="118" t="s">
        <v>656</v>
      </c>
      <c r="B21" s="5">
        <v>15</v>
      </c>
      <c r="C21" s="5" t="s">
        <v>490</v>
      </c>
      <c r="D21" s="5"/>
      <c r="E21" s="6"/>
    </row>
    <row r="22" spans="1:5" x14ac:dyDescent="0.25">
      <c r="A22" s="118"/>
      <c r="B22" s="5">
        <f>RADIANS(B21)</f>
        <v>0.26179938779914941</v>
      </c>
      <c r="C22" s="5" t="s">
        <v>559</v>
      </c>
      <c r="D22" s="5"/>
      <c r="E22" s="6"/>
    </row>
    <row r="23" spans="1:5" x14ac:dyDescent="0.25">
      <c r="A23" s="118" t="s">
        <v>657</v>
      </c>
      <c r="B23" s="5">
        <v>4.0999999999999996</v>
      </c>
      <c r="C23" s="5" t="s">
        <v>686</v>
      </c>
      <c r="D23" s="5" t="s">
        <v>683</v>
      </c>
      <c r="E23" s="6" t="s">
        <v>684</v>
      </c>
    </row>
    <row r="24" spans="1:5" x14ac:dyDescent="0.25">
      <c r="A24" s="118" t="s">
        <v>658</v>
      </c>
      <c r="B24" s="171">
        <v>0.6</v>
      </c>
      <c r="C24" s="5" t="s">
        <v>666</v>
      </c>
      <c r="D24" s="5"/>
      <c r="E24" s="6" t="s">
        <v>685</v>
      </c>
    </row>
    <row r="25" spans="1:5" x14ac:dyDescent="0.25">
      <c r="A25" s="118" t="s">
        <v>526</v>
      </c>
      <c r="B25" s="5">
        <v>0.8</v>
      </c>
      <c r="C25" s="5"/>
      <c r="D25" s="5" t="s">
        <v>682</v>
      </c>
      <c r="E25" s="6" t="s">
        <v>681</v>
      </c>
    </row>
    <row r="26" spans="1:5" x14ac:dyDescent="0.25">
      <c r="A26" s="172" t="s">
        <v>667</v>
      </c>
      <c r="B26" s="170">
        <f>B7</f>
        <v>0.108</v>
      </c>
      <c r="C26" s="5"/>
      <c r="D26" s="5"/>
      <c r="E26" s="6"/>
    </row>
    <row r="27" spans="1:5" x14ac:dyDescent="0.25">
      <c r="A27" s="173" t="s">
        <v>668</v>
      </c>
      <c r="B27" s="170">
        <f>PRODUCT(B28:B31)</f>
        <v>0.38539999999999996</v>
      </c>
      <c r="C27" s="5"/>
      <c r="D27" s="5"/>
      <c r="E27" s="6" t="s">
        <v>672</v>
      </c>
    </row>
    <row r="28" spans="1:5" x14ac:dyDescent="0.25">
      <c r="A28" s="118" t="s">
        <v>587</v>
      </c>
      <c r="B28" s="5">
        <v>1</v>
      </c>
      <c r="C28" s="5"/>
      <c r="D28" s="5" t="s">
        <v>673</v>
      </c>
      <c r="E28" s="6" t="s">
        <v>676</v>
      </c>
    </row>
    <row r="29" spans="1:5" x14ac:dyDescent="0.25">
      <c r="A29" s="118" t="s">
        <v>669</v>
      </c>
      <c r="B29" s="5">
        <v>0.47</v>
      </c>
      <c r="C29" s="5"/>
      <c r="D29" s="5" t="s">
        <v>674</v>
      </c>
      <c r="E29" s="6" t="s">
        <v>677</v>
      </c>
    </row>
    <row r="30" spans="1:5" x14ac:dyDescent="0.25">
      <c r="A30" s="118" t="s">
        <v>670</v>
      </c>
      <c r="B30" s="5">
        <v>1</v>
      </c>
      <c r="C30" s="5"/>
      <c r="D30" s="5" t="s">
        <v>675</v>
      </c>
      <c r="E30" s="6" t="s">
        <v>678</v>
      </c>
    </row>
    <row r="31" spans="1:5" x14ac:dyDescent="0.25">
      <c r="A31" s="174" t="s">
        <v>671</v>
      </c>
      <c r="B31" s="8">
        <v>0.82</v>
      </c>
      <c r="C31" s="8"/>
      <c r="D31" s="8" t="s">
        <v>679</v>
      </c>
      <c r="E31" s="9" t="s">
        <v>680</v>
      </c>
    </row>
    <row r="33" spans="1:12" x14ac:dyDescent="0.25">
      <c r="A33" s="295" t="s">
        <v>653</v>
      </c>
      <c r="B33" s="296"/>
      <c r="C33" s="296"/>
      <c r="D33" s="296"/>
      <c r="E33" s="297"/>
    </row>
    <row r="34" spans="1:12" x14ac:dyDescent="0.25">
      <c r="A34" s="169" t="s">
        <v>655</v>
      </c>
      <c r="B34" s="170">
        <f>PRODUCT(B36:B39)</f>
        <v>0.74707073302365268</v>
      </c>
      <c r="C34" s="11"/>
      <c r="D34" s="11" t="s">
        <v>659</v>
      </c>
      <c r="E34" s="124" t="s">
        <v>660</v>
      </c>
    </row>
    <row r="35" spans="1:12" x14ac:dyDescent="0.25">
      <c r="A35" s="118" t="s">
        <v>656</v>
      </c>
      <c r="B35" s="5">
        <v>20</v>
      </c>
      <c r="C35" s="5" t="s">
        <v>490</v>
      </c>
      <c r="D35" s="5"/>
      <c r="E35" s="6"/>
    </row>
    <row r="36" spans="1:12" x14ac:dyDescent="0.25">
      <c r="A36" s="118"/>
      <c r="B36" s="5">
        <f>RADIANS(B35)</f>
        <v>0.3490658503988659</v>
      </c>
      <c r="C36" s="5" t="s">
        <v>559</v>
      </c>
      <c r="D36" s="5"/>
      <c r="E36" s="6"/>
    </row>
    <row r="37" spans="1:12" x14ac:dyDescent="0.25">
      <c r="A37" s="118" t="s">
        <v>657</v>
      </c>
      <c r="B37" s="5">
        <v>4.0999999999999996</v>
      </c>
      <c r="C37" s="5" t="s">
        <v>686</v>
      </c>
      <c r="D37" s="5" t="s">
        <v>683</v>
      </c>
      <c r="E37" s="6" t="s">
        <v>684</v>
      </c>
    </row>
    <row r="38" spans="1:12" x14ac:dyDescent="0.25">
      <c r="A38" s="118" t="s">
        <v>658</v>
      </c>
      <c r="B38" s="171">
        <f>B24</f>
        <v>0.6</v>
      </c>
      <c r="C38" s="5" t="s">
        <v>666</v>
      </c>
      <c r="D38" s="5"/>
      <c r="E38" s="6" t="s">
        <v>685</v>
      </c>
    </row>
    <row r="39" spans="1:12" x14ac:dyDescent="0.25">
      <c r="A39" s="118" t="s">
        <v>526</v>
      </c>
      <c r="B39" s="5">
        <v>0.87</v>
      </c>
      <c r="C39" s="5"/>
      <c r="D39" s="5" t="s">
        <v>682</v>
      </c>
      <c r="E39" s="6" t="s">
        <v>681</v>
      </c>
    </row>
    <row r="40" spans="1:12" x14ac:dyDescent="0.25">
      <c r="A40" s="172" t="s">
        <v>667</v>
      </c>
      <c r="B40" s="170">
        <f>$B$7</f>
        <v>0.108</v>
      </c>
      <c r="C40" s="5"/>
      <c r="D40" s="5"/>
      <c r="E40" s="6"/>
    </row>
    <row r="41" spans="1:12" x14ac:dyDescent="0.25">
      <c r="A41" s="173" t="s">
        <v>668</v>
      </c>
      <c r="B41" s="170">
        <f>PRODUCT(B42:B45)</f>
        <v>0.48379999999999995</v>
      </c>
      <c r="C41" s="5"/>
      <c r="D41" s="5"/>
      <c r="E41" s="6" t="s">
        <v>672</v>
      </c>
    </row>
    <row r="42" spans="1:12" x14ac:dyDescent="0.25">
      <c r="A42" s="118" t="s">
        <v>587</v>
      </c>
      <c r="B42" s="5">
        <v>1</v>
      </c>
      <c r="C42" s="5"/>
      <c r="D42" s="5" t="s">
        <v>673</v>
      </c>
      <c r="E42" s="6" t="s">
        <v>676</v>
      </c>
    </row>
    <row r="43" spans="1:12" x14ac:dyDescent="0.25">
      <c r="A43" s="118" t="s">
        <v>669</v>
      </c>
      <c r="B43" s="5">
        <v>0.59</v>
      </c>
      <c r="C43" s="5"/>
      <c r="D43" s="5" t="s">
        <v>674</v>
      </c>
      <c r="E43" s="6" t="s">
        <v>677</v>
      </c>
    </row>
    <row r="44" spans="1:12" x14ac:dyDescent="0.25">
      <c r="A44" s="118" t="s">
        <v>670</v>
      </c>
      <c r="B44" s="5">
        <f>B30</f>
        <v>1</v>
      </c>
      <c r="C44" s="5"/>
      <c r="D44" s="5" t="s">
        <v>675</v>
      </c>
      <c r="E44" s="6" t="s">
        <v>678</v>
      </c>
    </row>
    <row r="45" spans="1:12" x14ac:dyDescent="0.25">
      <c r="A45" s="174" t="s">
        <v>671</v>
      </c>
      <c r="B45" s="8">
        <f>B31</f>
        <v>0.82</v>
      </c>
      <c r="C45" s="8"/>
      <c r="D45" s="8" t="s">
        <v>679</v>
      </c>
      <c r="E45" s="9" t="s">
        <v>680</v>
      </c>
    </row>
    <row r="47" spans="1:12" x14ac:dyDescent="0.25">
      <c r="A47" s="295" t="s">
        <v>767</v>
      </c>
      <c r="B47" s="296"/>
      <c r="C47" s="296"/>
      <c r="D47" s="296"/>
      <c r="E47" s="297"/>
      <c r="G47" s="295" t="s">
        <v>652</v>
      </c>
      <c r="H47" s="297"/>
      <c r="I47" s="229"/>
      <c r="J47" s="229"/>
      <c r="K47" s="229"/>
      <c r="L47" s="229"/>
    </row>
    <row r="48" spans="1:12" x14ac:dyDescent="0.25">
      <c r="A48" s="177" t="s">
        <v>489</v>
      </c>
      <c r="B48" s="5">
        <v>0</v>
      </c>
      <c r="C48" s="5" t="s">
        <v>490</v>
      </c>
      <c r="D48" s="5"/>
      <c r="E48" s="6"/>
      <c r="G48" s="14" t="s">
        <v>421</v>
      </c>
      <c r="H48" s="6" t="s">
        <v>651</v>
      </c>
      <c r="I48" s="5"/>
      <c r="J48" s="5"/>
      <c r="K48" s="5"/>
      <c r="L48" s="5"/>
    </row>
    <row r="49" spans="1:30" x14ac:dyDescent="0.25">
      <c r="A49" s="177" t="s">
        <v>643</v>
      </c>
      <c r="B49" s="5">
        <v>0</v>
      </c>
      <c r="C49" s="5"/>
      <c r="D49" s="5"/>
      <c r="E49" s="6"/>
      <c r="G49" s="14">
        <f>B48</f>
        <v>0</v>
      </c>
      <c r="H49" s="6">
        <v>0</v>
      </c>
      <c r="I49" s="5"/>
      <c r="J49" s="5"/>
      <c r="K49" s="5"/>
      <c r="L49" s="5"/>
    </row>
    <row r="50" spans="1:30" x14ac:dyDescent="0.25">
      <c r="A50" s="177" t="s">
        <v>642</v>
      </c>
      <c r="B50" s="5">
        <v>0.109</v>
      </c>
      <c r="C50" s="5" t="s">
        <v>493</v>
      </c>
      <c r="D50" s="5" t="s">
        <v>662</v>
      </c>
      <c r="E50" s="6"/>
      <c r="G50" s="14">
        <f>B54</f>
        <v>11.4</v>
      </c>
      <c r="H50" s="6">
        <f>B50*G50</f>
        <v>1.2425999999999999</v>
      </c>
      <c r="I50" s="5"/>
      <c r="J50" s="5"/>
      <c r="K50" s="5"/>
      <c r="L50" s="5"/>
    </row>
    <row r="51" spans="1:30" x14ac:dyDescent="0.25">
      <c r="A51" s="177" t="s">
        <v>494</v>
      </c>
      <c r="B51" s="5">
        <v>0.25</v>
      </c>
      <c r="C51" s="5" t="s">
        <v>498</v>
      </c>
      <c r="D51" s="5"/>
      <c r="E51" s="6"/>
      <c r="G51" s="14">
        <f>B52</f>
        <v>13.4</v>
      </c>
      <c r="H51" s="6">
        <f>B53</f>
        <v>1.32</v>
      </c>
      <c r="I51" s="5"/>
      <c r="J51" s="5"/>
      <c r="K51" s="5"/>
      <c r="L51" s="5"/>
    </row>
    <row r="52" spans="1:30" x14ac:dyDescent="0.25">
      <c r="A52" s="14" t="s">
        <v>644</v>
      </c>
      <c r="B52" s="5">
        <v>13.4</v>
      </c>
      <c r="C52" s="5" t="s">
        <v>490</v>
      </c>
      <c r="D52" s="5"/>
      <c r="E52" s="6"/>
      <c r="G52" s="10">
        <v>15.5</v>
      </c>
      <c r="H52" s="9">
        <v>1.2</v>
      </c>
      <c r="I52" s="5"/>
      <c r="J52" s="5"/>
      <c r="K52" s="5"/>
      <c r="L52" s="5"/>
    </row>
    <row r="53" spans="1:30" x14ac:dyDescent="0.25">
      <c r="A53" s="14" t="s">
        <v>645</v>
      </c>
      <c r="B53" s="5">
        <v>1.32</v>
      </c>
      <c r="C53" s="5"/>
      <c r="D53" s="5" t="s">
        <v>663</v>
      </c>
      <c r="E53" s="6"/>
    </row>
    <row r="54" spans="1:30" x14ac:dyDescent="0.25">
      <c r="A54" s="14" t="s">
        <v>708</v>
      </c>
      <c r="B54" s="5">
        <v>11.4</v>
      </c>
      <c r="C54" s="5" t="s">
        <v>490</v>
      </c>
      <c r="D54" s="5" t="s">
        <v>664</v>
      </c>
      <c r="E54" s="6"/>
    </row>
    <row r="55" spans="1:30" x14ac:dyDescent="0.25">
      <c r="A55" s="14" t="s">
        <v>646</v>
      </c>
      <c r="B55" s="5">
        <v>30</v>
      </c>
      <c r="C55" s="5" t="s">
        <v>647</v>
      </c>
      <c r="D55" s="5"/>
      <c r="E55" s="6"/>
    </row>
    <row r="56" spans="1:30" x14ac:dyDescent="0.25">
      <c r="A56" s="14" t="s">
        <v>403</v>
      </c>
      <c r="B56" s="5">
        <v>0</v>
      </c>
      <c r="C56" s="5" t="s">
        <v>647</v>
      </c>
      <c r="D56" s="5"/>
      <c r="E56" s="6"/>
    </row>
    <row r="57" spans="1:30" x14ac:dyDescent="0.25">
      <c r="A57" s="14" t="s">
        <v>648</v>
      </c>
      <c r="B57" s="5">
        <v>0</v>
      </c>
      <c r="C57" s="5" t="s">
        <v>647</v>
      </c>
      <c r="D57" s="5"/>
      <c r="E57" s="6"/>
    </row>
    <row r="58" spans="1:30" x14ac:dyDescent="0.25">
      <c r="A58" s="76" t="s">
        <v>649</v>
      </c>
      <c r="B58" s="5">
        <v>2.35</v>
      </c>
      <c r="C58" s="5" t="s">
        <v>647</v>
      </c>
      <c r="D58" s="5"/>
      <c r="E58" s="6"/>
      <c r="P58" s="65" t="s">
        <v>268</v>
      </c>
      <c r="Q58">
        <v>5.6</v>
      </c>
      <c r="S58" t="s">
        <v>717</v>
      </c>
      <c r="T58">
        <v>1</v>
      </c>
      <c r="V58" s="250" t="s">
        <v>720</v>
      </c>
      <c r="W58" s="11">
        <v>1.06</v>
      </c>
    </row>
    <row r="59" spans="1:30" x14ac:dyDescent="0.25">
      <c r="A59" s="76" t="s">
        <v>567</v>
      </c>
      <c r="B59" s="5">
        <v>0</v>
      </c>
      <c r="C59" s="5"/>
      <c r="D59" s="5" t="s">
        <v>661</v>
      </c>
      <c r="E59" s="6"/>
      <c r="P59" s="249" t="s">
        <v>713</v>
      </c>
      <c r="Q59">
        <v>22</v>
      </c>
      <c r="S59" t="s">
        <v>1134</v>
      </c>
      <c r="T59">
        <v>0.515221195188726</v>
      </c>
    </row>
    <row r="60" spans="1:30" x14ac:dyDescent="0.25">
      <c r="A60" s="111" t="s">
        <v>219</v>
      </c>
      <c r="B60" s="8">
        <v>9</v>
      </c>
      <c r="C60" s="8" t="s">
        <v>665</v>
      </c>
      <c r="D60" s="8"/>
      <c r="E60" s="9"/>
      <c r="P60" s="11" t="s">
        <v>1084</v>
      </c>
      <c r="Q60" s="131">
        <v>2.3768999999999999E-3</v>
      </c>
      <c r="S60" t="s">
        <v>1135</v>
      </c>
      <c r="T60">
        <v>0.74707073302365268</v>
      </c>
    </row>
    <row r="61" spans="1:30" x14ac:dyDescent="0.25">
      <c r="P61" s="11" t="s">
        <v>142</v>
      </c>
      <c r="Q61" s="98">
        <v>1116.4000000000001</v>
      </c>
      <c r="S61" s="49" t="s">
        <v>642</v>
      </c>
      <c r="T61" s="5">
        <v>0.108</v>
      </c>
      <c r="Y61" s="302" t="s">
        <v>1137</v>
      </c>
      <c r="Z61" s="302"/>
      <c r="AA61" s="302"/>
      <c r="AB61" s="302"/>
      <c r="AC61" s="302"/>
      <c r="AD61" s="302"/>
    </row>
    <row r="62" spans="1:30" x14ac:dyDescent="0.25">
      <c r="A62" s="315" t="s">
        <v>688</v>
      </c>
      <c r="B62" s="315"/>
      <c r="C62" s="315"/>
      <c r="D62" s="315"/>
      <c r="E62" s="175" t="s">
        <v>689</v>
      </c>
      <c r="U62" t="s">
        <v>560</v>
      </c>
      <c r="W62" t="s">
        <v>360</v>
      </c>
      <c r="AA62" t="s">
        <v>560</v>
      </c>
      <c r="AC62" t="s">
        <v>360</v>
      </c>
    </row>
    <row r="63" spans="1:30" x14ac:dyDescent="0.25">
      <c r="A63" s="178" t="s">
        <v>691</v>
      </c>
      <c r="B63" s="179">
        <f>B64-B65</f>
        <v>0</v>
      </c>
      <c r="C63" s="2" t="s">
        <v>490</v>
      </c>
      <c r="D63" s="2" t="s">
        <v>693</v>
      </c>
      <c r="E63" s="3" t="s">
        <v>694</v>
      </c>
      <c r="G63" t="s">
        <v>650</v>
      </c>
      <c r="P63" t="s">
        <v>348</v>
      </c>
      <c r="Q63" s="223" t="s">
        <v>712</v>
      </c>
      <c r="R63" t="s">
        <v>1085</v>
      </c>
      <c r="S63" t="s">
        <v>1086</v>
      </c>
      <c r="T63" t="s">
        <v>1132</v>
      </c>
      <c r="U63" t="s">
        <v>750</v>
      </c>
      <c r="V63" t="s">
        <v>1133</v>
      </c>
      <c r="W63" t="s">
        <v>750</v>
      </c>
      <c r="X63" t="s">
        <v>1133</v>
      </c>
      <c r="Y63" t="s">
        <v>1086</v>
      </c>
      <c r="Z63" t="s">
        <v>1132</v>
      </c>
      <c r="AA63" t="s">
        <v>750</v>
      </c>
      <c r="AB63" t="s">
        <v>1133</v>
      </c>
      <c r="AC63" t="s">
        <v>750</v>
      </c>
      <c r="AD63" t="s">
        <v>1133</v>
      </c>
    </row>
    <row r="64" spans="1:30" x14ac:dyDescent="0.25">
      <c r="A64" s="64" t="s">
        <v>421</v>
      </c>
      <c r="B64" s="5"/>
      <c r="C64" s="5" t="s">
        <v>490</v>
      </c>
      <c r="D64" s="5"/>
      <c r="E64" s="6"/>
      <c r="G64" s="1" t="s">
        <v>652</v>
      </c>
      <c r="H64" s="2"/>
      <c r="I64" s="2" t="s">
        <v>240</v>
      </c>
      <c r="J64" s="2"/>
      <c r="K64" s="2" t="s">
        <v>653</v>
      </c>
      <c r="L64" s="3"/>
      <c r="P64" s="5">
        <v>0</v>
      </c>
      <c r="Q64">
        <f>SQRT(1-P64^2)</f>
        <v>1</v>
      </c>
      <c r="R64">
        <f>P64*$Q$61</f>
        <v>0</v>
      </c>
      <c r="S64">
        <v>6.0680405548999525</v>
      </c>
      <c r="T64">
        <f>((2*PI()*$Q$58)/(2+SQRT(4+$Q$58^2*Q64^2*(1+(TAN(RADIANS($Q$59))^2)/Q64^2))))</f>
        <v>4.2076644857881398</v>
      </c>
      <c r="U64">
        <f>V277</f>
        <v>13.982876061291197</v>
      </c>
      <c r="V64">
        <f>$T$58*$T$59*(T64/$T$61)*$W$58</f>
        <v>21.277320378149785</v>
      </c>
      <c r="W64">
        <f>$Q$265*$T$60*(S64/$T$61)*$Q$268</f>
        <v>33.369797470057925</v>
      </c>
      <c r="X64">
        <f>$T$58*$T$60*S64/$T$61*$W$58</f>
        <v>44.493063293410572</v>
      </c>
      <c r="Y64">
        <f>RADIANS(S64)</f>
        <v>0.10590728682754791</v>
      </c>
      <c r="Z64">
        <f t="shared" ref="Z64:AD79" si="0">RADIANS(T64)</f>
        <v>7.3437599096237191E-2</v>
      </c>
      <c r="AA64">
        <f t="shared" si="0"/>
        <v>0.24404722616782781</v>
      </c>
      <c r="AB64">
        <f t="shared" si="0"/>
        <v>0.37135929660039868</v>
      </c>
      <c r="AC64">
        <f t="shared" si="0"/>
        <v>0.5824128365761847</v>
      </c>
      <c r="AD64">
        <f t="shared" si="0"/>
        <v>0.7765504487682463</v>
      </c>
    </row>
    <row r="65" spans="1:30" x14ac:dyDescent="0.25">
      <c r="A65" s="59" t="s">
        <v>692</v>
      </c>
      <c r="B65" s="5"/>
      <c r="C65" s="5" t="s">
        <v>490</v>
      </c>
      <c r="D65" s="5"/>
      <c r="E65" s="6"/>
      <c r="G65" s="14" t="s">
        <v>421</v>
      </c>
      <c r="H65" s="5" t="s">
        <v>244</v>
      </c>
      <c r="I65" s="5" t="s">
        <v>421</v>
      </c>
      <c r="J65" s="5" t="s">
        <v>244</v>
      </c>
      <c r="K65" s="5" t="s">
        <v>421</v>
      </c>
      <c r="L65" s="6" t="s">
        <v>244</v>
      </c>
      <c r="P65" s="5">
        <v>0.05</v>
      </c>
      <c r="Q65">
        <f t="shared" ref="Q65:Q81" si="1">SQRT(1-P65^2)</f>
        <v>0.99874921777190895</v>
      </c>
      <c r="R65">
        <f t="shared" ref="R65:R81" si="2">P65*$Q$61</f>
        <v>55.820000000000007</v>
      </c>
      <c r="S65">
        <v>6.071740468578227</v>
      </c>
      <c r="T65">
        <f t="shared" ref="T65:T81" si="3">((2*PI()*$Q$58)/(2+SQRT(4+$Q$58^2*Q65^2*(1+(TAN(RADIANS($Q$59))^2)/Q65^2))))</f>
        <v>4.2107684417402593</v>
      </c>
      <c r="U65">
        <f t="shared" ref="U65:U81" si="4">V278</f>
        <v>13.991401949332436</v>
      </c>
      <c r="V65">
        <f t="shared" ref="V65:V81" si="5">$T$58*$T$59*(T65/$T$61)*$W$58</f>
        <v>21.293016464531192</v>
      </c>
      <c r="W65">
        <f t="shared" ref="W65:W81" si="6">$Q$265*$T$60*(S65/$T$61)*$Q$268</f>
        <v>33.390144296843879</v>
      </c>
      <c r="X65">
        <f t="shared" ref="X65:X81" si="7">$T$58*$T$60*S65/$T$61*$W$58</f>
        <v>44.520192395791845</v>
      </c>
      <c r="Y65">
        <f t="shared" ref="Y65:Y81" si="8">RADIANS(S65)</f>
        <v>0.10597186250327337</v>
      </c>
      <c r="Z65">
        <f t="shared" si="0"/>
        <v>7.349177334743856E-2</v>
      </c>
      <c r="AA65">
        <f t="shared" si="0"/>
        <v>0.24419603098580386</v>
      </c>
      <c r="AB65">
        <f t="shared" si="0"/>
        <v>0.37163324498743167</v>
      </c>
      <c r="AC65">
        <f t="shared" si="0"/>
        <v>0.58276795569593254</v>
      </c>
      <c r="AD65">
        <f t="shared" si="0"/>
        <v>0.77702394092791016</v>
      </c>
    </row>
    <row r="66" spans="1:30" x14ac:dyDescent="0.25">
      <c r="A66" s="180" t="s">
        <v>695</v>
      </c>
      <c r="B66" s="170">
        <f>(B67+B68*B69)*B70</f>
        <v>-0.9</v>
      </c>
      <c r="C66" s="5"/>
      <c r="D66" s="5" t="s">
        <v>696</v>
      </c>
      <c r="E66" s="6" t="s">
        <v>697</v>
      </c>
      <c r="G66" s="14">
        <v>-0.9</v>
      </c>
      <c r="H66" s="5">
        <v>0</v>
      </c>
      <c r="I66" s="5">
        <v>-1</v>
      </c>
      <c r="J66" s="5">
        <v>0.515221195188726</v>
      </c>
      <c r="K66" s="5">
        <v>-1</v>
      </c>
      <c r="L66" s="6">
        <v>0.74707073302365268</v>
      </c>
      <c r="P66" s="5">
        <v>0.1</v>
      </c>
      <c r="Q66">
        <f t="shared" si="1"/>
        <v>0.99498743710661997</v>
      </c>
      <c r="R66">
        <f t="shared" si="2"/>
        <v>111.64000000000001</v>
      </c>
      <c r="S66">
        <v>6.0828866240180064</v>
      </c>
      <c r="T66">
        <f t="shared" si="3"/>
        <v>4.2201260558355544</v>
      </c>
      <c r="U66">
        <f t="shared" si="4"/>
        <v>14.01708656838932</v>
      </c>
      <c r="V66">
        <f t="shared" si="5"/>
        <v>21.340336053284808</v>
      </c>
      <c r="W66">
        <f t="shared" si="6"/>
        <v>33.451440022577764</v>
      </c>
      <c r="X66">
        <f t="shared" si="7"/>
        <v>44.601920030103685</v>
      </c>
      <c r="Y66">
        <f t="shared" si="8"/>
        <v>0.1061663996146366</v>
      </c>
      <c r="Z66">
        <f t="shared" si="0"/>
        <v>7.3655094523532486E-2</v>
      </c>
      <c r="AA66">
        <f t="shared" si="0"/>
        <v>0.24464431215546698</v>
      </c>
      <c r="AB66">
        <f t="shared" si="0"/>
        <v>0.372459127611872</v>
      </c>
      <c r="AC66">
        <f t="shared" si="0"/>
        <v>0.58383776792738828</v>
      </c>
      <c r="AD66">
        <f t="shared" si="0"/>
        <v>0.77845035723651768</v>
      </c>
    </row>
    <row r="67" spans="1:30" x14ac:dyDescent="0.25">
      <c r="A67" s="64" t="s">
        <v>698</v>
      </c>
      <c r="B67" s="5">
        <f>B5</f>
        <v>-1</v>
      </c>
      <c r="C67" s="5"/>
      <c r="D67" s="5"/>
      <c r="E67" s="6" t="s">
        <v>699</v>
      </c>
      <c r="G67" s="14">
        <f>B71</f>
        <v>11</v>
      </c>
      <c r="H67" s="5">
        <f>C78*RADIANS(G67)</f>
        <v>0.71174782406584458</v>
      </c>
      <c r="I67" s="5">
        <v>9</v>
      </c>
      <c r="J67" s="5">
        <f>B105*RADIANS(I67-I66)+J66</f>
        <v>1.1622646716122211</v>
      </c>
      <c r="K67" s="5">
        <v>8</v>
      </c>
      <c r="L67" s="6">
        <f>B120*RADIANS(K67-K66)+L66</f>
        <v>1.3294098618047983</v>
      </c>
      <c r="P67" s="58">
        <v>0.15</v>
      </c>
      <c r="Q67" s="99">
        <f t="shared" si="1"/>
        <v>0.98868599666425949</v>
      </c>
      <c r="R67">
        <f t="shared" si="2"/>
        <v>167.46</v>
      </c>
      <c r="S67">
        <v>6.1016199826735571</v>
      </c>
      <c r="T67">
        <f t="shared" si="3"/>
        <v>4.2358765339188533</v>
      </c>
      <c r="U67">
        <f t="shared" si="4"/>
        <v>14.060254742682549</v>
      </c>
      <c r="V67">
        <f t="shared" si="5"/>
        <v>21.419983080612987</v>
      </c>
      <c r="W67">
        <f t="shared" si="6"/>
        <v>33.554459832451137</v>
      </c>
      <c r="X67">
        <f t="shared" si="7"/>
        <v>44.739279776601514</v>
      </c>
      <c r="Y67">
        <f t="shared" si="8"/>
        <v>0.10649335840313294</v>
      </c>
      <c r="Z67">
        <f t="shared" si="0"/>
        <v>7.392999222484925E-2</v>
      </c>
      <c r="AA67">
        <f t="shared" si="0"/>
        <v>0.24539773892895858</v>
      </c>
      <c r="AB67">
        <f t="shared" si="0"/>
        <v>0.37384923047817459</v>
      </c>
      <c r="AC67">
        <f t="shared" si="0"/>
        <v>0.58563580280445715</v>
      </c>
      <c r="AD67">
        <f t="shared" si="0"/>
        <v>0.78084773707260957</v>
      </c>
    </row>
    <row r="68" spans="1:30" x14ac:dyDescent="0.25">
      <c r="A68" s="64" t="s">
        <v>700</v>
      </c>
      <c r="B68" s="11">
        <v>-0.41199999999999998</v>
      </c>
      <c r="C68" s="5" t="s">
        <v>493</v>
      </c>
      <c r="D68" s="5" t="s">
        <v>701</v>
      </c>
      <c r="E68" s="6" t="s">
        <v>702</v>
      </c>
      <c r="G68" s="14">
        <v>14</v>
      </c>
      <c r="H68" s="5">
        <v>0.9</v>
      </c>
      <c r="I68" s="5">
        <v>12</v>
      </c>
      <c r="J68" s="5">
        <v>1.35</v>
      </c>
      <c r="K68" s="5">
        <v>11</v>
      </c>
      <c r="L68" s="6">
        <v>1.52</v>
      </c>
      <c r="P68" s="5">
        <v>0.2</v>
      </c>
      <c r="Q68">
        <f t="shared" si="1"/>
        <v>0.9797958971132712</v>
      </c>
      <c r="R68">
        <f t="shared" si="2"/>
        <v>223.28000000000003</v>
      </c>
      <c r="S68">
        <v>6.1281813376659215</v>
      </c>
      <c r="T68">
        <f t="shared" si="3"/>
        <v>4.2582586146285157</v>
      </c>
      <c r="U68">
        <f t="shared" si="4"/>
        <v>14.121461343317126</v>
      </c>
      <c r="V68">
        <f t="shared" si="5"/>
        <v>21.533164800210077</v>
      </c>
      <c r="W68">
        <f t="shared" si="6"/>
        <v>33.700527913012955</v>
      </c>
      <c r="X68">
        <f t="shared" si="7"/>
        <v>44.9340372173506</v>
      </c>
      <c r="Y68">
        <f t="shared" si="8"/>
        <v>0.10695694150154073</v>
      </c>
      <c r="Z68">
        <f t="shared" si="0"/>
        <v>7.4320633226679977E-2</v>
      </c>
      <c r="AA68">
        <f t="shared" si="0"/>
        <v>0.24646599563398519</v>
      </c>
      <c r="AB68">
        <f t="shared" si="0"/>
        <v>0.37582462413821283</v>
      </c>
      <c r="AC68">
        <f t="shared" si="0"/>
        <v>0.5881851717423292</v>
      </c>
      <c r="AD68">
        <f t="shared" si="0"/>
        <v>0.7842468956564389</v>
      </c>
    </row>
    <row r="69" spans="1:30" x14ac:dyDescent="0.25">
      <c r="A69" s="4" t="s">
        <v>703</v>
      </c>
      <c r="B69" s="171">
        <v>0</v>
      </c>
      <c r="C69" s="5" t="s">
        <v>490</v>
      </c>
      <c r="D69" s="5" t="s">
        <v>704</v>
      </c>
      <c r="E69" s="6" t="s">
        <v>702</v>
      </c>
      <c r="F69" t="s">
        <v>707</v>
      </c>
      <c r="G69" s="10">
        <v>16.5</v>
      </c>
      <c r="H69" s="8">
        <v>0.75</v>
      </c>
      <c r="I69" s="8">
        <v>14</v>
      </c>
      <c r="J69" s="8">
        <v>1.2</v>
      </c>
      <c r="K69" s="8">
        <v>13</v>
      </c>
      <c r="L69" s="9">
        <v>1.37</v>
      </c>
      <c r="P69" s="5">
        <v>0.25</v>
      </c>
      <c r="Q69">
        <f t="shared" si="1"/>
        <v>0.96824583655185426</v>
      </c>
      <c r="R69">
        <f t="shared" si="2"/>
        <v>279.10000000000002</v>
      </c>
      <c r="S69">
        <v>6.1629205712782928</v>
      </c>
      <c r="T69">
        <f t="shared" si="3"/>
        <v>4.2876212896623604</v>
      </c>
      <c r="U69">
        <f t="shared" si="4"/>
        <v>14.201512620771721</v>
      </c>
      <c r="V69">
        <f t="shared" si="5"/>
        <v>21.681645993509782</v>
      </c>
      <c r="W69">
        <f t="shared" si="6"/>
        <v>33.891568361642413</v>
      </c>
      <c r="X69">
        <f t="shared" si="7"/>
        <v>45.188757815523225</v>
      </c>
      <c r="Y69">
        <f t="shared" si="8"/>
        <v>0.10756325550769609</v>
      </c>
      <c r="Z69">
        <f t="shared" si="0"/>
        <v>7.4833108583213695E-2</v>
      </c>
      <c r="AA69">
        <f t="shared" si="0"/>
        <v>0.2478631539959954</v>
      </c>
      <c r="AB69">
        <f t="shared" si="0"/>
        <v>0.37841610983858281</v>
      </c>
      <c r="AC69">
        <f t="shared" si="0"/>
        <v>0.59151945657540039</v>
      </c>
      <c r="AD69">
        <f t="shared" si="0"/>
        <v>0.7886926087672006</v>
      </c>
    </row>
    <row r="70" spans="1:30" x14ac:dyDescent="0.25">
      <c r="A70" s="4" t="s">
        <v>705</v>
      </c>
      <c r="B70" s="171">
        <v>0.9</v>
      </c>
      <c r="C70" s="5"/>
      <c r="D70" s="5"/>
      <c r="E70" s="6" t="s">
        <v>706</v>
      </c>
      <c r="P70" s="5">
        <v>0.3</v>
      </c>
      <c r="Q70">
        <f t="shared" si="1"/>
        <v>0.95393920141694566</v>
      </c>
      <c r="R70">
        <f t="shared" si="2"/>
        <v>334.92</v>
      </c>
      <c r="S70">
        <v>6.2063106221902826</v>
      </c>
      <c r="T70">
        <f t="shared" si="3"/>
        <v>4.3244401640667336</v>
      </c>
      <c r="U70">
        <f t="shared" si="4"/>
        <v>14.301498390264568</v>
      </c>
      <c r="V70">
        <f t="shared" si="5"/>
        <v>21.86783170040508</v>
      </c>
      <c r="W70">
        <f t="shared" si="6"/>
        <v>34.130181996150746</v>
      </c>
      <c r="X70">
        <f t="shared" si="7"/>
        <v>45.506909328200997</v>
      </c>
      <c r="Y70">
        <f t="shared" si="8"/>
        <v>0.10832055475871828</v>
      </c>
      <c r="Z70">
        <f t="shared" si="0"/>
        <v>7.547571916844828E-2</v>
      </c>
      <c r="AA70">
        <f t="shared" si="0"/>
        <v>0.24960823487878567</v>
      </c>
      <c r="AB70">
        <f t="shared" si="0"/>
        <v>0.38166566344405889</v>
      </c>
      <c r="AC70">
        <f t="shared" si="0"/>
        <v>0.59568405013772119</v>
      </c>
      <c r="AD70">
        <f t="shared" si="0"/>
        <v>0.79424540018362821</v>
      </c>
    </row>
    <row r="71" spans="1:30" x14ac:dyDescent="0.25">
      <c r="A71" s="173" t="s">
        <v>709</v>
      </c>
      <c r="B71" s="170">
        <f>B11</f>
        <v>11</v>
      </c>
      <c r="C71" s="5" t="s">
        <v>490</v>
      </c>
      <c r="D71" s="5" t="s">
        <v>710</v>
      </c>
      <c r="E71" s="6" t="s">
        <v>711</v>
      </c>
      <c r="P71" s="5">
        <v>0.35</v>
      </c>
      <c r="Q71">
        <f t="shared" si="1"/>
        <v>0.93674969975975975</v>
      </c>
      <c r="R71">
        <f t="shared" si="2"/>
        <v>390.74</v>
      </c>
      <c r="S71">
        <v>6.2589673314212524</v>
      </c>
      <c r="T71">
        <f t="shared" si="3"/>
        <v>4.3693410608507968</v>
      </c>
      <c r="U71">
        <f t="shared" si="4"/>
        <v>14.422837763709845</v>
      </c>
      <c r="V71">
        <f t="shared" si="5"/>
        <v>22.094886583076359</v>
      </c>
      <c r="W71">
        <f t="shared" si="6"/>
        <v>34.419755492995336</v>
      </c>
      <c r="X71">
        <f t="shared" si="7"/>
        <v>45.893007323993785</v>
      </c>
      <c r="Y71">
        <f t="shared" si="8"/>
        <v>0.109239587708064</v>
      </c>
      <c r="Z71">
        <f t="shared" si="0"/>
        <v>7.6259387654428315E-2</v>
      </c>
      <c r="AA71">
        <f t="shared" si="0"/>
        <v>0.2517260064577127</v>
      </c>
      <c r="AB71">
        <f t="shared" si="0"/>
        <v>0.38562851872940213</v>
      </c>
      <c r="AC71">
        <f t="shared" si="0"/>
        <v>0.6007380610841726</v>
      </c>
      <c r="AD71">
        <f t="shared" si="0"/>
        <v>0.80098408144556366</v>
      </c>
    </row>
    <row r="72" spans="1:30" x14ac:dyDescent="0.25">
      <c r="A72" s="4" t="s">
        <v>268</v>
      </c>
      <c r="B72" s="5">
        <v>4</v>
      </c>
      <c r="C72" s="5"/>
      <c r="D72" s="5"/>
      <c r="E72" s="6"/>
      <c r="P72" s="5">
        <v>0.4</v>
      </c>
      <c r="Q72">
        <f t="shared" si="1"/>
        <v>0.91651513899116799</v>
      </c>
      <c r="R72">
        <f t="shared" si="2"/>
        <v>446.56000000000006</v>
      </c>
      <c r="S72">
        <v>6.3216769397868529</v>
      </c>
      <c r="T72">
        <f t="shared" si="3"/>
        <v>4.4231333618481115</v>
      </c>
      <c r="U72">
        <f t="shared" si="4"/>
        <v>14.567342513421881</v>
      </c>
      <c r="V72">
        <f t="shared" si="5"/>
        <v>22.366903524080946</v>
      </c>
      <c r="W72">
        <f t="shared" si="6"/>
        <v>34.764612603236131</v>
      </c>
      <c r="X72">
        <f t="shared" si="7"/>
        <v>46.352816804314834</v>
      </c>
      <c r="Y72">
        <f t="shared" si="8"/>
        <v>0.1103340768466799</v>
      </c>
      <c r="Z72">
        <f t="shared" si="0"/>
        <v>7.7198240419055292E-2</v>
      </c>
      <c r="AA72">
        <f t="shared" si="0"/>
        <v>0.25424809012495808</v>
      </c>
      <c r="AB72">
        <f t="shared" si="0"/>
        <v>0.39037610997113531</v>
      </c>
      <c r="AC72">
        <f t="shared" si="0"/>
        <v>0.60675695310678757</v>
      </c>
      <c r="AD72">
        <f t="shared" si="0"/>
        <v>0.80900927080904994</v>
      </c>
    </row>
    <row r="73" spans="1:30" x14ac:dyDescent="0.25">
      <c r="A73" s="181" t="s">
        <v>713</v>
      </c>
      <c r="B73" s="11">
        <v>24.1</v>
      </c>
      <c r="C73" s="11" t="s">
        <v>490</v>
      </c>
      <c r="D73" s="5"/>
      <c r="E73" s="6"/>
      <c r="P73" s="5">
        <v>0.45</v>
      </c>
      <c r="Q73">
        <f t="shared" si="1"/>
        <v>0.89302855497458755</v>
      </c>
      <c r="R73">
        <f t="shared" si="2"/>
        <v>502.38000000000005</v>
      </c>
      <c r="S73">
        <v>6.3954338951161853</v>
      </c>
      <c r="T73">
        <f t="shared" si="3"/>
        <v>4.4868569328863392</v>
      </c>
      <c r="U73">
        <f t="shared" si="4"/>
        <v>14.737304193093822</v>
      </c>
      <c r="V73">
        <f t="shared" si="5"/>
        <v>22.6891409175803</v>
      </c>
      <c r="W73">
        <f t="shared" si="6"/>
        <v>35.170222064656173</v>
      </c>
      <c r="X73">
        <f t="shared" si="7"/>
        <v>46.893629419541561</v>
      </c>
      <c r="Y73">
        <f t="shared" si="8"/>
        <v>0.11162137856342313</v>
      </c>
      <c r="Z73">
        <f t="shared" si="0"/>
        <v>7.831042654480086E-2</v>
      </c>
      <c r="AA73">
        <f t="shared" si="0"/>
        <v>0.25721448103745337</v>
      </c>
      <c r="AB73">
        <f t="shared" si="0"/>
        <v>0.3960002134607436</v>
      </c>
      <c r="AC73">
        <f t="shared" si="0"/>
        <v>0.61383617368580823</v>
      </c>
      <c r="AD73">
        <f t="shared" si="0"/>
        <v>0.8184482315810776</v>
      </c>
    </row>
    <row r="74" spans="1:30" x14ac:dyDescent="0.25">
      <c r="A74" s="14" t="s">
        <v>348</v>
      </c>
      <c r="B74" s="49" t="s">
        <v>712</v>
      </c>
      <c r="C74" s="170" t="s">
        <v>419</v>
      </c>
      <c r="D74" s="5"/>
      <c r="E74" s="6" t="s">
        <v>715</v>
      </c>
      <c r="P74" s="5">
        <v>0.5</v>
      </c>
      <c r="Q74">
        <f t="shared" si="1"/>
        <v>0.8660254037844386</v>
      </c>
      <c r="R74">
        <f t="shared" si="2"/>
        <v>558.20000000000005</v>
      </c>
      <c r="S74">
        <v>6.4814929759567539</v>
      </c>
      <c r="T74">
        <f t="shared" si="3"/>
        <v>4.5618486395404672</v>
      </c>
      <c r="U74">
        <f t="shared" si="4"/>
        <v>14.935614248943828</v>
      </c>
      <c r="V74">
        <f t="shared" si="5"/>
        <v>23.068359026242124</v>
      </c>
      <c r="W74">
        <f t="shared" si="6"/>
        <v>35.64348424412367</v>
      </c>
      <c r="X74">
        <f t="shared" si="7"/>
        <v>47.52464565883156</v>
      </c>
      <c r="Y74">
        <f t="shared" si="8"/>
        <v>0.11312339287533102</v>
      </c>
      <c r="Z74">
        <f t="shared" si="0"/>
        <v>7.9619278737605131E-2</v>
      </c>
      <c r="AA74">
        <f t="shared" si="0"/>
        <v>0.26067564445184982</v>
      </c>
      <c r="AB74">
        <f t="shared" si="0"/>
        <v>0.40261881804007804</v>
      </c>
      <c r="AC74">
        <f t="shared" si="0"/>
        <v>0.62209615694268039</v>
      </c>
      <c r="AD74">
        <f t="shared" si="0"/>
        <v>0.82946154259024052</v>
      </c>
    </row>
    <row r="75" spans="1:30" x14ac:dyDescent="0.25">
      <c r="A75" s="14">
        <v>0</v>
      </c>
      <c r="B75" s="5">
        <f>SQRT(1-A75^2)</f>
        <v>1</v>
      </c>
      <c r="C75" s="170">
        <f>((2*PI()*$B$72)/(2+SQRT(4+$B$72^2*B75^2*(1+(TAN(RADIANS($B$73))^2)/B75^2))))</f>
        <v>3.686883496394374</v>
      </c>
      <c r="D75" s="5"/>
      <c r="E75" s="6"/>
      <c r="P75" s="5">
        <v>0.55000000000000004</v>
      </c>
      <c r="Q75">
        <f t="shared" si="1"/>
        <v>0.83516465442450327</v>
      </c>
      <c r="R75">
        <f t="shared" si="2"/>
        <v>614.0200000000001</v>
      </c>
      <c r="S75">
        <v>6.5814418617429267</v>
      </c>
      <c r="T75">
        <f t="shared" si="3"/>
        <v>4.6498380246514959</v>
      </c>
      <c r="U75">
        <f t="shared" si="4"/>
        <v>15.165931246625007</v>
      </c>
      <c r="V75">
        <f t="shared" si="5"/>
        <v>23.513303803376154</v>
      </c>
      <c r="W75">
        <f t="shared" si="6"/>
        <v>36.1931302205912</v>
      </c>
      <c r="X75">
        <f t="shared" si="7"/>
        <v>48.257506960788263</v>
      </c>
      <c r="Y75">
        <f t="shared" si="8"/>
        <v>0.1148678300159995</v>
      </c>
      <c r="Z75">
        <f t="shared" si="0"/>
        <v>8.1154983214597867E-2</v>
      </c>
      <c r="AA75">
        <f t="shared" si="0"/>
        <v>0.26469543438469456</v>
      </c>
      <c r="AB75">
        <f t="shared" si="0"/>
        <v>0.41038456939061924</v>
      </c>
      <c r="AC75">
        <f t="shared" si="0"/>
        <v>0.63168928895237808</v>
      </c>
      <c r="AD75">
        <f t="shared" si="0"/>
        <v>0.84225238526983726</v>
      </c>
    </row>
    <row r="76" spans="1:30" x14ac:dyDescent="0.25">
      <c r="A76" s="14">
        <v>0.05</v>
      </c>
      <c r="B76" s="5">
        <f t="shared" ref="B76:B94" si="9">SQRT(1-A76^2)</f>
        <v>0.99874921777190895</v>
      </c>
      <c r="C76" s="170">
        <f>((2*PI()*$B$72)/(2+SQRT(4+$B$72^2*B76^2*(1+(TAN(RADIANS($B$73))^2)/B76^2))))</f>
        <v>3.6891315286141815</v>
      </c>
      <c r="D76" s="5"/>
      <c r="E76" s="6"/>
      <c r="P76" s="5">
        <v>0.6</v>
      </c>
      <c r="Q76">
        <f t="shared" si="1"/>
        <v>0.8</v>
      </c>
      <c r="R76">
        <f t="shared" si="2"/>
        <v>669.84</v>
      </c>
      <c r="S76">
        <v>6.6973037334032348</v>
      </c>
      <c r="T76">
        <f t="shared" si="3"/>
        <v>4.7530878343819536</v>
      </c>
      <c r="U76">
        <f t="shared" si="4"/>
        <v>15.432917298711804</v>
      </c>
      <c r="V76">
        <f t="shared" si="5"/>
        <v>24.0354175051787</v>
      </c>
      <c r="W76">
        <f t="shared" si="6"/>
        <v>36.830286013606504</v>
      </c>
      <c r="X76">
        <f t="shared" si="7"/>
        <v>49.107048018142009</v>
      </c>
      <c r="Y76">
        <f t="shared" si="8"/>
        <v>0.11689000115399499</v>
      </c>
      <c r="Z76">
        <f t="shared" si="0"/>
        <v>8.2957032346452034E-2</v>
      </c>
      <c r="AA76">
        <f t="shared" si="0"/>
        <v>0.26935522005051021</v>
      </c>
      <c r="AB76">
        <f t="shared" si="0"/>
        <v>0.41949717255684954</v>
      </c>
      <c r="AC76">
        <f t="shared" si="0"/>
        <v>0.64280975538865059</v>
      </c>
      <c r="AD76">
        <f t="shared" si="0"/>
        <v>0.85707967385153416</v>
      </c>
    </row>
    <row r="77" spans="1:30" x14ac:dyDescent="0.25">
      <c r="A77" s="14">
        <v>0.1</v>
      </c>
      <c r="B77" s="5">
        <f t="shared" si="9"/>
        <v>0.99498743710661997</v>
      </c>
      <c r="C77" s="170">
        <f t="shared" ref="C77:C94" si="10">((2*PI()*$B$72)/(2+SQRT(4+$B$72^2*B77^2*(1+(TAN(RADIANS($B$73))^2)/B77^2))))</f>
        <v>3.6959038262228359</v>
      </c>
      <c r="D77" s="5"/>
      <c r="E77" s="6"/>
      <c r="P77" s="5">
        <v>0.65</v>
      </c>
      <c r="Q77">
        <f t="shared" si="1"/>
        <v>0.75993420767853315</v>
      </c>
      <c r="R77">
        <f t="shared" si="2"/>
        <v>725.66000000000008</v>
      </c>
      <c r="S77">
        <v>6.8316853040602226</v>
      </c>
      <c r="T77">
        <f t="shared" si="3"/>
        <v>4.8746060130601627</v>
      </c>
      <c r="U77">
        <f t="shared" si="4"/>
        <v>15.742579178921385</v>
      </c>
      <c r="V77">
        <f t="shared" si="5"/>
        <v>24.649910706392482</v>
      </c>
      <c r="W77">
        <f t="shared" si="6"/>
        <v>37.569286644199011</v>
      </c>
      <c r="X77">
        <f t="shared" si="7"/>
        <v>50.09238219226534</v>
      </c>
      <c r="Y77">
        <f t="shared" si="8"/>
        <v>0.11923540201596082</v>
      </c>
      <c r="Z77">
        <f t="shared" si="0"/>
        <v>8.5077924665413543E-2</v>
      </c>
      <c r="AA77">
        <f t="shared" si="0"/>
        <v>0.27475983942808369</v>
      </c>
      <c r="AB77">
        <f t="shared" si="0"/>
        <v>0.43022210214915008</v>
      </c>
      <c r="AC77">
        <f t="shared" si="0"/>
        <v>0.65570774956680411</v>
      </c>
      <c r="AD77">
        <f t="shared" si="0"/>
        <v>0.87427699942240544</v>
      </c>
    </row>
    <row r="78" spans="1:30" x14ac:dyDescent="0.25">
      <c r="A78" s="83">
        <v>0.15</v>
      </c>
      <c r="B78" s="5">
        <f t="shared" si="9"/>
        <v>0.98868599666425949</v>
      </c>
      <c r="C78" s="170">
        <f>((2*PI()*$B$72)/(2+SQRT(4+$B$72^2*B78^2*(1+(TAN(RADIANS($B$73))^2)/B78^2))))</f>
        <v>3.7072860360538855</v>
      </c>
      <c r="D78" s="5"/>
      <c r="E78" s="6"/>
      <c r="P78" s="5">
        <v>0.7</v>
      </c>
      <c r="Q78">
        <f t="shared" si="1"/>
        <v>0.71414284285428498</v>
      </c>
      <c r="R78">
        <f t="shared" si="2"/>
        <v>781.48</v>
      </c>
      <c r="S78">
        <v>6.9879958523467129</v>
      </c>
      <c r="T78">
        <f t="shared" si="3"/>
        <v>5.0184762742612419</v>
      </c>
      <c r="U78">
        <f t="shared" si="4"/>
        <v>16.10277305105982</v>
      </c>
      <c r="V78">
        <f t="shared" si="5"/>
        <v>25.377433932353803</v>
      </c>
      <c r="W78">
        <f t="shared" si="6"/>
        <v>38.428880658372485</v>
      </c>
      <c r="X78">
        <f t="shared" si="7"/>
        <v>51.238507544496649</v>
      </c>
      <c r="Y78">
        <f t="shared" si="8"/>
        <v>0.12196353573915766</v>
      </c>
      <c r="Z78">
        <f t="shared" si="0"/>
        <v>8.7588934419076628E-2</v>
      </c>
      <c r="AA78">
        <f t="shared" si="0"/>
        <v>0.28104640844240686</v>
      </c>
      <c r="AB78">
        <f t="shared" si="0"/>
        <v>0.44291977782690578</v>
      </c>
      <c r="AC78">
        <f t="shared" si="0"/>
        <v>0.67071049534456606</v>
      </c>
      <c r="AD78">
        <f t="shared" si="0"/>
        <v>0.89428066045942145</v>
      </c>
    </row>
    <row r="79" spans="1:30" x14ac:dyDescent="0.25">
      <c r="A79" s="14">
        <v>0.2</v>
      </c>
      <c r="B79" s="5">
        <f t="shared" si="9"/>
        <v>0.9797958971132712</v>
      </c>
      <c r="C79" s="170">
        <f t="shared" si="10"/>
        <v>3.7234244617082997</v>
      </c>
      <c r="D79" s="5"/>
      <c r="E79" s="6"/>
      <c r="P79" s="5">
        <v>0.75</v>
      </c>
      <c r="Q79">
        <f t="shared" si="1"/>
        <v>0.66143782776614768</v>
      </c>
      <c r="R79">
        <f t="shared" si="2"/>
        <v>837.30000000000007</v>
      </c>
      <c r="S79">
        <v>7.1707814174403213</v>
      </c>
      <c r="T79">
        <f t="shared" si="3"/>
        <v>5.1903949147458599</v>
      </c>
      <c r="U79">
        <f t="shared" si="4"/>
        <v>16.523974570623352</v>
      </c>
      <c r="V79">
        <f t="shared" si="5"/>
        <v>26.246792220050541</v>
      </c>
      <c r="W79">
        <f t="shared" si="6"/>
        <v>39.434067956057639</v>
      </c>
      <c r="X79">
        <f t="shared" si="7"/>
        <v>52.578757274743523</v>
      </c>
      <c r="Y79">
        <f t="shared" si="8"/>
        <v>0.12515374567515955</v>
      </c>
      <c r="Z79">
        <f t="shared" si="0"/>
        <v>9.0589480741085637E-2</v>
      </c>
      <c r="AA79">
        <f t="shared" si="0"/>
        <v>0.28839776177319376</v>
      </c>
      <c r="AB79">
        <f t="shared" si="0"/>
        <v>0.45809294232671399</v>
      </c>
      <c r="AC79">
        <f t="shared" si="0"/>
        <v>0.68825432328839642</v>
      </c>
      <c r="AD79">
        <f t="shared" si="0"/>
        <v>0.91767243105119523</v>
      </c>
    </row>
    <row r="80" spans="1:30" x14ac:dyDescent="0.25">
      <c r="A80" s="14">
        <v>0.25</v>
      </c>
      <c r="B80" s="5">
        <f t="shared" si="9"/>
        <v>0.96824583655185426</v>
      </c>
      <c r="C80" s="170">
        <f t="shared" si="10"/>
        <v>3.7445316883202602</v>
      </c>
      <c r="D80" s="5"/>
      <c r="E80" s="6"/>
      <c r="P80" s="5">
        <v>0.8</v>
      </c>
      <c r="Q80">
        <f t="shared" si="1"/>
        <v>0.59999999999999987</v>
      </c>
      <c r="R80">
        <f t="shared" si="2"/>
        <v>893.12000000000012</v>
      </c>
      <c r="S80">
        <v>7.3862540452040779</v>
      </c>
      <c r="T80">
        <f t="shared" si="3"/>
        <v>5.3985873033978011</v>
      </c>
      <c r="U80">
        <f t="shared" si="4"/>
        <v>17.020498451992008</v>
      </c>
      <c r="V80">
        <f t="shared" si="5"/>
        <v>27.299579619949391</v>
      </c>
      <c r="W80">
        <f t="shared" si="6"/>
        <v>40.619010258892381</v>
      </c>
      <c r="X80">
        <f t="shared" si="7"/>
        <v>54.158680345189836</v>
      </c>
      <c r="Y80">
        <f t="shared" si="8"/>
        <v>0.12891445247756125</v>
      </c>
      <c r="Z80">
        <f t="shared" ref="Z80:Z81" si="11">RADIANS(T80)</f>
        <v>9.4223123400653683E-2</v>
      </c>
      <c r="AA80">
        <f t="shared" ref="AA80:AA81" si="12">RADIANS(U80)</f>
        <v>0.29706373831785854</v>
      </c>
      <c r="AB80">
        <f t="shared" ref="AB80:AB81" si="13">RADIANS(V80)</f>
        <v>0.47646754877845915</v>
      </c>
      <c r="AC80">
        <f t="shared" ref="AC80:AC81" si="14">RADIANS(W80)</f>
        <v>0.7089354679190264</v>
      </c>
      <c r="AD80">
        <f t="shared" ref="AD80:AD81" si="15">RADIANS(X80)</f>
        <v>0.94524729055870171</v>
      </c>
    </row>
    <row r="81" spans="1:30" x14ac:dyDescent="0.25">
      <c r="A81" s="14">
        <v>0.3</v>
      </c>
      <c r="B81" s="5">
        <f t="shared" si="9"/>
        <v>0.95393920141694566</v>
      </c>
      <c r="C81" s="170">
        <f t="shared" si="10"/>
        <v>3.7708950689153267</v>
      </c>
      <c r="D81" s="5"/>
      <c r="E81" s="6"/>
      <c r="P81" s="5">
        <v>0.85</v>
      </c>
      <c r="Q81">
        <f t="shared" si="1"/>
        <v>0.52678268764263703</v>
      </c>
      <c r="R81">
        <f t="shared" si="2"/>
        <v>948.94</v>
      </c>
      <c r="S81">
        <v>7.6431689507986649</v>
      </c>
      <c r="T81">
        <f t="shared" si="3"/>
        <v>5.6554741189206261</v>
      </c>
      <c r="U81">
        <f t="shared" si="4"/>
        <v>17.612519756188231</v>
      </c>
      <c r="V81">
        <f t="shared" si="5"/>
        <v>28.598605027812443</v>
      </c>
      <c r="W81">
        <f t="shared" si="6"/>
        <v>42.031854864851304</v>
      </c>
      <c r="X81">
        <f t="shared" si="7"/>
        <v>56.04247315313507</v>
      </c>
      <c r="Y81">
        <f t="shared" si="8"/>
        <v>0.13339846347763717</v>
      </c>
      <c r="Z81">
        <f t="shared" si="11"/>
        <v>9.870664413649026E-2</v>
      </c>
      <c r="AA81">
        <f t="shared" si="12"/>
        <v>0.30739645931803355</v>
      </c>
      <c r="AB81">
        <f t="shared" si="13"/>
        <v>0.49913981921273165</v>
      </c>
      <c r="AC81">
        <f t="shared" si="14"/>
        <v>0.73359425811205148</v>
      </c>
      <c r="AD81">
        <f t="shared" si="15"/>
        <v>0.97812567748273527</v>
      </c>
    </row>
    <row r="82" spans="1:30" x14ac:dyDescent="0.25">
      <c r="A82" s="14">
        <v>0.35</v>
      </c>
      <c r="B82" s="5">
        <f t="shared" si="9"/>
        <v>0.93674969975975975</v>
      </c>
      <c r="C82" s="170">
        <f t="shared" si="10"/>
        <v>3.8028887826160913</v>
      </c>
      <c r="D82" s="5"/>
      <c r="E82" s="6"/>
      <c r="P82" s="5"/>
    </row>
    <row r="83" spans="1:30" x14ac:dyDescent="0.25">
      <c r="A83" s="14">
        <v>0.4</v>
      </c>
      <c r="B83" s="5">
        <f t="shared" si="9"/>
        <v>0.91651513899116799</v>
      </c>
      <c r="C83" s="170">
        <f t="shared" si="10"/>
        <v>3.8409905418341954</v>
      </c>
      <c r="D83" s="5"/>
      <c r="E83" s="6"/>
      <c r="P83" s="5" t="s">
        <v>1139</v>
      </c>
      <c r="Q83" s="223"/>
      <c r="R83" s="5" t="s">
        <v>1140</v>
      </c>
    </row>
    <row r="84" spans="1:30" x14ac:dyDescent="0.25">
      <c r="A84" s="14">
        <v>0.45</v>
      </c>
      <c r="B84" s="5">
        <f t="shared" si="9"/>
        <v>0.89302855497458755</v>
      </c>
      <c r="C84" s="170">
        <f t="shared" si="10"/>
        <v>3.8858045635744469</v>
      </c>
      <c r="D84" s="5"/>
      <c r="E84" s="6"/>
      <c r="P84" s="223" t="s">
        <v>221</v>
      </c>
      <c r="R84" s="223" t="s">
        <v>221</v>
      </c>
    </row>
    <row r="85" spans="1:30" x14ac:dyDescent="0.25">
      <c r="A85" s="14">
        <v>0.5</v>
      </c>
      <c r="B85" s="5">
        <f t="shared" si="9"/>
        <v>0.8660254037844386</v>
      </c>
      <c r="C85" s="170">
        <f t="shared" si="10"/>
        <v>3.9380932393002128</v>
      </c>
      <c r="D85" s="5"/>
      <c r="E85" s="6"/>
      <c r="P85" t="s">
        <v>1138</v>
      </c>
      <c r="R85" t="s">
        <v>1138</v>
      </c>
    </row>
    <row r="86" spans="1:30" x14ac:dyDescent="0.25">
      <c r="A86" s="14">
        <v>0.55000000000000004</v>
      </c>
      <c r="B86" s="5">
        <f t="shared" si="9"/>
        <v>0.83516465442450327</v>
      </c>
      <c r="C86" s="170">
        <f t="shared" si="10"/>
        <v>3.9988212278747914</v>
      </c>
      <c r="D86" s="5"/>
      <c r="E86" s="6"/>
    </row>
    <row r="87" spans="1:30" x14ac:dyDescent="0.25">
      <c r="A87" s="14">
        <v>0.6</v>
      </c>
      <c r="B87" s="5">
        <f t="shared" si="9"/>
        <v>0.8</v>
      </c>
      <c r="C87" s="170">
        <f t="shared" si="10"/>
        <v>4.0692177947106565</v>
      </c>
      <c r="D87" s="5"/>
      <c r="E87" s="6"/>
    </row>
    <row r="88" spans="1:30" x14ac:dyDescent="0.25">
      <c r="A88" s="14">
        <v>0.65</v>
      </c>
      <c r="B88" s="5">
        <f t="shared" si="9"/>
        <v>0.75993420767853315</v>
      </c>
      <c r="C88" s="170">
        <f t="shared" si="10"/>
        <v>4.1508667538091135</v>
      </c>
      <c r="D88" s="5"/>
      <c r="E88" s="6"/>
    </row>
    <row r="89" spans="1:30" x14ac:dyDescent="0.25">
      <c r="A89" s="14">
        <v>0.7</v>
      </c>
      <c r="B89" s="5">
        <f t="shared" si="9"/>
        <v>0.71414284285428498</v>
      </c>
      <c r="C89" s="170">
        <f t="shared" si="10"/>
        <v>4.2458395503116773</v>
      </c>
      <c r="D89" s="5"/>
      <c r="E89" s="6"/>
    </row>
    <row r="90" spans="1:30" x14ac:dyDescent="0.25">
      <c r="A90" s="14">
        <v>0.75</v>
      </c>
      <c r="B90" s="5">
        <f t="shared" si="9"/>
        <v>0.66143782776614768</v>
      </c>
      <c r="C90" s="170">
        <f t="shared" si="10"/>
        <v>4.3568983142117572</v>
      </c>
      <c r="D90" s="5"/>
      <c r="E90" s="6"/>
    </row>
    <row r="91" spans="1:30" x14ac:dyDescent="0.25">
      <c r="A91" s="14">
        <v>0.8</v>
      </c>
      <c r="B91" s="5">
        <f t="shared" si="9"/>
        <v>0.59999999999999987</v>
      </c>
      <c r="C91" s="170">
        <f t="shared" si="10"/>
        <v>4.4878174252558365</v>
      </c>
      <c r="D91" s="5"/>
      <c r="E91" s="6"/>
    </row>
    <row r="92" spans="1:30" x14ac:dyDescent="0.25">
      <c r="A92" s="14">
        <v>0.85</v>
      </c>
      <c r="B92" s="5">
        <f t="shared" si="9"/>
        <v>0.52678268764263703</v>
      </c>
      <c r="C92" s="170">
        <f t="shared" si="10"/>
        <v>4.6439164685704899</v>
      </c>
      <c r="D92" s="5"/>
      <c r="E92" s="6"/>
    </row>
    <row r="93" spans="1:30" x14ac:dyDescent="0.25">
      <c r="A93" s="14">
        <v>0.9</v>
      </c>
      <c r="B93" s="5">
        <f t="shared" si="9"/>
        <v>0.43588989435406728</v>
      </c>
      <c r="C93" s="170">
        <f t="shared" si="10"/>
        <v>4.8329949522471374</v>
      </c>
      <c r="D93" s="5"/>
      <c r="E93" s="6"/>
    </row>
    <row r="94" spans="1:30" x14ac:dyDescent="0.25">
      <c r="A94" s="14">
        <v>0.95</v>
      </c>
      <c r="B94" s="5">
        <f t="shared" si="9"/>
        <v>0.31224989991991997</v>
      </c>
      <c r="C94" s="170">
        <f t="shared" si="10"/>
        <v>5.0670942321324155</v>
      </c>
      <c r="D94" s="5"/>
      <c r="E94" s="6"/>
    </row>
    <row r="95" spans="1:30" x14ac:dyDescent="0.25">
      <c r="A95" s="173" t="s">
        <v>428</v>
      </c>
      <c r="B95" s="171">
        <v>0.95</v>
      </c>
      <c r="C95" s="5"/>
      <c r="D95" s="5"/>
      <c r="E95" s="6" t="s">
        <v>714</v>
      </c>
    </row>
    <row r="96" spans="1:30" x14ac:dyDescent="0.25">
      <c r="A96" s="10" t="s">
        <v>716</v>
      </c>
      <c r="B96" s="182">
        <v>14</v>
      </c>
      <c r="C96" s="8" t="s">
        <v>490</v>
      </c>
      <c r="D96" s="8"/>
      <c r="E96" s="9"/>
    </row>
    <row r="98" spans="1:7" x14ac:dyDescent="0.25">
      <c r="A98" s="295" t="s">
        <v>161</v>
      </c>
      <c r="B98" s="296"/>
      <c r="C98" s="296"/>
      <c r="D98" s="296"/>
      <c r="E98" s="297"/>
    </row>
    <row r="99" spans="1:7" x14ac:dyDescent="0.25">
      <c r="A99" s="169" t="s">
        <v>733</v>
      </c>
      <c r="B99" s="170">
        <f>B100*B101*(B102/B103)*B104</f>
        <v>5.624101897073019</v>
      </c>
      <c r="C99" s="5"/>
      <c r="D99" s="5" t="s">
        <v>753</v>
      </c>
      <c r="E99" s="6" t="s">
        <v>731</v>
      </c>
    </row>
    <row r="100" spans="1:7" x14ac:dyDescent="0.25">
      <c r="A100" s="119" t="s">
        <v>717</v>
      </c>
      <c r="B100" s="5">
        <v>0.3</v>
      </c>
      <c r="C100" s="5"/>
      <c r="D100" s="5" t="s">
        <v>721</v>
      </c>
      <c r="E100" s="6" t="s">
        <v>722</v>
      </c>
    </row>
    <row r="101" spans="1:7" x14ac:dyDescent="0.25">
      <c r="A101" s="183" t="s">
        <v>718</v>
      </c>
      <c r="B101" s="5">
        <f>B20</f>
        <v>0.515221195188726</v>
      </c>
      <c r="C101" s="5"/>
      <c r="D101" s="5" t="s">
        <v>723</v>
      </c>
      <c r="E101" s="6" t="s">
        <v>724</v>
      </c>
    </row>
    <row r="102" spans="1:7" x14ac:dyDescent="0.25">
      <c r="A102" s="119" t="s">
        <v>719</v>
      </c>
      <c r="B102" s="184">
        <f>C78</f>
        <v>3.7072860360538855</v>
      </c>
      <c r="C102" s="5"/>
      <c r="D102" s="5" t="s">
        <v>726</v>
      </c>
      <c r="E102" s="6" t="s">
        <v>725</v>
      </c>
    </row>
    <row r="103" spans="1:7" x14ac:dyDescent="0.25">
      <c r="A103" s="119" t="s">
        <v>642</v>
      </c>
      <c r="B103" s="5">
        <f>B7</f>
        <v>0.108</v>
      </c>
      <c r="C103" s="5"/>
      <c r="D103" s="5" t="s">
        <v>727</v>
      </c>
      <c r="E103" s="6" t="s">
        <v>730</v>
      </c>
    </row>
    <row r="104" spans="1:7" x14ac:dyDescent="0.25">
      <c r="A104" s="119" t="s">
        <v>720</v>
      </c>
      <c r="B104" s="11">
        <v>1.06</v>
      </c>
      <c r="C104" s="5" t="s">
        <v>1136</v>
      </c>
      <c r="D104" s="5" t="s">
        <v>728</v>
      </c>
      <c r="E104" s="6" t="s">
        <v>729</v>
      </c>
    </row>
    <row r="105" spans="1:7" x14ac:dyDescent="0.25">
      <c r="A105" s="172" t="s">
        <v>734</v>
      </c>
      <c r="B105" s="170">
        <f>C78</f>
        <v>3.7072860360538855</v>
      </c>
      <c r="C105" s="5" t="s">
        <v>736</v>
      </c>
      <c r="D105" s="5" t="s">
        <v>735</v>
      </c>
      <c r="E105" s="6" t="s">
        <v>731</v>
      </c>
    </row>
    <row r="106" spans="1:7" x14ac:dyDescent="0.25">
      <c r="A106" s="172" t="s">
        <v>737</v>
      </c>
      <c r="B106" s="170">
        <f>B107*B108*B111</f>
        <v>6.9486984303321023E-2</v>
      </c>
      <c r="C106" s="5"/>
      <c r="D106" s="5" t="s">
        <v>738</v>
      </c>
      <c r="E106" s="6" t="s">
        <v>739</v>
      </c>
    </row>
    <row r="107" spans="1:7" x14ac:dyDescent="0.25">
      <c r="A107" s="119" t="s">
        <v>668</v>
      </c>
      <c r="B107" s="5">
        <f>B27</f>
        <v>0.38539999999999996</v>
      </c>
      <c r="C107" s="5"/>
      <c r="D107" s="5" t="s">
        <v>741</v>
      </c>
      <c r="E107" s="6" t="s">
        <v>742</v>
      </c>
    </row>
    <row r="108" spans="1:7" x14ac:dyDescent="0.25">
      <c r="A108" s="119" t="s">
        <v>747</v>
      </c>
      <c r="B108" s="5">
        <f>B109/B110</f>
        <v>0.20723948339483395</v>
      </c>
      <c r="C108" s="5"/>
      <c r="D108" s="5" t="s">
        <v>748</v>
      </c>
      <c r="E108" s="6"/>
      <c r="G108" s="186"/>
    </row>
    <row r="109" spans="1:7" x14ac:dyDescent="0.25">
      <c r="A109" s="185" t="s">
        <v>740</v>
      </c>
      <c r="B109" s="5">
        <v>112.32380000000001</v>
      </c>
      <c r="C109" s="5"/>
      <c r="D109" s="5" t="s">
        <v>743</v>
      </c>
      <c r="E109" s="6" t="s">
        <v>746</v>
      </c>
    </row>
    <row r="110" spans="1:7" x14ac:dyDescent="0.25">
      <c r="A110" s="185" t="s">
        <v>153</v>
      </c>
      <c r="B110" s="5">
        <v>542</v>
      </c>
      <c r="C110" s="5" t="s">
        <v>150</v>
      </c>
      <c r="D110" s="5" t="s">
        <v>233</v>
      </c>
      <c r="E110" s="6"/>
    </row>
    <row r="111" spans="1:7" x14ac:dyDescent="0.25">
      <c r="A111" s="153" t="s">
        <v>477</v>
      </c>
      <c r="B111" s="8">
        <v>0.87</v>
      </c>
      <c r="C111" s="8"/>
      <c r="D111" s="8" t="s">
        <v>744</v>
      </c>
      <c r="E111" s="9" t="s">
        <v>745</v>
      </c>
    </row>
    <row r="113" spans="1:5" x14ac:dyDescent="0.25">
      <c r="A113" s="295" t="s">
        <v>749</v>
      </c>
      <c r="B113" s="296"/>
      <c r="C113" s="296"/>
      <c r="D113" s="296"/>
      <c r="E113" s="297"/>
    </row>
    <row r="114" spans="1:5" x14ac:dyDescent="0.25">
      <c r="A114" s="173" t="s">
        <v>750</v>
      </c>
      <c r="B114" s="170">
        <f>B115*B116*(B117/B118)*B119</f>
        <v>8.154947750755877</v>
      </c>
      <c r="C114" s="5"/>
      <c r="D114" s="5" t="s">
        <v>753</v>
      </c>
      <c r="E114" s="6" t="s">
        <v>731</v>
      </c>
    </row>
    <row r="115" spans="1:5" x14ac:dyDescent="0.25">
      <c r="A115" s="4" t="s">
        <v>717</v>
      </c>
      <c r="B115" s="5">
        <v>0.3</v>
      </c>
      <c r="C115" s="5"/>
      <c r="D115" s="5" t="s">
        <v>721</v>
      </c>
      <c r="E115" s="6" t="s">
        <v>722</v>
      </c>
    </row>
    <row r="116" spans="1:5" x14ac:dyDescent="0.25">
      <c r="A116" s="4" t="s">
        <v>718</v>
      </c>
      <c r="B116" s="5">
        <f>B34</f>
        <v>0.74707073302365268</v>
      </c>
      <c r="C116" s="5"/>
      <c r="D116" s="5" t="s">
        <v>723</v>
      </c>
      <c r="E116" s="6" t="s">
        <v>724</v>
      </c>
    </row>
    <row r="117" spans="1:5" x14ac:dyDescent="0.25">
      <c r="A117" s="4" t="s">
        <v>719</v>
      </c>
      <c r="B117" s="184">
        <f>C78</f>
        <v>3.7072860360538855</v>
      </c>
      <c r="C117" s="5"/>
      <c r="D117" s="5" t="s">
        <v>726</v>
      </c>
      <c r="E117" s="6" t="s">
        <v>725</v>
      </c>
    </row>
    <row r="118" spans="1:5" x14ac:dyDescent="0.25">
      <c r="A118" s="4" t="s">
        <v>642</v>
      </c>
      <c r="B118" s="5">
        <f>B7</f>
        <v>0.108</v>
      </c>
      <c r="C118" s="5"/>
      <c r="D118" s="5" t="s">
        <v>727</v>
      </c>
      <c r="E118" s="6" t="s">
        <v>730</v>
      </c>
    </row>
    <row r="119" spans="1:5" x14ac:dyDescent="0.25">
      <c r="A119" s="4" t="s">
        <v>720</v>
      </c>
      <c r="B119" s="11">
        <v>1.06</v>
      </c>
      <c r="C119" s="5" t="s">
        <v>732</v>
      </c>
      <c r="D119" s="5" t="s">
        <v>728</v>
      </c>
      <c r="E119" s="6" t="s">
        <v>729</v>
      </c>
    </row>
    <row r="120" spans="1:5" x14ac:dyDescent="0.25">
      <c r="A120" s="173" t="s">
        <v>751</v>
      </c>
      <c r="B120" s="170">
        <f>C78</f>
        <v>3.7072860360538855</v>
      </c>
      <c r="C120" s="5" t="s">
        <v>736</v>
      </c>
      <c r="D120" s="5" t="s">
        <v>735</v>
      </c>
      <c r="E120" s="6" t="s">
        <v>731</v>
      </c>
    </row>
    <row r="121" spans="1:5" x14ac:dyDescent="0.25">
      <c r="A121" s="173" t="s">
        <v>737</v>
      </c>
      <c r="B121" s="170">
        <f>B122*B123*B126</f>
        <v>8.7228341997785966E-2</v>
      </c>
      <c r="C121" s="5"/>
      <c r="D121" s="5" t="s">
        <v>738</v>
      </c>
      <c r="E121" s="6" t="s">
        <v>739</v>
      </c>
    </row>
    <row r="122" spans="1:5" x14ac:dyDescent="0.25">
      <c r="A122" s="4" t="s">
        <v>668</v>
      </c>
      <c r="B122" s="5">
        <f>B41</f>
        <v>0.48379999999999995</v>
      </c>
      <c r="C122" s="5"/>
      <c r="D122" s="5" t="s">
        <v>741</v>
      </c>
      <c r="E122" s="6" t="s">
        <v>742</v>
      </c>
    </row>
    <row r="123" spans="1:5" x14ac:dyDescent="0.25">
      <c r="A123" s="4" t="s">
        <v>747</v>
      </c>
      <c r="B123" s="5">
        <f>B124/B125</f>
        <v>0.20723948339483395</v>
      </c>
      <c r="C123" s="5"/>
      <c r="D123" s="5" t="s">
        <v>748</v>
      </c>
      <c r="E123" s="6"/>
    </row>
    <row r="124" spans="1:5" x14ac:dyDescent="0.25">
      <c r="A124" s="66" t="s">
        <v>740</v>
      </c>
      <c r="B124" s="5">
        <v>112.32380000000001</v>
      </c>
      <c r="C124" s="5"/>
      <c r="D124" s="5" t="s">
        <v>743</v>
      </c>
      <c r="E124" s="6" t="s">
        <v>746</v>
      </c>
    </row>
    <row r="125" spans="1:5" x14ac:dyDescent="0.25">
      <c r="A125" s="66" t="s">
        <v>153</v>
      </c>
      <c r="B125" s="5">
        <v>542</v>
      </c>
      <c r="C125" s="5" t="s">
        <v>150</v>
      </c>
      <c r="D125" s="5" t="s">
        <v>233</v>
      </c>
      <c r="E125" s="6"/>
    </row>
    <row r="126" spans="1:5" x14ac:dyDescent="0.25">
      <c r="A126" s="7" t="s">
        <v>477</v>
      </c>
      <c r="B126" s="8">
        <v>0.87</v>
      </c>
      <c r="C126" s="8"/>
      <c r="D126" s="8" t="s">
        <v>744</v>
      </c>
      <c r="E126" s="9" t="s">
        <v>745</v>
      </c>
    </row>
    <row r="128" spans="1:5" x14ac:dyDescent="0.25">
      <c r="A128" s="319" t="s">
        <v>754</v>
      </c>
      <c r="B128" s="319"/>
      <c r="C128" s="319"/>
      <c r="D128" s="319"/>
      <c r="E128" s="187" t="s">
        <v>755</v>
      </c>
    </row>
    <row r="129" spans="1:5" ht="15.75" x14ac:dyDescent="0.25">
      <c r="A129" s="188" t="s">
        <v>771</v>
      </c>
      <c r="B129" s="2">
        <f>1.62*B130/B131</f>
        <v>0</v>
      </c>
      <c r="C129" s="2"/>
      <c r="D129" s="2"/>
      <c r="E129" s="3" t="s">
        <v>772</v>
      </c>
    </row>
    <row r="130" spans="1:5" x14ac:dyDescent="0.25">
      <c r="A130" s="4" t="s">
        <v>221</v>
      </c>
      <c r="B130" s="5"/>
      <c r="C130" s="5"/>
      <c r="D130" s="5" t="s">
        <v>345</v>
      </c>
      <c r="E130" s="6"/>
    </row>
    <row r="131" spans="1:5" x14ac:dyDescent="0.25">
      <c r="A131" s="7" t="s">
        <v>87</v>
      </c>
      <c r="B131" s="8">
        <v>5.6</v>
      </c>
      <c r="C131" s="8"/>
      <c r="D131" s="8" t="s">
        <v>773</v>
      </c>
      <c r="E131" s="9"/>
    </row>
    <row r="132" spans="1:5" x14ac:dyDescent="0.25">
      <c r="A132" s="189" t="s">
        <v>769</v>
      </c>
      <c r="B132" s="159">
        <f>1+0.025*(B133/B134)-0.25*(B133/B134)^2</f>
        <v>0.99826283096311719</v>
      </c>
      <c r="C132" s="2"/>
      <c r="D132" s="2" t="s">
        <v>763</v>
      </c>
      <c r="E132" s="3" t="s">
        <v>841</v>
      </c>
    </row>
    <row r="133" spans="1:5" x14ac:dyDescent="0.25">
      <c r="A133" s="4" t="s">
        <v>760</v>
      </c>
      <c r="B133" s="5">
        <v>6.8449999999999998</v>
      </c>
      <c r="C133" s="5" t="s">
        <v>124</v>
      </c>
      <c r="D133" s="5" t="s">
        <v>774</v>
      </c>
      <c r="E133" s="6"/>
    </row>
    <row r="134" spans="1:5" x14ac:dyDescent="0.25">
      <c r="A134" s="7" t="s">
        <v>143</v>
      </c>
      <c r="B134" s="5">
        <v>46.5</v>
      </c>
      <c r="C134" s="8" t="s">
        <v>124</v>
      </c>
      <c r="D134" s="8" t="s">
        <v>764</v>
      </c>
      <c r="E134" s="9"/>
    </row>
    <row r="135" spans="1:5" x14ac:dyDescent="0.25">
      <c r="A135" s="14" t="s">
        <v>348</v>
      </c>
      <c r="B135" s="222" t="s">
        <v>719</v>
      </c>
      <c r="C135" s="170" t="s">
        <v>1048</v>
      </c>
      <c r="D135" s="2" t="s">
        <v>762</v>
      </c>
      <c r="E135" s="3" t="s">
        <v>834</v>
      </c>
    </row>
    <row r="136" spans="1:5" x14ac:dyDescent="0.25">
      <c r="A136" s="14">
        <v>0</v>
      </c>
      <c r="B136" s="5">
        <v>3.686883496394374</v>
      </c>
      <c r="C136" s="170">
        <f>$B$156*B136</f>
        <v>3.6804787565418433</v>
      </c>
      <c r="D136" s="5"/>
      <c r="E136" s="6"/>
    </row>
    <row r="137" spans="1:5" x14ac:dyDescent="0.25">
      <c r="A137" s="14">
        <v>0.05</v>
      </c>
      <c r="B137" s="5">
        <v>3.6891315286141815</v>
      </c>
      <c r="C137" s="170">
        <f t="shared" ref="C137:C155" si="16">$B$156*B137</f>
        <v>3.6827228835496846</v>
      </c>
      <c r="D137" s="5"/>
      <c r="E137" s="6"/>
    </row>
    <row r="138" spans="1:5" x14ac:dyDescent="0.25">
      <c r="A138" s="14">
        <v>0.1</v>
      </c>
      <c r="B138" s="5">
        <v>3.6959038262228359</v>
      </c>
      <c r="C138" s="170">
        <f t="shared" si="16"/>
        <v>3.6894834165326249</v>
      </c>
      <c r="D138" s="5"/>
      <c r="E138" s="6"/>
    </row>
    <row r="139" spans="1:5" x14ac:dyDescent="0.25">
      <c r="A139" s="83">
        <v>0.15</v>
      </c>
      <c r="B139" s="5">
        <v>3.7072860360538855</v>
      </c>
      <c r="C139" s="170">
        <f t="shared" si="16"/>
        <v>3.7008458535411846</v>
      </c>
      <c r="D139" s="5"/>
      <c r="E139" s="6"/>
    </row>
    <row r="140" spans="1:5" x14ac:dyDescent="0.25">
      <c r="A140" s="14">
        <v>0.2</v>
      </c>
      <c r="B140" s="5">
        <v>3.7234244617082997</v>
      </c>
      <c r="C140" s="170">
        <f t="shared" si="16"/>
        <v>3.7169562440222479</v>
      </c>
      <c r="D140" s="5"/>
      <c r="E140" s="6"/>
    </row>
    <row r="141" spans="1:5" x14ac:dyDescent="0.25">
      <c r="A141" s="14">
        <v>0.25</v>
      </c>
      <c r="B141" s="5">
        <v>3.7445316883202602</v>
      </c>
      <c r="C141" s="170">
        <f t="shared" si="16"/>
        <v>3.7380268038136837</v>
      </c>
      <c r="D141" s="5"/>
      <c r="E141" s="6"/>
    </row>
    <row r="142" spans="1:5" x14ac:dyDescent="0.25">
      <c r="A142" s="14">
        <v>0.3</v>
      </c>
      <c r="B142" s="5">
        <v>3.7708950689153267</v>
      </c>
      <c r="C142" s="170">
        <f t="shared" si="16"/>
        <v>3.7643443867602731</v>
      </c>
      <c r="D142" s="5"/>
      <c r="E142" s="6"/>
    </row>
    <row r="143" spans="1:5" x14ac:dyDescent="0.25">
      <c r="A143" s="14">
        <v>0.35</v>
      </c>
      <c r="B143" s="5">
        <v>3.8028887826160913</v>
      </c>
      <c r="C143" s="170">
        <f t="shared" si="16"/>
        <v>3.7962825219722216</v>
      </c>
      <c r="D143" s="5"/>
      <c r="E143" s="6"/>
    </row>
    <row r="144" spans="1:5" x14ac:dyDescent="0.25">
      <c r="A144" s="14">
        <v>0.4</v>
      </c>
      <c r="B144" s="5">
        <v>3.8409905418341954</v>
      </c>
      <c r="C144" s="170">
        <f t="shared" si="16"/>
        <v>3.8343180919939615</v>
      </c>
      <c r="D144" s="5"/>
      <c r="E144" s="6"/>
    </row>
    <row r="145" spans="1:5" x14ac:dyDescent="0.25">
      <c r="A145" s="14">
        <v>0.45</v>
      </c>
      <c r="B145" s="5">
        <v>3.8858045635744469</v>
      </c>
      <c r="C145" s="170">
        <f t="shared" si="16"/>
        <v>3.8790542642032273</v>
      </c>
      <c r="D145" s="5"/>
      <c r="E145" s="6"/>
    </row>
    <row r="146" spans="1:5" x14ac:dyDescent="0.25">
      <c r="A146" s="14">
        <v>0.5</v>
      </c>
      <c r="B146" s="5">
        <v>3.9380932393002128</v>
      </c>
      <c r="C146" s="170">
        <f t="shared" si="16"/>
        <v>3.9312521056605432</v>
      </c>
      <c r="D146" s="5"/>
      <c r="E146" s="6"/>
    </row>
    <row r="147" spans="1:5" x14ac:dyDescent="0.25">
      <c r="A147" s="14">
        <v>0.55000000000000004</v>
      </c>
      <c r="B147" s="5">
        <v>3.9988212278747914</v>
      </c>
      <c r="C147" s="170">
        <f t="shared" si="16"/>
        <v>3.9918745994536975</v>
      </c>
      <c r="D147" s="5"/>
      <c r="E147" s="6"/>
    </row>
    <row r="148" spans="1:5" x14ac:dyDescent="0.25">
      <c r="A148" s="14">
        <v>0.6</v>
      </c>
      <c r="B148" s="5">
        <v>4.0692177947106565</v>
      </c>
      <c r="C148" s="170">
        <f t="shared" si="16"/>
        <v>4.0621488755533521</v>
      </c>
      <c r="D148" s="5"/>
      <c r="E148" s="6"/>
    </row>
    <row r="149" spans="1:5" x14ac:dyDescent="0.25">
      <c r="A149" s="14">
        <v>0.65</v>
      </c>
      <c r="B149" s="5">
        <v>4.1508667538091135</v>
      </c>
      <c r="C149" s="170">
        <f t="shared" si="16"/>
        <v>4.1436559966081701</v>
      </c>
      <c r="D149" s="5"/>
      <c r="E149" s="6"/>
    </row>
    <row r="150" spans="1:5" x14ac:dyDescent="0.25">
      <c r="A150" s="14">
        <v>0.7</v>
      </c>
      <c r="B150" s="5">
        <v>4.2458395503116773</v>
      </c>
      <c r="C150" s="170">
        <f t="shared" si="16"/>
        <v>4.2384638093093034</v>
      </c>
      <c r="D150" s="5"/>
      <c r="E150" s="6"/>
    </row>
    <row r="151" spans="1:5" x14ac:dyDescent="0.25">
      <c r="A151" s="14">
        <v>0.75</v>
      </c>
      <c r="B151" s="5">
        <v>4.3568983142117572</v>
      </c>
      <c r="C151" s="170">
        <f t="shared" si="16"/>
        <v>4.3493296453634613</v>
      </c>
      <c r="D151" s="5"/>
      <c r="E151" s="6"/>
    </row>
    <row r="152" spans="1:5" x14ac:dyDescent="0.25">
      <c r="A152" s="14">
        <v>0.8</v>
      </c>
      <c r="B152" s="5">
        <v>4.4878174252558365</v>
      </c>
      <c r="C152" s="170">
        <f t="shared" si="16"/>
        <v>4.4800213277814986</v>
      </c>
      <c r="D152" s="5"/>
      <c r="E152" s="6"/>
    </row>
    <row r="153" spans="1:5" x14ac:dyDescent="0.25">
      <c r="A153" s="14">
        <v>0.85</v>
      </c>
      <c r="B153" s="5">
        <v>4.6439164685704899</v>
      </c>
      <c r="C153" s="170">
        <f t="shared" si="16"/>
        <v>4.6358492006714194</v>
      </c>
      <c r="D153" s="5"/>
      <c r="E153" s="6"/>
    </row>
    <row r="154" spans="1:5" x14ac:dyDescent="0.25">
      <c r="A154" s="14">
        <v>0.9</v>
      </c>
      <c r="B154" s="5">
        <v>4.8329949522471374</v>
      </c>
      <c r="C154" s="170">
        <f t="shared" si="16"/>
        <v>4.8245992230606829</v>
      </c>
      <c r="D154" s="5"/>
      <c r="E154" s="6"/>
    </row>
    <row r="155" spans="1:5" x14ac:dyDescent="0.25">
      <c r="A155" s="14">
        <v>0.95</v>
      </c>
      <c r="B155" s="5">
        <v>5.0670942321324155</v>
      </c>
      <c r="C155" s="170">
        <f t="shared" si="16"/>
        <v>5.0582918329253879</v>
      </c>
      <c r="D155" s="5"/>
      <c r="E155" s="6"/>
    </row>
    <row r="156" spans="1:5" x14ac:dyDescent="0.25">
      <c r="A156" s="4" t="s">
        <v>769</v>
      </c>
      <c r="B156" s="5">
        <f>B132</f>
        <v>0.99826283096311719</v>
      </c>
      <c r="C156" s="5"/>
      <c r="D156" s="5" t="s">
        <v>763</v>
      </c>
      <c r="E156" s="6" t="s">
        <v>841</v>
      </c>
    </row>
    <row r="157" spans="1:5" x14ac:dyDescent="0.25">
      <c r="A157" s="192" t="s">
        <v>719</v>
      </c>
      <c r="B157" s="8">
        <f>C78</f>
        <v>3.7072860360538855</v>
      </c>
      <c r="C157" s="8"/>
      <c r="D157" s="8" t="s">
        <v>726</v>
      </c>
      <c r="E157" s="9"/>
    </row>
    <row r="158" spans="1:5" x14ac:dyDescent="0.25">
      <c r="A158" s="191" t="s">
        <v>712</v>
      </c>
      <c r="B158" s="2">
        <f>SQRT(1-B159^2)</f>
        <v>0.98868599666425949</v>
      </c>
      <c r="C158" s="2"/>
      <c r="D158" s="2"/>
      <c r="E158" s="3"/>
    </row>
    <row r="159" spans="1:5" x14ac:dyDescent="0.25">
      <c r="A159" s="192" t="s">
        <v>182</v>
      </c>
      <c r="B159" s="8">
        <v>0.15</v>
      </c>
      <c r="C159" s="8"/>
      <c r="D159" s="8" t="s">
        <v>326</v>
      </c>
      <c r="E159" s="9"/>
    </row>
    <row r="160" spans="1:5" x14ac:dyDescent="0.25">
      <c r="A160" s="191" t="s">
        <v>775</v>
      </c>
      <c r="B160" s="2">
        <f>B161*TAN(B162+B164+B163)</f>
        <v>0</v>
      </c>
      <c r="C160" s="2" t="s">
        <v>124</v>
      </c>
      <c r="D160" s="2" t="s">
        <v>830</v>
      </c>
      <c r="E160" s="3" t="s">
        <v>825</v>
      </c>
    </row>
    <row r="161" spans="1:5" x14ac:dyDescent="0.25">
      <c r="A161" s="64" t="s">
        <v>776</v>
      </c>
      <c r="B161" s="5"/>
      <c r="C161" s="5" t="s">
        <v>124</v>
      </c>
      <c r="D161" s="11" t="s">
        <v>831</v>
      </c>
      <c r="E161" s="6" t="s">
        <v>828</v>
      </c>
    </row>
    <row r="162" spans="1:5" x14ac:dyDescent="0.25">
      <c r="A162" s="64" t="s">
        <v>777</v>
      </c>
      <c r="B162" s="5"/>
      <c r="C162" s="5" t="s">
        <v>843</v>
      </c>
      <c r="D162" s="11" t="s">
        <v>832</v>
      </c>
      <c r="E162" s="6" t="s">
        <v>828</v>
      </c>
    </row>
    <row r="163" spans="1:5" x14ac:dyDescent="0.25">
      <c r="A163" s="64" t="s">
        <v>691</v>
      </c>
      <c r="B163" s="5"/>
      <c r="C163" s="11" t="s">
        <v>843</v>
      </c>
      <c r="D163" s="11" t="s">
        <v>833</v>
      </c>
      <c r="E163" s="6" t="s">
        <v>828</v>
      </c>
    </row>
    <row r="164" spans="1:5" x14ac:dyDescent="0.25">
      <c r="A164" s="192" t="s">
        <v>778</v>
      </c>
      <c r="B164" s="8">
        <f>B129</f>
        <v>0</v>
      </c>
      <c r="C164" s="8"/>
      <c r="D164" s="8"/>
      <c r="E164" s="9" t="s">
        <v>829</v>
      </c>
    </row>
    <row r="165" spans="1:5" x14ac:dyDescent="0.25">
      <c r="A165" s="191" t="s">
        <v>779</v>
      </c>
      <c r="B165" s="2">
        <f>0.68*B166*SQRT(B168*((B167/B166)-0.15))</f>
        <v>0</v>
      </c>
      <c r="C165" s="2"/>
      <c r="D165" s="2"/>
      <c r="E165" s="3" t="s">
        <v>826</v>
      </c>
    </row>
    <row r="166" spans="1:5" x14ac:dyDescent="0.25">
      <c r="A166" s="64" t="s">
        <v>469</v>
      </c>
      <c r="B166" s="5">
        <v>12.381</v>
      </c>
      <c r="C166" s="5"/>
      <c r="D166" s="5"/>
      <c r="E166" s="6"/>
    </row>
    <row r="167" spans="1:5" x14ac:dyDescent="0.25">
      <c r="A167" s="64" t="s">
        <v>776</v>
      </c>
      <c r="B167" s="5">
        <v>9.74</v>
      </c>
      <c r="C167" s="5"/>
      <c r="D167" s="11" t="s">
        <v>831</v>
      </c>
      <c r="E167" s="6" t="s">
        <v>828</v>
      </c>
    </row>
    <row r="168" spans="1:5" x14ac:dyDescent="0.25">
      <c r="A168" s="192" t="s">
        <v>356</v>
      </c>
      <c r="B168" s="8"/>
      <c r="C168" s="8"/>
      <c r="D168" s="8" t="s">
        <v>827</v>
      </c>
      <c r="E168" s="9"/>
    </row>
    <row r="169" spans="1:5" x14ac:dyDescent="0.25">
      <c r="A169" s="191" t="s">
        <v>787</v>
      </c>
      <c r="B169" s="2">
        <f>(1/B170)-(1/(1+B170^1.7))</f>
        <v>0.16947739279721419</v>
      </c>
      <c r="C169" s="2"/>
      <c r="D169" s="2" t="s">
        <v>854</v>
      </c>
      <c r="E169" s="3" t="s">
        <v>838</v>
      </c>
    </row>
    <row r="170" spans="1:5" x14ac:dyDescent="0.25">
      <c r="A170" s="192" t="s">
        <v>87</v>
      </c>
      <c r="B170" s="8">
        <v>3.8</v>
      </c>
      <c r="C170" s="8"/>
      <c r="D170" s="8" t="s">
        <v>773</v>
      </c>
      <c r="E170" s="9"/>
    </row>
    <row r="171" spans="1:5" x14ac:dyDescent="0.25">
      <c r="A171" s="191" t="s">
        <v>437</v>
      </c>
      <c r="B171" s="2">
        <f>(10-3*B172)/7</f>
        <v>1.1495714285714287</v>
      </c>
      <c r="C171" s="2"/>
      <c r="D171" s="2" t="s">
        <v>855</v>
      </c>
      <c r="E171" s="3" t="s">
        <v>839</v>
      </c>
    </row>
    <row r="172" spans="1:5" x14ac:dyDescent="0.25">
      <c r="A172" s="192" t="s">
        <v>176</v>
      </c>
      <c r="B172" s="182">
        <v>0.65100000000000002</v>
      </c>
      <c r="C172" s="8"/>
      <c r="D172" s="8" t="s">
        <v>856</v>
      </c>
      <c r="E172" s="9"/>
    </row>
    <row r="173" spans="1:5" x14ac:dyDescent="0.25">
      <c r="A173" s="191" t="s">
        <v>788</v>
      </c>
      <c r="B173" s="2">
        <f>(1-(B174/B176))/(2*B175/B176)^(1/3)</f>
        <v>1.0209847802471967</v>
      </c>
      <c r="C173" s="2"/>
      <c r="D173" s="2" t="s">
        <v>864</v>
      </c>
      <c r="E173" s="3" t="s">
        <v>840</v>
      </c>
    </row>
    <row r="174" spans="1:5" x14ac:dyDescent="0.25">
      <c r="A174" s="4" t="s">
        <v>792</v>
      </c>
      <c r="B174" s="5">
        <v>3.24</v>
      </c>
      <c r="C174" s="5"/>
      <c r="D174" s="11" t="s">
        <v>857</v>
      </c>
      <c r="E174" s="6" t="s">
        <v>859</v>
      </c>
    </row>
    <row r="175" spans="1:5" x14ac:dyDescent="0.25">
      <c r="A175" s="64" t="s">
        <v>468</v>
      </c>
      <c r="B175" s="5">
        <v>17.59</v>
      </c>
      <c r="C175" s="5"/>
      <c r="D175" s="11" t="s">
        <v>858</v>
      </c>
      <c r="E175" s="6" t="s">
        <v>859</v>
      </c>
    </row>
    <row r="176" spans="1:5" x14ac:dyDescent="0.25">
      <c r="A176" s="7" t="s">
        <v>143</v>
      </c>
      <c r="B176" s="8">
        <v>46.5</v>
      </c>
      <c r="C176" s="8"/>
      <c r="D176" s="8" t="s">
        <v>860</v>
      </c>
      <c r="E176" s="9"/>
    </row>
    <row r="177" spans="1:5" x14ac:dyDescent="0.25">
      <c r="A177" s="190" t="s">
        <v>757</v>
      </c>
      <c r="B177" s="2">
        <f>(B178-B179)*B180</f>
        <v>0.9</v>
      </c>
      <c r="C177" s="2"/>
      <c r="D177" s="2"/>
      <c r="E177" s="3"/>
    </row>
    <row r="178" spans="1:5" x14ac:dyDescent="0.25">
      <c r="A178" s="4" t="s">
        <v>692</v>
      </c>
      <c r="B178" s="5">
        <v>0</v>
      </c>
      <c r="C178" s="5" t="s">
        <v>843</v>
      </c>
      <c r="D178" s="5" t="s">
        <v>761</v>
      </c>
      <c r="E178" s="6"/>
    </row>
    <row r="179" spans="1:5" ht="15.75" x14ac:dyDescent="0.25">
      <c r="A179" s="64" t="s">
        <v>758</v>
      </c>
      <c r="B179" s="5">
        <f>B66</f>
        <v>-0.9</v>
      </c>
      <c r="C179" s="5" t="s">
        <v>490</v>
      </c>
      <c r="D179" s="5" t="s">
        <v>780</v>
      </c>
      <c r="E179" s="6"/>
    </row>
    <row r="180" spans="1:5" ht="15.75" x14ac:dyDescent="0.25">
      <c r="A180" s="7" t="s">
        <v>770</v>
      </c>
      <c r="B180" s="8">
        <v>1</v>
      </c>
      <c r="C180" s="8"/>
      <c r="D180" s="8" t="s">
        <v>762</v>
      </c>
      <c r="E180" s="9"/>
    </row>
    <row r="181" spans="1:5" ht="15.75" x14ac:dyDescent="0.25">
      <c r="A181" s="190" t="s">
        <v>781</v>
      </c>
      <c r="B181" s="2">
        <f>(2*PI()*B182)/(2+SQRT(4+B182^2*B183^2*(1+((TAN(B184))^2/B183^2))))</f>
        <v>3.8750502416309986</v>
      </c>
      <c r="C181" s="2"/>
      <c r="D181" s="2" t="s">
        <v>782</v>
      </c>
      <c r="E181" s="3"/>
    </row>
    <row r="182" spans="1:5" x14ac:dyDescent="0.25">
      <c r="A182" s="181" t="s">
        <v>87</v>
      </c>
      <c r="B182" s="5">
        <v>3.927</v>
      </c>
      <c r="C182" s="5"/>
      <c r="D182" s="5" t="s">
        <v>773</v>
      </c>
      <c r="E182" s="6"/>
    </row>
    <row r="183" spans="1:5" x14ac:dyDescent="0.25">
      <c r="A183" s="64" t="s">
        <v>712</v>
      </c>
      <c r="B183" s="5">
        <f>B158</f>
        <v>0.98868599666425949</v>
      </c>
      <c r="C183" s="5"/>
      <c r="D183" s="5"/>
      <c r="E183" s="6"/>
    </row>
    <row r="184" spans="1:5" x14ac:dyDescent="0.25">
      <c r="A184" s="64" t="s">
        <v>784</v>
      </c>
      <c r="B184" s="5"/>
      <c r="C184" s="5" t="s">
        <v>490</v>
      </c>
      <c r="D184" s="5" t="s">
        <v>783</v>
      </c>
      <c r="E184" s="6"/>
    </row>
    <row r="185" spans="1:5" x14ac:dyDescent="0.25">
      <c r="A185" s="191" t="s">
        <v>785</v>
      </c>
      <c r="B185" s="2" t="e">
        <f>1-((COS((PI()*B186)/(2*B187)))^2)*(2.42*SQRT(B190))/((B191/B189)+0.3)</f>
        <v>#DIV/0!</v>
      </c>
      <c r="C185" s="2"/>
      <c r="D185" s="2"/>
      <c r="E185" s="3" t="s">
        <v>824</v>
      </c>
    </row>
    <row r="186" spans="1:5" x14ac:dyDescent="0.25">
      <c r="A186" s="64" t="s">
        <v>775</v>
      </c>
      <c r="B186" s="5">
        <v>3.24</v>
      </c>
      <c r="C186" s="5"/>
      <c r="D186" s="5"/>
      <c r="E186" s="6" t="s">
        <v>825</v>
      </c>
    </row>
    <row r="187" spans="1:5" x14ac:dyDescent="0.25">
      <c r="A187" s="64" t="s">
        <v>779</v>
      </c>
      <c r="B187" s="5">
        <f>B165</f>
        <v>0</v>
      </c>
      <c r="C187" s="5"/>
      <c r="D187" s="5"/>
      <c r="E187" s="6" t="s">
        <v>826</v>
      </c>
    </row>
    <row r="188" spans="1:5" x14ac:dyDescent="0.25">
      <c r="A188" s="64" t="s">
        <v>776</v>
      </c>
      <c r="B188" s="5">
        <v>9.74</v>
      </c>
      <c r="C188" s="5"/>
      <c r="D188" s="5"/>
      <c r="E188" s="6"/>
    </row>
    <row r="189" spans="1:5" x14ac:dyDescent="0.25">
      <c r="A189" s="64" t="s">
        <v>469</v>
      </c>
      <c r="B189" s="5">
        <v>7.67</v>
      </c>
      <c r="C189" s="5"/>
      <c r="D189" s="5"/>
      <c r="E189" s="6"/>
    </row>
    <row r="190" spans="1:5" x14ac:dyDescent="0.25">
      <c r="A190" s="64" t="s">
        <v>356</v>
      </c>
      <c r="B190" s="5">
        <f>B168</f>
        <v>0</v>
      </c>
      <c r="C190" s="5"/>
      <c r="D190" s="5" t="s">
        <v>827</v>
      </c>
      <c r="E190" s="6" t="s">
        <v>865</v>
      </c>
    </row>
    <row r="191" spans="1:5" x14ac:dyDescent="0.25">
      <c r="A191" s="192" t="s">
        <v>776</v>
      </c>
      <c r="B191" s="8">
        <v>9.74</v>
      </c>
      <c r="C191" s="8"/>
      <c r="D191" s="5"/>
      <c r="E191" s="9" t="s">
        <v>828</v>
      </c>
    </row>
    <row r="192" spans="1:5" x14ac:dyDescent="0.25">
      <c r="A192" s="191" t="s">
        <v>786</v>
      </c>
      <c r="B192" s="2">
        <f>4.44*(B193*B194*B195*SQRT(COS(B198)))^1.19*(B196/B197)</f>
        <v>0.65254199304560989</v>
      </c>
      <c r="C192" s="2"/>
      <c r="D192" s="2" t="s">
        <v>837</v>
      </c>
      <c r="E192" s="3" t="s">
        <v>836</v>
      </c>
    </row>
    <row r="193" spans="1:5" x14ac:dyDescent="0.25">
      <c r="A193" s="64" t="s">
        <v>787</v>
      </c>
      <c r="B193" s="5">
        <f>B169</f>
        <v>0.16947739279721419</v>
      </c>
      <c r="C193" s="5"/>
      <c r="D193" s="5" t="s">
        <v>854</v>
      </c>
      <c r="E193" s="6" t="s">
        <v>838</v>
      </c>
    </row>
    <row r="194" spans="1:5" x14ac:dyDescent="0.25">
      <c r="A194" s="64" t="s">
        <v>437</v>
      </c>
      <c r="B194" s="5">
        <f>B171</f>
        <v>1.1495714285714287</v>
      </c>
      <c r="C194" s="5"/>
      <c r="D194" s="5" t="s">
        <v>855</v>
      </c>
      <c r="E194" s="6" t="s">
        <v>839</v>
      </c>
    </row>
    <row r="195" spans="1:5" x14ac:dyDescent="0.25">
      <c r="A195" s="64" t="s">
        <v>788</v>
      </c>
      <c r="B195" s="5">
        <f>B173</f>
        <v>1.0209847802471967</v>
      </c>
      <c r="C195" s="5"/>
      <c r="D195" s="5" t="s">
        <v>864</v>
      </c>
      <c r="E195" s="6" t="s">
        <v>840</v>
      </c>
    </row>
    <row r="196" spans="1:5" x14ac:dyDescent="0.25">
      <c r="A196" s="64" t="s">
        <v>789</v>
      </c>
      <c r="B196" s="5">
        <f>C78</f>
        <v>3.7072860360538855</v>
      </c>
      <c r="C196" s="5"/>
      <c r="D196" s="5" t="s">
        <v>861</v>
      </c>
      <c r="E196" s="6"/>
    </row>
    <row r="197" spans="1:5" x14ac:dyDescent="0.25">
      <c r="A197" s="64" t="s">
        <v>790</v>
      </c>
      <c r="B197" s="5">
        <f>C75</f>
        <v>3.686883496394374</v>
      </c>
      <c r="C197" s="5"/>
      <c r="D197" s="5" t="s">
        <v>862</v>
      </c>
      <c r="E197" s="6"/>
    </row>
    <row r="198" spans="1:5" x14ac:dyDescent="0.25">
      <c r="A198" s="192" t="s">
        <v>791</v>
      </c>
      <c r="B198" s="8">
        <f>'Sub C_D_0'!N4</f>
        <v>25.2</v>
      </c>
      <c r="C198" s="8" t="s">
        <v>490</v>
      </c>
      <c r="D198" s="8" t="s">
        <v>863</v>
      </c>
      <c r="E198" s="9"/>
    </row>
    <row r="199" spans="1:5" x14ac:dyDescent="0.25">
      <c r="A199" s="115" t="s">
        <v>756</v>
      </c>
      <c r="B199" s="159" t="e">
        <f>B200+B201*B202*(B203/B204)*(B205-B206)</f>
        <v>#DIV/0!</v>
      </c>
      <c r="C199" s="2"/>
      <c r="D199" s="2" t="s">
        <v>817</v>
      </c>
      <c r="E199" s="3" t="s">
        <v>820</v>
      </c>
    </row>
    <row r="200" spans="1:5" x14ac:dyDescent="0.25">
      <c r="A200" s="64" t="s">
        <v>757</v>
      </c>
      <c r="B200" s="5">
        <f>B177</f>
        <v>0.9</v>
      </c>
      <c r="C200" s="5"/>
      <c r="D200" s="5" t="s">
        <v>821</v>
      </c>
      <c r="E200" s="6" t="s">
        <v>822</v>
      </c>
    </row>
    <row r="201" spans="1:5" ht="15.75" x14ac:dyDescent="0.25">
      <c r="A201" s="4" t="s">
        <v>781</v>
      </c>
      <c r="B201" s="5">
        <f>B181</f>
        <v>3.8750502416309986</v>
      </c>
      <c r="C201" s="5"/>
      <c r="D201" s="5" t="s">
        <v>782</v>
      </c>
      <c r="E201" s="6"/>
    </row>
    <row r="202" spans="1:5" x14ac:dyDescent="0.25">
      <c r="A202" s="64" t="s">
        <v>785</v>
      </c>
      <c r="B202" s="5" t="e">
        <f>B185</f>
        <v>#DIV/0!</v>
      </c>
      <c r="C202" s="5"/>
      <c r="D202" s="5"/>
      <c r="E202" s="6" t="s">
        <v>824</v>
      </c>
    </row>
    <row r="203" spans="1:5" x14ac:dyDescent="0.25">
      <c r="A203" s="64" t="s">
        <v>765</v>
      </c>
      <c r="B203" s="5">
        <v>147</v>
      </c>
      <c r="C203" s="5" t="s">
        <v>150</v>
      </c>
      <c r="D203" s="11" t="s">
        <v>850</v>
      </c>
      <c r="E203" s="6"/>
    </row>
    <row r="204" spans="1:5" x14ac:dyDescent="0.25">
      <c r="A204" s="64" t="s">
        <v>153</v>
      </c>
      <c r="B204" s="5">
        <v>542</v>
      </c>
      <c r="C204" s="5" t="s">
        <v>150</v>
      </c>
      <c r="D204" s="11" t="s">
        <v>233</v>
      </c>
      <c r="E204" s="6"/>
    </row>
    <row r="205" spans="1:5" x14ac:dyDescent="0.25">
      <c r="A205" s="64" t="s">
        <v>766</v>
      </c>
      <c r="B205" s="5">
        <v>0</v>
      </c>
      <c r="C205" s="5" t="s">
        <v>843</v>
      </c>
      <c r="D205" s="5"/>
      <c r="E205" s="6"/>
    </row>
    <row r="206" spans="1:5" ht="15.75" x14ac:dyDescent="0.25">
      <c r="A206" s="192" t="s">
        <v>793</v>
      </c>
      <c r="B206" s="8">
        <v>0</v>
      </c>
      <c r="C206" s="8"/>
      <c r="D206" s="8"/>
      <c r="E206" s="9"/>
    </row>
    <row r="207" spans="1:5" x14ac:dyDescent="0.25">
      <c r="A207" s="193" t="s">
        <v>535</v>
      </c>
      <c r="B207" s="179" t="e">
        <f>B208+B209*B210*(B211/B212)*(1-B213)</f>
        <v>#DIV/0!</v>
      </c>
      <c r="C207" s="2"/>
      <c r="D207" s="2" t="s">
        <v>818</v>
      </c>
      <c r="E207" s="3" t="s">
        <v>835</v>
      </c>
    </row>
    <row r="208" spans="1:5" ht="15.75" x14ac:dyDescent="0.25">
      <c r="A208" s="4" t="s">
        <v>770</v>
      </c>
      <c r="B208" s="5">
        <f>B157</f>
        <v>3.7072860360538855</v>
      </c>
      <c r="C208" s="5"/>
      <c r="D208" s="5" t="s">
        <v>823</v>
      </c>
      <c r="E208" s="6" t="s">
        <v>834</v>
      </c>
    </row>
    <row r="209" spans="1:5" ht="15.75" x14ac:dyDescent="0.25">
      <c r="A209" s="4" t="s">
        <v>781</v>
      </c>
      <c r="B209" s="5">
        <f>B181</f>
        <v>3.8750502416309986</v>
      </c>
      <c r="C209" s="5"/>
      <c r="D209" s="5" t="s">
        <v>782</v>
      </c>
      <c r="E209" s="6"/>
    </row>
    <row r="210" spans="1:5" x14ac:dyDescent="0.25">
      <c r="A210" s="64" t="s">
        <v>785</v>
      </c>
      <c r="B210" s="5" t="e">
        <f>B185</f>
        <v>#DIV/0!</v>
      </c>
      <c r="C210" s="5"/>
      <c r="D210" s="5"/>
      <c r="E210" s="6"/>
    </row>
    <row r="211" spans="1:5" x14ac:dyDescent="0.25">
      <c r="A211" s="64" t="s">
        <v>765</v>
      </c>
      <c r="B211" s="5">
        <v>147</v>
      </c>
      <c r="C211" s="5" t="s">
        <v>150</v>
      </c>
      <c r="D211" s="5"/>
      <c r="E211" s="6"/>
    </row>
    <row r="212" spans="1:5" x14ac:dyDescent="0.25">
      <c r="A212" s="64" t="s">
        <v>153</v>
      </c>
      <c r="B212" s="5">
        <v>542</v>
      </c>
      <c r="C212" s="5" t="s">
        <v>150</v>
      </c>
      <c r="D212" s="5"/>
      <c r="E212" s="6"/>
    </row>
    <row r="213" spans="1:5" x14ac:dyDescent="0.25">
      <c r="A213" s="192" t="s">
        <v>786</v>
      </c>
      <c r="B213" s="8">
        <f>B192</f>
        <v>0.65254199304560989</v>
      </c>
      <c r="C213" s="8"/>
      <c r="D213" s="8" t="s">
        <v>837</v>
      </c>
      <c r="E213" s="9" t="s">
        <v>836</v>
      </c>
    </row>
    <row r="214" spans="1:5" x14ac:dyDescent="0.25">
      <c r="A214" s="115" t="s">
        <v>796</v>
      </c>
      <c r="B214" s="2">
        <f>B215-B216-B217</f>
        <v>14</v>
      </c>
      <c r="C214" s="2"/>
      <c r="D214" s="5"/>
      <c r="E214" s="3" t="s">
        <v>849</v>
      </c>
    </row>
    <row r="215" spans="1:5" x14ac:dyDescent="0.25">
      <c r="A215" s="59" t="s">
        <v>797</v>
      </c>
      <c r="B215" s="5">
        <f>B96</f>
        <v>14</v>
      </c>
      <c r="C215" s="5"/>
      <c r="D215" s="5"/>
      <c r="E215" s="6"/>
    </row>
    <row r="216" spans="1:5" x14ac:dyDescent="0.25">
      <c r="A216" s="59" t="s">
        <v>692</v>
      </c>
      <c r="B216" s="5"/>
      <c r="C216" s="5"/>
      <c r="D216" s="5"/>
      <c r="E216" s="6"/>
    </row>
    <row r="217" spans="1:5" x14ac:dyDescent="0.25">
      <c r="A217" s="195" t="s">
        <v>798</v>
      </c>
      <c r="B217" s="8"/>
      <c r="C217" s="8"/>
      <c r="D217" s="8"/>
      <c r="E217" s="9"/>
    </row>
    <row r="218" spans="1:5" x14ac:dyDescent="0.25">
      <c r="A218" s="193" t="s">
        <v>698</v>
      </c>
      <c r="B218" s="179" t="e">
        <f>-B219/B220</f>
        <v>#DIV/0!</v>
      </c>
      <c r="C218" s="2"/>
      <c r="D218" s="2" t="s">
        <v>816</v>
      </c>
      <c r="E218" s="3" t="s">
        <v>819</v>
      </c>
    </row>
    <row r="219" spans="1:5" x14ac:dyDescent="0.25">
      <c r="A219" s="59" t="s">
        <v>756</v>
      </c>
      <c r="B219" s="5" t="e">
        <f>B199</f>
        <v>#DIV/0!</v>
      </c>
      <c r="C219" s="5"/>
      <c r="D219" s="5" t="s">
        <v>817</v>
      </c>
      <c r="E219" s="6" t="s">
        <v>820</v>
      </c>
    </row>
    <row r="220" spans="1:5" x14ac:dyDescent="0.25">
      <c r="A220" s="195" t="s">
        <v>535</v>
      </c>
      <c r="B220" s="8" t="e">
        <f>B207</f>
        <v>#DIV/0!</v>
      </c>
      <c r="C220" s="8"/>
      <c r="D220" s="8" t="s">
        <v>818</v>
      </c>
      <c r="E220" s="9"/>
    </row>
    <row r="221" spans="1:5" x14ac:dyDescent="0.25">
      <c r="A221" s="193" t="s">
        <v>794</v>
      </c>
      <c r="B221" s="179">
        <f>B222-B223</f>
        <v>11</v>
      </c>
      <c r="C221" s="2"/>
      <c r="D221" s="2" t="s">
        <v>853</v>
      </c>
      <c r="E221" s="3" t="s">
        <v>842</v>
      </c>
    </row>
    <row r="222" spans="1:5" x14ac:dyDescent="0.25">
      <c r="A222" s="64" t="s">
        <v>795</v>
      </c>
      <c r="B222" s="5">
        <f>B71</f>
        <v>11</v>
      </c>
      <c r="C222" s="5"/>
      <c r="D222" s="11" t="s">
        <v>710</v>
      </c>
      <c r="E222" s="6" t="s">
        <v>711</v>
      </c>
    </row>
    <row r="223" spans="1:5" x14ac:dyDescent="0.25">
      <c r="A223" s="192" t="s">
        <v>692</v>
      </c>
      <c r="B223" s="8">
        <v>0</v>
      </c>
      <c r="C223" s="8" t="s">
        <v>490</v>
      </c>
      <c r="D223" s="8" t="s">
        <v>761</v>
      </c>
      <c r="E223" s="9"/>
    </row>
    <row r="224" spans="1:5" x14ac:dyDescent="0.25">
      <c r="A224" s="193" t="s">
        <v>94</v>
      </c>
      <c r="B224" s="179" t="e">
        <f>B225-B226*B227+B228*(B229/B230)*(B231*(1-B232-B233)+B234)</f>
        <v>#REF!</v>
      </c>
      <c r="C224" s="2"/>
      <c r="D224" s="2" t="s">
        <v>852</v>
      </c>
      <c r="E224" s="3" t="s">
        <v>845</v>
      </c>
    </row>
    <row r="225" spans="1:5" x14ac:dyDescent="0.25">
      <c r="A225" s="59" t="s">
        <v>428</v>
      </c>
      <c r="B225" s="5">
        <f>B95</f>
        <v>0.95</v>
      </c>
      <c r="C225" s="5"/>
      <c r="D225" s="11" t="s">
        <v>847</v>
      </c>
      <c r="E225" s="6" t="s">
        <v>846</v>
      </c>
    </row>
    <row r="226" spans="1:5" x14ac:dyDescent="0.25">
      <c r="A226" s="59" t="s">
        <v>759</v>
      </c>
      <c r="B226" s="5" t="e">
        <f>#REF!</f>
        <v>#REF!</v>
      </c>
      <c r="C226" s="5"/>
      <c r="D226" s="11" t="s">
        <v>823</v>
      </c>
      <c r="E226" s="6" t="s">
        <v>834</v>
      </c>
    </row>
    <row r="227" spans="1:5" x14ac:dyDescent="0.25">
      <c r="A227" s="59" t="s">
        <v>798</v>
      </c>
      <c r="B227" s="5">
        <f>B217</f>
        <v>0</v>
      </c>
      <c r="C227" s="5"/>
      <c r="D227" s="11" t="s">
        <v>848</v>
      </c>
      <c r="E227" s="6"/>
    </row>
    <row r="228" spans="1:5" ht="15.75" x14ac:dyDescent="0.25">
      <c r="A228" s="4" t="s">
        <v>781</v>
      </c>
      <c r="B228" s="5">
        <f>B181</f>
        <v>3.8750502416309986</v>
      </c>
      <c r="C228" s="5"/>
      <c r="D228" s="11" t="s">
        <v>782</v>
      </c>
      <c r="E228" s="6"/>
    </row>
    <row r="229" spans="1:5" x14ac:dyDescent="0.25">
      <c r="A229" s="64" t="s">
        <v>765</v>
      </c>
      <c r="B229" s="5"/>
      <c r="C229" s="5" t="s">
        <v>150</v>
      </c>
      <c r="D229" s="11" t="s">
        <v>850</v>
      </c>
      <c r="E229" s="6"/>
    </row>
    <row r="230" spans="1:5" x14ac:dyDescent="0.25">
      <c r="A230" s="64" t="s">
        <v>153</v>
      </c>
      <c r="B230" s="5"/>
      <c r="C230" s="5" t="s">
        <v>150</v>
      </c>
      <c r="D230" s="11" t="s">
        <v>233</v>
      </c>
      <c r="E230" s="6"/>
    </row>
    <row r="231" spans="1:5" x14ac:dyDescent="0.25">
      <c r="A231" s="59" t="s">
        <v>796</v>
      </c>
      <c r="B231" s="5">
        <f>B214</f>
        <v>14</v>
      </c>
      <c r="C231" s="5"/>
      <c r="D231" s="11" t="s">
        <v>851</v>
      </c>
      <c r="E231" s="6" t="s">
        <v>849</v>
      </c>
    </row>
    <row r="232" spans="1:5" x14ac:dyDescent="0.25">
      <c r="A232" s="64" t="s">
        <v>786</v>
      </c>
      <c r="B232" s="5">
        <f>B192</f>
        <v>0.65254199304560989</v>
      </c>
      <c r="C232" s="5"/>
      <c r="D232" s="5" t="s">
        <v>837</v>
      </c>
      <c r="E232" s="6" t="s">
        <v>836</v>
      </c>
    </row>
    <row r="233" spans="1:5" ht="15.75" x14ac:dyDescent="0.25">
      <c r="A233" s="64" t="s">
        <v>793</v>
      </c>
      <c r="B233" s="5">
        <f>B206</f>
        <v>0</v>
      </c>
      <c r="C233" s="5"/>
      <c r="D233" s="5"/>
      <c r="E233" s="6" t="s">
        <v>829</v>
      </c>
    </row>
    <row r="234" spans="1:5" x14ac:dyDescent="0.25">
      <c r="A234" s="195" t="s">
        <v>766</v>
      </c>
      <c r="B234" s="8">
        <v>0</v>
      </c>
      <c r="C234" s="8" t="s">
        <v>843</v>
      </c>
      <c r="D234" s="8" t="s">
        <v>844</v>
      </c>
      <c r="E234" s="9"/>
    </row>
    <row r="236" spans="1:5" x14ac:dyDescent="0.25">
      <c r="A236" s="316" t="s">
        <v>161</v>
      </c>
      <c r="B236" s="317"/>
      <c r="C236" s="317"/>
      <c r="D236" s="317"/>
      <c r="E236" s="318"/>
    </row>
    <row r="237" spans="1:5" x14ac:dyDescent="0.25">
      <c r="A237" s="115" t="s">
        <v>799</v>
      </c>
      <c r="B237" s="2">
        <f>B238*B239*B240*B241</f>
        <v>0</v>
      </c>
      <c r="C237" s="2"/>
      <c r="D237" s="2"/>
      <c r="E237" s="3"/>
    </row>
    <row r="238" spans="1:5" ht="17.25" x14ac:dyDescent="0.3">
      <c r="A238" s="64" t="s">
        <v>800</v>
      </c>
      <c r="B238" s="5"/>
      <c r="C238" s="5"/>
      <c r="D238" s="5"/>
      <c r="E238" s="6"/>
    </row>
    <row r="239" spans="1:5" ht="17.25" x14ac:dyDescent="0.3">
      <c r="A239" s="4" t="s">
        <v>801</v>
      </c>
      <c r="B239" s="5"/>
      <c r="C239" s="5"/>
      <c r="D239" s="5"/>
      <c r="E239" s="6"/>
    </row>
    <row r="240" spans="1:5" x14ac:dyDescent="0.25">
      <c r="A240" s="4" t="s">
        <v>802</v>
      </c>
      <c r="B240" s="5">
        <v>4.0999999999999996</v>
      </c>
      <c r="C240" s="5"/>
      <c r="D240" s="5"/>
      <c r="E240" s="6"/>
    </row>
    <row r="241" spans="1:5" x14ac:dyDescent="0.25">
      <c r="A241" s="7" t="s">
        <v>595</v>
      </c>
      <c r="B241" s="8"/>
      <c r="C241" s="8"/>
      <c r="D241" s="8"/>
      <c r="E241" s="9"/>
    </row>
    <row r="242" spans="1:5" ht="17.25" x14ac:dyDescent="0.3">
      <c r="A242" s="196" t="s">
        <v>803</v>
      </c>
      <c r="B242" s="2">
        <f>B243*B244*(B245/B246)*B247</f>
        <v>0</v>
      </c>
      <c r="C242" s="2"/>
      <c r="D242" s="2"/>
      <c r="E242" s="3" t="s">
        <v>1064</v>
      </c>
    </row>
    <row r="243" spans="1:5" x14ac:dyDescent="0.25">
      <c r="A243" s="36" t="s">
        <v>804</v>
      </c>
      <c r="B243" s="5"/>
      <c r="C243" s="5"/>
      <c r="D243" s="5"/>
      <c r="E243" s="6"/>
    </row>
    <row r="244" spans="1:5" x14ac:dyDescent="0.25">
      <c r="A244" s="59" t="s">
        <v>799</v>
      </c>
      <c r="B244" s="5">
        <f>B237</f>
        <v>0</v>
      </c>
      <c r="C244" s="5"/>
      <c r="D244" s="5"/>
      <c r="E244" s="6"/>
    </row>
    <row r="245" spans="1:5" ht="15.75" x14ac:dyDescent="0.25">
      <c r="A245" s="4" t="s">
        <v>781</v>
      </c>
      <c r="B245" s="5">
        <f>B181</f>
        <v>3.8750502416309986</v>
      </c>
      <c r="C245" s="5"/>
      <c r="D245" s="5"/>
      <c r="E245" s="6"/>
    </row>
    <row r="246" spans="1:5" x14ac:dyDescent="0.25">
      <c r="A246" s="59" t="s">
        <v>805</v>
      </c>
      <c r="B246" s="5">
        <f>B50</f>
        <v>0.109</v>
      </c>
      <c r="C246" s="5"/>
      <c r="D246" s="5"/>
      <c r="E246" s="6"/>
    </row>
    <row r="247" spans="1:5" x14ac:dyDescent="0.25">
      <c r="A247" s="195" t="s">
        <v>806</v>
      </c>
      <c r="B247" s="8"/>
      <c r="C247" s="8"/>
      <c r="D247" s="8"/>
      <c r="E247" s="9"/>
    </row>
    <row r="248" spans="1:5" x14ac:dyDescent="0.25">
      <c r="A248" s="193" t="s">
        <v>807</v>
      </c>
      <c r="B248" s="179" t="e">
        <f>B249*(B250/B251)*B252-B253*B254*(B250/B251)*B255+B256*B257</f>
        <v>#DIV/0!</v>
      </c>
      <c r="C248" s="2"/>
      <c r="D248" s="2"/>
      <c r="E248" s="3" t="s">
        <v>1063</v>
      </c>
    </row>
    <row r="249" spans="1:5" x14ac:dyDescent="0.25">
      <c r="A249" s="59" t="s">
        <v>808</v>
      </c>
      <c r="B249" s="5">
        <v>1</v>
      </c>
      <c r="C249" s="5"/>
      <c r="D249" s="5" t="s">
        <v>1067</v>
      </c>
      <c r="E249" s="6"/>
    </row>
    <row r="250" spans="1:5" x14ac:dyDescent="0.25">
      <c r="A250" s="59" t="s">
        <v>765</v>
      </c>
      <c r="B250" s="5">
        <v>147</v>
      </c>
      <c r="C250" s="5"/>
      <c r="D250" s="5" t="s">
        <v>850</v>
      </c>
      <c r="E250" s="6"/>
    </row>
    <row r="251" spans="1:5" x14ac:dyDescent="0.25">
      <c r="A251" s="59" t="s">
        <v>153</v>
      </c>
      <c r="B251" s="5">
        <v>542</v>
      </c>
      <c r="C251" s="5"/>
      <c r="D251" s="5" t="s">
        <v>233</v>
      </c>
      <c r="E251" s="6"/>
    </row>
    <row r="252" spans="1:5" ht="17.25" x14ac:dyDescent="0.3">
      <c r="A252" s="56" t="s">
        <v>803</v>
      </c>
      <c r="B252" s="5">
        <f>B242</f>
        <v>0</v>
      </c>
      <c r="C252" s="5"/>
      <c r="D252" s="5"/>
      <c r="E252" s="6" t="s">
        <v>1064</v>
      </c>
    </row>
    <row r="253" spans="1:5" ht="15.75" x14ac:dyDescent="0.25">
      <c r="A253" s="4" t="s">
        <v>781</v>
      </c>
      <c r="B253" s="5">
        <f>B181</f>
        <v>3.8750502416309986</v>
      </c>
      <c r="C253" s="5"/>
      <c r="D253" s="5"/>
      <c r="E253" s="6"/>
    </row>
    <row r="254" spans="1:5" x14ac:dyDescent="0.25">
      <c r="A254" s="64" t="s">
        <v>785</v>
      </c>
      <c r="B254" s="5" t="e">
        <f>B185</f>
        <v>#DIV/0!</v>
      </c>
      <c r="C254" s="5"/>
      <c r="D254" s="5"/>
      <c r="E254" s="6"/>
    </row>
    <row r="255" spans="1:5" x14ac:dyDescent="0.25">
      <c r="A255" s="59" t="s">
        <v>809</v>
      </c>
      <c r="B255" s="5"/>
      <c r="C255" s="5"/>
      <c r="D255" s="5" t="s">
        <v>1066</v>
      </c>
      <c r="E255" s="6" t="s">
        <v>1058</v>
      </c>
    </row>
    <row r="256" spans="1:5" x14ac:dyDescent="0.25">
      <c r="A256" s="59" t="s">
        <v>810</v>
      </c>
      <c r="B256" s="5">
        <v>1</v>
      </c>
      <c r="C256" s="5"/>
      <c r="D256" s="5" t="s">
        <v>1065</v>
      </c>
      <c r="E256" s="6"/>
    </row>
    <row r="257" spans="1:26" x14ac:dyDescent="0.25">
      <c r="A257" s="195" t="s">
        <v>750</v>
      </c>
      <c r="B257" s="8">
        <f>B99</f>
        <v>5.624101897073019</v>
      </c>
      <c r="C257" s="8"/>
      <c r="D257" s="8"/>
      <c r="E257" s="9" t="s">
        <v>1064</v>
      </c>
    </row>
    <row r="258" spans="1:26" x14ac:dyDescent="0.25">
      <c r="A258" s="193" t="s">
        <v>811</v>
      </c>
      <c r="B258" s="179" t="e">
        <f>B259*B260+B261*B262*(B263/B264)*(1-B265)</f>
        <v>#DIV/0!</v>
      </c>
      <c r="C258" s="2"/>
      <c r="D258" s="2"/>
      <c r="E258" s="3"/>
    </row>
    <row r="259" spans="1:26" x14ac:dyDescent="0.25">
      <c r="A259" s="59" t="s">
        <v>769</v>
      </c>
      <c r="B259" s="5">
        <f>B156</f>
        <v>0.99826283096311719</v>
      </c>
      <c r="C259" s="5"/>
      <c r="D259" s="5"/>
      <c r="E259" s="6"/>
    </row>
    <row r="260" spans="1:26" x14ac:dyDescent="0.25">
      <c r="A260" s="59" t="s">
        <v>751</v>
      </c>
      <c r="B260" s="5">
        <f>B105</f>
        <v>3.7072860360538855</v>
      </c>
      <c r="C260" s="5"/>
      <c r="D260" s="5"/>
      <c r="E260" s="6"/>
    </row>
    <row r="261" spans="1:26" ht="15.75" x14ac:dyDescent="0.25">
      <c r="A261" s="4" t="s">
        <v>781</v>
      </c>
      <c r="B261" s="5"/>
      <c r="C261" s="5"/>
      <c r="D261" s="5"/>
      <c r="E261" s="6"/>
    </row>
    <row r="262" spans="1:26" x14ac:dyDescent="0.25">
      <c r="A262" s="64" t="s">
        <v>785</v>
      </c>
      <c r="B262" s="5" t="e">
        <f>B185</f>
        <v>#DIV/0!</v>
      </c>
      <c r="C262" s="5"/>
      <c r="D262" s="5"/>
      <c r="E262" s="6"/>
      <c r="G262" s="295" t="s">
        <v>927</v>
      </c>
      <c r="H262" s="296"/>
      <c r="I262" s="296"/>
      <c r="J262" s="295" t="s">
        <v>940</v>
      </c>
      <c r="K262" s="296"/>
      <c r="L262" s="297"/>
      <c r="M262" s="1" t="s">
        <v>769</v>
      </c>
      <c r="N262" s="2">
        <f>B132</f>
        <v>0.99826283096311719</v>
      </c>
      <c r="O262" s="2"/>
      <c r="P262" t="s">
        <v>776</v>
      </c>
      <c r="Q262">
        <v>9.74</v>
      </c>
      <c r="S262" s="309" t="s">
        <v>560</v>
      </c>
      <c r="T262" s="309"/>
      <c r="U262" s="2"/>
      <c r="V262" s="307" t="s">
        <v>360</v>
      </c>
      <c r="W262" s="309"/>
      <c r="X262" s="3"/>
      <c r="Y262" s="190" t="s">
        <v>884</v>
      </c>
      <c r="Z262" s="2">
        <v>0.52</v>
      </c>
    </row>
    <row r="263" spans="1:26" x14ac:dyDescent="0.25">
      <c r="A263" s="59" t="s">
        <v>765</v>
      </c>
      <c r="B263" s="5"/>
      <c r="C263" s="5"/>
      <c r="D263" s="5"/>
      <c r="E263" s="6"/>
      <c r="G263" s="14" t="s">
        <v>153</v>
      </c>
      <c r="H263" s="5">
        <v>542</v>
      </c>
      <c r="I263" s="5" t="s">
        <v>150</v>
      </c>
      <c r="J263" s="14" t="s">
        <v>153</v>
      </c>
      <c r="K263" s="5">
        <v>95.093999999999994</v>
      </c>
      <c r="L263" s="6" t="s">
        <v>150</v>
      </c>
      <c r="M263" s="45" t="s">
        <v>692</v>
      </c>
      <c r="N263" s="5">
        <v>0</v>
      </c>
      <c r="O263" s="109"/>
      <c r="P263" t="s">
        <v>775</v>
      </c>
      <c r="Q263">
        <v>3.24</v>
      </c>
      <c r="S263" s="109" t="s">
        <v>808</v>
      </c>
      <c r="T263" s="5">
        <v>1</v>
      </c>
      <c r="U263" s="5"/>
      <c r="V263" s="54" t="s">
        <v>808</v>
      </c>
      <c r="W263" s="5">
        <v>1</v>
      </c>
      <c r="X263" s="6"/>
      <c r="Y263" t="s">
        <v>892</v>
      </c>
      <c r="Z263">
        <f>H265/Z262</f>
        <v>7.6923076923076916</v>
      </c>
    </row>
    <row r="264" spans="1:26" ht="15.75" x14ac:dyDescent="0.25">
      <c r="A264" s="59" t="s">
        <v>153</v>
      </c>
      <c r="B264" s="5"/>
      <c r="C264" s="5"/>
      <c r="D264" s="5"/>
      <c r="E264" s="6"/>
      <c r="G264" s="14" t="s">
        <v>143</v>
      </c>
      <c r="H264" s="5">
        <v>46.5</v>
      </c>
      <c r="I264" s="5" t="s">
        <v>124</v>
      </c>
      <c r="J264" s="14" t="s">
        <v>143</v>
      </c>
      <c r="K264" s="5">
        <v>30</v>
      </c>
      <c r="L264" s="6" t="s">
        <v>124</v>
      </c>
      <c r="M264" s="60" t="s">
        <v>758</v>
      </c>
      <c r="N264" s="5">
        <f>B66</f>
        <v>-0.9</v>
      </c>
      <c r="O264" s="5"/>
      <c r="P264" t="s">
        <v>792</v>
      </c>
      <c r="Q264">
        <f>Q263</f>
        <v>3.24</v>
      </c>
      <c r="S264" s="75" t="s">
        <v>804</v>
      </c>
      <c r="T264" s="5">
        <v>0.3</v>
      </c>
      <c r="U264" s="5"/>
      <c r="V264" s="46" t="s">
        <v>804</v>
      </c>
      <c r="W264" s="5">
        <v>0.3</v>
      </c>
      <c r="X264" s="6"/>
      <c r="Y264" s="45" t="s">
        <v>875</v>
      </c>
    </row>
    <row r="265" spans="1:26" x14ac:dyDescent="0.25">
      <c r="A265" s="192" t="s">
        <v>812</v>
      </c>
      <c r="B265" s="8"/>
      <c r="C265" s="8"/>
      <c r="D265" s="8"/>
      <c r="E265" s="9"/>
      <c r="G265" s="14" t="s">
        <v>268</v>
      </c>
      <c r="H265" s="5">
        <v>4</v>
      </c>
      <c r="I265" s="5"/>
      <c r="J265" s="14" t="s">
        <v>268</v>
      </c>
      <c r="K265" s="5">
        <v>3.8</v>
      </c>
      <c r="L265" s="6"/>
      <c r="M265" s="14" t="s">
        <v>787</v>
      </c>
      <c r="N265" s="5">
        <f>B169</f>
        <v>0.16947739279721419</v>
      </c>
      <c r="O265" s="65"/>
      <c r="P265" t="s">
        <v>717</v>
      </c>
      <c r="Q265">
        <v>0.75</v>
      </c>
      <c r="S265" s="109" t="s">
        <v>799</v>
      </c>
      <c r="T265" s="5">
        <f>B237</f>
        <v>0</v>
      </c>
      <c r="U265" s="5"/>
      <c r="V265" s="54" t="s">
        <v>799</v>
      </c>
      <c r="W265" s="5">
        <f>B277</f>
        <v>0</v>
      </c>
      <c r="X265" s="6"/>
      <c r="Y265" s="60" t="s">
        <v>871</v>
      </c>
    </row>
    <row r="266" spans="1:26" x14ac:dyDescent="0.25">
      <c r="A266" s="205" t="s">
        <v>813</v>
      </c>
      <c r="B266" s="170" t="e">
        <f>B267*B268+(B269/B270)*B271*(1-B272+B273-B274)</f>
        <v>#DIV/0!</v>
      </c>
      <c r="C266" s="5"/>
      <c r="D266" s="5"/>
      <c r="E266" s="6"/>
      <c r="G266" s="14" t="s">
        <v>550</v>
      </c>
      <c r="H266" s="11">
        <v>30</v>
      </c>
      <c r="I266" s="5" t="s">
        <v>490</v>
      </c>
      <c r="J266" s="14" t="s">
        <v>550</v>
      </c>
      <c r="K266" s="11">
        <v>30</v>
      </c>
      <c r="L266" s="6" t="s">
        <v>490</v>
      </c>
      <c r="M266" s="14" t="s">
        <v>437</v>
      </c>
      <c r="N266" s="5">
        <f>B171</f>
        <v>1.1495714285714287</v>
      </c>
      <c r="O266" s="221"/>
      <c r="P266" s="243" t="s">
        <v>718</v>
      </c>
      <c r="Q266">
        <f>B101</f>
        <v>0.515221195188726</v>
      </c>
      <c r="S266" s="109" t="s">
        <v>805</v>
      </c>
      <c r="T266" s="5">
        <f>B50</f>
        <v>0.109</v>
      </c>
      <c r="U266" s="5"/>
      <c r="V266" s="54" t="s">
        <v>805</v>
      </c>
      <c r="W266" s="5">
        <f>T266</f>
        <v>0.109</v>
      </c>
      <c r="X266" s="6"/>
      <c r="Y266" s="45" t="s">
        <v>87</v>
      </c>
    </row>
    <row r="267" spans="1:26" x14ac:dyDescent="0.25">
      <c r="A267" s="59" t="s">
        <v>810</v>
      </c>
      <c r="B267" s="5">
        <v>1</v>
      </c>
      <c r="C267" s="5"/>
      <c r="D267" s="5"/>
      <c r="E267" s="6"/>
      <c r="G267" s="14" t="s">
        <v>449</v>
      </c>
      <c r="H267" s="5">
        <f>200/12</f>
        <v>16.666666666666668</v>
      </c>
      <c r="I267" s="5" t="s">
        <v>124</v>
      </c>
      <c r="J267" s="14" t="s">
        <v>449</v>
      </c>
      <c r="K267" s="11">
        <v>8</v>
      </c>
      <c r="L267" s="6" t="s">
        <v>124</v>
      </c>
      <c r="M267" s="14" t="s">
        <v>788</v>
      </c>
      <c r="N267" s="5">
        <f>B173</f>
        <v>1.0209847802471967</v>
      </c>
      <c r="O267" s="221"/>
      <c r="P267" s="244" t="s">
        <v>1155</v>
      </c>
      <c r="Q267">
        <f>B7</f>
        <v>0.108</v>
      </c>
      <c r="S267" s="246" t="s">
        <v>1069</v>
      </c>
      <c r="T267" s="5">
        <f>B242</f>
        <v>0</v>
      </c>
      <c r="U267" s="5"/>
      <c r="V267" s="224" t="s">
        <v>1069</v>
      </c>
      <c r="W267" s="5">
        <f>B282</f>
        <v>0</v>
      </c>
      <c r="X267" s="6"/>
      <c r="Y267" s="45" t="s">
        <v>872</v>
      </c>
    </row>
    <row r="268" spans="1:26" x14ac:dyDescent="0.25">
      <c r="A268" s="59" t="s">
        <v>737</v>
      </c>
      <c r="B268" s="5">
        <f>B106</f>
        <v>6.9486984303321023E-2</v>
      </c>
      <c r="C268" s="5"/>
      <c r="D268" s="5"/>
      <c r="E268" s="6"/>
      <c r="G268" s="14" t="s">
        <v>450</v>
      </c>
      <c r="H268" s="5">
        <f>H267*H269</f>
        <v>6.6666666666666679</v>
      </c>
      <c r="I268" s="5" t="s">
        <v>124</v>
      </c>
      <c r="J268" s="14" t="s">
        <v>450</v>
      </c>
      <c r="K268" s="11">
        <v>4</v>
      </c>
      <c r="L268" s="6" t="s">
        <v>124</v>
      </c>
      <c r="M268" s="14" t="s">
        <v>790</v>
      </c>
      <c r="N268" s="5">
        <f>N277</f>
        <v>3.686883496394374</v>
      </c>
      <c r="O268" s="109"/>
      <c r="P268" s="244" t="s">
        <v>720</v>
      </c>
      <c r="Q268">
        <f>B104</f>
        <v>1.06</v>
      </c>
      <c r="S268" s="109" t="s">
        <v>750</v>
      </c>
      <c r="T268" s="5">
        <f>B99</f>
        <v>5.624101897073019</v>
      </c>
      <c r="U268" s="5"/>
      <c r="V268" s="54" t="s">
        <v>750</v>
      </c>
      <c r="W268" s="5">
        <f>B114</f>
        <v>8.154947750755877</v>
      </c>
      <c r="X268" s="6"/>
      <c r="Y268" s="45" t="s">
        <v>873</v>
      </c>
    </row>
    <row r="269" spans="1:26" x14ac:dyDescent="0.25">
      <c r="A269" s="59" t="s">
        <v>765</v>
      </c>
      <c r="B269" s="5"/>
      <c r="C269" s="5"/>
      <c r="D269" s="5"/>
      <c r="E269" s="6"/>
      <c r="G269" s="14" t="s">
        <v>484</v>
      </c>
      <c r="H269" s="5">
        <v>0.4</v>
      </c>
      <c r="I269" s="5"/>
      <c r="J269" s="14" t="s">
        <v>484</v>
      </c>
      <c r="K269" s="11">
        <v>0.65100000000000002</v>
      </c>
      <c r="L269" s="6"/>
      <c r="M269" s="14" t="s">
        <v>760</v>
      </c>
      <c r="N269" s="5">
        <v>6.8449999999999998</v>
      </c>
      <c r="O269" s="221"/>
      <c r="P269" s="193" t="s">
        <v>794</v>
      </c>
      <c r="Q269" s="179">
        <f>B221</f>
        <v>11</v>
      </c>
      <c r="S269" s="109" t="s">
        <v>810</v>
      </c>
      <c r="T269" s="5">
        <f>B256</f>
        <v>1</v>
      </c>
      <c r="U269" s="5"/>
      <c r="V269" s="54" t="s">
        <v>810</v>
      </c>
      <c r="W269" s="5">
        <f>B296</f>
        <v>1</v>
      </c>
      <c r="X269" s="6"/>
      <c r="Y269" s="45" t="s">
        <v>1160</v>
      </c>
    </row>
    <row r="270" spans="1:26" x14ac:dyDescent="0.25">
      <c r="A270" s="59" t="s">
        <v>153</v>
      </c>
      <c r="B270" s="5"/>
      <c r="C270" s="5"/>
      <c r="D270" s="5"/>
      <c r="E270" s="6"/>
      <c r="G270" s="14" t="s">
        <v>941</v>
      </c>
      <c r="H270" s="5">
        <v>12.381</v>
      </c>
      <c r="I270" s="5" t="s">
        <v>124</v>
      </c>
      <c r="J270" s="14" t="s">
        <v>941</v>
      </c>
      <c r="K270" s="11">
        <v>7.67</v>
      </c>
      <c r="L270" s="6" t="s">
        <v>124</v>
      </c>
      <c r="M270" s="14" t="s">
        <v>766</v>
      </c>
      <c r="N270" s="5">
        <v>0</v>
      </c>
      <c r="O270" s="221"/>
      <c r="P270" t="s">
        <v>1094</v>
      </c>
      <c r="Q270">
        <f>19.2735*2</f>
        <v>38.546999999999997</v>
      </c>
      <c r="S270" s="109" t="s">
        <v>809</v>
      </c>
      <c r="T270" s="5">
        <f>B255</f>
        <v>0</v>
      </c>
      <c r="U270" s="5"/>
      <c r="V270" s="54" t="s">
        <v>809</v>
      </c>
      <c r="W270" s="5">
        <f>B295</f>
        <v>0</v>
      </c>
      <c r="X270" s="6"/>
    </row>
    <row r="271" spans="1:26" ht="15.75" x14ac:dyDescent="0.25">
      <c r="A271" s="4" t="s">
        <v>781</v>
      </c>
      <c r="B271" s="5">
        <f>B181</f>
        <v>3.8750502416309986</v>
      </c>
      <c r="C271" s="5"/>
      <c r="D271" s="5"/>
      <c r="E271" s="6"/>
      <c r="G271" s="18" t="s">
        <v>942</v>
      </c>
      <c r="H271" s="5">
        <v>9.9642999999999997</v>
      </c>
      <c r="I271" s="11" t="s">
        <v>124</v>
      </c>
      <c r="J271" s="18" t="s">
        <v>942</v>
      </c>
      <c r="K271" s="11">
        <v>4.6012000000000004</v>
      </c>
      <c r="L271" s="124" t="s">
        <v>124</v>
      </c>
      <c r="M271" s="14" t="s">
        <v>1062</v>
      </c>
      <c r="N271" s="5">
        <v>0</v>
      </c>
      <c r="O271" s="109"/>
      <c r="P271" s="244" t="s">
        <v>805</v>
      </c>
      <c r="Q271">
        <v>0.109</v>
      </c>
      <c r="S271" s="109" t="s">
        <v>751</v>
      </c>
      <c r="T271" s="5">
        <f>B105</f>
        <v>3.7072860360538855</v>
      </c>
      <c r="U271" s="5"/>
      <c r="V271" s="54" t="s">
        <v>751</v>
      </c>
      <c r="W271" s="5">
        <f>B120</f>
        <v>3.7072860360538855</v>
      </c>
      <c r="X271" s="6"/>
    </row>
    <row r="272" spans="1:26" x14ac:dyDescent="0.25">
      <c r="A272" s="64" t="s">
        <v>786</v>
      </c>
      <c r="B272" s="5"/>
      <c r="C272" s="5"/>
      <c r="D272" s="5"/>
      <c r="E272" s="6"/>
      <c r="G272" s="18" t="s">
        <v>752</v>
      </c>
      <c r="H272" s="5">
        <v>0.25</v>
      </c>
      <c r="I272" s="5"/>
      <c r="J272" s="18" t="s">
        <v>752</v>
      </c>
      <c r="K272" s="5"/>
      <c r="L272" s="6"/>
      <c r="M272" s="54" t="s">
        <v>796</v>
      </c>
      <c r="N272" s="5">
        <f>B96</f>
        <v>14</v>
      </c>
      <c r="O272" s="5"/>
      <c r="P272" s="60" t="s">
        <v>700</v>
      </c>
      <c r="Q272" s="11">
        <v>-0.41199999999999998</v>
      </c>
      <c r="S272" s="109" t="s">
        <v>737</v>
      </c>
      <c r="T272" s="5">
        <f>B106</f>
        <v>6.9486984303321023E-2</v>
      </c>
      <c r="U272" s="5"/>
      <c r="V272" s="54" t="s">
        <v>737</v>
      </c>
      <c r="W272" s="5">
        <f>B121</f>
        <v>8.7228341997785966E-2</v>
      </c>
      <c r="X272" s="6"/>
    </row>
    <row r="273" spans="1:35" x14ac:dyDescent="0.25">
      <c r="A273" s="59" t="s">
        <v>766</v>
      </c>
      <c r="B273" s="5">
        <v>0</v>
      </c>
      <c r="C273" s="5"/>
      <c r="D273" s="5"/>
      <c r="E273" s="6"/>
      <c r="G273" s="209" t="s">
        <v>791</v>
      </c>
      <c r="H273" s="5">
        <v>25.2</v>
      </c>
      <c r="I273" s="11" t="s">
        <v>490</v>
      </c>
      <c r="J273" s="209" t="s">
        <v>791</v>
      </c>
      <c r="K273" s="11">
        <v>23.4</v>
      </c>
      <c r="L273" s="124" t="s">
        <v>490</v>
      </c>
      <c r="M273" s="54" t="s">
        <v>428</v>
      </c>
      <c r="N273" s="5">
        <f>B95</f>
        <v>0.95</v>
      </c>
      <c r="O273" s="5"/>
      <c r="P273" s="60" t="s">
        <v>489</v>
      </c>
      <c r="Q273">
        <v>-1</v>
      </c>
      <c r="S273" s="109" t="s">
        <v>1058</v>
      </c>
      <c r="T273">
        <v>14</v>
      </c>
      <c r="U273" s="5"/>
      <c r="V273" s="116" t="s">
        <v>815</v>
      </c>
      <c r="W273" s="8">
        <f>T274</f>
        <v>23.745624400047575</v>
      </c>
      <c r="X273" s="6"/>
    </row>
    <row r="274" spans="1:35" x14ac:dyDescent="0.25">
      <c r="A274" s="195" t="s">
        <v>815</v>
      </c>
      <c r="B274" s="8"/>
      <c r="C274" s="8"/>
      <c r="D274" s="8"/>
      <c r="E274" s="9"/>
      <c r="G274" s="210" t="s">
        <v>410</v>
      </c>
      <c r="H274" s="8">
        <v>24.1</v>
      </c>
      <c r="I274" s="20" t="s">
        <v>490</v>
      </c>
      <c r="J274" s="210" t="s">
        <v>410</v>
      </c>
      <c r="K274" s="8">
        <v>22</v>
      </c>
      <c r="L274" s="150" t="s">
        <v>490</v>
      </c>
      <c r="M274" s="116" t="s">
        <v>798</v>
      </c>
      <c r="N274" s="8">
        <v>3</v>
      </c>
      <c r="O274" s="8"/>
      <c r="P274" s="109" t="s">
        <v>703</v>
      </c>
      <c r="Q274">
        <v>0</v>
      </c>
      <c r="S274" s="109" t="s">
        <v>815</v>
      </c>
      <c r="T274" s="5">
        <f>(T273*T268)/(H265*(Q270/H264))</f>
        <v>23.745624400047575</v>
      </c>
      <c r="U274" s="8"/>
      <c r="V274" t="s">
        <v>718</v>
      </c>
      <c r="W274">
        <v>0.74707073302365268</v>
      </c>
      <c r="X274" s="9"/>
      <c r="AB274" s="95"/>
    </row>
    <row r="275" spans="1:35" x14ac:dyDescent="0.25">
      <c r="G275" s="209" t="s">
        <v>1151</v>
      </c>
      <c r="H275" s="11">
        <v>19.899999999999999</v>
      </c>
      <c r="I275" s="11" t="s">
        <v>490</v>
      </c>
      <c r="J275" s="209" t="s">
        <v>1151</v>
      </c>
      <c r="K275" s="11">
        <v>16.100000000000001</v>
      </c>
      <c r="L275" s="11" t="s">
        <v>490</v>
      </c>
      <c r="M275" s="11"/>
      <c r="N275" s="54" t="s">
        <v>1125</v>
      </c>
      <c r="X275" s="68" t="s">
        <v>161</v>
      </c>
      <c r="Y275" s="68"/>
      <c r="Z275" s="68"/>
      <c r="AA275" s="95" t="s">
        <v>749</v>
      </c>
      <c r="AE275" s="95"/>
      <c r="AG275" s="95" t="s">
        <v>1080</v>
      </c>
      <c r="AH275" s="95"/>
      <c r="AI275" s="95" t="s">
        <v>1081</v>
      </c>
    </row>
    <row r="276" spans="1:35" x14ac:dyDescent="0.25">
      <c r="A276" s="316" t="s">
        <v>749</v>
      </c>
      <c r="B276" s="317"/>
      <c r="C276" s="317"/>
      <c r="D276" s="317"/>
      <c r="E276" s="318"/>
      <c r="G276" t="s">
        <v>348</v>
      </c>
      <c r="H276" s="223" t="s">
        <v>712</v>
      </c>
      <c r="I276" s="223" t="s">
        <v>356</v>
      </c>
      <c r="J276" s="231" t="s">
        <v>779</v>
      </c>
      <c r="K276" s="5" t="s">
        <v>785</v>
      </c>
      <c r="L276" s="11" t="s">
        <v>915</v>
      </c>
      <c r="M276" s="54" t="s">
        <v>528</v>
      </c>
      <c r="N276" t="s">
        <v>1059</v>
      </c>
      <c r="O276" t="s">
        <v>1060</v>
      </c>
      <c r="P276" t="s">
        <v>1061</v>
      </c>
      <c r="Q276" s="65" t="s">
        <v>757</v>
      </c>
      <c r="R276" s="223" t="s">
        <v>786</v>
      </c>
      <c r="S276" t="s">
        <v>756</v>
      </c>
      <c r="T276" s="226" t="s">
        <v>535</v>
      </c>
      <c r="U276" s="226" t="s">
        <v>94</v>
      </c>
      <c r="V276" s="226" t="s">
        <v>750</v>
      </c>
      <c r="W276" s="226" t="s">
        <v>698</v>
      </c>
      <c r="X276" s="227" t="s">
        <v>1068</v>
      </c>
      <c r="Y276" s="226" t="s">
        <v>811</v>
      </c>
      <c r="Z276" s="227" t="s">
        <v>476</v>
      </c>
      <c r="AA276" s="226" t="s">
        <v>750</v>
      </c>
      <c r="AB276" s="227" t="s">
        <v>1068</v>
      </c>
      <c r="AC276" s="226" t="s">
        <v>811</v>
      </c>
      <c r="AD276" s="226" t="s">
        <v>813</v>
      </c>
      <c r="AE276" s="226" t="s">
        <v>870</v>
      </c>
      <c r="AF276" s="226" t="s">
        <v>869</v>
      </c>
      <c r="AG276" s="228" t="s">
        <v>889</v>
      </c>
      <c r="AH276" s="226" t="s">
        <v>869</v>
      </c>
      <c r="AI276" s="228" t="s">
        <v>889</v>
      </c>
    </row>
    <row r="277" spans="1:35" x14ac:dyDescent="0.25">
      <c r="A277" s="115" t="s">
        <v>799</v>
      </c>
      <c r="B277" s="3">
        <f>B278*B279*B280*B281</f>
        <v>0</v>
      </c>
      <c r="C277" s="5"/>
      <c r="D277" s="5"/>
      <c r="E277" s="6"/>
      <c r="G277" s="5">
        <v>0</v>
      </c>
      <c r="H277">
        <f>SQRT(1-G277^2)</f>
        <v>1</v>
      </c>
      <c r="I277" t="e">
        <v>#NUM!</v>
      </c>
      <c r="J277" s="231" t="e">
        <f>0.68*$H$270*(I277*(($Q$262/$H$270)+0.15))^0.5</f>
        <v>#NUM!</v>
      </c>
      <c r="K277" t="e">
        <f>(1-(COS((PI()*$Q$263)/(2*J277))^2)*(2.42*SQRT(I277))/(($Q$262/$H$270)+0.3))</f>
        <v>#NUM!</v>
      </c>
      <c r="L277">
        <f>$B$7/SQRT(1-G277^2)</f>
        <v>0.108</v>
      </c>
      <c r="M277">
        <f>L277/(2*PI())</f>
        <v>1.7188733853924696E-2</v>
      </c>
      <c r="N277">
        <f>(2*PI()*$H$265)/(2+SQRT(4+$H$265^2*H277^2*(1+(TAN(RADIANS($H$274))^2/H277^2))))</f>
        <v>3.686883496394374</v>
      </c>
      <c r="O277">
        <f>$N$262*N277</f>
        <v>3.6804787565418433</v>
      </c>
      <c r="P277">
        <f t="shared" ref="P277:P296" si="17">(2*PI()*$K$265)/(2+SQRT(4+$K$265^2*H277^2*(1+(TAN(RADIANS($K$274)))^2/H277^2)))</f>
        <v>3.639434381244679</v>
      </c>
      <c r="Q277">
        <f>($N$263-$N$264)*O277</f>
        <v>3.3124308808876592</v>
      </c>
      <c r="R277">
        <f>4.44*(($N$265*$N$266*$N$267*SQRT(COS(RADIANS($H$273))))^1.19)*(N277/$N$268)</f>
        <v>0.61228443973858648</v>
      </c>
      <c r="S277" t="e">
        <f>Q277+P277*K277*($K$263/$H$263)*($N$270-$N$271)</f>
        <v>#NUM!</v>
      </c>
      <c r="T277" t="e">
        <f t="shared" ref="T277:T296" si="18">O277+P277*K277*($K$263/$H$263)*(1-R277)</f>
        <v>#NUM!</v>
      </c>
      <c r="U277">
        <f>$N$273-(O277*RADIANS($N$274))+P277*($K$263/$H$263)*(RADIANS($N$272)*(1-R277-$N$271)+$N$270)</f>
        <v>0.81778375485675636</v>
      </c>
      <c r="V277">
        <f>$Q$265*$Q$266*(N277/$Q$267)*$Q$268</f>
        <v>13.982876061291197</v>
      </c>
      <c r="W277" t="e">
        <f>-S277/T277</f>
        <v>#NUM!</v>
      </c>
      <c r="X277" t="e">
        <f>$T$269*V277+$T$263*($K$263/$H$263)*$T$267-P277*K277*($K$263/$H$263)*RADIANS($T$274)</f>
        <v>#NUM!</v>
      </c>
      <c r="Y277" t="e">
        <f t="shared" ref="Y277:Y296" si="19">$N$262*$T$271+P277*K277*($K$263/$H$263)*(1-R277)</f>
        <v>#NUM!</v>
      </c>
      <c r="Z277">
        <f>$T$272-$T$271*RADIANS($N$274)+($K$263/$H$263)*P277*(RADIANS($T$274))</f>
        <v>0.14000979563018151</v>
      </c>
      <c r="AB277" t="e">
        <f t="shared" ref="AB277:AB296" si="20">$W$269*$W$268+$W$263*($K$263/$H$263)*$W$267-P277*K277*($K$263/$H$263)*RADIANS($W$273)</f>
        <v>#NUM!</v>
      </c>
      <c r="AC277" t="e">
        <f t="shared" ref="AC277:AC296" si="21">$N$262*$W$271+P277*K277*($K$263/$H$263)*(1-R277)</f>
        <v>#NUM!</v>
      </c>
      <c r="AD277">
        <f t="shared" ref="AD277:AD296" si="22">$W$272-$W$271*RADIANS($N$274)+($K$263/$H$263)*P277*RADIANS($W$273)</f>
        <v>0.15775115332464645</v>
      </c>
      <c r="AG277">
        <f t="shared" ref="AG277:AG296" si="23">(2*PI()*$Z$263)/(2+SQRT(4+$Z$263^2*H277^2*(1+((TAN(RADIANS($H$274))^2/H277^2)))))</f>
        <v>4.5335832740584587</v>
      </c>
    </row>
    <row r="278" spans="1:35" ht="17.25" x14ac:dyDescent="0.3">
      <c r="A278" s="64" t="s">
        <v>800</v>
      </c>
      <c r="B278" s="6"/>
      <c r="C278" s="5"/>
      <c r="D278" s="5"/>
      <c r="E278" s="6"/>
      <c r="G278" s="5">
        <v>0.05</v>
      </c>
      <c r="H278">
        <f t="shared" ref="H278:H296" si="24">SQRT(1-G278^2)</f>
        <v>0.99874921777190895</v>
      </c>
      <c r="I278">
        <v>4.0297740158973579E-3</v>
      </c>
      <c r="J278" s="231">
        <f t="shared" ref="J278:J296" si="25">0.68*$H$270*(I278*(($Q$262/$H$270)+0.15))^0.5</f>
        <v>0.51725268989902529</v>
      </c>
      <c r="K278">
        <f t="shared" ref="K278:K296" si="26">(1-(COS((PI()*$Q$263)/(2*J278))^2)*(2.42*SQRT(I278))/(($Q$262/$H$270)+0.3))</f>
        <v>0.88155856205390537</v>
      </c>
      <c r="L278">
        <f t="shared" ref="L278:L296" si="27">$B$7/SQRT(1-G278^2)</f>
        <v>0.10813525365349991</v>
      </c>
      <c r="M278">
        <f t="shared" ref="M278:M296" si="28">L278/(2*PI())</f>
        <v>1.7210260141450447E-2</v>
      </c>
      <c r="N278">
        <f t="shared" ref="N278:N296" si="29">(2*PI()*$H$265)/(2+SQRT(4+$H$265^2*H278^2*(1+(TAN(RADIANS($H$274))^2/H278^2))))</f>
        <v>3.6891315286141815</v>
      </c>
      <c r="O278">
        <f t="shared" ref="O278:O296" si="30">$N$262*N278</f>
        <v>3.6827228835496846</v>
      </c>
      <c r="P278">
        <f t="shared" si="17"/>
        <v>3.6416323952977767</v>
      </c>
      <c r="Q278">
        <f t="shared" ref="Q278:Q296" si="31">($N$263-$N$264)*O278</f>
        <v>3.3144505951947161</v>
      </c>
      <c r="R278">
        <f t="shared" ref="R278:R296" si="32">4.44*(($N$265*$N$266*$N$267*SQRT(COS(RADIANS($H$273))))^1.19)*(N278/$N$268)</f>
        <v>0.61265777270383071</v>
      </c>
      <c r="S278">
        <f t="shared" ref="S278:S296" si="33">Q278+P278*K278*($K$263/$H$263)*($N$270-$N$271)</f>
        <v>3.3144505951947161</v>
      </c>
      <c r="T278">
        <f t="shared" si="18"/>
        <v>3.9008933430853863</v>
      </c>
      <c r="U278">
        <f>$N$273-(O278*RADIANS($N$274))+P278*($K$263/$H$263)*(RADIANS($N$272)*(1-R278-$N$271)+$N$270)</f>
        <v>0.81764450280898837</v>
      </c>
      <c r="V278">
        <f t="shared" ref="V278:V296" si="34">$Q$265*$Q$266*(N278/$Q$267)*$Q$268</f>
        <v>13.991401949332436</v>
      </c>
      <c r="W278">
        <f t="shared" ref="W278:W296" si="35">-S278/T278</f>
        <v>-0.84966450084307432</v>
      </c>
      <c r="X278">
        <f t="shared" ref="X278:X296" si="36">$T$269*V278+$T$263*($K$263/$H$263)*$T$267-P278*K278*($K$263/$H$263)*RADIANS($T$274)</f>
        <v>13.757969050915268</v>
      </c>
      <c r="Y278">
        <f t="shared" si="19"/>
        <v>3.9190163130768862</v>
      </c>
      <c r="Z278">
        <f t="shared" ref="Z278:Z296" si="37">$T$272-$T$271*RADIANS($N$274)+($K$263/$H$263)*P278*(RADIANS($T$274))</f>
        <v>0.14016962082983375</v>
      </c>
      <c r="AB278">
        <f t="shared" si="20"/>
        <v>7.9215148523387082</v>
      </c>
      <c r="AC278">
        <f t="shared" si="21"/>
        <v>3.9190163130768862</v>
      </c>
      <c r="AD278">
        <f t="shared" si="22"/>
        <v>0.1579109785242987</v>
      </c>
      <c r="AG278">
        <f t="shared" si="23"/>
        <v>4.5372196447810715</v>
      </c>
    </row>
    <row r="279" spans="1:35" ht="17.25" x14ac:dyDescent="0.3">
      <c r="A279" s="4" t="s">
        <v>801</v>
      </c>
      <c r="B279" s="6"/>
      <c r="C279" s="5"/>
      <c r="D279" s="5"/>
      <c r="E279" s="6"/>
      <c r="G279" s="5">
        <v>0.1</v>
      </c>
      <c r="H279">
        <f t="shared" si="24"/>
        <v>0.99498743710661997</v>
      </c>
      <c r="I279">
        <v>3.5689708014548282E-3</v>
      </c>
      <c r="J279" s="231">
        <f t="shared" si="25"/>
        <v>0.48678132577534122</v>
      </c>
      <c r="K279">
        <f t="shared" si="26"/>
        <v>0.96478503530062043</v>
      </c>
      <c r="L279">
        <f t="shared" si="27"/>
        <v>0.1085440840479949</v>
      </c>
      <c r="M279">
        <f t="shared" si="28"/>
        <v>1.7275327519620534E-2</v>
      </c>
      <c r="N279">
        <f t="shared" si="29"/>
        <v>3.6959038262228359</v>
      </c>
      <c r="O279">
        <f t="shared" si="30"/>
        <v>3.6894834165326249</v>
      </c>
      <c r="P279">
        <f t="shared" si="17"/>
        <v>3.6482539357964767</v>
      </c>
      <c r="Q279">
        <f t="shared" si="31"/>
        <v>3.3205350748793623</v>
      </c>
      <c r="R279">
        <f t="shared" si="32"/>
        <v>0.61378245495948469</v>
      </c>
      <c r="S279">
        <f t="shared" si="33"/>
        <v>3.3205350748793623</v>
      </c>
      <c r="T279">
        <f t="shared" si="18"/>
        <v>3.9279905904307255</v>
      </c>
      <c r="U279">
        <f>$N$273-(O279*RADIANS($N$274))+P279*($K$263/$H$263)*(RADIANS($N$272)*(1-R279-$N$271)+$N$270)</f>
        <v>0.81722457329741882</v>
      </c>
      <c r="V279">
        <f t="shared" si="34"/>
        <v>14.01708656838932</v>
      </c>
      <c r="W279">
        <f t="shared" si="35"/>
        <v>-0.84535209503015829</v>
      </c>
      <c r="X279">
        <f t="shared" si="36"/>
        <v>13.761151139470586</v>
      </c>
      <c r="Y279">
        <f t="shared" si="19"/>
        <v>3.9393530274392852</v>
      </c>
      <c r="Z279">
        <f t="shared" si="37"/>
        <v>0.14065109592810193</v>
      </c>
      <c r="AB279">
        <f t="shared" si="20"/>
        <v>7.8990123218371417</v>
      </c>
      <c r="AC279">
        <f t="shared" si="21"/>
        <v>3.9393530274392852</v>
      </c>
      <c r="AD279">
        <f t="shared" si="22"/>
        <v>0.15839245362256688</v>
      </c>
      <c r="AG279">
        <f t="shared" si="23"/>
        <v>4.5481855735095422</v>
      </c>
    </row>
    <row r="280" spans="1:35" x14ac:dyDescent="0.25">
      <c r="A280" s="4" t="s">
        <v>802</v>
      </c>
      <c r="B280" s="6"/>
      <c r="C280" s="5"/>
      <c r="D280" s="5"/>
      <c r="E280" s="6"/>
      <c r="G280" s="58">
        <v>0.15</v>
      </c>
      <c r="H280" s="99">
        <f t="shared" si="24"/>
        <v>0.98868599666425949</v>
      </c>
      <c r="I280" s="99">
        <v>3.3327771216337464E-3</v>
      </c>
      <c r="J280" s="245">
        <f t="shared" si="25"/>
        <v>0.47039808754357371</v>
      </c>
      <c r="K280" s="99">
        <f t="shared" si="26"/>
        <v>0.99604663692636253</v>
      </c>
      <c r="L280">
        <f t="shared" si="27"/>
        <v>0.10923589528362149</v>
      </c>
      <c r="M280">
        <f t="shared" si="28"/>
        <v>1.7385432697457015E-2</v>
      </c>
      <c r="N280" s="99">
        <f t="shared" si="29"/>
        <v>3.7072860360538855</v>
      </c>
      <c r="O280" s="99">
        <f t="shared" si="30"/>
        <v>3.7008458535411846</v>
      </c>
      <c r="P280" s="99">
        <f t="shared" si="17"/>
        <v>3.6593825158567133</v>
      </c>
      <c r="Q280" s="99">
        <f t="shared" si="31"/>
        <v>3.3307612681870662</v>
      </c>
      <c r="R280" s="99">
        <f t="shared" si="32"/>
        <v>0.6156727099610888</v>
      </c>
      <c r="S280" s="99">
        <f t="shared" si="33"/>
        <v>3.3307612681870662</v>
      </c>
      <c r="T280" s="99">
        <f t="shared" si="18"/>
        <v>3.9466235871055932</v>
      </c>
      <c r="U280">
        <f t="shared" ref="U280:U296" si="38">$N$273-(O280*RADIANS($N$274))+P280*($K$263/$H$263)*(RADIANS($N$272)*(1-R280-$N$271)+$N$270)</f>
        <v>0.81651735461623798</v>
      </c>
      <c r="V280" s="99">
        <f t="shared" si="34"/>
        <v>14.060254742682549</v>
      </c>
      <c r="W280" s="99">
        <f t="shared" si="35"/>
        <v>-0.8439521009982629</v>
      </c>
      <c r="X280">
        <f t="shared" si="36"/>
        <v>13.795220326565193</v>
      </c>
      <c r="Y280">
        <f t="shared" si="19"/>
        <v>3.9466235871055932</v>
      </c>
      <c r="Z280">
        <f t="shared" si="37"/>
        <v>0.14146029345232453</v>
      </c>
      <c r="AB280">
        <f t="shared" si="20"/>
        <v>7.8899133346385213</v>
      </c>
      <c r="AC280" s="99">
        <f t="shared" si="21"/>
        <v>3.9466235871055932</v>
      </c>
      <c r="AD280">
        <f t="shared" si="22"/>
        <v>0.15920165114678947</v>
      </c>
      <c r="AE280" s="99"/>
      <c r="AG280">
        <f t="shared" si="23"/>
        <v>4.5666540736795609</v>
      </c>
    </row>
    <row r="281" spans="1:35" x14ac:dyDescent="0.25">
      <c r="A281" s="7" t="s">
        <v>595</v>
      </c>
      <c r="B281" s="9"/>
      <c r="C281" s="5"/>
      <c r="D281" s="5"/>
      <c r="E281" s="6"/>
      <c r="G281" s="5">
        <v>0.2</v>
      </c>
      <c r="H281">
        <f t="shared" si="24"/>
        <v>0.9797958971132712</v>
      </c>
      <c r="I281">
        <v>3.1781641685795265E-3</v>
      </c>
      <c r="J281" s="231">
        <f t="shared" si="25"/>
        <v>0.45935725003367278</v>
      </c>
      <c r="K281">
        <f t="shared" si="26"/>
        <v>0.99912092475472247</v>
      </c>
      <c r="L281">
        <f t="shared" si="27"/>
        <v>0.11022703842524302</v>
      </c>
      <c r="M281">
        <f t="shared" si="28"/>
        <v>1.7543178027757716E-2</v>
      </c>
      <c r="N281">
        <f t="shared" si="29"/>
        <v>3.7234244617082997</v>
      </c>
      <c r="O281">
        <f t="shared" si="30"/>
        <v>3.7169562440222479</v>
      </c>
      <c r="P281">
        <f t="shared" si="17"/>
        <v>3.6751607947667733</v>
      </c>
      <c r="Q281">
        <f t="shared" si="31"/>
        <v>3.345260619620023</v>
      </c>
      <c r="R281">
        <f t="shared" si="32"/>
        <v>0.61835283449438083</v>
      </c>
      <c r="S281">
        <f t="shared" si="33"/>
        <v>3.345260619620023</v>
      </c>
      <c r="T281">
        <f t="shared" si="18"/>
        <v>3.9628289211848182</v>
      </c>
      <c r="U281">
        <f t="shared" si="38"/>
        <v>0.81551151434354063</v>
      </c>
      <c r="V281">
        <f t="shared" si="34"/>
        <v>14.121461343317126</v>
      </c>
      <c r="W281">
        <f t="shared" si="35"/>
        <v>-0.84415973693354573</v>
      </c>
      <c r="X281">
        <f t="shared" si="36"/>
        <v>13.854462616523184</v>
      </c>
      <c r="Y281">
        <f t="shared" si="19"/>
        <v>3.9467185307037549</v>
      </c>
      <c r="Z281">
        <f t="shared" si="37"/>
        <v>0.14260758665248169</v>
      </c>
      <c r="AB281">
        <f t="shared" si="20"/>
        <v>7.8879490239619354</v>
      </c>
      <c r="AC281">
        <f t="shared" si="21"/>
        <v>3.9467185307037549</v>
      </c>
      <c r="AD281">
        <f t="shared" si="22"/>
        <v>0.16034894434694663</v>
      </c>
      <c r="AG281">
        <f t="shared" si="23"/>
        <v>4.5929222805178567</v>
      </c>
    </row>
    <row r="282" spans="1:35" ht="17.25" x14ac:dyDescent="0.3">
      <c r="A282" s="196" t="s">
        <v>803</v>
      </c>
      <c r="B282" s="3">
        <f>B283*B284*(B285/B286)*B287</f>
        <v>0</v>
      </c>
      <c r="C282" s="5"/>
      <c r="D282" s="5"/>
      <c r="E282" s="6"/>
      <c r="G282" s="5">
        <v>0.25</v>
      </c>
      <c r="H282">
        <f t="shared" si="24"/>
        <v>0.96824583655185426</v>
      </c>
      <c r="I282">
        <v>3.0650110451812536E-3</v>
      </c>
      <c r="J282" s="231">
        <f t="shared" si="25"/>
        <v>0.45110582357354284</v>
      </c>
      <c r="K282">
        <f t="shared" si="26"/>
        <v>0.99015834043993856</v>
      </c>
      <c r="L282">
        <f t="shared" si="27"/>
        <v>0.1115419203707736</v>
      </c>
      <c r="M282">
        <f t="shared" si="28"/>
        <v>1.7752447988971194E-2</v>
      </c>
      <c r="N282">
        <f t="shared" si="29"/>
        <v>3.7445316883202602</v>
      </c>
      <c r="O282">
        <f t="shared" si="30"/>
        <v>3.7380268038136837</v>
      </c>
      <c r="P282">
        <f t="shared" si="17"/>
        <v>3.6957960639904655</v>
      </c>
      <c r="Q282">
        <f t="shared" si="31"/>
        <v>3.3642241234323156</v>
      </c>
      <c r="R282">
        <f t="shared" si="32"/>
        <v>0.62185813278579094</v>
      </c>
      <c r="S282">
        <f t="shared" si="33"/>
        <v>3.3642241234323156</v>
      </c>
      <c r="T282">
        <f t="shared" si="18"/>
        <v>3.9808114633963267</v>
      </c>
      <c r="U282">
        <f t="shared" si="38"/>
        <v>0.81419050241032398</v>
      </c>
      <c r="V282">
        <f t="shared" si="34"/>
        <v>14.201512620771721</v>
      </c>
      <c r="W282">
        <f t="shared" si="35"/>
        <v>-0.84511013756025644</v>
      </c>
      <c r="X282">
        <f t="shared" si="36"/>
        <v>13.935423303334122</v>
      </c>
      <c r="Y282">
        <f t="shared" si="19"/>
        <v>3.9436305131238276</v>
      </c>
      <c r="Z282">
        <f t="shared" si="37"/>
        <v>0.14410804840744906</v>
      </c>
      <c r="AB282">
        <f t="shared" si="20"/>
        <v>7.8888584333182781</v>
      </c>
      <c r="AC282">
        <f t="shared" si="21"/>
        <v>3.9436305131238276</v>
      </c>
      <c r="AD282">
        <f t="shared" si="22"/>
        <v>0.16184940610191401</v>
      </c>
      <c r="AG282">
        <f t="shared" si="23"/>
        <v>4.6274254743019165</v>
      </c>
    </row>
    <row r="283" spans="1:35" x14ac:dyDescent="0.25">
      <c r="A283" s="36" t="s">
        <v>804</v>
      </c>
      <c r="B283" s="6"/>
      <c r="C283" s="5"/>
      <c r="D283" s="5"/>
      <c r="E283" s="6"/>
      <c r="G283" s="5">
        <v>0.3</v>
      </c>
      <c r="H283">
        <f t="shared" si="24"/>
        <v>0.95393920141694566</v>
      </c>
      <c r="I283">
        <v>2.9766669906143043E-3</v>
      </c>
      <c r="J283" s="231">
        <f t="shared" si="25"/>
        <v>0.44455708640180114</v>
      </c>
      <c r="K283">
        <f t="shared" si="26"/>
        <v>0.97676209113481038</v>
      </c>
      <c r="L283">
        <f t="shared" si="27"/>
        <v>0.11321476236596717</v>
      </c>
      <c r="M283">
        <f t="shared" si="28"/>
        <v>1.8018689061517958E-2</v>
      </c>
      <c r="N283">
        <f t="shared" si="29"/>
        <v>3.7708950689153267</v>
      </c>
      <c r="O283">
        <f t="shared" si="30"/>
        <v>3.7643443867602731</v>
      </c>
      <c r="P283">
        <f t="shared" si="17"/>
        <v>3.7215685253011266</v>
      </c>
      <c r="Q283">
        <f t="shared" si="31"/>
        <v>3.3879099480842458</v>
      </c>
      <c r="R283">
        <f t="shared" si="32"/>
        <v>0.62623632584045386</v>
      </c>
      <c r="S283">
        <f t="shared" si="33"/>
        <v>3.3879099480842458</v>
      </c>
      <c r="T283">
        <f t="shared" si="18"/>
        <v>4.0027221473873489</v>
      </c>
      <c r="U283">
        <f t="shared" si="38"/>
        <v>0.81253179627680772</v>
      </c>
      <c r="V283">
        <f t="shared" si="34"/>
        <v>14.301498390264568</v>
      </c>
      <c r="W283">
        <f t="shared" si="35"/>
        <v>-0.84640147962695778</v>
      </c>
      <c r="X283">
        <f t="shared" si="36"/>
        <v>14.03717864512384</v>
      </c>
      <c r="Y283">
        <f t="shared" si="19"/>
        <v>3.9392236141682599</v>
      </c>
      <c r="Z283">
        <f t="shared" si="37"/>
        <v>0.14598205315673657</v>
      </c>
      <c r="AB283">
        <f t="shared" si="20"/>
        <v>7.8906280056151488</v>
      </c>
      <c r="AC283">
        <f t="shared" si="21"/>
        <v>3.9392236141682599</v>
      </c>
      <c r="AD283">
        <f t="shared" si="22"/>
        <v>0.16372341085120151</v>
      </c>
      <c r="AG283">
        <f t="shared" si="23"/>
        <v>4.670758559964816</v>
      </c>
    </row>
    <row r="284" spans="1:35" x14ac:dyDescent="0.25">
      <c r="A284" s="59" t="s">
        <v>799</v>
      </c>
      <c r="B284" s="6">
        <f>B277</f>
        <v>0</v>
      </c>
      <c r="C284" s="5"/>
      <c r="D284" s="5"/>
      <c r="E284" s="6"/>
      <c r="G284" s="5">
        <v>0.35</v>
      </c>
      <c r="H284">
        <f t="shared" si="24"/>
        <v>0.93674969975975975</v>
      </c>
      <c r="I284">
        <v>2.9047064151280265E-3</v>
      </c>
      <c r="J284" s="231">
        <f t="shared" si="25"/>
        <v>0.43915065381132795</v>
      </c>
      <c r="K284">
        <f t="shared" si="26"/>
        <v>0.96245195401446515</v>
      </c>
      <c r="L284">
        <f t="shared" si="27"/>
        <v>0.11529227073966274</v>
      </c>
      <c r="M284">
        <f t="shared" si="28"/>
        <v>1.8349334788506415E-2</v>
      </c>
      <c r="N284">
        <f t="shared" si="29"/>
        <v>3.8028887826160913</v>
      </c>
      <c r="O284">
        <f t="shared" si="30"/>
        <v>3.7962825219722216</v>
      </c>
      <c r="P284">
        <f t="shared" si="17"/>
        <v>3.7528430553895387</v>
      </c>
      <c r="Q284">
        <f t="shared" si="31"/>
        <v>3.4166542697749995</v>
      </c>
      <c r="R284">
        <f t="shared" si="32"/>
        <v>0.63154955396051438</v>
      </c>
      <c r="S284">
        <f t="shared" si="33"/>
        <v>3.4166542697749995</v>
      </c>
      <c r="T284">
        <f t="shared" si="18"/>
        <v>4.0297747218457367</v>
      </c>
      <c r="U284">
        <f t="shared" si="38"/>
        <v>0.81050581889806783</v>
      </c>
      <c r="V284">
        <f t="shared" si="34"/>
        <v>14.422837763709845</v>
      </c>
      <c r="W284">
        <f t="shared" si="35"/>
        <v>-0.84785242491423618</v>
      </c>
      <c r="X284">
        <f t="shared" si="36"/>
        <v>14.160201765795479</v>
      </c>
      <c r="Y284">
        <f t="shared" si="19"/>
        <v>3.9343380534146992</v>
      </c>
      <c r="Z284">
        <f t="shared" si="37"/>
        <v>0.14825613234579615</v>
      </c>
      <c r="AB284">
        <f t="shared" si="20"/>
        <v>7.8923117528415103</v>
      </c>
      <c r="AC284">
        <f t="shared" si="21"/>
        <v>3.9343380534146992</v>
      </c>
      <c r="AD284">
        <f t="shared" si="22"/>
        <v>0.1659974900402611</v>
      </c>
      <c r="AG284">
        <f t="shared" si="23"/>
        <v>4.7237072091265864</v>
      </c>
    </row>
    <row r="285" spans="1:35" ht="15.75" x14ac:dyDescent="0.25">
      <c r="A285" s="4" t="s">
        <v>781</v>
      </c>
      <c r="B285" s="6">
        <f>B181</f>
        <v>3.8750502416309986</v>
      </c>
      <c r="C285" s="5"/>
      <c r="D285" s="5"/>
      <c r="E285" s="6"/>
      <c r="G285" s="5">
        <v>0.4</v>
      </c>
      <c r="H285">
        <f t="shared" si="24"/>
        <v>0.91651513899116799</v>
      </c>
      <c r="I285">
        <v>2.8443080599418356E-3</v>
      </c>
      <c r="J285" s="231">
        <f t="shared" si="25"/>
        <v>0.43456098004900712</v>
      </c>
      <c r="K285">
        <f t="shared" si="26"/>
        <v>0.94883552389964509</v>
      </c>
      <c r="L285">
        <f t="shared" si="27"/>
        <v>0.11783766072743589</v>
      </c>
      <c r="M285">
        <f t="shared" si="28"/>
        <v>1.8754446187157128E-2</v>
      </c>
      <c r="N285">
        <f t="shared" si="29"/>
        <v>3.8409905418341954</v>
      </c>
      <c r="O285">
        <f t="shared" si="30"/>
        <v>3.8343180919939615</v>
      </c>
      <c r="P285">
        <f t="shared" si="17"/>
        <v>3.7900855104626938</v>
      </c>
      <c r="Q285">
        <f t="shared" si="31"/>
        <v>3.4508862827945652</v>
      </c>
      <c r="R285">
        <f t="shared" si="32"/>
        <v>0.63787715132526068</v>
      </c>
      <c r="S285">
        <f t="shared" si="33"/>
        <v>3.4508862827945652</v>
      </c>
      <c r="T285">
        <f t="shared" si="18"/>
        <v>4.0627988873623728</v>
      </c>
      <c r="U285">
        <f t="shared" si="38"/>
        <v>0.8080744232599526</v>
      </c>
      <c r="V285">
        <f t="shared" si="34"/>
        <v>14.567342513421881</v>
      </c>
      <c r="W285">
        <f t="shared" si="35"/>
        <v>-0.84938643985770357</v>
      </c>
      <c r="X285">
        <f t="shared" si="36"/>
        <v>14.305852723962136</v>
      </c>
      <c r="Y285">
        <f t="shared" si="19"/>
        <v>3.9293266489095959</v>
      </c>
      <c r="Z285">
        <f t="shared" si="37"/>
        <v>0.15096415998975843</v>
      </c>
      <c r="AB285">
        <f t="shared" si="20"/>
        <v>7.8934579612961322</v>
      </c>
      <c r="AC285">
        <f t="shared" si="21"/>
        <v>3.9293266489095959</v>
      </c>
      <c r="AD285">
        <f t="shared" si="22"/>
        <v>0.16870551768422337</v>
      </c>
      <c r="AG285">
        <f t="shared" si="23"/>
        <v>4.7872921154206614</v>
      </c>
    </row>
    <row r="286" spans="1:35" x14ac:dyDescent="0.25">
      <c r="A286" s="59" t="s">
        <v>805</v>
      </c>
      <c r="B286" s="6">
        <f>B50</f>
        <v>0.109</v>
      </c>
      <c r="C286" s="5"/>
      <c r="D286" s="5"/>
      <c r="E286" s="6"/>
      <c r="G286" s="5">
        <v>0.45</v>
      </c>
      <c r="H286">
        <f t="shared" si="24"/>
        <v>0.89302855497458755</v>
      </c>
      <c r="I286">
        <v>2.7924699207710953E-3</v>
      </c>
      <c r="J286" s="231">
        <f t="shared" si="25"/>
        <v>0.4305827861781456</v>
      </c>
      <c r="K286">
        <f t="shared" si="26"/>
        <v>0.93660121614304614</v>
      </c>
      <c r="L286">
        <f t="shared" si="27"/>
        <v>0.12093678236646453</v>
      </c>
      <c r="M286">
        <f t="shared" si="28"/>
        <v>1.9247686715251594E-2</v>
      </c>
      <c r="N286">
        <f t="shared" si="29"/>
        <v>3.8858045635744469</v>
      </c>
      <c r="O286">
        <f t="shared" si="30"/>
        <v>3.8790542642032273</v>
      </c>
      <c r="P286">
        <f t="shared" si="17"/>
        <v>3.8338851515198935</v>
      </c>
      <c r="Q286">
        <f t="shared" si="31"/>
        <v>3.4911488377829047</v>
      </c>
      <c r="R286">
        <f t="shared" si="32"/>
        <v>0.64531946085863667</v>
      </c>
      <c r="S286">
        <f t="shared" si="33"/>
        <v>3.4911488377829047</v>
      </c>
      <c r="T286">
        <f t="shared" si="18"/>
        <v>4.1025066549057181</v>
      </c>
      <c r="U286">
        <f t="shared" si="38"/>
        <v>0.80518878224680324</v>
      </c>
      <c r="V286">
        <f t="shared" si="34"/>
        <v>14.737304193093822</v>
      </c>
      <c r="W286">
        <f t="shared" si="35"/>
        <v>-0.8509794453613474</v>
      </c>
      <c r="X286">
        <f t="shared" si="36"/>
        <v>14.476203149804498</v>
      </c>
      <c r="Y286">
        <f t="shared" si="19"/>
        <v>3.9242982442436749</v>
      </c>
      <c r="Z286">
        <f t="shared" si="37"/>
        <v>0.15414898329277466</v>
      </c>
      <c r="AB286">
        <f t="shared" si="20"/>
        <v>7.8938467074665528</v>
      </c>
      <c r="AC286">
        <f t="shared" si="21"/>
        <v>3.9242982442436749</v>
      </c>
      <c r="AD286">
        <f t="shared" si="22"/>
        <v>0.1718903409872396</v>
      </c>
      <c r="AG286">
        <f t="shared" si="23"/>
        <v>4.862831737824866</v>
      </c>
    </row>
    <row r="287" spans="1:35" x14ac:dyDescent="0.25">
      <c r="A287" s="59" t="s">
        <v>806</v>
      </c>
      <c r="B287" s="6"/>
      <c r="C287" s="5"/>
      <c r="D287" s="5"/>
      <c r="E287" s="6"/>
      <c r="G287" s="5">
        <v>0.5</v>
      </c>
      <c r="H287">
        <f t="shared" si="24"/>
        <v>0.8660254037844386</v>
      </c>
      <c r="I287">
        <v>2.7472034184841216E-3</v>
      </c>
      <c r="J287" s="231">
        <f t="shared" si="25"/>
        <v>0.42707861027527771</v>
      </c>
      <c r="K287">
        <f t="shared" si="26"/>
        <v>0.92598673247910201</v>
      </c>
      <c r="L287">
        <f t="shared" si="27"/>
        <v>0.12470765814495917</v>
      </c>
      <c r="M287">
        <f t="shared" si="28"/>
        <v>1.9847840235184516E-2</v>
      </c>
      <c r="N287">
        <f t="shared" si="29"/>
        <v>3.9380932393002128</v>
      </c>
      <c r="O287">
        <f t="shared" si="30"/>
        <v>3.9312521056605432</v>
      </c>
      <c r="P287">
        <f t="shared" si="17"/>
        <v>3.8849855746893263</v>
      </c>
      <c r="Q287">
        <f t="shared" si="31"/>
        <v>3.5381268950944889</v>
      </c>
      <c r="R287">
        <f t="shared" si="32"/>
        <v>0.6540030936755491</v>
      </c>
      <c r="S287">
        <f t="shared" si="33"/>
        <v>3.5381268950944889</v>
      </c>
      <c r="T287">
        <f t="shared" si="18"/>
        <v>4.149635805558086</v>
      </c>
      <c r="U287">
        <f t="shared" si="38"/>
        <v>0.80178643739850808</v>
      </c>
      <c r="V287">
        <f t="shared" si="34"/>
        <v>14.935614248943828</v>
      </c>
      <c r="W287">
        <f t="shared" si="35"/>
        <v>-0.85263552294287304</v>
      </c>
      <c r="X287">
        <f t="shared" si="36"/>
        <v>14.674031580615997</v>
      </c>
      <c r="Y287">
        <f t="shared" si="19"/>
        <v>3.9192295534387278</v>
      </c>
      <c r="Z287">
        <f t="shared" si="37"/>
        <v>0.15786467169970625</v>
      </c>
      <c r="AB287">
        <f t="shared" si="20"/>
        <v>7.893365082428045</v>
      </c>
      <c r="AC287">
        <f t="shared" si="21"/>
        <v>3.9192295534387278</v>
      </c>
      <c r="AD287">
        <f t="shared" si="22"/>
        <v>0.17560602939417119</v>
      </c>
      <c r="AG287">
        <f t="shared" si="23"/>
        <v>4.952032005909901</v>
      </c>
    </row>
    <row r="288" spans="1:35" x14ac:dyDescent="0.25">
      <c r="A288" s="193" t="s">
        <v>807</v>
      </c>
      <c r="B288" s="194" t="e">
        <f>B289*(B290/B291)*B292-B293*B294*(B290/B291)*B295+B296*B297</f>
        <v>#DIV/0!</v>
      </c>
      <c r="C288" s="5"/>
      <c r="D288" s="5"/>
      <c r="E288" s="6"/>
      <c r="G288" s="5">
        <v>0.55000000000000004</v>
      </c>
      <c r="H288">
        <f t="shared" si="24"/>
        <v>0.83516465442450327</v>
      </c>
      <c r="I288">
        <v>2.7071273347696739E-3</v>
      </c>
      <c r="J288" s="231">
        <f t="shared" si="25"/>
        <v>0.42395206382875034</v>
      </c>
      <c r="K288">
        <f t="shared" si="26"/>
        <v>0.91700856803434294</v>
      </c>
      <c r="L288">
        <f t="shared" si="27"/>
        <v>0.12931581745927792</v>
      </c>
      <c r="M288">
        <f t="shared" si="28"/>
        <v>2.0581251568613304E-2</v>
      </c>
      <c r="N288">
        <f t="shared" si="29"/>
        <v>3.9988212278747914</v>
      </c>
      <c r="O288">
        <f t="shared" si="30"/>
        <v>3.9918745994536975</v>
      </c>
      <c r="P288">
        <f t="shared" si="17"/>
        <v>3.9443277980081271</v>
      </c>
      <c r="Q288">
        <f t="shared" si="31"/>
        <v>3.5926871395083277</v>
      </c>
      <c r="R288">
        <f t="shared" si="32"/>
        <v>0.66408825164086061</v>
      </c>
      <c r="S288">
        <f t="shared" si="33"/>
        <v>3.5926871395083277</v>
      </c>
      <c r="T288">
        <f t="shared" si="18"/>
        <v>4.2050442711968206</v>
      </c>
      <c r="U288">
        <f t="shared" si="38"/>
        <v>0.79778712366735671</v>
      </c>
      <c r="V288">
        <f t="shared" si="34"/>
        <v>15.165931246625007</v>
      </c>
      <c r="W288">
        <f t="shared" si="35"/>
        <v>-0.85437558032790784</v>
      </c>
      <c r="X288">
        <f t="shared" si="36"/>
        <v>14.902927954561491</v>
      </c>
      <c r="Y288">
        <f t="shared" si="19"/>
        <v>3.9140155252843076</v>
      </c>
      <c r="Z288">
        <f t="shared" si="37"/>
        <v>0.16217964988484018</v>
      </c>
      <c r="AB288">
        <f t="shared" si="20"/>
        <v>7.8919444586923602</v>
      </c>
      <c r="AC288">
        <f t="shared" si="21"/>
        <v>3.9140155252843076</v>
      </c>
      <c r="AD288">
        <f t="shared" si="22"/>
        <v>0.17992100757930513</v>
      </c>
      <c r="AG288">
        <f t="shared" si="23"/>
        <v>5.0571166477812541</v>
      </c>
    </row>
    <row r="289" spans="1:42" x14ac:dyDescent="0.25">
      <c r="A289" s="59" t="s">
        <v>808</v>
      </c>
      <c r="B289" s="6"/>
      <c r="C289" s="5"/>
      <c r="D289" s="5"/>
      <c r="E289" s="6"/>
      <c r="G289" s="5">
        <v>0.6</v>
      </c>
      <c r="H289">
        <f t="shared" si="24"/>
        <v>0.8</v>
      </c>
      <c r="I289">
        <v>2.67124563024121E-3</v>
      </c>
      <c r="J289" s="231">
        <f t="shared" si="25"/>
        <v>0.42113304849488609</v>
      </c>
      <c r="K289">
        <f t="shared" si="26"/>
        <v>0.90957790703882957</v>
      </c>
      <c r="L289">
        <f t="shared" si="27"/>
        <v>0.13499999999999998</v>
      </c>
      <c r="M289">
        <f t="shared" si="28"/>
        <v>2.1485917317405869E-2</v>
      </c>
      <c r="N289">
        <f t="shared" si="29"/>
        <v>4.0692177947106565</v>
      </c>
      <c r="O289">
        <f t="shared" si="30"/>
        <v>4.0621488755533521</v>
      </c>
      <c r="P289">
        <f t="shared" si="17"/>
        <v>4.0131112200582031</v>
      </c>
      <c r="Q289">
        <f t="shared" si="31"/>
        <v>3.6559339879980168</v>
      </c>
      <c r="R289">
        <f t="shared" si="32"/>
        <v>0.67577908009442311</v>
      </c>
      <c r="S289">
        <f t="shared" si="33"/>
        <v>3.6559339879980168</v>
      </c>
      <c r="T289">
        <f t="shared" si="18"/>
        <v>4.2697912383070387</v>
      </c>
      <c r="U289">
        <f t="shared" si="38"/>
        <v>0.79308676143176138</v>
      </c>
      <c r="V289">
        <f t="shared" si="34"/>
        <v>15.432917298711804</v>
      </c>
      <c r="W289">
        <f t="shared" si="35"/>
        <v>-0.85623249099353749</v>
      </c>
      <c r="X289">
        <f t="shared" si="36"/>
        <v>15.167495926583497</v>
      </c>
      <c r="Y289">
        <f t="shared" si="19"/>
        <v>3.9084882162948711</v>
      </c>
      <c r="Z289">
        <f t="shared" si="37"/>
        <v>0.16718113026501502</v>
      </c>
      <c r="AB289">
        <f t="shared" si="20"/>
        <v>7.8895263786275702</v>
      </c>
      <c r="AC289">
        <f t="shared" si="21"/>
        <v>3.9084882162948711</v>
      </c>
      <c r="AD289">
        <f t="shared" si="22"/>
        <v>0.18492248795947996</v>
      </c>
      <c r="AG289">
        <f t="shared" si="23"/>
        <v>5.1810208288205759</v>
      </c>
    </row>
    <row r="290" spans="1:42" x14ac:dyDescent="0.25">
      <c r="A290" s="59" t="s">
        <v>765</v>
      </c>
      <c r="B290" s="6"/>
      <c r="C290" s="5"/>
      <c r="D290" s="5"/>
      <c r="E290" s="6"/>
      <c r="G290" s="5">
        <v>0.65</v>
      </c>
      <c r="H290">
        <f t="shared" si="24"/>
        <v>0.75993420767853315</v>
      </c>
      <c r="I290">
        <v>2.6388178149408725E-3</v>
      </c>
      <c r="J290" s="231">
        <f t="shared" si="25"/>
        <v>0.41856905290315022</v>
      </c>
      <c r="K290">
        <f t="shared" si="26"/>
        <v>0.90356027738443767</v>
      </c>
      <c r="L290">
        <f t="shared" si="27"/>
        <v>0.1421175661113101</v>
      </c>
      <c r="M290">
        <f t="shared" si="28"/>
        <v>2.2618713146804234E-2</v>
      </c>
      <c r="N290">
        <f t="shared" si="29"/>
        <v>4.1508667538091135</v>
      </c>
      <c r="O290">
        <f t="shared" si="30"/>
        <v>4.1436559966081701</v>
      </c>
      <c r="P290">
        <f t="shared" si="17"/>
        <v>4.0928816470543898</v>
      </c>
      <c r="Q290">
        <f t="shared" si="31"/>
        <v>3.729290396947353</v>
      </c>
      <c r="R290">
        <f t="shared" si="32"/>
        <v>0.6893386046158051</v>
      </c>
      <c r="S290">
        <f t="shared" si="33"/>
        <v>3.729290396947353</v>
      </c>
      <c r="T290">
        <f t="shared" si="18"/>
        <v>4.3452267107041234</v>
      </c>
      <c r="U290">
        <f t="shared" si="38"/>
        <v>0.78754861981618685</v>
      </c>
      <c r="V290">
        <f t="shared" si="34"/>
        <v>15.742579178921385</v>
      </c>
      <c r="W290">
        <f t="shared" si="35"/>
        <v>-0.85824990161285264</v>
      </c>
      <c r="X290">
        <f t="shared" si="36"/>
        <v>15.473672798272524</v>
      </c>
      <c r="Y290">
        <f t="shared" si="19"/>
        <v>3.9024165676371378</v>
      </c>
      <c r="Z290">
        <f t="shared" si="37"/>
        <v>0.1729815137534832</v>
      </c>
      <c r="AB290">
        <f t="shared" si="20"/>
        <v>7.8860413701070158</v>
      </c>
      <c r="AC290">
        <f t="shared" si="21"/>
        <v>3.9024165676371378</v>
      </c>
      <c r="AD290">
        <f t="shared" si="22"/>
        <v>0.19072287144794814</v>
      </c>
      <c r="AG290">
        <f t="shared" si="23"/>
        <v>5.3276871908634318</v>
      </c>
    </row>
    <row r="291" spans="1:42" x14ac:dyDescent="0.25">
      <c r="A291" s="59" t="s">
        <v>153</v>
      </c>
      <c r="B291" s="6"/>
      <c r="C291" s="5"/>
      <c r="D291" s="5"/>
      <c r="E291" s="6"/>
      <c r="G291" s="5">
        <v>0.7</v>
      </c>
      <c r="H291">
        <f t="shared" si="24"/>
        <v>0.71414284285428498</v>
      </c>
      <c r="I291">
        <v>2.609279314761021E-3</v>
      </c>
      <c r="J291" s="231">
        <f t="shared" si="25"/>
        <v>0.41621976283983403</v>
      </c>
      <c r="K291">
        <f t="shared" si="26"/>
        <v>0.89880641783483328</v>
      </c>
      <c r="L291">
        <f t="shared" si="27"/>
        <v>0.15123024907502505</v>
      </c>
      <c r="M291">
        <f t="shared" si="28"/>
        <v>2.4069041685308771E-2</v>
      </c>
      <c r="N291">
        <f t="shared" si="29"/>
        <v>4.2458395503116773</v>
      </c>
      <c r="O291">
        <f t="shared" si="30"/>
        <v>4.2384638093093034</v>
      </c>
      <c r="P291">
        <f t="shared" si="17"/>
        <v>4.1856616866897216</v>
      </c>
      <c r="Q291">
        <f t="shared" si="31"/>
        <v>3.8146174283783734</v>
      </c>
      <c r="R291">
        <f t="shared" si="32"/>
        <v>0.70511083217706316</v>
      </c>
      <c r="S291">
        <f t="shared" si="33"/>
        <v>3.8146174283783734</v>
      </c>
      <c r="T291">
        <f t="shared" si="18"/>
        <v>4.4331086679609637</v>
      </c>
      <c r="U291">
        <f t="shared" si="38"/>
        <v>0.78098996509030805</v>
      </c>
      <c r="V291">
        <f t="shared" si="34"/>
        <v>16.10277305105982</v>
      </c>
      <c r="W291">
        <f t="shared" si="35"/>
        <v>-0.86048362765105213</v>
      </c>
      <c r="X291">
        <f t="shared" si="36"/>
        <v>15.82921778568852</v>
      </c>
      <c r="Y291">
        <f t="shared" si="19"/>
        <v>3.8954907121928448</v>
      </c>
      <c r="Z291">
        <f t="shared" si="37"/>
        <v>0.1797278711471314</v>
      </c>
      <c r="AB291">
        <f t="shared" si="20"/>
        <v>7.8813924853845769</v>
      </c>
      <c r="AC291">
        <f t="shared" si="21"/>
        <v>3.8954907121928448</v>
      </c>
      <c r="AD291">
        <f t="shared" si="22"/>
        <v>0.19746922884159634</v>
      </c>
      <c r="AG291">
        <f t="shared" si="23"/>
        <v>5.5025346832572692</v>
      </c>
    </row>
    <row r="292" spans="1:42" ht="17.25" x14ac:dyDescent="0.3">
      <c r="A292" s="56" t="s">
        <v>803</v>
      </c>
      <c r="B292" s="6">
        <f>B282</f>
        <v>0</v>
      </c>
      <c r="C292" s="5"/>
      <c r="D292" s="5"/>
      <c r="E292" s="6"/>
      <c r="G292" s="5">
        <v>0.75</v>
      </c>
      <c r="H292">
        <f t="shared" si="24"/>
        <v>0.66143782776614768</v>
      </c>
      <c r="I292">
        <v>2.5821904325218914E-3</v>
      </c>
      <c r="J292" s="231">
        <f t="shared" si="25"/>
        <v>0.41405358148464311</v>
      </c>
      <c r="K292">
        <f t="shared" si="26"/>
        <v>0.8951680310132486</v>
      </c>
      <c r="L292">
        <f t="shared" si="27"/>
        <v>0.16328065233998615</v>
      </c>
      <c r="M292">
        <f t="shared" si="28"/>
        <v>2.5986922931178043E-2</v>
      </c>
      <c r="N292">
        <f t="shared" si="29"/>
        <v>4.3568983142117572</v>
      </c>
      <c r="O292">
        <f t="shared" si="30"/>
        <v>4.3493296453634613</v>
      </c>
      <c r="P292">
        <f t="shared" si="17"/>
        <v>4.2941499829084107</v>
      </c>
      <c r="Q292">
        <f t="shared" si="31"/>
        <v>3.9143966808271151</v>
      </c>
      <c r="R292">
        <f t="shared" si="32"/>
        <v>0.72355447247628102</v>
      </c>
      <c r="S292">
        <f t="shared" si="33"/>
        <v>3.9143966808271151</v>
      </c>
      <c r="T292">
        <f t="shared" si="18"/>
        <v>4.535772253806071</v>
      </c>
      <c r="U292">
        <f t="shared" si="38"/>
        <v>0.7731612211297938</v>
      </c>
      <c r="V292">
        <f t="shared" si="34"/>
        <v>16.523974570623352</v>
      </c>
      <c r="W292">
        <f t="shared" si="35"/>
        <v>-0.86300556152096364</v>
      </c>
      <c r="X292">
        <f t="shared" si="36"/>
        <v>16.244465076726257</v>
      </c>
      <c r="Y292">
        <f t="shared" si="19"/>
        <v>3.8872884619837937</v>
      </c>
      <c r="Z292">
        <f t="shared" si="37"/>
        <v>0.18761643017551682</v>
      </c>
      <c r="AB292">
        <f t="shared" si="20"/>
        <v>7.8754382568587813</v>
      </c>
      <c r="AC292">
        <f t="shared" si="21"/>
        <v>3.8872884619837937</v>
      </c>
      <c r="AD292">
        <f t="shared" si="22"/>
        <v>0.20535778786998177</v>
      </c>
      <c r="AG292">
        <f t="shared" si="23"/>
        <v>5.7132338729602496</v>
      </c>
    </row>
    <row r="293" spans="1:42" ht="15.75" x14ac:dyDescent="0.25">
      <c r="A293" s="4" t="s">
        <v>781</v>
      </c>
      <c r="B293" s="6">
        <f>B181</f>
        <v>3.8750502416309986</v>
      </c>
      <c r="C293" s="5"/>
      <c r="D293" s="5"/>
      <c r="E293" s="6"/>
      <c r="G293" s="5">
        <v>0.8</v>
      </c>
      <c r="H293">
        <f t="shared" si="24"/>
        <v>0.59999999999999987</v>
      </c>
      <c r="I293">
        <v>2.5572024536745287E-3</v>
      </c>
      <c r="J293" s="231">
        <f t="shared" si="25"/>
        <v>0.41204530308416765</v>
      </c>
      <c r="K293">
        <f t="shared" si="26"/>
        <v>0.89250546611516612</v>
      </c>
      <c r="L293">
        <f t="shared" si="27"/>
        <v>0.18000000000000005</v>
      </c>
      <c r="M293">
        <f t="shared" si="28"/>
        <v>2.8647889756541169E-2</v>
      </c>
      <c r="N293">
        <f t="shared" si="29"/>
        <v>4.4878174252558365</v>
      </c>
      <c r="O293">
        <f t="shared" si="30"/>
        <v>4.4800213277814986</v>
      </c>
      <c r="P293">
        <f t="shared" si="17"/>
        <v>4.4220373157274775</v>
      </c>
      <c r="Q293">
        <f t="shared" si="31"/>
        <v>4.0320191950033486</v>
      </c>
      <c r="R293">
        <f t="shared" si="32"/>
        <v>0.74529634054319738</v>
      </c>
      <c r="S293">
        <f t="shared" si="33"/>
        <v>4.0320191950033486</v>
      </c>
      <c r="T293">
        <f t="shared" si="18"/>
        <v>4.6563903477592765</v>
      </c>
      <c r="U293">
        <f t="shared" si="38"/>
        <v>0.76371214153253186</v>
      </c>
      <c r="V293">
        <f t="shared" si="34"/>
        <v>17.020498451992008</v>
      </c>
      <c r="W293">
        <f t="shared" si="35"/>
        <v>-0.86591090820889094</v>
      </c>
      <c r="X293">
        <f t="shared" si="36"/>
        <v>16.733520799597997</v>
      </c>
      <c r="Y293">
        <f t="shared" si="19"/>
        <v>3.8772148735189624</v>
      </c>
      <c r="Z293">
        <f t="shared" si="37"/>
        <v>0.19691556021155643</v>
      </c>
      <c r="AB293">
        <f t="shared" si="20"/>
        <v>7.8679700983618668</v>
      </c>
      <c r="AC293">
        <f t="shared" si="21"/>
        <v>3.8772148735189624</v>
      </c>
      <c r="AD293">
        <f t="shared" si="22"/>
        <v>0.21465691790602137</v>
      </c>
      <c r="AG293">
        <f t="shared" si="23"/>
        <v>5.9710596441364761</v>
      </c>
    </row>
    <row r="294" spans="1:42" x14ac:dyDescent="0.25">
      <c r="A294" s="64" t="s">
        <v>785</v>
      </c>
      <c r="B294" s="6" t="e">
        <f>B185</f>
        <v>#DIV/0!</v>
      </c>
      <c r="C294" s="5"/>
      <c r="D294" s="5"/>
      <c r="E294" s="6"/>
      <c r="G294" s="5">
        <v>0.85</v>
      </c>
      <c r="H294">
        <f t="shared" si="24"/>
        <v>0.52678268764263703</v>
      </c>
      <c r="I294">
        <v>2.5340344476623283E-3</v>
      </c>
      <c r="J294" s="231">
        <f t="shared" si="25"/>
        <v>0.41017451091908697</v>
      </c>
      <c r="K294">
        <f t="shared" si="26"/>
        <v>0.89069106144640831</v>
      </c>
      <c r="L294">
        <f t="shared" si="27"/>
        <v>0.20501812708253975</v>
      </c>
      <c r="M294">
        <f t="shared" si="28"/>
        <v>3.2629648348628582E-2</v>
      </c>
      <c r="N294">
        <f t="shared" si="29"/>
        <v>4.6439164685704899</v>
      </c>
      <c r="O294">
        <f t="shared" si="30"/>
        <v>4.6358492006714194</v>
      </c>
      <c r="P294">
        <f t="shared" si="17"/>
        <v>4.5745317738936269</v>
      </c>
      <c r="Q294">
        <f t="shared" si="31"/>
        <v>4.1722642806042778</v>
      </c>
      <c r="R294">
        <f t="shared" si="32"/>
        <v>0.77121986521467467</v>
      </c>
      <c r="S294">
        <f t="shared" si="33"/>
        <v>4.1722642806042778</v>
      </c>
      <c r="T294">
        <f t="shared" si="18"/>
        <v>4.7993974438047386</v>
      </c>
      <c r="U294">
        <f t="shared" si="38"/>
        <v>0.75213421015036275</v>
      </c>
      <c r="V294">
        <f t="shared" si="34"/>
        <v>17.612519756188231</v>
      </c>
      <c r="W294">
        <f t="shared" si="35"/>
        <v>-0.86933085443673963</v>
      </c>
      <c r="X294">
        <f t="shared" si="36"/>
        <v>17.316249172373961</v>
      </c>
      <c r="Y294">
        <f t="shared" si="19"/>
        <v>3.8643940966745043</v>
      </c>
      <c r="Z294">
        <f t="shared" si="37"/>
        <v>0.20800395939076743</v>
      </c>
      <c r="AB294">
        <f t="shared" si="20"/>
        <v>7.8586771669416082</v>
      </c>
      <c r="AC294">
        <f t="shared" si="21"/>
        <v>3.8643940966745043</v>
      </c>
      <c r="AD294">
        <f t="shared" si="22"/>
        <v>0.22574531708523238</v>
      </c>
      <c r="AG294">
        <f t="shared" si="23"/>
        <v>6.2934164192158546</v>
      </c>
    </row>
    <row r="295" spans="1:42" x14ac:dyDescent="0.25">
      <c r="A295" s="59" t="s">
        <v>809</v>
      </c>
      <c r="B295" s="6"/>
      <c r="C295" s="5"/>
      <c r="D295" s="5"/>
      <c r="E295" s="6"/>
      <c r="G295" s="5">
        <v>0.9</v>
      </c>
      <c r="H295">
        <f t="shared" si="24"/>
        <v>0.43588989435406728</v>
      </c>
      <c r="I295">
        <v>2.5124569716565431E-3</v>
      </c>
      <c r="J295" s="231">
        <f t="shared" si="25"/>
        <v>0.40842444551683466</v>
      </c>
      <c r="K295">
        <f t="shared" si="26"/>
        <v>0.88961016462991638</v>
      </c>
      <c r="L295">
        <f t="shared" si="27"/>
        <v>0.24776899258020674</v>
      </c>
      <c r="M295">
        <f t="shared" si="28"/>
        <v>3.9433659914039042E-2</v>
      </c>
      <c r="N295">
        <f t="shared" si="29"/>
        <v>4.8329949522471374</v>
      </c>
      <c r="O295">
        <f t="shared" si="30"/>
        <v>4.8245992230606829</v>
      </c>
      <c r="P295">
        <f t="shared" si="17"/>
        <v>4.759282839984742</v>
      </c>
      <c r="Q295">
        <f t="shared" si="31"/>
        <v>4.3421393007546145</v>
      </c>
      <c r="R295">
        <f t="shared" si="32"/>
        <v>0.8026203186214057</v>
      </c>
      <c r="S295">
        <f t="shared" si="33"/>
        <v>4.3421393007546145</v>
      </c>
      <c r="T295">
        <f t="shared" si="18"/>
        <v>4.9712206779594528</v>
      </c>
      <c r="U295">
        <f t="shared" si="38"/>
        <v>0.73765657477433577</v>
      </c>
      <c r="V295">
        <f t="shared" si="34"/>
        <v>18.329618901223061</v>
      </c>
      <c r="W295">
        <f t="shared" si="35"/>
        <v>-0.87345535071618297</v>
      </c>
      <c r="X295">
        <f t="shared" si="36"/>
        <v>18.021756932249456</v>
      </c>
      <c r="Y295">
        <f t="shared" si="19"/>
        <v>3.8474673084399549</v>
      </c>
      <c r="Z295">
        <f t="shared" si="37"/>
        <v>0.22143784803327177</v>
      </c>
      <c r="AB295">
        <f t="shared" si="20"/>
        <v>7.8470857817822717</v>
      </c>
      <c r="AC295">
        <f t="shared" si="21"/>
        <v>3.8474673084399549</v>
      </c>
      <c r="AD295">
        <f t="shared" si="22"/>
        <v>0.23917920572773671</v>
      </c>
      <c r="AG295">
        <f t="shared" si="23"/>
        <v>6.7089858556405968</v>
      </c>
    </row>
    <row r="296" spans="1:42" x14ac:dyDescent="0.25">
      <c r="A296" s="59" t="s">
        <v>810</v>
      </c>
      <c r="B296" s="6">
        <v>1</v>
      </c>
      <c r="C296" s="5"/>
      <c r="D296" s="5"/>
      <c r="E296" s="6"/>
      <c r="G296" s="5">
        <v>0.95</v>
      </c>
      <c r="H296">
        <f t="shared" si="24"/>
        <v>0.31224989991991997</v>
      </c>
      <c r="I296">
        <v>2.4922803609942266E-3</v>
      </c>
      <c r="J296" s="231">
        <f t="shared" si="25"/>
        <v>0.40678118709995342</v>
      </c>
      <c r="K296">
        <f t="shared" si="26"/>
        <v>0.88916093855312783</v>
      </c>
      <c r="L296">
        <f t="shared" si="27"/>
        <v>0.34587681221898814</v>
      </c>
      <c r="M296">
        <f t="shared" si="28"/>
        <v>5.5048004365519231E-2</v>
      </c>
      <c r="N296">
        <f t="shared" si="29"/>
        <v>5.0670942321324155</v>
      </c>
      <c r="O296">
        <f t="shared" si="30"/>
        <v>5.0582918329253879</v>
      </c>
      <c r="P296">
        <f t="shared" si="17"/>
        <v>4.9881311921990941</v>
      </c>
      <c r="Q296">
        <f t="shared" si="31"/>
        <v>4.5524626496328491</v>
      </c>
      <c r="R296">
        <f t="shared" si="32"/>
        <v>0.84149742080484613</v>
      </c>
      <c r="S296">
        <f t="shared" si="33"/>
        <v>4.5524626496328491</v>
      </c>
      <c r="T296">
        <f t="shared" si="18"/>
        <v>5.1816331000297096</v>
      </c>
      <c r="U296">
        <f t="shared" si="38"/>
        <v>0.71904328688421215</v>
      </c>
      <c r="V296">
        <f t="shared" si="34"/>
        <v>19.217463938874673</v>
      </c>
      <c r="W296">
        <f t="shared" si="35"/>
        <v>-0.8785768042138582</v>
      </c>
      <c r="X296">
        <f t="shared" si="36"/>
        <v>18.894961477387351</v>
      </c>
      <c r="Y296">
        <f t="shared" si="19"/>
        <v>3.8241871206455063</v>
      </c>
      <c r="Z296">
        <f t="shared" si="37"/>
        <v>0.23807820278041048</v>
      </c>
      <c r="AB296">
        <f t="shared" si="20"/>
        <v>7.8324452892685548</v>
      </c>
      <c r="AC296">
        <f t="shared" si="21"/>
        <v>3.8241871206455063</v>
      </c>
      <c r="AD296">
        <f t="shared" si="22"/>
        <v>0.25581956047487542</v>
      </c>
      <c r="AG296">
        <f t="shared" si="23"/>
        <v>7.2695547886803524</v>
      </c>
    </row>
    <row r="297" spans="1:42" x14ac:dyDescent="0.25">
      <c r="A297" s="195" t="s">
        <v>750</v>
      </c>
      <c r="B297" s="9">
        <f>B114</f>
        <v>8.154947750755877</v>
      </c>
      <c r="C297" s="5"/>
      <c r="D297" s="5"/>
      <c r="E297" s="6"/>
    </row>
    <row r="298" spans="1:42" x14ac:dyDescent="0.25">
      <c r="A298" s="193" t="s">
        <v>811</v>
      </c>
      <c r="B298" s="194" t="e">
        <f>B299*B300+B301*B302*(B303/B304)*(1-B305)</f>
        <v>#DIV/0!</v>
      </c>
      <c r="C298" s="5"/>
      <c r="D298" s="5"/>
      <c r="E298" s="6"/>
      <c r="T298" t="s">
        <v>160</v>
      </c>
      <c r="V298" t="s">
        <v>560</v>
      </c>
      <c r="X298" t="s">
        <v>360</v>
      </c>
      <c r="Z298" t="s">
        <v>160</v>
      </c>
      <c r="AK298" t="s">
        <v>1088</v>
      </c>
    </row>
    <row r="299" spans="1:42" x14ac:dyDescent="0.25">
      <c r="A299" s="59" t="s">
        <v>769</v>
      </c>
      <c r="B299" s="6"/>
      <c r="C299" s="5"/>
      <c r="D299" s="5"/>
      <c r="E299" s="6"/>
      <c r="G299" s="302" t="s">
        <v>1093</v>
      </c>
      <c r="H299" s="302"/>
      <c r="I299" s="302" t="s">
        <v>560</v>
      </c>
      <c r="J299" s="302"/>
      <c r="K299" s="302" t="s">
        <v>360</v>
      </c>
      <c r="L299" s="302"/>
      <c r="T299" s="302" t="s">
        <v>1088</v>
      </c>
      <c r="U299" s="308"/>
      <c r="V299" s="243" t="s">
        <v>1159</v>
      </c>
      <c r="W299">
        <f>B20</f>
        <v>0.515221195188726</v>
      </c>
      <c r="X299" s="243" t="s">
        <v>1159</v>
      </c>
      <c r="Y299">
        <f>B34</f>
        <v>0.74707073302365268</v>
      </c>
      <c r="AK299" t="s">
        <v>652</v>
      </c>
      <c r="AM299" t="s">
        <v>1233</v>
      </c>
      <c r="AO299" t="s">
        <v>360</v>
      </c>
    </row>
    <row r="300" spans="1:42" x14ac:dyDescent="0.25">
      <c r="A300" s="59" t="s">
        <v>751</v>
      </c>
      <c r="B300" s="6">
        <f>B120</f>
        <v>3.7072860360538855</v>
      </c>
      <c r="C300" s="5"/>
      <c r="D300" s="5"/>
      <c r="E300" s="6"/>
      <c r="G300" s="223" t="s">
        <v>421</v>
      </c>
      <c r="H300" t="s">
        <v>244</v>
      </c>
      <c r="I300" s="223" t="s">
        <v>421</v>
      </c>
      <c r="J300" t="s">
        <v>244</v>
      </c>
      <c r="K300" s="223" t="s">
        <v>421</v>
      </c>
      <c r="L300" t="s">
        <v>244</v>
      </c>
      <c r="T300" t="s">
        <v>1153</v>
      </c>
      <c r="U300">
        <f>B7</f>
        <v>0.108</v>
      </c>
      <c r="V300" s="18" t="s">
        <v>1161</v>
      </c>
      <c r="W300" s="11">
        <f>B27</f>
        <v>0.38539999999999996</v>
      </c>
      <c r="X300" s="18" t="s">
        <v>1161</v>
      </c>
      <c r="Y300">
        <f>B41</f>
        <v>0.48379999999999995</v>
      </c>
      <c r="AK300">
        <v>-1</v>
      </c>
      <c r="AL300">
        <v>0</v>
      </c>
      <c r="AM300">
        <v>-1</v>
      </c>
      <c r="AN300">
        <f>AL300+$AA$319</f>
        <v>0.38583313397868807</v>
      </c>
      <c r="AO300">
        <v>-1</v>
      </c>
      <c r="AP300">
        <f>AL300+$AC$319+$AE$319</f>
        <v>0.73073355950676988</v>
      </c>
    </row>
    <row r="301" spans="1:42" ht="15.75" x14ac:dyDescent="0.25">
      <c r="A301" s="4" t="s">
        <v>781</v>
      </c>
      <c r="B301" s="6">
        <f>B181</f>
        <v>3.8750502416309986</v>
      </c>
      <c r="C301" s="5"/>
      <c r="D301" s="5"/>
      <c r="E301" s="6"/>
      <c r="G301" s="223">
        <f>W280</f>
        <v>-0.8439521009982629</v>
      </c>
      <c r="H301">
        <v>0</v>
      </c>
      <c r="I301">
        <f>W280</f>
        <v>-0.8439521009982629</v>
      </c>
      <c r="J301">
        <f>RADIANS(X280)</f>
        <v>0.24077201573661</v>
      </c>
      <c r="K301">
        <f>W280</f>
        <v>-0.8439521009982629</v>
      </c>
      <c r="L301">
        <f>RADIANS(AB280)</f>
        <v>0.13770496538644736</v>
      </c>
      <c r="T301" s="244" t="s">
        <v>720</v>
      </c>
      <c r="U301">
        <f>B104</f>
        <v>1.06</v>
      </c>
      <c r="V301" s="109" t="s">
        <v>810</v>
      </c>
      <c r="W301" s="5">
        <f>T269</f>
        <v>1</v>
      </c>
      <c r="AK301">
        <v>14</v>
      </c>
      <c r="AL301">
        <f>O319*15</f>
        <v>1.5434597292304184</v>
      </c>
      <c r="AM301">
        <v>14</v>
      </c>
      <c r="AN301">
        <f t="shared" ref="AN301:AN302" si="39">AL301+$AA$319</f>
        <v>1.9292928632091064</v>
      </c>
      <c r="AO301">
        <v>14</v>
      </c>
      <c r="AP301">
        <f t="shared" ref="AP301:AP302" si="40">AL301+$AC$319+$AE$319</f>
        <v>2.2741932887371883</v>
      </c>
    </row>
    <row r="302" spans="1:42" x14ac:dyDescent="0.25">
      <c r="A302" s="64" t="s">
        <v>785</v>
      </c>
      <c r="B302" s="6" t="e">
        <f>B185</f>
        <v>#DIV/0!</v>
      </c>
      <c r="C302" s="5"/>
      <c r="D302" s="5"/>
      <c r="E302" s="6"/>
      <c r="G302">
        <v>11</v>
      </c>
      <c r="H302">
        <f>RADIANS(G302)*T280</f>
        <v>0.75769733525048011</v>
      </c>
      <c r="I302">
        <v>11</v>
      </c>
      <c r="J302">
        <f>RADIANS(X280)+RADIANS(I302)*Y280</f>
        <v>0.99846935098709011</v>
      </c>
      <c r="K302">
        <v>11</v>
      </c>
      <c r="L302">
        <f>RADIANS(AB280)+RADIANS(K302)*AC280</f>
        <v>0.8954023006369275</v>
      </c>
      <c r="T302" t="s">
        <v>717</v>
      </c>
      <c r="U302">
        <v>0.75</v>
      </c>
      <c r="V302" s="313" t="s">
        <v>1232</v>
      </c>
      <c r="W302" s="313"/>
      <c r="X302" s="302" t="s">
        <v>1231</v>
      </c>
      <c r="Y302" s="302"/>
      <c r="Z302" s="302" t="s">
        <v>652</v>
      </c>
      <c r="AA302" s="302"/>
      <c r="AK302">
        <v>16</v>
      </c>
      <c r="AL302">
        <v>1.5</v>
      </c>
      <c r="AM302">
        <v>16</v>
      </c>
      <c r="AN302">
        <f t="shared" si="39"/>
        <v>1.885833133978688</v>
      </c>
      <c r="AO302">
        <v>16</v>
      </c>
      <c r="AP302">
        <f t="shared" si="40"/>
        <v>2.2307335595067697</v>
      </c>
    </row>
    <row r="303" spans="1:42" x14ac:dyDescent="0.25">
      <c r="A303" s="59" t="s">
        <v>765</v>
      </c>
      <c r="B303" s="6"/>
      <c r="C303" s="5"/>
      <c r="D303" s="5"/>
      <c r="E303" s="6"/>
      <c r="G303">
        <v>14</v>
      </c>
      <c r="H303">
        <f>U280</f>
        <v>0.81651735461623798</v>
      </c>
      <c r="I303">
        <v>13</v>
      </c>
      <c r="J303">
        <f>H303+RADIANS(X280)</f>
        <v>1.0572893703528479</v>
      </c>
      <c r="K303">
        <v>12.5</v>
      </c>
      <c r="L303">
        <f>H303+RADIANS(AB280)</f>
        <v>0.95422232000268536</v>
      </c>
      <c r="T303" s="45" t="s">
        <v>1160</v>
      </c>
      <c r="U303">
        <f>(1-0.08*COS($H$273)^2)*COS($H$273)^(3/4)</f>
        <v>0.9188001968728301</v>
      </c>
      <c r="V303">
        <v>-1</v>
      </c>
      <c r="W303">
        <f>AA303+AA319</f>
        <v>0.38583313397868807</v>
      </c>
      <c r="X303">
        <v>-1</v>
      </c>
      <c r="Y303">
        <f>AA303+AC319</f>
        <v>0.55945804426909762</v>
      </c>
      <c r="Z303">
        <v>-1</v>
      </c>
      <c r="AA303">
        <v>0</v>
      </c>
    </row>
    <row r="304" spans="1:42" x14ac:dyDescent="0.25">
      <c r="A304" s="59" t="s">
        <v>153</v>
      </c>
      <c r="B304" s="6"/>
      <c r="C304" s="5"/>
      <c r="D304" s="5"/>
      <c r="E304" s="6"/>
      <c r="G304">
        <v>16</v>
      </c>
      <c r="H304">
        <v>0.7</v>
      </c>
      <c r="I304">
        <v>15</v>
      </c>
      <c r="J304">
        <v>0.85</v>
      </c>
      <c r="K304">
        <v>14.5</v>
      </c>
      <c r="L304">
        <v>0.95</v>
      </c>
      <c r="T304" t="s">
        <v>471</v>
      </c>
      <c r="U304">
        <v>277.14</v>
      </c>
      <c r="V304">
        <v>13</v>
      </c>
      <c r="W304">
        <f>AA304+AA319</f>
        <v>2.0099726244659686</v>
      </c>
      <c r="X304">
        <v>12.5</v>
      </c>
      <c r="Y304">
        <f>AA304+AC319+AE319</f>
        <v>2.3548730499940502</v>
      </c>
      <c r="Z304">
        <v>14</v>
      </c>
      <c r="AA304">
        <f>Y319*15</f>
        <v>1.6241394904872803</v>
      </c>
    </row>
    <row r="305" spans="1:35" x14ac:dyDescent="0.25">
      <c r="A305" s="192" t="s">
        <v>812</v>
      </c>
      <c r="B305" s="9"/>
      <c r="C305" s="5"/>
      <c r="D305" s="5"/>
      <c r="E305" s="6"/>
      <c r="T305" t="s">
        <v>487</v>
      </c>
      <c r="U305">
        <f>U304/H263</f>
        <v>0.51132841328413281</v>
      </c>
      <c r="V305">
        <v>15</v>
      </c>
      <c r="W305">
        <v>1.9</v>
      </c>
      <c r="X305">
        <v>15</v>
      </c>
      <c r="Y305">
        <v>2.2999999999999998</v>
      </c>
      <c r="Z305">
        <v>16</v>
      </c>
      <c r="AA305">
        <v>1.55</v>
      </c>
    </row>
    <row r="306" spans="1:35" x14ac:dyDescent="0.25">
      <c r="A306" s="193" t="s">
        <v>813</v>
      </c>
      <c r="B306" s="194" t="e">
        <f>B307*B308+(B309/B310)*B311*(1-B312+B313-B314)</f>
        <v>#DIV/0!</v>
      </c>
      <c r="C306" s="5"/>
      <c r="D306" s="5"/>
      <c r="E306" s="6"/>
      <c r="T306" s="302" t="s">
        <v>1163</v>
      </c>
      <c r="U306" s="302"/>
      <c r="Y306">
        <v>2.3959999999999999</v>
      </c>
    </row>
    <row r="307" spans="1:35" x14ac:dyDescent="0.25">
      <c r="A307" s="59" t="s">
        <v>810</v>
      </c>
      <c r="B307" s="6">
        <v>1</v>
      </c>
      <c r="C307" s="5"/>
      <c r="D307" s="5"/>
      <c r="E307" s="6"/>
      <c r="T307" t="s">
        <v>1154</v>
      </c>
      <c r="U307">
        <f>B50</f>
        <v>0.109</v>
      </c>
    </row>
    <row r="308" spans="1:35" x14ac:dyDescent="0.25">
      <c r="A308" s="59" t="s">
        <v>737</v>
      </c>
      <c r="B308" s="6">
        <f>B121</f>
        <v>8.7228341997785966E-2</v>
      </c>
      <c r="C308" s="5"/>
      <c r="D308" s="5"/>
      <c r="E308" s="6"/>
    </row>
    <row r="309" spans="1:35" x14ac:dyDescent="0.25">
      <c r="A309" s="59" t="s">
        <v>765</v>
      </c>
      <c r="B309" s="6"/>
      <c r="C309" s="5"/>
      <c r="D309" s="5"/>
      <c r="E309" s="6"/>
    </row>
    <row r="310" spans="1:35" x14ac:dyDescent="0.25">
      <c r="A310" s="59" t="s">
        <v>153</v>
      </c>
      <c r="B310" s="6"/>
      <c r="C310" s="5"/>
      <c r="D310" s="5"/>
      <c r="E310" s="6"/>
    </row>
    <row r="311" spans="1:35" ht="15.75" x14ac:dyDescent="0.25">
      <c r="A311" s="4" t="s">
        <v>781</v>
      </c>
      <c r="B311" s="6">
        <f>B181</f>
        <v>3.8750502416309986</v>
      </c>
      <c r="C311" s="5"/>
      <c r="D311" s="5"/>
      <c r="E311" s="6"/>
      <c r="G311" t="s">
        <v>160</v>
      </c>
    </row>
    <row r="312" spans="1:35" x14ac:dyDescent="0.25">
      <c r="A312" s="64" t="s">
        <v>814</v>
      </c>
      <c r="B312" s="6"/>
      <c r="C312" s="5"/>
      <c r="D312" s="5"/>
      <c r="E312" s="6"/>
      <c r="G312" s="99" t="s">
        <v>181</v>
      </c>
      <c r="H312" s="254" t="s">
        <v>1150</v>
      </c>
    </row>
    <row r="313" spans="1:35" x14ac:dyDescent="0.25">
      <c r="A313" s="59" t="s">
        <v>766</v>
      </c>
      <c r="B313" s="6">
        <v>0</v>
      </c>
      <c r="C313" s="5"/>
      <c r="D313" s="5"/>
      <c r="E313" s="6"/>
      <c r="G313" s="221" t="s">
        <v>428</v>
      </c>
      <c r="H313">
        <v>1.3</v>
      </c>
    </row>
    <row r="314" spans="1:35" x14ac:dyDescent="0.25">
      <c r="A314" s="195" t="s">
        <v>815</v>
      </c>
      <c r="B314" s="9"/>
      <c r="C314" s="8"/>
      <c r="D314" s="8"/>
      <c r="E314" s="9"/>
      <c r="G314" t="s">
        <v>142</v>
      </c>
      <c r="H314">
        <v>1116.4000000000001</v>
      </c>
      <c r="V314" t="s">
        <v>706</v>
      </c>
      <c r="Z314" t="s">
        <v>1158</v>
      </c>
      <c r="AA314" t="s">
        <v>560</v>
      </c>
      <c r="AC314" t="s">
        <v>360</v>
      </c>
      <c r="AE314" t="s">
        <v>1188</v>
      </c>
    </row>
    <row r="315" spans="1:35" ht="15.75" x14ac:dyDescent="0.25">
      <c r="G315" t="s">
        <v>348</v>
      </c>
      <c r="H315" s="223" t="s">
        <v>712</v>
      </c>
      <c r="I315" t="s">
        <v>1085</v>
      </c>
      <c r="J315" s="223" t="s">
        <v>356</v>
      </c>
      <c r="K315" s="231" t="s">
        <v>779</v>
      </c>
      <c r="L315" s="5" t="s">
        <v>785</v>
      </c>
      <c r="M315" s="11" t="s">
        <v>1153</v>
      </c>
      <c r="N315" s="11" t="s">
        <v>1152</v>
      </c>
      <c r="O315" t="s">
        <v>1059</v>
      </c>
      <c r="P315" t="s">
        <v>1060</v>
      </c>
      <c r="Q315" s="11" t="s">
        <v>1154</v>
      </c>
      <c r="R315" s="11" t="s">
        <v>788</v>
      </c>
      <c r="S315" t="s">
        <v>1061</v>
      </c>
      <c r="T315" t="s">
        <v>1013</v>
      </c>
      <c r="U315" t="s">
        <v>1156</v>
      </c>
      <c r="V315" s="223" t="s">
        <v>1157</v>
      </c>
      <c r="W315" s="221" t="s">
        <v>758</v>
      </c>
      <c r="X315" s="223" t="s">
        <v>786</v>
      </c>
      <c r="Y315" s="226" t="s">
        <v>535</v>
      </c>
      <c r="Z315" s="226" t="s">
        <v>94</v>
      </c>
      <c r="AA315" s="226" t="s">
        <v>750</v>
      </c>
      <c r="AB315" s="227" t="s">
        <v>1162</v>
      </c>
      <c r="AC315" s="226" t="s">
        <v>750</v>
      </c>
      <c r="AD315" s="227" t="s">
        <v>1162</v>
      </c>
      <c r="AE315" s="226" t="s">
        <v>750</v>
      </c>
    </row>
    <row r="316" spans="1:35" x14ac:dyDescent="0.25">
      <c r="A316" s="314" t="s">
        <v>866</v>
      </c>
      <c r="B316" s="314"/>
      <c r="C316" s="314"/>
      <c r="D316" s="314"/>
      <c r="E316" s="187" t="s">
        <v>868</v>
      </c>
      <c r="F316" t="s">
        <v>867</v>
      </c>
      <c r="G316" s="5">
        <v>0</v>
      </c>
      <c r="H316">
        <f>SQRT(1-G316^2)</f>
        <v>1</v>
      </c>
      <c r="I316">
        <f>G316*$H$314</f>
        <v>0</v>
      </c>
      <c r="J316" t="e">
        <v>#NUM!</v>
      </c>
      <c r="K316" t="e">
        <f>0.68*$H$271*(J316*(($Q$262/$H$271)+0.15))^0.5</f>
        <v>#NUM!</v>
      </c>
      <c r="L316" t="e">
        <f>1-(COS((PI()*$Q$263)/2*K316)^2)*(2.42*SQRT(J316))/(($Q$262/$H$270)+0.3)</f>
        <v>#NUM!</v>
      </c>
      <c r="M316">
        <f>$Q$267/(1-G316^2)^0.5</f>
        <v>0.108</v>
      </c>
      <c r="N316">
        <f>M316/(2*PI())</f>
        <v>1.7188733853924696E-2</v>
      </c>
      <c r="O316">
        <f>(2*PI()*$H$265)/(2+($H$265^2*H316^2/N316^2*(1+TAN(RADIANS($H$275))^2/H316^2)+4)^0.5)</f>
        <v>0.10073378060434053</v>
      </c>
      <c r="P316">
        <f>O316*$N$262</f>
        <v>0.10055878899970652</v>
      </c>
      <c r="Q316">
        <f t="shared" ref="Q316:Q335" si="41">$Q$271/(1-G316^2)^0.5</f>
        <v>0.109</v>
      </c>
      <c r="R316">
        <f>Q316/(2*PI())</f>
        <v>1.7347888797016594E-2</v>
      </c>
      <c r="S316">
        <f>(2*PI()*$K$265)/(2+($K$265^2*H316^2/R316^2*(1+TAN(RADIANS($K$275))^2/H316^2)+4)^0.5)</f>
        <v>0.10381027215104761</v>
      </c>
      <c r="T316" t="e">
        <f>S316*L316*($K$263/$H$263)*($N$270-$N$271)</f>
        <v>#NUM!</v>
      </c>
      <c r="U316" s="29">
        <f t="shared" ref="U316:U335" si="42">G316*COS($H$273)</f>
        <v>0</v>
      </c>
      <c r="V316">
        <v>1</v>
      </c>
      <c r="W316" s="29">
        <f>($Q$273+($Q$272*$Q$274))*V316</f>
        <v>-1</v>
      </c>
      <c r="X316" s="29">
        <f>4.44*(($N$265*$N$266*$N$267*SQRT(COS($H$273)))^1.19)*(O316/$O$441)</f>
        <v>0.6489508177860982</v>
      </c>
      <c r="Y316" s="29" t="e">
        <f>P316+S316*L316*($K$263/$H$263)*(1-X316)</f>
        <v>#NUM!</v>
      </c>
      <c r="Z316" s="29">
        <f>$H$438+S316*($K$263/$H$263)*$N$272*(1-X316-$N$271)+$N$270</f>
        <v>1.3895138342550233</v>
      </c>
      <c r="AA316">
        <f t="shared" ref="AA316:AA335" si="43">$U$302*$W$299*(O316/M316)*$U$301</f>
        <v>0.38204298311929219</v>
      </c>
      <c r="AB316">
        <f t="shared" ref="AB316:AB335" si="44">$W$300*$U$305*$U$303</f>
        <v>0.18106425247368804</v>
      </c>
      <c r="AC316">
        <f t="shared" ref="AC316:AC335" si="45">$U$302*$Y$299*(O316/M316)*$U$301</f>
        <v>0.55396232552297364</v>
      </c>
      <c r="AD316">
        <f>$Y$300*$U$305*$U$303</f>
        <v>0.22729342331803393</v>
      </c>
      <c r="AE316">
        <f>$AH$323*$AH$322*(P316/M316)*$AH$324</f>
        <v>0.16959302614043628</v>
      </c>
    </row>
    <row r="317" spans="1:35" s="29" customFormat="1" x14ac:dyDescent="0.25">
      <c r="A317" s="310" t="s">
        <v>560</v>
      </c>
      <c r="B317" s="311"/>
      <c r="C317" s="311"/>
      <c r="D317" s="311"/>
      <c r="E317" s="312"/>
      <c r="G317" s="5">
        <v>0.05</v>
      </c>
      <c r="H317">
        <f t="shared" ref="H317:H335" si="46">SQRT(1-G317^2)</f>
        <v>0.99874921777190895</v>
      </c>
      <c r="I317">
        <f t="shared" ref="I317:I335" si="47">G317*$H$314</f>
        <v>55.820000000000007</v>
      </c>
      <c r="J317">
        <v>5.991432792410753E-3</v>
      </c>
      <c r="K317">
        <f t="shared" ref="K317:K335" si="48">0.68*$H$271*(J317*(($Q$262/$H$271)+0.15))^0.5</f>
        <v>0.55690014754448192</v>
      </c>
      <c r="L317">
        <f t="shared" ref="L317:L335" si="49">1-(COS((PI()*$Q$263)/2*K317)^2)*(2.42*SQRT(J317))/(($Q$262/$H$270)+0.3)</f>
        <v>0.84339817807632833</v>
      </c>
      <c r="M317">
        <f t="shared" ref="M317:M335" si="50">$Q$267/(1-G317^2)^0.5</f>
        <v>0.10813525365349991</v>
      </c>
      <c r="N317">
        <f t="shared" ref="N317:N334" si="51">M317/(2*PI())</f>
        <v>1.7210260141450447E-2</v>
      </c>
      <c r="O317">
        <f t="shared" ref="O317:O335" si="52">(2*PI()*$H$265)/(2+($H$265^2*H317^2/N317^2*(1+TAN(RADIANS($H$275))^2/H317^2)+4)^0.5)</f>
        <v>0.10096966142983717</v>
      </c>
      <c r="P317">
        <f>O317*$N$262</f>
        <v>0.10079426006033672</v>
      </c>
      <c r="Q317">
        <f t="shared" si="41"/>
        <v>0.10913650600214343</v>
      </c>
      <c r="R317">
        <f>Q317/(2*PI())</f>
        <v>1.7369614402019434E-2</v>
      </c>
      <c r="S317">
        <f t="shared" ref="S317:S335" si="53">(2*PI()*$K$265)/(2+($K$265^2*H317^2/R317^2*(1+TAN(RADIANS($K$275))^2/H317^2)+4)^0.5)</f>
        <v>0.1040582208604917</v>
      </c>
      <c r="T317">
        <f t="shared" ref="T317:T335" si="54">S317*L317*($K$263/$H$263)*($N$270-$N$271)</f>
        <v>0</v>
      </c>
      <c r="U317" s="29">
        <f t="shared" si="42"/>
        <v>4.988694906955652E-2</v>
      </c>
      <c r="V317">
        <v>1</v>
      </c>
      <c r="W317" s="29">
        <f t="shared" ref="W317:W335" si="55">($Q$273+($Q$272*$Q$274))*V317</f>
        <v>-1</v>
      </c>
      <c r="X317" s="29">
        <f t="shared" ref="X317:X335" si="56">4.44*(($N$265*$N$266*$N$267*SQRT(COS($H$273)))^1.19)*(O317/$O$441)</f>
        <v>0.65047041780197912</v>
      </c>
      <c r="Y317" s="29">
        <f t="shared" ref="Y317:Y335" si="57">P317+S317*L317*($K$263/$H$263)*(1-X317)</f>
        <v>0.10617629882976769</v>
      </c>
      <c r="Z317" s="29">
        <f t="shared" ref="Z317:Z335" si="58">$H$438+S317*($K$263/$H$263)*$N$272*(1-X317-$N$271)+$N$270</f>
        <v>1.3893392287660531</v>
      </c>
      <c r="AA317">
        <f t="shared" si="43"/>
        <v>0.3824586133220616</v>
      </c>
      <c r="AB317">
        <f t="shared" si="44"/>
        <v>0.18106425247368804</v>
      </c>
      <c r="AC317">
        <f t="shared" si="45"/>
        <v>0.55456498931698928</v>
      </c>
      <c r="AD317">
        <f t="shared" ref="AD317:AD335" si="59">$Y$300*$U$305*$U$303</f>
        <v>0.22729342331803393</v>
      </c>
      <c r="AE317">
        <f t="shared" ref="AE317:AE335" si="60">$AH$323*$AH$322*(P317/M317)*$AH$324</f>
        <v>0.16977752889786821</v>
      </c>
    </row>
    <row r="318" spans="1:35" x14ac:dyDescent="0.25">
      <c r="A318" s="193" t="s">
        <v>869</v>
      </c>
      <c r="B318" s="179" t="e">
        <f>-18.24*B319*B320/B321+B322*B323*B319^2/(57.3*B324)-B322*B325</f>
        <v>#REF!</v>
      </c>
      <c r="C318" s="2"/>
      <c r="D318" s="2"/>
      <c r="E318" s="3" t="s">
        <v>876</v>
      </c>
      <c r="G318" s="5">
        <v>0.1</v>
      </c>
      <c r="H318">
        <f t="shared" si="46"/>
        <v>0.99498743710661997</v>
      </c>
      <c r="I318">
        <f t="shared" si="47"/>
        <v>111.64000000000001</v>
      </c>
      <c r="J318">
        <v>5.3400457763006929E-3</v>
      </c>
      <c r="K318">
        <f t="shared" si="48"/>
        <v>0.5257562896527006</v>
      </c>
      <c r="L318">
        <f t="shared" si="49"/>
        <v>0.87009470598219829</v>
      </c>
      <c r="M318">
        <f t="shared" si="50"/>
        <v>0.1085440840479949</v>
      </c>
      <c r="N318">
        <f t="shared" si="51"/>
        <v>1.7275327519620534E-2</v>
      </c>
      <c r="O318">
        <f t="shared" si="52"/>
        <v>0.10168399167415836</v>
      </c>
      <c r="P318">
        <f t="shared" ref="P318:P335" si="61">O318*$N$262</f>
        <v>0.10150734939227536</v>
      </c>
      <c r="Q318">
        <f t="shared" si="41"/>
        <v>0.10954912186325412</v>
      </c>
      <c r="R318">
        <f t="shared" ref="R318:R335" si="62">Q318/(2*PI())</f>
        <v>1.7435284255913317E-2</v>
      </c>
      <c r="S318">
        <f t="shared" si="53"/>
        <v>0.10480923052652887</v>
      </c>
      <c r="T318">
        <f t="shared" si="54"/>
        <v>0</v>
      </c>
      <c r="U318" s="29">
        <f t="shared" si="42"/>
        <v>9.977389813911304E-2</v>
      </c>
      <c r="V318">
        <v>1</v>
      </c>
      <c r="W318" s="29">
        <f t="shared" si="55"/>
        <v>-1</v>
      </c>
      <c r="X318" s="29">
        <f t="shared" si="56"/>
        <v>0.65507230203029343</v>
      </c>
      <c r="Y318" s="29">
        <f t="shared" si="57"/>
        <v>0.10702619135747343</v>
      </c>
      <c r="Z318" s="29">
        <f t="shared" si="58"/>
        <v>1.3887992847003412</v>
      </c>
      <c r="AA318">
        <f t="shared" si="43"/>
        <v>0.38371367545476148</v>
      </c>
      <c r="AB318">
        <f t="shared" si="44"/>
        <v>0.18106425247368804</v>
      </c>
      <c r="AC318">
        <f t="shared" si="45"/>
        <v>0.55638482940940404</v>
      </c>
      <c r="AD318">
        <f t="shared" si="59"/>
        <v>0.22729342331803393</v>
      </c>
      <c r="AE318">
        <f t="shared" si="60"/>
        <v>0.1703346645985189</v>
      </c>
      <c r="AG318" t="s">
        <v>1189</v>
      </c>
    </row>
    <row r="319" spans="1:35" x14ac:dyDescent="0.25">
      <c r="A319" s="4" t="s">
        <v>870</v>
      </c>
      <c r="B319" s="5"/>
      <c r="C319" s="5"/>
      <c r="D319" s="5" t="s">
        <v>895</v>
      </c>
      <c r="E319" s="6"/>
      <c r="G319" s="58">
        <v>0.15</v>
      </c>
      <c r="H319" s="99">
        <f t="shared" si="46"/>
        <v>0.98868599666425949</v>
      </c>
      <c r="I319">
        <f t="shared" si="47"/>
        <v>167.46</v>
      </c>
      <c r="J319" s="99">
        <v>5.0038774839456486E-3</v>
      </c>
      <c r="K319" s="99">
        <f>0.68*$H$271*(J319*(($Q$262/$H$271)+0.15))^0.5</f>
        <v>0.50893851797108625</v>
      </c>
      <c r="L319" s="99">
        <f>1-(COS((PI()*$Q$263)/2*K319)^2)*(2.42*SQRT(J319))/(($Q$262/$H$270)+0.3)</f>
        <v>0.88570573755052229</v>
      </c>
      <c r="M319" s="99">
        <f>$Q$267/(1-G319^2)^0.5</f>
        <v>0.10923589528362149</v>
      </c>
      <c r="N319" s="99">
        <f>M319/(2*PI())</f>
        <v>1.7385432697457015E-2</v>
      </c>
      <c r="O319">
        <f>(2*PI()*$H$265)/(2+($H$265^2*H319^2/N319^2*(1+TAN(RADIANS($H$275))^2/H319^2)+4)^0.5)</f>
        <v>0.10289731528202789</v>
      </c>
      <c r="P319" s="99">
        <f>O319*$N$262</f>
        <v>0.10271856525194158</v>
      </c>
      <c r="Q319" s="99">
        <f>$Q$271/(1-G319^2)^0.5</f>
        <v>0.11024733875846984</v>
      </c>
      <c r="R319" s="99">
        <f>Q319/(2*PI())</f>
        <v>1.7546408926137177E-2</v>
      </c>
      <c r="S319">
        <f>(2*PI()*$K$265)/(2+($K$265^2*H319^2/R319^2*(1+TAN(RADIANS($K$275))^2/H319^2)+4)^0.5)</f>
        <v>0.10608531589764157</v>
      </c>
      <c r="T319">
        <f>S319*L319*($K$263/$H$263)*($N$270-$N$271)</f>
        <v>0</v>
      </c>
      <c r="U319" s="99">
        <f t="shared" si="42"/>
        <v>0.14966084720866954</v>
      </c>
      <c r="V319" s="99">
        <v>1</v>
      </c>
      <c r="W319" s="99">
        <f t="shared" si="55"/>
        <v>-1</v>
      </c>
      <c r="X319" s="99">
        <f>4.44*(($N$265*$N$266*$N$267*SQRT(COS($H$273)))^1.19)*(O319/$O$316)</f>
        <v>0.66288881941743272</v>
      </c>
      <c r="Y319" s="99">
        <f t="shared" si="57"/>
        <v>0.10827596603248536</v>
      </c>
      <c r="Z319" s="29">
        <f>$H$438+S319*($K$263/$H$263)*$N$272*(1-X319-$N$271)+$N$2702</f>
        <v>1.387843634323499</v>
      </c>
      <c r="AA319">
        <f>$U$302*$W$299*(O319/M319)*$U$301</f>
        <v>0.38583313397868807</v>
      </c>
      <c r="AB319">
        <f>$W$300*$U$305*$U$303</f>
        <v>0.18106425247368804</v>
      </c>
      <c r="AC319">
        <f t="shared" si="45"/>
        <v>0.55945804426909762</v>
      </c>
      <c r="AD319">
        <f t="shared" si="59"/>
        <v>0.22729342331803393</v>
      </c>
      <c r="AE319">
        <f t="shared" si="60"/>
        <v>0.17127551523767229</v>
      </c>
      <c r="AG319" t="s">
        <v>1190</v>
      </c>
      <c r="AH319">
        <v>4.4999999999999997E-3</v>
      </c>
      <c r="AI319" t="s">
        <v>1229</v>
      </c>
    </row>
    <row r="320" spans="1:35" ht="17.25" x14ac:dyDescent="0.3">
      <c r="A320" s="64" t="s">
        <v>871</v>
      </c>
      <c r="B320" s="5"/>
      <c r="C320" s="5"/>
      <c r="D320" s="5" t="s">
        <v>881</v>
      </c>
      <c r="E320" s="6" t="s">
        <v>877</v>
      </c>
      <c r="G320" s="5">
        <v>0.2</v>
      </c>
      <c r="H320">
        <f t="shared" si="46"/>
        <v>0.9797958971132712</v>
      </c>
      <c r="I320">
        <f t="shared" si="47"/>
        <v>223.28000000000003</v>
      </c>
      <c r="J320">
        <v>4.782932744973145E-3</v>
      </c>
      <c r="K320">
        <f t="shared" si="48"/>
        <v>0.49757565567287787</v>
      </c>
      <c r="L320">
        <f t="shared" si="49"/>
        <v>0.89642086182604741</v>
      </c>
      <c r="M320">
        <f t="shared" si="50"/>
        <v>0.11022703842524302</v>
      </c>
      <c r="N320">
        <f t="shared" si="51"/>
        <v>1.7543178027757716E-2</v>
      </c>
      <c r="O320">
        <f t="shared" si="52"/>
        <v>0.10464554001175856</v>
      </c>
      <c r="P320">
        <f t="shared" si="61"/>
        <v>0.10446375301980225</v>
      </c>
      <c r="Q320">
        <f t="shared" si="41"/>
        <v>0.11124765915140268</v>
      </c>
      <c r="R320">
        <f t="shared" si="62"/>
        <v>1.7705614861348064E-2</v>
      </c>
      <c r="S320">
        <f t="shared" si="53"/>
        <v>0.10792498822942134</v>
      </c>
      <c r="T320">
        <f t="shared" si="54"/>
        <v>0</v>
      </c>
      <c r="U320" s="29">
        <f t="shared" si="42"/>
        <v>0.19954779627822608</v>
      </c>
      <c r="V320">
        <v>1</v>
      </c>
      <c r="W320" s="29">
        <f t="shared" si="55"/>
        <v>-1</v>
      </c>
      <c r="X320" s="29">
        <f t="shared" si="56"/>
        <v>0.67415129622735914</v>
      </c>
      <c r="Y320" s="29">
        <f t="shared" si="57"/>
        <v>0.10999475471990849</v>
      </c>
      <c r="Z320" s="29">
        <f t="shared" si="58"/>
        <v>1.3863813272303269</v>
      </c>
      <c r="AA320">
        <f t="shared" si="43"/>
        <v>0.38886014509871991</v>
      </c>
      <c r="AB320">
        <f t="shared" si="44"/>
        <v>0.18106425247368804</v>
      </c>
      <c r="AC320">
        <f t="shared" si="45"/>
        <v>0.56384721039314389</v>
      </c>
      <c r="AD320">
        <f t="shared" si="59"/>
        <v>0.22729342331803393</v>
      </c>
      <c r="AE320">
        <f t="shared" si="60"/>
        <v>0.17261923832300549</v>
      </c>
      <c r="AG320" s="223" t="s">
        <v>1191</v>
      </c>
      <c r="AH320">
        <v>37</v>
      </c>
    </row>
    <row r="321" spans="1:50" x14ac:dyDescent="0.25">
      <c r="A321" s="4" t="s">
        <v>87</v>
      </c>
      <c r="B321" s="5">
        <v>4</v>
      </c>
      <c r="C321" s="5"/>
      <c r="D321" s="5" t="s">
        <v>894</v>
      </c>
      <c r="E321" s="6"/>
      <c r="G321" s="5">
        <v>0.25</v>
      </c>
      <c r="H321">
        <f t="shared" si="46"/>
        <v>0.96824583655185426</v>
      </c>
      <c r="I321">
        <f t="shared" si="47"/>
        <v>279.10000000000002</v>
      </c>
      <c r="J321">
        <v>4.6207732954284481E-3</v>
      </c>
      <c r="K321">
        <f t="shared" si="48"/>
        <v>0.489068078978113</v>
      </c>
      <c r="L321">
        <f t="shared" si="49"/>
        <v>0.90443392635913278</v>
      </c>
      <c r="M321">
        <f t="shared" si="50"/>
        <v>0.1115419203707736</v>
      </c>
      <c r="N321">
        <f t="shared" si="51"/>
        <v>1.7752447988971194E-2</v>
      </c>
      <c r="O321">
        <f t="shared" si="52"/>
        <v>0.10698268400095574</v>
      </c>
      <c r="P321">
        <f t="shared" si="61"/>
        <v>0.10679683699482667</v>
      </c>
      <c r="Q321">
        <f t="shared" si="41"/>
        <v>0.11257471592976225</v>
      </c>
      <c r="R321">
        <f t="shared" si="62"/>
        <v>1.7916822507387593E-2</v>
      </c>
      <c r="S321">
        <f t="shared" si="53"/>
        <v>0.11038625709076041</v>
      </c>
      <c r="T321">
        <f t="shared" si="54"/>
        <v>0</v>
      </c>
      <c r="U321" s="29">
        <f t="shared" si="42"/>
        <v>0.24943474534778259</v>
      </c>
      <c r="V321">
        <v>1</v>
      </c>
      <c r="W321" s="29">
        <f>($Q$273+($Q$272*$Q$274))*V321</f>
        <v>-1</v>
      </c>
      <c r="X321" s="29">
        <f t="shared" si="56"/>
        <v>0.68920773006687319</v>
      </c>
      <c r="Y321" s="29">
        <f t="shared" si="57"/>
        <v>0.11224080908914616</v>
      </c>
      <c r="Z321" s="29">
        <f t="shared" si="58"/>
        <v>1.384268852703574</v>
      </c>
      <c r="AA321">
        <f t="shared" si="43"/>
        <v>0.39285856093509275</v>
      </c>
      <c r="AB321">
        <f t="shared" si="44"/>
        <v>0.18106425247368804</v>
      </c>
      <c r="AC321">
        <f t="shared" si="45"/>
        <v>0.56964491335588441</v>
      </c>
      <c r="AD321">
        <f t="shared" si="59"/>
        <v>0.22729342331803393</v>
      </c>
      <c r="AE321">
        <f t="shared" si="60"/>
        <v>0.17439417850361491</v>
      </c>
      <c r="AG321" s="223" t="s">
        <v>971</v>
      </c>
      <c r="AH321">
        <v>1.1000000000000001</v>
      </c>
    </row>
    <row r="322" spans="1:50" x14ac:dyDescent="0.25">
      <c r="A322" s="4" t="s">
        <v>872</v>
      </c>
      <c r="B322" s="5"/>
      <c r="C322" s="5"/>
      <c r="D322" s="5" t="s">
        <v>880</v>
      </c>
      <c r="E322" s="6" t="s">
        <v>992</v>
      </c>
      <c r="G322" s="5">
        <v>0.3</v>
      </c>
      <c r="H322">
        <f t="shared" si="46"/>
        <v>0.95393920141694566</v>
      </c>
      <c r="I322">
        <f t="shared" si="47"/>
        <v>334.92</v>
      </c>
      <c r="J322">
        <v>4.8754458521831183E-3</v>
      </c>
      <c r="K322">
        <f t="shared" si="48"/>
        <v>0.50236474706657741</v>
      </c>
      <c r="L322">
        <f t="shared" si="49"/>
        <v>0.89190003395409512</v>
      </c>
      <c r="M322">
        <f t="shared" si="50"/>
        <v>0.11321476236596717</v>
      </c>
      <c r="N322">
        <f t="shared" si="51"/>
        <v>1.8018689061517958E-2</v>
      </c>
      <c r="O322">
        <f t="shared" si="52"/>
        <v>0.10998526883345291</v>
      </c>
      <c r="P322">
        <f t="shared" si="61"/>
        <v>0.10979420582992221</v>
      </c>
      <c r="Q322">
        <f t="shared" si="41"/>
        <v>0.11426304720268909</v>
      </c>
      <c r="R322">
        <f t="shared" si="62"/>
        <v>1.8185528775050534E-2</v>
      </c>
      <c r="S322">
        <f t="shared" si="53"/>
        <v>0.11355144228561578</v>
      </c>
      <c r="T322">
        <f t="shared" si="54"/>
        <v>0</v>
      </c>
      <c r="U322" s="29">
        <f t="shared" si="42"/>
        <v>0.29932169441733908</v>
      </c>
      <c r="V322">
        <v>1</v>
      </c>
      <c r="W322" s="29">
        <f t="shared" si="55"/>
        <v>-1</v>
      </c>
      <c r="X322" s="29">
        <f t="shared" si="56"/>
        <v>0.70855109106088332</v>
      </c>
      <c r="Y322" s="29">
        <f t="shared" si="57"/>
        <v>0.11497295764335308</v>
      </c>
      <c r="Z322" s="29">
        <f t="shared" si="58"/>
        <v>1.3812899681891522</v>
      </c>
      <c r="AA322">
        <f t="shared" si="43"/>
        <v>0.39791683239406395</v>
      </c>
      <c r="AB322">
        <f t="shared" si="44"/>
        <v>0.18106425247368804</v>
      </c>
      <c r="AC322">
        <f t="shared" si="45"/>
        <v>0.57697940697139272</v>
      </c>
      <c r="AD322">
        <f t="shared" si="59"/>
        <v>0.22729342331803393</v>
      </c>
      <c r="AE322">
        <f t="shared" si="60"/>
        <v>0.17663960009665813</v>
      </c>
      <c r="AG322" s="223" t="s">
        <v>718</v>
      </c>
      <c r="AH322">
        <f>AH319*AH320*AH321</f>
        <v>0.18315000000000001</v>
      </c>
      <c r="AI322" t="s">
        <v>1230</v>
      </c>
    </row>
    <row r="323" spans="1:50" x14ac:dyDescent="0.25">
      <c r="A323" s="4" t="s">
        <v>873</v>
      </c>
      <c r="B323" s="5"/>
      <c r="C323" s="5"/>
      <c r="D323" s="5" t="s">
        <v>882</v>
      </c>
      <c r="E323" s="6" t="s">
        <v>878</v>
      </c>
      <c r="G323" s="5">
        <v>0.35</v>
      </c>
      <c r="H323">
        <f t="shared" si="46"/>
        <v>0.93674969975975975</v>
      </c>
      <c r="I323">
        <f t="shared" si="47"/>
        <v>390.74</v>
      </c>
      <c r="J323">
        <v>4.7631173490149436E-3</v>
      </c>
      <c r="K323">
        <f t="shared" si="48"/>
        <v>0.49654387325390509</v>
      </c>
      <c r="L323">
        <f t="shared" si="49"/>
        <v>0.89739458654438997</v>
      </c>
      <c r="M323">
        <f t="shared" si="50"/>
        <v>0.11529227073966274</v>
      </c>
      <c r="N323">
        <f t="shared" si="51"/>
        <v>1.8349334788506415E-2</v>
      </c>
      <c r="O323">
        <f t="shared" si="52"/>
        <v>0.11375906391372086</v>
      </c>
      <c r="P323">
        <f t="shared" si="61"/>
        <v>0.11356144519022517</v>
      </c>
      <c r="Q323">
        <f t="shared" si="41"/>
        <v>0.11635979176502999</v>
      </c>
      <c r="R323">
        <f t="shared" si="62"/>
        <v>1.8519236036548141E-2</v>
      </c>
      <c r="S323">
        <f t="shared" si="53"/>
        <v>0.11753458280720043</v>
      </c>
      <c r="T323">
        <f t="shared" si="54"/>
        <v>0</v>
      </c>
      <c r="U323" s="29">
        <f t="shared" si="42"/>
        <v>0.34920864348689562</v>
      </c>
      <c r="V323">
        <v>1</v>
      </c>
      <c r="W323" s="29">
        <f t="shared" si="55"/>
        <v>-1</v>
      </c>
      <c r="X323" s="29">
        <f t="shared" si="56"/>
        <v>0.73286277070602823</v>
      </c>
      <c r="Y323" s="29">
        <f t="shared" si="57"/>
        <v>0.11850497732934001</v>
      </c>
      <c r="Z323" s="29">
        <f t="shared" si="58"/>
        <v>1.377122651490593</v>
      </c>
      <c r="AA323">
        <f t="shared" si="43"/>
        <v>0.40415379968872978</v>
      </c>
      <c r="AB323">
        <f t="shared" si="44"/>
        <v>0.18106425247368804</v>
      </c>
      <c r="AC323">
        <f t="shared" si="45"/>
        <v>0.58602300954865816</v>
      </c>
      <c r="AD323">
        <f t="shared" si="59"/>
        <v>0.22729342331803393</v>
      </c>
      <c r="AE323">
        <f t="shared" si="60"/>
        <v>0.17940825756238377</v>
      </c>
      <c r="AG323" s="223" t="s">
        <v>804</v>
      </c>
      <c r="AH323">
        <v>0.85</v>
      </c>
      <c r="AI323" t="s">
        <v>1228</v>
      </c>
    </row>
    <row r="324" spans="1:50" x14ac:dyDescent="0.25">
      <c r="A324" s="4" t="s">
        <v>874</v>
      </c>
      <c r="B324" s="5" t="e">
        <f>#REF!</f>
        <v>#REF!</v>
      </c>
      <c r="C324" s="5"/>
      <c r="D324" s="11" t="s">
        <v>823</v>
      </c>
      <c r="E324" s="6" t="s">
        <v>834</v>
      </c>
      <c r="G324" s="5">
        <v>0.4</v>
      </c>
      <c r="H324">
        <f t="shared" si="46"/>
        <v>0.91651513899116799</v>
      </c>
      <c r="I324">
        <f t="shared" si="47"/>
        <v>446.56000000000006</v>
      </c>
      <c r="J324">
        <v>4.6686961927166646E-3</v>
      </c>
      <c r="K324">
        <f t="shared" si="48"/>
        <v>0.49159764514555393</v>
      </c>
      <c r="L324">
        <f t="shared" si="49"/>
        <v>0.90205628988462949</v>
      </c>
      <c r="M324">
        <f t="shared" si="50"/>
        <v>0.11783766072743589</v>
      </c>
      <c r="N324">
        <f t="shared" si="51"/>
        <v>1.8754446187157128E-2</v>
      </c>
      <c r="O324">
        <f t="shared" si="52"/>
        <v>0.11844937702562958</v>
      </c>
      <c r="P324">
        <f t="shared" si="61"/>
        <v>0.1182436104354226</v>
      </c>
      <c r="Q324">
        <f t="shared" si="41"/>
        <v>0.11892875017861584</v>
      </c>
      <c r="R324">
        <f t="shared" si="62"/>
        <v>1.8928098466667844E-2</v>
      </c>
      <c r="S324">
        <f t="shared" si="53"/>
        <v>0.12249278234294751</v>
      </c>
      <c r="T324">
        <f t="shared" si="54"/>
        <v>0</v>
      </c>
      <c r="U324" s="29">
        <f t="shared" si="42"/>
        <v>0.39909559255645216</v>
      </c>
      <c r="V324">
        <v>1</v>
      </c>
      <c r="W324" s="29">
        <f t="shared" si="55"/>
        <v>-1</v>
      </c>
      <c r="X324" s="29">
        <f t="shared" si="56"/>
        <v>0.76307887608185354</v>
      </c>
      <c r="Y324" s="29">
        <f t="shared" si="57"/>
        <v>0.1228366665574135</v>
      </c>
      <c r="Z324" s="29">
        <f t="shared" si="58"/>
        <v>1.3712846708447615</v>
      </c>
      <c r="AA324">
        <f t="shared" si="43"/>
        <v>0.41172716118850533</v>
      </c>
      <c r="AB324">
        <f t="shared" si="44"/>
        <v>0.18106425247368804</v>
      </c>
      <c r="AC324">
        <f t="shared" si="45"/>
        <v>0.59700438372333264</v>
      </c>
      <c r="AD324">
        <f t="shared" si="59"/>
        <v>0.22729342331803393</v>
      </c>
      <c r="AE324">
        <f t="shared" si="60"/>
        <v>0.18277015491831908</v>
      </c>
      <c r="AG324" s="223" t="s">
        <v>1192</v>
      </c>
      <c r="AH324">
        <v>1.17</v>
      </c>
      <c r="AI324" t="s">
        <v>729</v>
      </c>
    </row>
    <row r="325" spans="1:50" x14ac:dyDescent="0.25">
      <c r="A325" s="4" t="s">
        <v>875</v>
      </c>
      <c r="B325" s="5"/>
      <c r="C325" s="5"/>
      <c r="D325" s="5" t="s">
        <v>883</v>
      </c>
      <c r="E325" s="6" t="s">
        <v>879</v>
      </c>
      <c r="G325" s="5">
        <v>0.45</v>
      </c>
      <c r="H325">
        <f t="shared" si="46"/>
        <v>0.89302855497458755</v>
      </c>
      <c r="I325">
        <f t="shared" si="47"/>
        <v>502.38000000000005</v>
      </c>
      <c r="J325">
        <v>4.5875531535829756E-3</v>
      </c>
      <c r="K325">
        <f t="shared" si="48"/>
        <v>0.4873068783791859</v>
      </c>
      <c r="L325">
        <f t="shared" si="49"/>
        <v>0.90608572839323032</v>
      </c>
      <c r="M325">
        <f t="shared" si="50"/>
        <v>0.12093678236646453</v>
      </c>
      <c r="N325">
        <f t="shared" si="51"/>
        <v>1.9247686715251594E-2</v>
      </c>
      <c r="O325">
        <f t="shared" si="52"/>
        <v>0.12425694261102585</v>
      </c>
      <c r="P325">
        <f t="shared" si="61"/>
        <v>0.12404108729770424</v>
      </c>
      <c r="Q325">
        <f t="shared" si="41"/>
        <v>0.12205656738837624</v>
      </c>
      <c r="R325">
        <f t="shared" si="62"/>
        <v>1.942590603668911E-2</v>
      </c>
      <c r="S325">
        <f t="shared" si="53"/>
        <v>0.12864380245837007</v>
      </c>
      <c r="T325">
        <f t="shared" si="54"/>
        <v>0</v>
      </c>
      <c r="U325" s="29">
        <f t="shared" si="42"/>
        <v>0.4489825416260087</v>
      </c>
      <c r="V325">
        <v>1</v>
      </c>
      <c r="W325" s="29">
        <f t="shared" si="55"/>
        <v>-1</v>
      </c>
      <c r="X325" s="29">
        <f t="shared" si="56"/>
        <v>0.80049258589576777</v>
      </c>
      <c r="Y325" s="29">
        <f t="shared" si="57"/>
        <v>0.12812118936324013</v>
      </c>
      <c r="Z325" s="29">
        <f t="shared" si="58"/>
        <v>1.3630419695703586</v>
      </c>
      <c r="AA325">
        <f t="shared" si="43"/>
        <v>0.42084590260886801</v>
      </c>
      <c r="AB325">
        <f t="shared" si="44"/>
        <v>0.18106425247368804</v>
      </c>
      <c r="AC325">
        <f t="shared" si="45"/>
        <v>0.61022655878285847</v>
      </c>
      <c r="AD325">
        <f t="shared" si="59"/>
        <v>0.22729342331803393</v>
      </c>
      <c r="AE325">
        <f t="shared" si="60"/>
        <v>0.18681806319147948</v>
      </c>
    </row>
    <row r="326" spans="1:50" x14ac:dyDescent="0.25">
      <c r="A326" s="190" t="s">
        <v>884</v>
      </c>
      <c r="B326" s="2">
        <v>0.52</v>
      </c>
      <c r="C326" s="2"/>
      <c r="D326" s="2" t="s">
        <v>887</v>
      </c>
      <c r="E326" s="3" t="s">
        <v>886</v>
      </c>
      <c r="G326" s="5">
        <v>0.5</v>
      </c>
      <c r="H326">
        <f t="shared" si="46"/>
        <v>0.8660254037844386</v>
      </c>
      <c r="I326">
        <f t="shared" si="47"/>
        <v>558.20000000000005</v>
      </c>
      <c r="J326">
        <v>4.5166171076214462E-3</v>
      </c>
      <c r="K326">
        <f t="shared" si="48"/>
        <v>0.48352465585913557</v>
      </c>
      <c r="L326">
        <f t="shared" si="49"/>
        <v>0.90962046173352107</v>
      </c>
      <c r="M326">
        <f t="shared" si="50"/>
        <v>0.12470765814495917</v>
      </c>
      <c r="N326">
        <f t="shared" si="51"/>
        <v>1.9847840235184516E-2</v>
      </c>
      <c r="O326">
        <f t="shared" si="52"/>
        <v>0.13146303448299143</v>
      </c>
      <c r="P326">
        <f t="shared" si="61"/>
        <v>0.13123466096999292</v>
      </c>
      <c r="Q326">
        <f t="shared" si="41"/>
        <v>0.12586235868333842</v>
      </c>
      <c r="R326">
        <f t="shared" si="62"/>
        <v>2.0031616533658446E-2</v>
      </c>
      <c r="S326">
        <f t="shared" si="53"/>
        <v>0.136294012347947</v>
      </c>
      <c r="T326">
        <f t="shared" si="54"/>
        <v>0</v>
      </c>
      <c r="U326" s="29">
        <f t="shared" si="42"/>
        <v>0.49886949069556519</v>
      </c>
      <c r="V326">
        <v>1</v>
      </c>
      <c r="W326" s="29">
        <f t="shared" si="55"/>
        <v>-1</v>
      </c>
      <c r="X326" s="29">
        <f t="shared" si="56"/>
        <v>0.84691593251592157</v>
      </c>
      <c r="Y326" s="29">
        <f t="shared" si="57"/>
        <v>0.13456448145166092</v>
      </c>
      <c r="Z326" s="29">
        <f t="shared" si="58"/>
        <v>1.351249382247306</v>
      </c>
      <c r="AA326">
        <f t="shared" si="43"/>
        <v>0.43178880504861844</v>
      </c>
      <c r="AB326">
        <f t="shared" si="44"/>
        <v>0.18106425247368804</v>
      </c>
      <c r="AC326">
        <f t="shared" si="45"/>
        <v>0.6260937673204966</v>
      </c>
      <c r="AD326">
        <f t="shared" si="59"/>
        <v>0.22729342331803393</v>
      </c>
      <c r="AE326">
        <f t="shared" si="60"/>
        <v>0.19167573633695734</v>
      </c>
    </row>
    <row r="327" spans="1:50" x14ac:dyDescent="0.25">
      <c r="A327" s="4" t="s">
        <v>885</v>
      </c>
      <c r="B327" s="5">
        <f>2*B328/B329</f>
        <v>0.26709677419354838</v>
      </c>
      <c r="C327" s="5"/>
      <c r="D327" s="5" t="s">
        <v>888</v>
      </c>
      <c r="E327" s="6"/>
      <c r="G327" s="5">
        <v>0.55000000000000004</v>
      </c>
      <c r="H327">
        <f t="shared" si="46"/>
        <v>0.83516465442450327</v>
      </c>
      <c r="I327">
        <f t="shared" si="47"/>
        <v>614.0200000000001</v>
      </c>
      <c r="J327">
        <v>4.4537521193004333E-3</v>
      </c>
      <c r="K327">
        <f t="shared" si="48"/>
        <v>0.48014787144297988</v>
      </c>
      <c r="L327">
        <f t="shared" si="49"/>
        <v>0.91275865506590859</v>
      </c>
      <c r="M327">
        <f t="shared" si="50"/>
        <v>0.12931581745927792</v>
      </c>
      <c r="N327">
        <f t="shared" si="51"/>
        <v>2.0581251568613304E-2</v>
      </c>
      <c r="O327">
        <f t="shared" si="52"/>
        <v>0.14047047884093974</v>
      </c>
      <c r="P327">
        <f t="shared" si="61"/>
        <v>0.14022645787450116</v>
      </c>
      <c r="Q327">
        <f t="shared" si="41"/>
        <v>0.13051318613945642</v>
      </c>
      <c r="R327">
        <f t="shared" si="62"/>
        <v>2.0771818712767131E-2</v>
      </c>
      <c r="S327">
        <f t="shared" si="53"/>
        <v>0.14588430801061572</v>
      </c>
      <c r="T327">
        <f t="shared" si="54"/>
        <v>0</v>
      </c>
      <c r="U327" s="29">
        <f t="shared" si="42"/>
        <v>0.54875643976512178</v>
      </c>
      <c r="V327">
        <v>1</v>
      </c>
      <c r="W327" s="29">
        <f t="shared" si="55"/>
        <v>-1</v>
      </c>
      <c r="X327" s="29">
        <f t="shared" si="56"/>
        <v>0.9049440175057295</v>
      </c>
      <c r="Y327" s="29">
        <f t="shared" si="57"/>
        <v>0.14244719842978948</v>
      </c>
      <c r="Z327" s="29">
        <f t="shared" si="58"/>
        <v>1.334061980789206</v>
      </c>
      <c r="AA327">
        <f t="shared" si="43"/>
        <v>0.44493263614763967</v>
      </c>
      <c r="AB327">
        <f t="shared" si="44"/>
        <v>0.18106425247368804</v>
      </c>
      <c r="AC327">
        <f t="shared" si="45"/>
        <v>0.64515232241407749</v>
      </c>
      <c r="AD327">
        <f t="shared" si="59"/>
        <v>0.22729342331803393</v>
      </c>
      <c r="AE327">
        <f t="shared" si="60"/>
        <v>0.19751042559878254</v>
      </c>
    </row>
    <row r="328" spans="1:50" x14ac:dyDescent="0.25">
      <c r="A328" s="61" t="s">
        <v>180</v>
      </c>
      <c r="B328" s="5">
        <v>6.21</v>
      </c>
      <c r="C328" s="5" t="s">
        <v>124</v>
      </c>
      <c r="D328" s="11" t="s">
        <v>896</v>
      </c>
      <c r="E328" s="6"/>
      <c r="G328" s="5">
        <v>0.6</v>
      </c>
      <c r="H328">
        <f t="shared" si="46"/>
        <v>0.8</v>
      </c>
      <c r="I328">
        <f t="shared" si="47"/>
        <v>669.84</v>
      </c>
      <c r="J328">
        <v>4.3974161073805709E-3</v>
      </c>
      <c r="K328">
        <f t="shared" si="48"/>
        <v>0.47710148502543931</v>
      </c>
      <c r="L328">
        <f t="shared" si="49"/>
        <v>0.91557264609749189</v>
      </c>
      <c r="M328">
        <f t="shared" si="50"/>
        <v>0.13499999999999998</v>
      </c>
      <c r="N328">
        <f t="shared" si="51"/>
        <v>2.1485917317405869E-2</v>
      </c>
      <c r="O328">
        <f t="shared" si="52"/>
        <v>0.15187349429154923</v>
      </c>
      <c r="P328">
        <f t="shared" si="61"/>
        <v>0.15160966435974274</v>
      </c>
      <c r="Q328">
        <f t="shared" si="41"/>
        <v>0.13624999999999998</v>
      </c>
      <c r="R328">
        <f t="shared" si="62"/>
        <v>2.1684860996270736E-2</v>
      </c>
      <c r="S328">
        <f t="shared" si="53"/>
        <v>0.15806885198995582</v>
      </c>
      <c r="T328">
        <f t="shared" si="54"/>
        <v>0</v>
      </c>
      <c r="U328" s="29">
        <f t="shared" si="42"/>
        <v>0.59864338883467816</v>
      </c>
      <c r="V328">
        <v>1</v>
      </c>
      <c r="W328" s="29">
        <f t="shared" si="55"/>
        <v>-1</v>
      </c>
      <c r="X328" s="29">
        <f t="shared" si="56"/>
        <v>0.97840493754174052</v>
      </c>
      <c r="Y328" s="29">
        <f t="shared" si="57"/>
        <v>0.15215800117074355</v>
      </c>
      <c r="Z328" s="29">
        <f t="shared" si="58"/>
        <v>1.3083846054015837</v>
      </c>
      <c r="AA328">
        <f t="shared" si="43"/>
        <v>0.46079638800646094</v>
      </c>
      <c r="AB328">
        <f t="shared" si="44"/>
        <v>0.18106425247368804</v>
      </c>
      <c r="AC328">
        <f t="shared" si="45"/>
        <v>0.66815476260936835</v>
      </c>
      <c r="AD328">
        <f t="shared" si="59"/>
        <v>0.22729342331803393</v>
      </c>
      <c r="AE328">
        <f t="shared" si="60"/>
        <v>0.20455251720248671</v>
      </c>
    </row>
    <row r="329" spans="1:50" x14ac:dyDescent="0.25">
      <c r="A329" s="200" t="s">
        <v>143</v>
      </c>
      <c r="B329" s="8">
        <v>46.5</v>
      </c>
      <c r="C329" s="8" t="s">
        <v>124</v>
      </c>
      <c r="D329" s="8" t="s">
        <v>764</v>
      </c>
      <c r="E329" s="9"/>
      <c r="G329" s="5">
        <v>0.65</v>
      </c>
      <c r="H329">
        <f t="shared" si="46"/>
        <v>0.75993420767853315</v>
      </c>
      <c r="I329">
        <f t="shared" si="47"/>
        <v>725.66000000000008</v>
      </c>
      <c r="J329">
        <v>4.7244146107680096E-3</v>
      </c>
      <c r="K329">
        <f t="shared" si="48"/>
        <v>0.49452242346039171</v>
      </c>
      <c r="L329">
        <f t="shared" si="49"/>
        <v>0.89930127243626701</v>
      </c>
      <c r="M329">
        <f t="shared" si="50"/>
        <v>0.1421175661113101</v>
      </c>
      <c r="N329">
        <f t="shared" si="51"/>
        <v>2.2618713146804234E-2</v>
      </c>
      <c r="O329">
        <f t="shared" si="52"/>
        <v>0.16658299205178798</v>
      </c>
      <c r="P329">
        <f t="shared" si="61"/>
        <v>0.16629360923592432</v>
      </c>
      <c r="Q329">
        <f t="shared" si="41"/>
        <v>0.14343346950122965</v>
      </c>
      <c r="R329">
        <f t="shared" si="62"/>
        <v>2.2828145675941311E-2</v>
      </c>
      <c r="S329">
        <f t="shared" si="53"/>
        <v>0.17385749335052486</v>
      </c>
      <c r="T329">
        <f t="shared" si="54"/>
        <v>0</v>
      </c>
      <c r="U329" s="29">
        <f t="shared" si="42"/>
        <v>0.64853033790423475</v>
      </c>
      <c r="V329">
        <v>1</v>
      </c>
      <c r="W329" s="29">
        <f t="shared" si="55"/>
        <v>-1</v>
      </c>
      <c r="X329" s="29">
        <f t="shared" si="56"/>
        <v>1.0731669979296379</v>
      </c>
      <c r="Y329" s="29">
        <f t="shared" si="57"/>
        <v>0.16428651535437214</v>
      </c>
      <c r="Z329" s="29">
        <f t="shared" si="58"/>
        <v>1.2687542815706159</v>
      </c>
      <c r="AA329">
        <f t="shared" si="43"/>
        <v>0.48011331066331625</v>
      </c>
      <c r="AB329">
        <f t="shared" si="44"/>
        <v>0.18106425247368804</v>
      </c>
      <c r="AC329">
        <f t="shared" si="45"/>
        <v>0.69616430046180855</v>
      </c>
      <c r="AD329">
        <f t="shared" si="59"/>
        <v>0.22729342331803393</v>
      </c>
      <c r="AE329">
        <f t="shared" si="60"/>
        <v>0.21312750879727782</v>
      </c>
    </row>
    <row r="330" spans="1:50" x14ac:dyDescent="0.25">
      <c r="A330" s="35" t="s">
        <v>892</v>
      </c>
      <c r="B330" s="2">
        <f>B331/B326</f>
        <v>7.6923076923076916</v>
      </c>
      <c r="C330" s="2"/>
      <c r="D330" s="159" t="s">
        <v>893</v>
      </c>
      <c r="E330" s="3"/>
      <c r="G330" s="5">
        <v>0.7</v>
      </c>
      <c r="H330">
        <f t="shared" si="46"/>
        <v>0.71414284285428498</v>
      </c>
      <c r="I330">
        <f t="shared" si="47"/>
        <v>781.48</v>
      </c>
      <c r="J330">
        <v>4.6739264215611776E-3</v>
      </c>
      <c r="K330">
        <f t="shared" si="48"/>
        <v>0.49187293061883475</v>
      </c>
      <c r="L330">
        <f t="shared" si="49"/>
        <v>0.90179722169654875</v>
      </c>
      <c r="M330">
        <f t="shared" si="50"/>
        <v>0.15123024907502505</v>
      </c>
      <c r="N330">
        <f t="shared" si="51"/>
        <v>2.4069041685308771E-2</v>
      </c>
      <c r="O330">
        <f t="shared" si="52"/>
        <v>0.18606658153192498</v>
      </c>
      <c r="P330">
        <f t="shared" si="61"/>
        <v>0.18574335242768911</v>
      </c>
      <c r="Q330">
        <f t="shared" si="41"/>
        <v>0.15263052915905306</v>
      </c>
      <c r="R330">
        <f t="shared" si="62"/>
        <v>2.4291903182394964E-2</v>
      </c>
      <c r="S330">
        <f t="shared" si="53"/>
        <v>0.19489118882148326</v>
      </c>
      <c r="T330">
        <f t="shared" si="54"/>
        <v>0</v>
      </c>
      <c r="U330" s="29">
        <f t="shared" si="42"/>
        <v>0.69841728697379124</v>
      </c>
      <c r="V330">
        <v>1</v>
      </c>
      <c r="W330" s="29">
        <f t="shared" si="55"/>
        <v>-1</v>
      </c>
      <c r="X330" s="29">
        <f t="shared" si="56"/>
        <v>1.1986848852826983</v>
      </c>
      <c r="Y330" s="29">
        <f t="shared" si="57"/>
        <v>0.17961674917801942</v>
      </c>
      <c r="Z330" s="29">
        <f t="shared" si="58"/>
        <v>1.2048872147399035</v>
      </c>
      <c r="AA330">
        <f t="shared" si="43"/>
        <v>0.50395361014601125</v>
      </c>
      <c r="AB330">
        <f t="shared" si="44"/>
        <v>0.18106425247368804</v>
      </c>
      <c r="AC330">
        <f t="shared" si="45"/>
        <v>0.73073273471171618</v>
      </c>
      <c r="AD330">
        <f t="shared" si="59"/>
        <v>0.22729342331803393</v>
      </c>
      <c r="AE330">
        <f t="shared" si="60"/>
        <v>0.22371047645278389</v>
      </c>
    </row>
    <row r="331" spans="1:50" x14ac:dyDescent="0.25">
      <c r="A331" s="36" t="s">
        <v>268</v>
      </c>
      <c r="B331" s="5">
        <v>4</v>
      </c>
      <c r="C331" s="5"/>
      <c r="D331" s="11" t="s">
        <v>894</v>
      </c>
      <c r="E331" s="6"/>
      <c r="G331" s="5">
        <v>0.75</v>
      </c>
      <c r="H331">
        <f t="shared" si="46"/>
        <v>0.66143782776614768</v>
      </c>
      <c r="I331">
        <f t="shared" si="47"/>
        <v>837.30000000000007</v>
      </c>
      <c r="J331">
        <v>4.6275935043221016E-3</v>
      </c>
      <c r="K331">
        <f t="shared" si="48"/>
        <v>0.48942887535882568</v>
      </c>
      <c r="L331">
        <f t="shared" si="49"/>
        <v>0.90409514976952488</v>
      </c>
      <c r="M331">
        <f t="shared" si="50"/>
        <v>0.16328065233998615</v>
      </c>
      <c r="N331">
        <f t="shared" si="51"/>
        <v>2.5986922931178043E-2</v>
      </c>
      <c r="O331">
        <f t="shared" si="52"/>
        <v>0.21284847584675293</v>
      </c>
      <c r="P331">
        <f t="shared" si="61"/>
        <v>0.21247872206496424</v>
      </c>
      <c r="Q331">
        <f t="shared" si="41"/>
        <v>0.16479251023202307</v>
      </c>
      <c r="R331">
        <f t="shared" si="62"/>
        <v>2.6227542587948214E-2</v>
      </c>
      <c r="S331">
        <f t="shared" si="53"/>
        <v>0.22402223560332959</v>
      </c>
      <c r="T331">
        <f t="shared" si="54"/>
        <v>0</v>
      </c>
      <c r="U331" s="29">
        <f t="shared" si="42"/>
        <v>0.74830423604334784</v>
      </c>
      <c r="V331">
        <v>0.8</v>
      </c>
      <c r="W331" s="29">
        <f t="shared" si="55"/>
        <v>-0.8</v>
      </c>
      <c r="X331" s="29">
        <f t="shared" si="56"/>
        <v>1.3712201769514749</v>
      </c>
      <c r="Y331" s="29">
        <f t="shared" si="57"/>
        <v>0.19928732876558536</v>
      </c>
      <c r="Z331" s="29">
        <f t="shared" si="58"/>
        <v>1.0957300111184276</v>
      </c>
      <c r="AA331">
        <f t="shared" si="43"/>
        <v>0.53394517608710246</v>
      </c>
      <c r="AB331">
        <f t="shared" si="44"/>
        <v>0.18106425247368804</v>
      </c>
      <c r="AC331">
        <f t="shared" si="45"/>
        <v>0.7742205053262986</v>
      </c>
      <c r="AD331">
        <f t="shared" si="59"/>
        <v>0.22729342331803393</v>
      </c>
      <c r="AE331">
        <f t="shared" si="60"/>
        <v>0.23702405804276924</v>
      </c>
    </row>
    <row r="332" spans="1:50" x14ac:dyDescent="0.25">
      <c r="A332" s="196" t="s">
        <v>712</v>
      </c>
      <c r="B332" s="2">
        <f>SQRT(1-B333^2)</f>
        <v>0.98145935133004181</v>
      </c>
      <c r="C332" s="2"/>
      <c r="D332" s="2"/>
      <c r="E332" s="3"/>
      <c r="G332" s="5">
        <v>0.8</v>
      </c>
      <c r="H332">
        <f t="shared" si="46"/>
        <v>0.59999999999999987</v>
      </c>
      <c r="I332">
        <f t="shared" si="47"/>
        <v>893.12000000000012</v>
      </c>
      <c r="J332">
        <v>4.5848268947219616E-3</v>
      </c>
      <c r="K332">
        <f t="shared" si="48"/>
        <v>0.48716206020640607</v>
      </c>
      <c r="L332">
        <f t="shared" si="49"/>
        <v>0.90622140062891798</v>
      </c>
      <c r="M332">
        <f t="shared" si="50"/>
        <v>0.18000000000000005</v>
      </c>
      <c r="N332">
        <f t="shared" si="51"/>
        <v>2.8647889756541169E-2</v>
      </c>
      <c r="O332">
        <f t="shared" si="52"/>
        <v>0.25167326542920682</v>
      </c>
      <c r="P332">
        <f t="shared" si="61"/>
        <v>0.251236066425092</v>
      </c>
      <c r="Q332">
        <f t="shared" si="41"/>
        <v>0.1816666666666667</v>
      </c>
      <c r="R332">
        <f t="shared" si="62"/>
        <v>2.8913147995027658E-2</v>
      </c>
      <c r="S332">
        <f t="shared" si="53"/>
        <v>0.266683574276255</v>
      </c>
      <c r="T332">
        <f t="shared" si="54"/>
        <v>0</v>
      </c>
      <c r="U332" s="29">
        <f t="shared" si="42"/>
        <v>0.79819118511290432</v>
      </c>
      <c r="V332">
        <v>0</v>
      </c>
      <c r="W332" s="29">
        <f t="shared" si="55"/>
        <v>0</v>
      </c>
      <c r="X332" s="29">
        <f t="shared" si="56"/>
        <v>1.6213386456394356</v>
      </c>
      <c r="Y332" s="29">
        <f t="shared" si="57"/>
        <v>0.22489018233336303</v>
      </c>
      <c r="Z332" s="29">
        <f t="shared" si="58"/>
        <v>0.89298867028716278</v>
      </c>
      <c r="AA332">
        <f t="shared" si="43"/>
        <v>0.57269768603406035</v>
      </c>
      <c r="AB332">
        <f t="shared" si="44"/>
        <v>0.18106425247368804</v>
      </c>
      <c r="AC332">
        <f t="shared" si="45"/>
        <v>0.83041164474938745</v>
      </c>
      <c r="AD332">
        <f t="shared" si="59"/>
        <v>0.22729342331803393</v>
      </c>
      <c r="AE332">
        <f t="shared" si="60"/>
        <v>0.25422671775079958</v>
      </c>
      <c r="AW332" t="s">
        <v>1205</v>
      </c>
    </row>
    <row r="333" spans="1:50" x14ac:dyDescent="0.25">
      <c r="A333" s="56" t="s">
        <v>182</v>
      </c>
      <c r="B333" s="5">
        <f>B334/B335</f>
        <v>0.19167039856695028</v>
      </c>
      <c r="C333" s="5"/>
      <c r="D333" s="5" t="s">
        <v>326</v>
      </c>
      <c r="E333" s="6"/>
      <c r="G333" s="5">
        <v>0.85</v>
      </c>
      <c r="H333">
        <f t="shared" si="46"/>
        <v>0.52678268764263703</v>
      </c>
      <c r="I333">
        <f t="shared" si="47"/>
        <v>948.94</v>
      </c>
      <c r="J333">
        <v>4.9087639081257673E-3</v>
      </c>
      <c r="K333">
        <f t="shared" si="48"/>
        <v>0.50407836656147187</v>
      </c>
      <c r="L333">
        <f t="shared" si="49"/>
        <v>0.89028322788960201</v>
      </c>
      <c r="M333">
        <f t="shared" si="50"/>
        <v>0.20501812708253975</v>
      </c>
      <c r="N333">
        <f t="shared" si="51"/>
        <v>3.2629648348628582E-2</v>
      </c>
      <c r="O333">
        <f t="shared" si="52"/>
        <v>0.31267319102286617</v>
      </c>
      <c r="P333">
        <f t="shared" si="61"/>
        <v>0.31213002483675789</v>
      </c>
      <c r="Q333">
        <f t="shared" si="41"/>
        <v>0.20691644307404475</v>
      </c>
      <c r="R333">
        <f t="shared" si="62"/>
        <v>3.293177472222699E-2</v>
      </c>
      <c r="S333">
        <f t="shared" si="53"/>
        <v>0.33467687582814859</v>
      </c>
      <c r="T333">
        <f t="shared" si="54"/>
        <v>0</v>
      </c>
      <c r="U333" s="29">
        <f t="shared" si="42"/>
        <v>0.84807813418246081</v>
      </c>
      <c r="V333">
        <v>0</v>
      </c>
      <c r="W333" s="29">
        <f t="shared" si="55"/>
        <v>0</v>
      </c>
      <c r="X333" s="29">
        <f t="shared" si="56"/>
        <v>2.0143145804391134</v>
      </c>
      <c r="Y333" s="29">
        <f t="shared" si="57"/>
        <v>0.25910505921571858</v>
      </c>
      <c r="Z333" s="29">
        <f t="shared" si="58"/>
        <v>0.46616477157019487</v>
      </c>
      <c r="AA333">
        <f t="shared" si="43"/>
        <v>0.62468234732408157</v>
      </c>
      <c r="AB333">
        <f t="shared" si="44"/>
        <v>0.18106425247368804</v>
      </c>
      <c r="AC333">
        <f t="shared" si="45"/>
        <v>0.90578940361991822</v>
      </c>
      <c r="AD333">
        <f t="shared" si="59"/>
        <v>0.22729342331803393</v>
      </c>
      <c r="AE333">
        <f t="shared" si="60"/>
        <v>0.27730327303543739</v>
      </c>
      <c r="AO333" t="s">
        <v>160</v>
      </c>
      <c r="AW333" t="s">
        <v>1203</v>
      </c>
    </row>
    <row r="334" spans="1:50" x14ac:dyDescent="0.25">
      <c r="A334" s="207" t="s">
        <v>934</v>
      </c>
      <c r="B334" s="5">
        <v>214</v>
      </c>
      <c r="C334" s="5" t="s">
        <v>135</v>
      </c>
      <c r="D334" s="11" t="s">
        <v>935</v>
      </c>
      <c r="E334" s="6"/>
      <c r="G334" s="5">
        <v>0.9</v>
      </c>
      <c r="H334">
        <f t="shared" si="46"/>
        <v>0.43588989435406728</v>
      </c>
      <c r="I334">
        <f t="shared" si="47"/>
        <v>1004.7600000000001</v>
      </c>
      <c r="J334">
        <v>4.8688344602771938E-3</v>
      </c>
      <c r="K334">
        <f t="shared" si="48"/>
        <v>0.50202401341192449</v>
      </c>
      <c r="L334">
        <f t="shared" si="49"/>
        <v>0.89222161792644783</v>
      </c>
      <c r="M334">
        <f t="shared" si="50"/>
        <v>0.24776899258020674</v>
      </c>
      <c r="N334">
        <f t="shared" si="51"/>
        <v>3.9433659914039042E-2</v>
      </c>
      <c r="O334">
        <f t="shared" si="52"/>
        <v>0.42233542912549932</v>
      </c>
      <c r="P334">
        <f t="shared" si="61"/>
        <v>0.42160176109484387</v>
      </c>
      <c r="Q334">
        <f t="shared" si="41"/>
        <v>0.25006314991891238</v>
      </c>
      <c r="R334">
        <f t="shared" si="62"/>
        <v>3.9798786394724589E-2</v>
      </c>
      <c r="S334">
        <f t="shared" si="53"/>
        <v>0.45954225107850494</v>
      </c>
      <c r="T334">
        <f t="shared" si="54"/>
        <v>0</v>
      </c>
      <c r="U334" s="29">
        <f t="shared" si="42"/>
        <v>0.8979650832520174</v>
      </c>
      <c r="V334">
        <v>0</v>
      </c>
      <c r="W334" s="29">
        <f t="shared" si="55"/>
        <v>0</v>
      </c>
      <c r="X334" s="29">
        <f t="shared" si="56"/>
        <v>2.720784631200726</v>
      </c>
      <c r="Y334" s="29">
        <f t="shared" si="57"/>
        <v>0.29781376377227053</v>
      </c>
      <c r="Z334" s="29">
        <f t="shared" si="58"/>
        <v>-0.64237835947491284</v>
      </c>
      <c r="AA334">
        <f t="shared" si="43"/>
        <v>0.69818643982597794</v>
      </c>
      <c r="AB334">
        <f t="shared" si="44"/>
        <v>0.18106425247368804</v>
      </c>
      <c r="AC334">
        <f t="shared" si="45"/>
        <v>1.012370337747668</v>
      </c>
      <c r="AD334">
        <f t="shared" si="59"/>
        <v>0.22729342331803393</v>
      </c>
      <c r="AE334">
        <f t="shared" si="60"/>
        <v>0.30993253736408161</v>
      </c>
      <c r="AH334" t="s">
        <v>160</v>
      </c>
      <c r="AJ334" t="s">
        <v>560</v>
      </c>
      <c r="AL334" t="s">
        <v>360</v>
      </c>
      <c r="AO334" t="s">
        <v>421</v>
      </c>
      <c r="AP334" t="s">
        <v>244</v>
      </c>
      <c r="AW334" t="s">
        <v>421</v>
      </c>
      <c r="AX334" t="s">
        <v>244</v>
      </c>
    </row>
    <row r="335" spans="1:50" x14ac:dyDescent="0.25">
      <c r="A335" s="208" t="s">
        <v>142</v>
      </c>
      <c r="B335" s="20">
        <v>1116.5</v>
      </c>
      <c r="C335" s="8"/>
      <c r="D335" s="8" t="s">
        <v>936</v>
      </c>
      <c r="E335" s="9"/>
      <c r="G335" s="5">
        <v>0.95</v>
      </c>
      <c r="H335">
        <f t="shared" si="46"/>
        <v>0.31224989991991997</v>
      </c>
      <c r="I335">
        <f t="shared" si="47"/>
        <v>1060.58</v>
      </c>
      <c r="J335">
        <v>4.8314780342310947E-3</v>
      </c>
      <c r="K335">
        <f t="shared" si="48"/>
        <v>0.50009440025616481</v>
      </c>
      <c r="L335">
        <f t="shared" si="49"/>
        <v>0.89404313961962245</v>
      </c>
      <c r="M335">
        <f t="shared" si="50"/>
        <v>0.34587681221898814</v>
      </c>
      <c r="N335">
        <f>M335/(2*PI())</f>
        <v>5.5048004365519231E-2</v>
      </c>
      <c r="O335">
        <f t="shared" si="52"/>
        <v>0.6830453188898814</v>
      </c>
      <c r="P335">
        <f t="shared" si="61"/>
        <v>0.68185875371111815</v>
      </c>
      <c r="Q335">
        <f t="shared" si="41"/>
        <v>0.34907937529508987</v>
      </c>
      <c r="R335">
        <f t="shared" si="62"/>
        <v>5.5557708109644402E-2</v>
      </c>
      <c r="S335">
        <f t="shared" si="53"/>
        <v>0.76642749247693198</v>
      </c>
      <c r="T335">
        <f t="shared" si="54"/>
        <v>0</v>
      </c>
      <c r="U335" s="29">
        <f t="shared" si="42"/>
        <v>0.94785203232157378</v>
      </c>
      <c r="V335">
        <v>0</v>
      </c>
      <c r="W335" s="29">
        <f t="shared" si="55"/>
        <v>0</v>
      </c>
      <c r="X335" s="29">
        <f t="shared" si="56"/>
        <v>4.400339346138419</v>
      </c>
      <c r="Y335" s="29">
        <f t="shared" si="57"/>
        <v>0.27306369282048071</v>
      </c>
      <c r="Z335" s="29">
        <f t="shared" si="58"/>
        <v>-5.1014034657252383</v>
      </c>
      <c r="AA335">
        <f t="shared" si="43"/>
        <v>0.80888898429027301</v>
      </c>
      <c r="AB335">
        <f t="shared" si="44"/>
        <v>0.18106425247368804</v>
      </c>
      <c r="AC335">
        <f t="shared" si="45"/>
        <v>1.1728890272208958</v>
      </c>
      <c r="AD335">
        <f t="shared" si="59"/>
        <v>0.22729342331803393</v>
      </c>
      <c r="AE335">
        <f t="shared" si="60"/>
        <v>0.35907459819675958</v>
      </c>
      <c r="AH335" s="109" t="s">
        <v>421</v>
      </c>
      <c r="AI335" s="250" t="s">
        <v>244</v>
      </c>
      <c r="AJ335" s="109" t="s">
        <v>421</v>
      </c>
      <c r="AK335" s="250" t="s">
        <v>244</v>
      </c>
      <c r="AL335" s="109" t="s">
        <v>421</v>
      </c>
      <c r="AM335" s="250" t="s">
        <v>244</v>
      </c>
      <c r="AO335">
        <v>-1</v>
      </c>
      <c r="AP335">
        <v>0</v>
      </c>
      <c r="AW335">
        <v>-1</v>
      </c>
      <c r="AX335">
        <v>0</v>
      </c>
    </row>
    <row r="336" spans="1:50" x14ac:dyDescent="0.25">
      <c r="A336" s="206" t="s">
        <v>889</v>
      </c>
      <c r="B336" s="170">
        <f>(2*PI()*B337)/(2+SQRT(4+B337^2*B338^2*(1+((TAN(B339))^2/B338^2))))</f>
        <v>2.8312358074981367</v>
      </c>
      <c r="C336" s="5"/>
      <c r="D336" s="5" t="s">
        <v>890</v>
      </c>
      <c r="E336" s="6" t="s">
        <v>891</v>
      </c>
      <c r="AH336">
        <v>-1</v>
      </c>
      <c r="AI336">
        <v>0</v>
      </c>
      <c r="AJ336">
        <v>-1</v>
      </c>
      <c r="AK336">
        <f>AI336+Z345</f>
        <v>0.46663217411846386</v>
      </c>
      <c r="AL336">
        <v>-1</v>
      </c>
      <c r="AM336">
        <f>AI336+AB345</f>
        <v>0.56384721039314389</v>
      </c>
      <c r="AO336">
        <v>11</v>
      </c>
      <c r="AP336">
        <f>(AO336+1)*X347</f>
        <v>1.3799291133547489</v>
      </c>
      <c r="AW336">
        <v>11</v>
      </c>
      <c r="AX336">
        <f>$X$356*(AW336+1)</f>
        <v>2.3908628210510616</v>
      </c>
    </row>
    <row r="337" spans="1:50" x14ac:dyDescent="0.25">
      <c r="A337" s="56" t="s">
        <v>892</v>
      </c>
      <c r="B337" s="5">
        <f>B330</f>
        <v>7.6923076923076916</v>
      </c>
      <c r="C337" s="5"/>
      <c r="D337" s="11" t="s">
        <v>893</v>
      </c>
      <c r="E337" s="6"/>
      <c r="G337" s="99" t="s">
        <v>181</v>
      </c>
      <c r="H337" s="254" t="s">
        <v>533</v>
      </c>
      <c r="AH337">
        <v>11</v>
      </c>
      <c r="AI337">
        <f>X345*(AH337+1)</f>
        <v>1.320210250651793</v>
      </c>
      <c r="AJ337">
        <v>11</v>
      </c>
      <c r="AK337">
        <f>AI337+Z345</f>
        <v>1.7868424247702568</v>
      </c>
      <c r="AL337">
        <v>11</v>
      </c>
      <c r="AM337">
        <f>AI337+AB345+AD345</f>
        <v>2.0569770899932207</v>
      </c>
      <c r="AO337">
        <v>14</v>
      </c>
      <c r="AP337">
        <v>1.5895740888293894</v>
      </c>
      <c r="AW337">
        <v>14</v>
      </c>
      <c r="AX337">
        <f>$X$356*(AW337+1)</f>
        <v>2.9885785263138271</v>
      </c>
    </row>
    <row r="338" spans="1:50" x14ac:dyDescent="0.25">
      <c r="A338" s="56" t="s">
        <v>712</v>
      </c>
      <c r="B338" s="5">
        <f>B332</f>
        <v>0.98145935133004181</v>
      </c>
      <c r="C338" s="5"/>
      <c r="D338" s="5"/>
      <c r="E338" s="6"/>
      <c r="G338" s="221" t="s">
        <v>428</v>
      </c>
      <c r="H338">
        <v>1.3</v>
      </c>
      <c r="AH338">
        <v>14</v>
      </c>
      <c r="AI338">
        <f>X346*(AH338+1)</f>
        <v>1.683933036849345</v>
      </c>
      <c r="AJ338">
        <v>14</v>
      </c>
      <c r="AK338">
        <f>AI338+Z346</f>
        <v>2.1553633099714564</v>
      </c>
      <c r="AL338">
        <v>14</v>
      </c>
      <c r="AM338">
        <f>AI338+AB346+AD346</f>
        <v>2.4282756080709045</v>
      </c>
    </row>
    <row r="339" spans="1:50" x14ac:dyDescent="0.25">
      <c r="A339" s="7" t="s">
        <v>410</v>
      </c>
      <c r="B339" s="198">
        <v>24.1</v>
      </c>
      <c r="C339" s="8" t="s">
        <v>364</v>
      </c>
      <c r="D339" s="8" t="s">
        <v>270</v>
      </c>
      <c r="E339" s="9"/>
      <c r="G339" t="s">
        <v>142</v>
      </c>
      <c r="H339">
        <v>1116.4000000000001</v>
      </c>
      <c r="U339" t="s">
        <v>706</v>
      </c>
      <c r="Y339" t="s">
        <v>1158</v>
      </c>
      <c r="Z339" t="s">
        <v>560</v>
      </c>
      <c r="AB339" t="s">
        <v>360</v>
      </c>
      <c r="AD339" t="s">
        <v>1188</v>
      </c>
    </row>
    <row r="340" spans="1:50" ht="15.75" x14ac:dyDescent="0.25">
      <c r="G340" t="s">
        <v>348</v>
      </c>
      <c r="H340" s="223" t="s">
        <v>712</v>
      </c>
      <c r="I340" t="s">
        <v>1085</v>
      </c>
      <c r="J340" s="223" t="s">
        <v>356</v>
      </c>
      <c r="K340" s="231" t="s">
        <v>779</v>
      </c>
      <c r="L340" s="5" t="s">
        <v>785</v>
      </c>
      <c r="M340" s="11" t="s">
        <v>1153</v>
      </c>
      <c r="N340" s="11" t="s">
        <v>1152</v>
      </c>
      <c r="O340" t="s">
        <v>1059</v>
      </c>
      <c r="P340" t="s">
        <v>1060</v>
      </c>
      <c r="Q340" s="11" t="s">
        <v>1154</v>
      </c>
      <c r="R340" s="11" t="s">
        <v>788</v>
      </c>
      <c r="S340" t="s">
        <v>1061</v>
      </c>
      <c r="T340" t="s">
        <v>1156</v>
      </c>
      <c r="U340" s="223" t="s">
        <v>1157</v>
      </c>
      <c r="V340" s="221" t="s">
        <v>758</v>
      </c>
      <c r="W340" s="223" t="s">
        <v>786</v>
      </c>
      <c r="X340" s="226" t="s">
        <v>535</v>
      </c>
      <c r="Y340" s="226" t="s">
        <v>94</v>
      </c>
      <c r="Z340" s="226" t="s">
        <v>750</v>
      </c>
      <c r="AA340" s="227" t="s">
        <v>476</v>
      </c>
      <c r="AB340" s="226" t="s">
        <v>750</v>
      </c>
      <c r="AC340" s="227" t="s">
        <v>476</v>
      </c>
      <c r="AD340" s="226" t="s">
        <v>750</v>
      </c>
      <c r="AE340" s="226" t="s">
        <v>1196</v>
      </c>
    </row>
    <row r="341" spans="1:50" x14ac:dyDescent="0.25">
      <c r="A341" s="310" t="s">
        <v>360</v>
      </c>
      <c r="B341" s="311"/>
      <c r="C341" s="311"/>
      <c r="D341" s="311"/>
      <c r="E341" s="312"/>
      <c r="G341" s="5">
        <v>0</v>
      </c>
      <c r="H341">
        <f>SQRT(1-G341^2)</f>
        <v>1</v>
      </c>
      <c r="I341">
        <f>G341*$H$339</f>
        <v>0</v>
      </c>
      <c r="J341" t="e">
        <v>#NUM!</v>
      </c>
      <c r="K341" t="e">
        <f>0.68*$H$271*(J341*(($Q$262/$H$271)+0.15))^0.5</f>
        <v>#NUM!</v>
      </c>
      <c r="L341" t="e">
        <f>1-(COS((PI()*$Q$263)/2*K341)^2)*(2.42*SQRT(J341))/(($Q$262/$H$270)+0.3)</f>
        <v>#NUM!</v>
      </c>
      <c r="M341">
        <f>$Q$267/(1-G341^2)^0.5</f>
        <v>0.108</v>
      </c>
      <c r="N341">
        <f>M341/(2*PI())</f>
        <v>1.7188733853924696E-2</v>
      </c>
      <c r="O341">
        <f>(2*PI()*$H$265)/(2+($H$265^2*H341^2/N341^2*(1+TAN(RADIANS($H$275))^2/H341^2)+4)^0.5)</f>
        <v>0.10073378060434053</v>
      </c>
      <c r="P341">
        <f>O341*$N$262</f>
        <v>0.10055878899970652</v>
      </c>
      <c r="Q341">
        <f t="shared" ref="Q341:Q360" si="63">$Q$271/(1-G341^2)^0.5</f>
        <v>0.109</v>
      </c>
      <c r="R341">
        <f>Q341/(2*PI())</f>
        <v>1.7347888797016594E-2</v>
      </c>
      <c r="S341">
        <f>(2*PI()*$K$265)/(2+($K$265^2*H341^2/R341^2*(1+TAN(RADIANS($K$275))^2/H341^2)+4)^0.5)</f>
        <v>0.10381027215104761</v>
      </c>
      <c r="T341" s="29">
        <f t="shared" ref="T341:T360" si="64">G341*COS($H$273)</f>
        <v>0</v>
      </c>
      <c r="U341">
        <v>1</v>
      </c>
      <c r="V341" s="29">
        <f>($Q$273+($Q$272*$Q$274))*U341</f>
        <v>-1</v>
      </c>
      <c r="W341" s="29">
        <f>4.44*(($N$265*$N$266*$N$267*SQRT(COS($H$273)))^1.19)*(O341/$O$441)</f>
        <v>0.6489508177860982</v>
      </c>
      <c r="X341" s="29" t="e">
        <f>P341+S341*L341*($K$263/$H$263)*(1-W341)</f>
        <v>#NUM!</v>
      </c>
      <c r="Y341" s="29">
        <f>$H$438-S341*($K$263/$H$263)*$N$272*(1-W341-$N$271)+$N$270</f>
        <v>1.2104861657449768</v>
      </c>
      <c r="Z341">
        <f>$U$302*$W$299*(O341/M341)*$U$301*1.2</f>
        <v>0.45845157974315059</v>
      </c>
      <c r="AA341">
        <f>$W$300*$U$305*$U$303</f>
        <v>0.18106425247368804</v>
      </c>
      <c r="AB341">
        <f>$U$302*$Y$299*(O341/M341)*$U$301</f>
        <v>0.55396232552297364</v>
      </c>
      <c r="AC341">
        <f>$Y$300*$U$305*$U$303</f>
        <v>0.22729342331803393</v>
      </c>
      <c r="AD341">
        <f>$AH$323*$AH$322*(O341/M341)*$AH$324</f>
        <v>0.16988815057534906</v>
      </c>
      <c r="AE341">
        <f>AD341/AB341</f>
        <v>0.30667816699441514</v>
      </c>
    </row>
    <row r="342" spans="1:50" x14ac:dyDescent="0.25">
      <c r="A342" s="193" t="s">
        <v>869</v>
      </c>
      <c r="B342" s="179">
        <f>-18.24*(B343*B344)/B345+B346*B347*B343^2/57.3*B348-B346*B349</f>
        <v>0</v>
      </c>
      <c r="C342" s="2"/>
      <c r="D342" s="2"/>
      <c r="E342" s="3" t="s">
        <v>991</v>
      </c>
      <c r="G342" s="5">
        <v>0.05</v>
      </c>
      <c r="H342">
        <f t="shared" ref="H342:H360" si="65">SQRT(1-G342^2)</f>
        <v>0.99874921777190895</v>
      </c>
      <c r="I342">
        <f t="shared" ref="I342:I360" si="66">G342*$H$339</f>
        <v>55.820000000000007</v>
      </c>
      <c r="J342">
        <v>5.8891349391434408E-3</v>
      </c>
      <c r="K342">
        <f t="shared" ref="K342:K360" si="67">0.68*$H$271*(J342*(($Q$262/$H$271)+0.15))^0.5</f>
        <v>0.55212541624048617</v>
      </c>
      <c r="L342">
        <f t="shared" ref="L342:L360" si="68">1-(COS((PI()*$Q$263)/2*K342)^2)*(2.42*SQRT(J342))/(($Q$262/$H$270)+0.3)</f>
        <v>0.84721712698592366</v>
      </c>
      <c r="M342">
        <f t="shared" ref="M342:M360" si="69">$Q$267/(1-G342^2)^0.5</f>
        <v>0.10813525365349991</v>
      </c>
      <c r="N342">
        <f t="shared" ref="N342:N359" si="70">M342/(2*PI())</f>
        <v>1.7210260141450447E-2</v>
      </c>
      <c r="O342">
        <f t="shared" ref="O342:O360" si="71">(2*PI()*$H$265)/(2+($H$265^2*H342^2/N342^2*(1+TAN(RADIANS($H$275))^2/H342^2)+4)^0.5)</f>
        <v>0.10096966142983717</v>
      </c>
      <c r="P342">
        <f t="shared" ref="P342:P360" si="72">O342*$N$262</f>
        <v>0.10079426006033672</v>
      </c>
      <c r="Q342">
        <f t="shared" si="63"/>
        <v>0.10913650600214343</v>
      </c>
      <c r="R342">
        <f t="shared" ref="R342:R360" si="73">Q342/(2*PI())</f>
        <v>1.7369614402019434E-2</v>
      </c>
      <c r="S342">
        <f t="shared" ref="S342:S360" si="74">(2*PI()*$K$265)/(2+($K$265^2*H342^2/R342^2*(1+TAN(RADIANS($K$275))^2/H342^2)+4)^0.5)</f>
        <v>0.1040582208604917</v>
      </c>
      <c r="T342" s="29">
        <f t="shared" si="64"/>
        <v>4.988694906955652E-2</v>
      </c>
      <c r="U342">
        <v>1</v>
      </c>
      <c r="V342" s="29">
        <f t="shared" ref="V342:V360" si="75">($Q$273+($Q$272*$Q$274))*U342</f>
        <v>-1</v>
      </c>
      <c r="W342" s="29">
        <f t="shared" ref="W342:W360" si="76">4.44*(($N$265*$N$266*$N$267*SQRT(COS($H$273)))^1.19)*(O342/$O$441)</f>
        <v>0.65047041780197912</v>
      </c>
      <c r="X342" s="29">
        <f t="shared" ref="X342:X360" si="77">P342+S342*L342*($K$263/$H$263)*(1-W342)</f>
        <v>0.10620066896907342</v>
      </c>
      <c r="Y342" s="29">
        <f t="shared" ref="Y342:Y360" si="78">$H$438-S342*($K$263/$H$263)*$N$272*(1-W342-$N$271)+$N$270</f>
        <v>1.210660771233947</v>
      </c>
      <c r="Z342">
        <f t="shared" ref="Z342:Z360" si="79">$U$302*$W$299*(O342/M342)*$U$301*1.2</f>
        <v>0.45895033598647389</v>
      </c>
      <c r="AA342">
        <f t="shared" ref="AA342:AA360" si="80">$W$300*$U$305*$U$303</f>
        <v>0.18106425247368804</v>
      </c>
      <c r="AB342">
        <f t="shared" ref="AB342:AB360" si="81">$U$302*$Y$299*(O342/M342)*$U$301</f>
        <v>0.55456498931698928</v>
      </c>
      <c r="AC342">
        <f t="shared" ref="AC342:AC360" si="82">$Y$300*$U$305*$U$303</f>
        <v>0.22729342331803393</v>
      </c>
      <c r="AD342">
        <f t="shared" ref="AD342:AD360" si="83">$AH$323*$AH$322*(O342/M342)*$AH$324</f>
        <v>0.1700729744030117</v>
      </c>
      <c r="AE342">
        <f t="shared" ref="AE342:AE360" si="84">AD342/AB342</f>
        <v>0.30667816699441514</v>
      </c>
    </row>
    <row r="343" spans="1:50" x14ac:dyDescent="0.25">
      <c r="A343" s="4" t="s">
        <v>870</v>
      </c>
      <c r="B343" s="5"/>
      <c r="C343" s="5"/>
      <c r="D343" s="5" t="s">
        <v>895</v>
      </c>
      <c r="E343" s="6"/>
      <c r="G343" s="5">
        <v>0.1</v>
      </c>
      <c r="H343">
        <f t="shared" si="65"/>
        <v>0.99498743710661997</v>
      </c>
      <c r="I343">
        <f t="shared" si="66"/>
        <v>111.64000000000001</v>
      </c>
      <c r="J343">
        <v>5.2528025349200952E-3</v>
      </c>
      <c r="K343">
        <f t="shared" si="67"/>
        <v>0.52144381964501507</v>
      </c>
      <c r="L343">
        <f t="shared" si="68"/>
        <v>0.8740488170413635</v>
      </c>
      <c r="M343">
        <f t="shared" si="69"/>
        <v>0.1085440840479949</v>
      </c>
      <c r="N343">
        <f t="shared" si="70"/>
        <v>1.7275327519620534E-2</v>
      </c>
      <c r="O343">
        <f t="shared" si="71"/>
        <v>0.10168399167415836</v>
      </c>
      <c r="P343">
        <f t="shared" si="72"/>
        <v>0.10150734939227536</v>
      </c>
      <c r="Q343">
        <f t="shared" si="63"/>
        <v>0.10954912186325412</v>
      </c>
      <c r="R343">
        <f t="shared" si="73"/>
        <v>1.7435284255913317E-2</v>
      </c>
      <c r="S343">
        <f t="shared" si="74"/>
        <v>0.10480923052652887</v>
      </c>
      <c r="T343" s="29">
        <f t="shared" si="64"/>
        <v>9.977389813911304E-2</v>
      </c>
      <c r="U343">
        <v>1</v>
      </c>
      <c r="V343" s="29">
        <f t="shared" si="75"/>
        <v>-1</v>
      </c>
      <c r="W343" s="29">
        <f t="shared" si="76"/>
        <v>0.65507230203029343</v>
      </c>
      <c r="X343" s="29">
        <f t="shared" si="77"/>
        <v>0.10705127151702197</v>
      </c>
      <c r="Y343" s="29">
        <f t="shared" si="78"/>
        <v>1.2112007152996589</v>
      </c>
      <c r="Z343">
        <f t="shared" si="79"/>
        <v>0.46045641054571373</v>
      </c>
      <c r="AA343">
        <f t="shared" si="80"/>
        <v>0.18106425247368804</v>
      </c>
      <c r="AB343">
        <f t="shared" si="81"/>
        <v>0.55638482940940404</v>
      </c>
      <c r="AC343">
        <f t="shared" si="82"/>
        <v>0.22729342331803393</v>
      </c>
      <c r="AD343">
        <f t="shared" si="83"/>
        <v>0.1706310796267764</v>
      </c>
      <c r="AE343">
        <f t="shared" si="84"/>
        <v>0.30667816699441514</v>
      </c>
    </row>
    <row r="344" spans="1:50" x14ac:dyDescent="0.25">
      <c r="A344" s="64" t="s">
        <v>871</v>
      </c>
      <c r="B344" s="5"/>
      <c r="C344" s="5"/>
      <c r="D344" s="5" t="s">
        <v>881</v>
      </c>
      <c r="E344" s="6" t="s">
        <v>877</v>
      </c>
      <c r="G344" s="11">
        <v>0.15</v>
      </c>
      <c r="H344" s="29">
        <f t="shared" si="65"/>
        <v>0.98868599666425949</v>
      </c>
      <c r="I344" s="29">
        <f t="shared" si="66"/>
        <v>167.46</v>
      </c>
      <c r="J344" s="29">
        <v>4.9241383831667568E-3</v>
      </c>
      <c r="K344" s="29">
        <f t="shared" si="67"/>
        <v>0.50486714777016761</v>
      </c>
      <c r="L344" s="29">
        <f t="shared" si="68"/>
        <v>0.88953938200386173</v>
      </c>
      <c r="M344" s="29">
        <f t="shared" si="69"/>
        <v>0.10923589528362149</v>
      </c>
      <c r="N344" s="29">
        <f t="shared" si="70"/>
        <v>1.7385432697457015E-2</v>
      </c>
      <c r="O344">
        <f t="shared" si="71"/>
        <v>0.10289731528202789</v>
      </c>
      <c r="P344" s="29">
        <f t="shared" si="72"/>
        <v>0.10271856525194158</v>
      </c>
      <c r="Q344" s="29">
        <f t="shared" si="63"/>
        <v>0.11024733875846984</v>
      </c>
      <c r="R344" s="29">
        <f t="shared" si="73"/>
        <v>1.7546408926137177E-2</v>
      </c>
      <c r="S344">
        <f t="shared" si="74"/>
        <v>0.10608531589764157</v>
      </c>
      <c r="T344" s="29">
        <f t="shared" si="64"/>
        <v>0.14966084720866954</v>
      </c>
      <c r="U344" s="29">
        <v>1</v>
      </c>
      <c r="V344" s="29">
        <f t="shared" si="75"/>
        <v>-1</v>
      </c>
      <c r="W344" s="29">
        <f t="shared" si="76"/>
        <v>0.66288881941743272</v>
      </c>
      <c r="X344" s="29">
        <f t="shared" si="77"/>
        <v>0.10830002040830576</v>
      </c>
      <c r="Y344" s="29">
        <f t="shared" si="78"/>
        <v>1.2121563656765011</v>
      </c>
      <c r="Z344">
        <f t="shared" si="79"/>
        <v>0.46299976077442567</v>
      </c>
      <c r="AA344">
        <f t="shared" si="80"/>
        <v>0.18106425247368804</v>
      </c>
      <c r="AB344">
        <f t="shared" si="81"/>
        <v>0.55945804426909762</v>
      </c>
      <c r="AC344">
        <f t="shared" si="82"/>
        <v>0.22729342331803393</v>
      </c>
      <c r="AD344">
        <f t="shared" si="83"/>
        <v>0.17157356752672726</v>
      </c>
      <c r="AE344">
        <f t="shared" si="84"/>
        <v>0.30667816699441519</v>
      </c>
    </row>
    <row r="345" spans="1:50" x14ac:dyDescent="0.25">
      <c r="A345" s="4" t="s">
        <v>87</v>
      </c>
      <c r="B345" s="5">
        <v>4</v>
      </c>
      <c r="C345" s="5"/>
      <c r="D345" s="5" t="s">
        <v>894</v>
      </c>
      <c r="E345" s="6"/>
      <c r="G345" s="58">
        <v>0.2</v>
      </c>
      <c r="H345" s="99">
        <f t="shared" si="65"/>
        <v>0.9797958971132712</v>
      </c>
      <c r="I345" s="99">
        <f t="shared" si="66"/>
        <v>223.28000000000003</v>
      </c>
      <c r="J345" s="99">
        <v>4.7080225670232999E-3</v>
      </c>
      <c r="K345" s="99">
        <f t="shared" si="67"/>
        <v>0.49366376926403399</v>
      </c>
      <c r="L345" s="99">
        <f t="shared" si="68"/>
        <v>0.90011062162243172</v>
      </c>
      <c r="M345" s="99">
        <f t="shared" si="69"/>
        <v>0.11022703842524302</v>
      </c>
      <c r="N345" s="99">
        <f t="shared" si="70"/>
        <v>1.7543178027757716E-2</v>
      </c>
      <c r="O345">
        <f t="shared" si="71"/>
        <v>0.10464554001175856</v>
      </c>
      <c r="P345" s="99">
        <f t="shared" si="72"/>
        <v>0.10446375301980225</v>
      </c>
      <c r="Q345" s="99">
        <f t="shared" si="63"/>
        <v>0.11124765915140268</v>
      </c>
      <c r="R345" s="99">
        <f t="shared" si="73"/>
        <v>1.7705614861348064E-2</v>
      </c>
      <c r="S345">
        <f t="shared" si="74"/>
        <v>0.10792498822942134</v>
      </c>
      <c r="T345" s="99">
        <f t="shared" si="64"/>
        <v>0.19954779627822608</v>
      </c>
      <c r="U345" s="99">
        <v>1</v>
      </c>
      <c r="V345" s="99">
        <f t="shared" si="75"/>
        <v>-1</v>
      </c>
      <c r="W345" s="99">
        <f t="shared" si="76"/>
        <v>0.67415129622735914</v>
      </c>
      <c r="X345" s="29">
        <f t="shared" si="77"/>
        <v>0.11001752088764941</v>
      </c>
      <c r="Y345" s="99">
        <f t="shared" si="78"/>
        <v>1.2136186727696732</v>
      </c>
      <c r="Z345">
        <f t="shared" si="79"/>
        <v>0.46663217411846386</v>
      </c>
      <c r="AA345" s="99">
        <f t="shared" si="80"/>
        <v>0.18106425247368804</v>
      </c>
      <c r="AB345">
        <f>$U$302*$Y$299*(O345/M345)*$U$301</f>
        <v>0.56384721039314389</v>
      </c>
      <c r="AC345" s="99">
        <f t="shared" si="82"/>
        <v>0.22729342331803393</v>
      </c>
      <c r="AD345">
        <f t="shared" si="83"/>
        <v>0.17291962894828372</v>
      </c>
      <c r="AE345">
        <f t="shared" si="84"/>
        <v>0.30667816699441514</v>
      </c>
    </row>
    <row r="346" spans="1:50" x14ac:dyDescent="0.25">
      <c r="A346" s="4" t="s">
        <v>872</v>
      </c>
      <c r="B346" s="5"/>
      <c r="C346" s="5"/>
      <c r="D346" s="5" t="s">
        <v>880</v>
      </c>
      <c r="E346" s="6" t="s">
        <v>992</v>
      </c>
      <c r="G346" s="5">
        <v>0.25</v>
      </c>
      <c r="H346">
        <f t="shared" si="65"/>
        <v>0.96824583655185426</v>
      </c>
      <c r="I346">
        <f t="shared" si="66"/>
        <v>279.10000000000002</v>
      </c>
      <c r="J346">
        <v>4.5493535923983881E-3</v>
      </c>
      <c r="K346">
        <f t="shared" si="67"/>
        <v>0.48527378785700842</v>
      </c>
      <c r="L346">
        <f t="shared" si="68"/>
        <v>0.9079881119813048</v>
      </c>
      <c r="M346">
        <f t="shared" si="69"/>
        <v>0.1115419203707736</v>
      </c>
      <c r="N346">
        <f t="shared" si="70"/>
        <v>1.7752447988971194E-2</v>
      </c>
      <c r="O346">
        <f t="shared" si="71"/>
        <v>0.10698268400095574</v>
      </c>
      <c r="P346">
        <f t="shared" si="72"/>
        <v>0.10679683699482667</v>
      </c>
      <c r="Q346">
        <f t="shared" si="63"/>
        <v>0.11257471592976225</v>
      </c>
      <c r="R346">
        <f t="shared" si="73"/>
        <v>1.7916822507387593E-2</v>
      </c>
      <c r="S346">
        <f t="shared" si="74"/>
        <v>0.11038625709076041</v>
      </c>
      <c r="T346" s="29">
        <f t="shared" si="64"/>
        <v>0.24943474534778259</v>
      </c>
      <c r="U346">
        <v>1</v>
      </c>
      <c r="V346" s="29">
        <f>($Q$273+($Q$272*$Q$274))*U346</f>
        <v>-1</v>
      </c>
      <c r="W346" s="29">
        <f t="shared" si="76"/>
        <v>0.68920773006687319</v>
      </c>
      <c r="X346" s="29">
        <f t="shared" si="77"/>
        <v>0.11226220245662301</v>
      </c>
      <c r="Y346" s="29">
        <f t="shared" si="78"/>
        <v>1.2157311472964261</v>
      </c>
      <c r="Z346">
        <f t="shared" si="79"/>
        <v>0.47143027312211128</v>
      </c>
      <c r="AA346">
        <f t="shared" si="80"/>
        <v>0.18106425247368804</v>
      </c>
      <c r="AB346">
        <f t="shared" si="81"/>
        <v>0.56964491335588441</v>
      </c>
      <c r="AC346">
        <f t="shared" si="82"/>
        <v>0.22729342331803393</v>
      </c>
      <c r="AD346">
        <f t="shared" si="83"/>
        <v>0.17469765786567512</v>
      </c>
      <c r="AE346">
        <f t="shared" si="84"/>
        <v>0.30667816699441525</v>
      </c>
    </row>
    <row r="347" spans="1:50" x14ac:dyDescent="0.25">
      <c r="A347" s="4" t="s">
        <v>873</v>
      </c>
      <c r="B347" s="5"/>
      <c r="C347" s="5"/>
      <c r="D347" s="5" t="s">
        <v>882</v>
      </c>
      <c r="E347" s="6" t="s">
        <v>878</v>
      </c>
      <c r="G347" s="58">
        <v>0.3</v>
      </c>
      <c r="H347" s="99">
        <f t="shared" si="65"/>
        <v>0.95393920141694566</v>
      </c>
      <c r="I347" s="99">
        <f t="shared" si="66"/>
        <v>334.92</v>
      </c>
      <c r="J347" s="99">
        <v>4.8008901389905165E-3</v>
      </c>
      <c r="K347" s="99">
        <f t="shared" si="67"/>
        <v>0.49850884787712874</v>
      </c>
      <c r="L347" s="99">
        <f t="shared" si="68"/>
        <v>0.89553998994770612</v>
      </c>
      <c r="M347" s="99">
        <f t="shared" si="69"/>
        <v>0.11321476236596717</v>
      </c>
      <c r="N347" s="99">
        <f t="shared" si="70"/>
        <v>1.8018689061517958E-2</v>
      </c>
      <c r="O347">
        <f t="shared" si="71"/>
        <v>0.10998526883345291</v>
      </c>
      <c r="P347" s="99">
        <f t="shared" si="72"/>
        <v>0.10979420582992221</v>
      </c>
      <c r="Q347" s="99">
        <f t="shared" si="63"/>
        <v>0.11426304720268909</v>
      </c>
      <c r="R347" s="99">
        <f t="shared" si="73"/>
        <v>1.8185528775050534E-2</v>
      </c>
      <c r="S347">
        <f t="shared" si="74"/>
        <v>0.11355144228561578</v>
      </c>
      <c r="T347" s="99">
        <f t="shared" si="64"/>
        <v>0.29932169441733908</v>
      </c>
      <c r="U347" s="99">
        <v>1</v>
      </c>
      <c r="V347" s="99">
        <f t="shared" si="75"/>
        <v>-1</v>
      </c>
      <c r="W347" s="99">
        <f t="shared" si="76"/>
        <v>0.70855109106088332</v>
      </c>
      <c r="X347" s="29">
        <f t="shared" si="77"/>
        <v>0.11499409277956241</v>
      </c>
      <c r="Y347" s="99">
        <f t="shared" si="78"/>
        <v>1.2187100318108479</v>
      </c>
      <c r="Z347">
        <f t="shared" si="79"/>
        <v>0.4775001988728767</v>
      </c>
      <c r="AA347" s="99">
        <f t="shared" si="80"/>
        <v>0.18106425247368804</v>
      </c>
      <c r="AB347">
        <f t="shared" si="81"/>
        <v>0.57697940697139272</v>
      </c>
      <c r="AC347" s="99">
        <f t="shared" si="82"/>
        <v>0.22729342331803393</v>
      </c>
      <c r="AD347">
        <f t="shared" si="83"/>
        <v>0.17694698692351138</v>
      </c>
      <c r="AE347">
        <f t="shared" si="84"/>
        <v>0.30667816699441514</v>
      </c>
    </row>
    <row r="348" spans="1:50" x14ac:dyDescent="0.25">
      <c r="A348" s="4" t="s">
        <v>874</v>
      </c>
      <c r="B348" s="5">
        <f>B177</f>
        <v>0.9</v>
      </c>
      <c r="C348" s="5"/>
      <c r="D348" s="11" t="s">
        <v>823</v>
      </c>
      <c r="E348" s="6" t="s">
        <v>834</v>
      </c>
      <c r="G348" s="5">
        <v>0.35</v>
      </c>
      <c r="H348">
        <f t="shared" si="65"/>
        <v>0.93674969975975975</v>
      </c>
      <c r="I348">
        <f t="shared" si="66"/>
        <v>390.74</v>
      </c>
      <c r="J348">
        <v>4.6909275586787093E-3</v>
      </c>
      <c r="K348">
        <f t="shared" si="67"/>
        <v>0.49276669827234953</v>
      </c>
      <c r="L348">
        <f t="shared" si="68"/>
        <v>0.90095573625152681</v>
      </c>
      <c r="M348">
        <f t="shared" si="69"/>
        <v>0.11529227073966274</v>
      </c>
      <c r="N348">
        <f t="shared" si="70"/>
        <v>1.8349334788506415E-2</v>
      </c>
      <c r="O348">
        <f t="shared" si="71"/>
        <v>0.11375906391372086</v>
      </c>
      <c r="P348">
        <f t="shared" si="72"/>
        <v>0.11356144519022517</v>
      </c>
      <c r="Q348">
        <f t="shared" si="63"/>
        <v>0.11635979176502999</v>
      </c>
      <c r="R348">
        <f t="shared" si="73"/>
        <v>1.8519236036548141E-2</v>
      </c>
      <c r="S348">
        <f t="shared" si="74"/>
        <v>0.11753458280720043</v>
      </c>
      <c r="T348" s="29">
        <f t="shared" si="64"/>
        <v>0.34920864348689562</v>
      </c>
      <c r="U348">
        <v>1</v>
      </c>
      <c r="V348" s="29">
        <f t="shared" si="75"/>
        <v>-1</v>
      </c>
      <c r="W348" s="29">
        <f t="shared" si="76"/>
        <v>0.73286277070602823</v>
      </c>
      <c r="X348" s="29">
        <f t="shared" si="77"/>
        <v>0.11852459485132352</v>
      </c>
      <c r="Y348" s="29">
        <f t="shared" si="78"/>
        <v>1.2228773485094071</v>
      </c>
      <c r="Z348">
        <f t="shared" si="79"/>
        <v>0.48498455962647569</v>
      </c>
      <c r="AA348">
        <f t="shared" si="80"/>
        <v>0.18106425247368804</v>
      </c>
      <c r="AB348">
        <f t="shared" si="81"/>
        <v>0.58602300954865816</v>
      </c>
      <c r="AC348">
        <f t="shared" si="82"/>
        <v>0.22729342331803393</v>
      </c>
      <c r="AD348">
        <f t="shared" si="83"/>
        <v>0.17972046238493314</v>
      </c>
      <c r="AE348">
        <f t="shared" si="84"/>
        <v>0.30667816699441514</v>
      </c>
    </row>
    <row r="349" spans="1:50" x14ac:dyDescent="0.25">
      <c r="A349" s="4" t="s">
        <v>875</v>
      </c>
      <c r="B349" s="5"/>
      <c r="C349" s="5"/>
      <c r="D349" s="5" t="s">
        <v>883</v>
      </c>
      <c r="E349" s="6" t="s">
        <v>879</v>
      </c>
      <c r="G349" s="5">
        <v>0.4</v>
      </c>
      <c r="H349">
        <f t="shared" si="65"/>
        <v>0.91651513899116799</v>
      </c>
      <c r="I349">
        <f t="shared" si="66"/>
        <v>446.56000000000006</v>
      </c>
      <c r="J349">
        <v>4.5984787330284483E-3</v>
      </c>
      <c r="K349">
        <f t="shared" si="67"/>
        <v>0.48788681104369275</v>
      </c>
      <c r="L349">
        <f t="shared" si="68"/>
        <v>0.90554218472729964</v>
      </c>
      <c r="M349">
        <f t="shared" si="69"/>
        <v>0.11783766072743589</v>
      </c>
      <c r="N349">
        <f t="shared" si="70"/>
        <v>1.8754446187157128E-2</v>
      </c>
      <c r="O349">
        <f t="shared" si="71"/>
        <v>0.11844937702562958</v>
      </c>
      <c r="P349">
        <f t="shared" si="72"/>
        <v>0.1182436104354226</v>
      </c>
      <c r="Q349">
        <f t="shared" si="63"/>
        <v>0.11892875017861584</v>
      </c>
      <c r="R349">
        <f t="shared" si="73"/>
        <v>1.8928098466667844E-2</v>
      </c>
      <c r="S349">
        <f t="shared" si="74"/>
        <v>0.12249278234294751</v>
      </c>
      <c r="T349" s="29">
        <f t="shared" si="64"/>
        <v>0.39909559255645216</v>
      </c>
      <c r="U349">
        <v>1</v>
      </c>
      <c r="V349" s="29">
        <f t="shared" si="75"/>
        <v>-1</v>
      </c>
      <c r="W349" s="29">
        <f t="shared" si="76"/>
        <v>0.76307887608185354</v>
      </c>
      <c r="X349" s="29">
        <f t="shared" si="77"/>
        <v>0.12285441590501772</v>
      </c>
      <c r="Y349" s="29">
        <f t="shared" si="78"/>
        <v>1.2287153291552386</v>
      </c>
      <c r="Z349">
        <f t="shared" si="79"/>
        <v>0.49407259342620635</v>
      </c>
      <c r="AA349">
        <f t="shared" si="80"/>
        <v>0.18106425247368804</v>
      </c>
      <c r="AB349">
        <f t="shared" si="81"/>
        <v>0.59700438372333264</v>
      </c>
      <c r="AC349">
        <f t="shared" si="82"/>
        <v>0.22729342331803393</v>
      </c>
      <c r="AD349">
        <f t="shared" si="83"/>
        <v>0.18308821008790213</v>
      </c>
      <c r="AE349">
        <f t="shared" si="84"/>
        <v>0.30667816699441519</v>
      </c>
    </row>
    <row r="350" spans="1:50" x14ac:dyDescent="0.25">
      <c r="A350" s="190" t="s">
        <v>884</v>
      </c>
      <c r="B350" s="2">
        <v>0.52</v>
      </c>
      <c r="C350" s="2"/>
      <c r="D350" s="2" t="s">
        <v>887</v>
      </c>
      <c r="E350" s="3" t="s">
        <v>886</v>
      </c>
      <c r="G350" s="5">
        <v>0.45</v>
      </c>
      <c r="H350">
        <f t="shared" si="65"/>
        <v>0.89302855497458755</v>
      </c>
      <c r="I350">
        <f t="shared" si="66"/>
        <v>502.38000000000005</v>
      </c>
      <c r="J350">
        <v>4.5190185289509695E-3</v>
      </c>
      <c r="K350">
        <f t="shared" si="67"/>
        <v>0.48365318038246874</v>
      </c>
      <c r="L350">
        <f t="shared" si="68"/>
        <v>0.90950066575502775</v>
      </c>
      <c r="M350">
        <f t="shared" si="69"/>
        <v>0.12093678236646453</v>
      </c>
      <c r="N350">
        <f t="shared" si="70"/>
        <v>1.9247686715251594E-2</v>
      </c>
      <c r="O350">
        <f t="shared" si="71"/>
        <v>0.12425694261102585</v>
      </c>
      <c r="P350">
        <f t="shared" si="72"/>
        <v>0.12404108729770424</v>
      </c>
      <c r="Q350">
        <f t="shared" si="63"/>
        <v>0.12205656738837624</v>
      </c>
      <c r="R350">
        <f t="shared" si="73"/>
        <v>1.942590603668911E-2</v>
      </c>
      <c r="S350">
        <f t="shared" si="74"/>
        <v>0.12864380245837007</v>
      </c>
      <c r="T350" s="29">
        <f t="shared" si="64"/>
        <v>0.4489825416260087</v>
      </c>
      <c r="U350">
        <v>1</v>
      </c>
      <c r="V350" s="29">
        <f t="shared" si="75"/>
        <v>-1</v>
      </c>
      <c r="W350" s="29">
        <f t="shared" si="76"/>
        <v>0.80049258589576777</v>
      </c>
      <c r="X350" s="29">
        <f t="shared" si="77"/>
        <v>0.12813656681875776</v>
      </c>
      <c r="Y350" s="29">
        <f t="shared" si="78"/>
        <v>1.2369580304296415</v>
      </c>
      <c r="Z350">
        <f t="shared" si="79"/>
        <v>0.50501508313064158</v>
      </c>
      <c r="AA350">
        <f t="shared" si="80"/>
        <v>0.18106425247368804</v>
      </c>
      <c r="AB350">
        <f t="shared" si="81"/>
        <v>0.61022655878285847</v>
      </c>
      <c r="AC350">
        <f t="shared" si="82"/>
        <v>0.22729342331803393</v>
      </c>
      <c r="AD350">
        <f t="shared" si="83"/>
        <v>0.18714316249883678</v>
      </c>
      <c r="AE350">
        <f t="shared" si="84"/>
        <v>0.30667816699441519</v>
      </c>
    </row>
    <row r="351" spans="1:50" x14ac:dyDescent="0.25">
      <c r="A351" s="4" t="s">
        <v>885</v>
      </c>
      <c r="B351" s="5">
        <f>2*B352/B353</f>
        <v>0.26709677419354838</v>
      </c>
      <c r="C351" s="5"/>
      <c r="D351" s="5" t="s">
        <v>888</v>
      </c>
      <c r="E351" s="6"/>
      <c r="G351" s="5">
        <v>0.5</v>
      </c>
      <c r="H351">
        <f t="shared" si="65"/>
        <v>0.8660254037844386</v>
      </c>
      <c r="I351">
        <f t="shared" si="66"/>
        <v>558.20000000000005</v>
      </c>
      <c r="J351">
        <v>4.4495443436012045E-3</v>
      </c>
      <c r="K351">
        <f t="shared" si="67"/>
        <v>0.4799210029610802</v>
      </c>
      <c r="L351">
        <f t="shared" si="68"/>
        <v>0.91296881021913601</v>
      </c>
      <c r="M351">
        <f t="shared" si="69"/>
        <v>0.12470765814495917</v>
      </c>
      <c r="N351">
        <f t="shared" si="70"/>
        <v>1.9847840235184516E-2</v>
      </c>
      <c r="O351">
        <f t="shared" si="71"/>
        <v>0.13146303448299143</v>
      </c>
      <c r="P351">
        <f t="shared" si="72"/>
        <v>0.13123466096999292</v>
      </c>
      <c r="Q351">
        <f t="shared" si="63"/>
        <v>0.12586235868333842</v>
      </c>
      <c r="R351">
        <f t="shared" si="73"/>
        <v>2.0031616533658446E-2</v>
      </c>
      <c r="S351">
        <f t="shared" si="74"/>
        <v>0.136294012347947</v>
      </c>
      <c r="T351" s="29">
        <f t="shared" si="64"/>
        <v>0.49886949069556519</v>
      </c>
      <c r="U351">
        <v>1</v>
      </c>
      <c r="V351" s="29">
        <f t="shared" si="75"/>
        <v>-1</v>
      </c>
      <c r="W351" s="29">
        <f t="shared" si="76"/>
        <v>0.84691593251592157</v>
      </c>
      <c r="X351" s="29">
        <f t="shared" si="77"/>
        <v>0.13457673865104924</v>
      </c>
      <c r="Y351" s="29">
        <f t="shared" si="78"/>
        <v>1.2487506177526941</v>
      </c>
      <c r="Z351">
        <f t="shared" si="79"/>
        <v>0.51814656605834208</v>
      </c>
      <c r="AA351">
        <f t="shared" si="80"/>
        <v>0.18106425247368804</v>
      </c>
      <c r="AB351">
        <f t="shared" si="81"/>
        <v>0.6260937673204966</v>
      </c>
      <c r="AC351">
        <f t="shared" si="82"/>
        <v>0.22729342331803393</v>
      </c>
      <c r="AD351">
        <f t="shared" si="83"/>
        <v>0.19200928892847777</v>
      </c>
      <c r="AE351">
        <f t="shared" si="84"/>
        <v>0.30667816699441519</v>
      </c>
    </row>
    <row r="352" spans="1:50" x14ac:dyDescent="0.25">
      <c r="A352" s="61" t="s">
        <v>180</v>
      </c>
      <c r="B352" s="5">
        <v>6.21</v>
      </c>
      <c r="C352" s="5" t="s">
        <v>124</v>
      </c>
      <c r="D352" s="11" t="s">
        <v>896</v>
      </c>
      <c r="E352" s="6"/>
      <c r="G352" s="5">
        <v>0.55000000000000004</v>
      </c>
      <c r="H352">
        <f t="shared" si="65"/>
        <v>0.83516465442450327</v>
      </c>
      <c r="I352">
        <f t="shared" si="66"/>
        <v>614.0200000000001</v>
      </c>
      <c r="J352">
        <v>4.3879675712628595E-3</v>
      </c>
      <c r="K352">
        <f t="shared" si="67"/>
        <v>0.47658864582673482</v>
      </c>
      <c r="L352">
        <f t="shared" si="68"/>
        <v>0.91604458372783193</v>
      </c>
      <c r="M352">
        <f t="shared" si="69"/>
        <v>0.12931581745927792</v>
      </c>
      <c r="N352">
        <f t="shared" si="70"/>
        <v>2.0581251568613304E-2</v>
      </c>
      <c r="O352">
        <f t="shared" si="71"/>
        <v>0.14047047884093974</v>
      </c>
      <c r="P352">
        <f t="shared" si="72"/>
        <v>0.14022645787450116</v>
      </c>
      <c r="Q352">
        <f t="shared" si="63"/>
        <v>0.13051318613945642</v>
      </c>
      <c r="R352">
        <f t="shared" si="73"/>
        <v>2.0771818712767131E-2</v>
      </c>
      <c r="S352">
        <f t="shared" si="74"/>
        <v>0.14588430801061572</v>
      </c>
      <c r="T352" s="29">
        <f t="shared" si="64"/>
        <v>0.54875643976512178</v>
      </c>
      <c r="U352">
        <v>1</v>
      </c>
      <c r="V352" s="29">
        <f t="shared" si="75"/>
        <v>-1</v>
      </c>
      <c r="W352" s="29">
        <f t="shared" si="76"/>
        <v>0.9049440175057295</v>
      </c>
      <c r="X352" s="29">
        <f t="shared" si="77"/>
        <v>0.14245519308971499</v>
      </c>
      <c r="Y352" s="29">
        <f t="shared" si="78"/>
        <v>1.2659380192107941</v>
      </c>
      <c r="Z352">
        <f t="shared" si="79"/>
        <v>0.5339191633771676</v>
      </c>
      <c r="AA352">
        <f t="shared" si="80"/>
        <v>0.18106425247368804</v>
      </c>
      <c r="AB352">
        <f t="shared" si="81"/>
        <v>0.64515232241407749</v>
      </c>
      <c r="AC352">
        <f t="shared" si="82"/>
        <v>0.22729342331803393</v>
      </c>
      <c r="AD352">
        <f t="shared" si="83"/>
        <v>0.19785413167013924</v>
      </c>
      <c r="AE352">
        <f t="shared" si="84"/>
        <v>0.30667816699441519</v>
      </c>
    </row>
    <row r="353" spans="1:57" x14ac:dyDescent="0.25">
      <c r="A353" s="200" t="s">
        <v>143</v>
      </c>
      <c r="B353" s="8">
        <v>46.5</v>
      </c>
      <c r="C353" s="8" t="s">
        <v>124</v>
      </c>
      <c r="D353" s="8" t="s">
        <v>764</v>
      </c>
      <c r="E353" s="9"/>
      <c r="G353" s="5">
        <v>0.6</v>
      </c>
      <c r="H353">
        <f t="shared" si="65"/>
        <v>0.8</v>
      </c>
      <c r="I353">
        <f t="shared" si="66"/>
        <v>669.84</v>
      </c>
      <c r="J353">
        <v>4.3327800933213355E-3</v>
      </c>
      <c r="K353">
        <f t="shared" si="67"/>
        <v>0.47358213445862074</v>
      </c>
      <c r="L353">
        <f t="shared" si="68"/>
        <v>0.91880002531737037</v>
      </c>
      <c r="M353">
        <f t="shared" si="69"/>
        <v>0.13499999999999998</v>
      </c>
      <c r="N353">
        <f t="shared" si="70"/>
        <v>2.1485917317405869E-2</v>
      </c>
      <c r="O353">
        <f t="shared" si="71"/>
        <v>0.15187349429154923</v>
      </c>
      <c r="P353">
        <f t="shared" si="72"/>
        <v>0.15160966435974274</v>
      </c>
      <c r="Q353">
        <f t="shared" si="63"/>
        <v>0.13624999999999998</v>
      </c>
      <c r="R353">
        <f t="shared" si="73"/>
        <v>2.1684860996270736E-2</v>
      </c>
      <c r="S353">
        <f t="shared" si="74"/>
        <v>0.15806885198995582</v>
      </c>
      <c r="T353" s="29">
        <f t="shared" si="64"/>
        <v>0.59864338883467816</v>
      </c>
      <c r="U353">
        <v>1</v>
      </c>
      <c r="V353" s="29">
        <f t="shared" si="75"/>
        <v>-1</v>
      </c>
      <c r="W353" s="29">
        <f t="shared" si="76"/>
        <v>0.97840493754174052</v>
      </c>
      <c r="X353" s="29">
        <f t="shared" si="77"/>
        <v>0.15215993404940356</v>
      </c>
      <c r="Y353" s="29">
        <f t="shared" si="78"/>
        <v>1.2916153945984163</v>
      </c>
      <c r="Z353">
        <f t="shared" si="79"/>
        <v>0.55295566560775311</v>
      </c>
      <c r="AA353">
        <f t="shared" si="80"/>
        <v>0.18106425247368804</v>
      </c>
      <c r="AB353">
        <f t="shared" si="81"/>
        <v>0.66815476260936835</v>
      </c>
      <c r="AC353">
        <f t="shared" si="82"/>
        <v>0.22729342331803393</v>
      </c>
      <c r="AD353">
        <f t="shared" si="83"/>
        <v>0.20490847786562968</v>
      </c>
      <c r="AE353">
        <f t="shared" si="84"/>
        <v>0.30667816699441514</v>
      </c>
    </row>
    <row r="354" spans="1:57" x14ac:dyDescent="0.25">
      <c r="A354" s="35" t="s">
        <v>892</v>
      </c>
      <c r="B354" s="2">
        <f>B355/B350</f>
        <v>7.6923076923076916</v>
      </c>
      <c r="C354" s="2"/>
      <c r="D354" s="159" t="s">
        <v>893</v>
      </c>
      <c r="E354" s="3"/>
      <c r="G354" s="5">
        <v>0.65</v>
      </c>
      <c r="H354">
        <f t="shared" si="65"/>
        <v>0.75993420767853315</v>
      </c>
      <c r="I354">
        <f t="shared" si="66"/>
        <v>725.66000000000008</v>
      </c>
      <c r="J354">
        <v>4.6552819743707263E-3</v>
      </c>
      <c r="K354">
        <f t="shared" si="67"/>
        <v>0.49089090160369092</v>
      </c>
      <c r="L354">
        <f t="shared" si="68"/>
        <v>0.90272113291127798</v>
      </c>
      <c r="M354">
        <f t="shared" si="69"/>
        <v>0.1421175661113101</v>
      </c>
      <c r="N354">
        <f t="shared" si="70"/>
        <v>2.2618713146804234E-2</v>
      </c>
      <c r="O354">
        <f t="shared" si="71"/>
        <v>0.16658299205178798</v>
      </c>
      <c r="P354">
        <f t="shared" si="72"/>
        <v>0.16629360923592432</v>
      </c>
      <c r="Q354">
        <f t="shared" si="63"/>
        <v>0.14343346950122965</v>
      </c>
      <c r="R354">
        <f t="shared" si="73"/>
        <v>2.2828145675941311E-2</v>
      </c>
      <c r="S354">
        <f t="shared" si="74"/>
        <v>0.17385749335052486</v>
      </c>
      <c r="T354" s="29">
        <f t="shared" si="64"/>
        <v>0.64853033790423475</v>
      </c>
      <c r="U354">
        <v>1</v>
      </c>
      <c r="V354" s="29">
        <f t="shared" si="75"/>
        <v>-1</v>
      </c>
      <c r="W354" s="29">
        <f t="shared" si="76"/>
        <v>1.0731669979296379</v>
      </c>
      <c r="X354" s="29">
        <f t="shared" si="77"/>
        <v>0.16427888278312427</v>
      </c>
      <c r="Y354" s="29">
        <f t="shared" si="78"/>
        <v>1.3312457184293842</v>
      </c>
      <c r="Z354">
        <f t="shared" si="79"/>
        <v>0.5761359727959795</v>
      </c>
      <c r="AA354">
        <f t="shared" si="80"/>
        <v>0.18106425247368804</v>
      </c>
      <c r="AB354">
        <f t="shared" si="81"/>
        <v>0.69616430046180855</v>
      </c>
      <c r="AC354">
        <f t="shared" si="82"/>
        <v>0.22729342331803393</v>
      </c>
      <c r="AD354">
        <f t="shared" si="83"/>
        <v>0.21349839159257672</v>
      </c>
      <c r="AE354">
        <f t="shared" si="84"/>
        <v>0.30667816699441514</v>
      </c>
    </row>
    <row r="355" spans="1:57" x14ac:dyDescent="0.25">
      <c r="A355" s="36" t="s">
        <v>268</v>
      </c>
      <c r="B355" s="5">
        <v>4</v>
      </c>
      <c r="C355" s="5"/>
      <c r="D355" s="11" t="s">
        <v>894</v>
      </c>
      <c r="E355" s="6"/>
      <c r="G355" s="5">
        <v>0.7</v>
      </c>
      <c r="H355">
        <f t="shared" si="65"/>
        <v>0.71414284285428498</v>
      </c>
      <c r="I355">
        <f t="shared" si="66"/>
        <v>781.48</v>
      </c>
      <c r="J355">
        <v>4.6058139269503622E-3</v>
      </c>
      <c r="K355">
        <f t="shared" si="67"/>
        <v>0.48827577863175115</v>
      </c>
      <c r="L355">
        <f t="shared" si="68"/>
        <v>0.90517741789724648</v>
      </c>
      <c r="M355">
        <f t="shared" si="69"/>
        <v>0.15123024907502505</v>
      </c>
      <c r="N355">
        <f t="shared" si="70"/>
        <v>2.4069041685308771E-2</v>
      </c>
      <c r="O355">
        <f t="shared" si="71"/>
        <v>0.18606658153192498</v>
      </c>
      <c r="P355">
        <f t="shared" si="72"/>
        <v>0.18574335242768911</v>
      </c>
      <c r="Q355">
        <f t="shared" si="63"/>
        <v>0.15263052915905306</v>
      </c>
      <c r="R355">
        <f t="shared" si="73"/>
        <v>2.4291903182394964E-2</v>
      </c>
      <c r="S355">
        <f t="shared" si="74"/>
        <v>0.19489118882148326</v>
      </c>
      <c r="T355" s="29">
        <f t="shared" si="64"/>
        <v>0.69841728697379124</v>
      </c>
      <c r="U355">
        <v>1</v>
      </c>
      <c r="V355" s="29">
        <f t="shared" si="75"/>
        <v>-1</v>
      </c>
      <c r="W355" s="29">
        <f t="shared" si="76"/>
        <v>1.1986848852826983</v>
      </c>
      <c r="X355" s="29">
        <f t="shared" si="77"/>
        <v>0.179593784901207</v>
      </c>
      <c r="Y355" s="29">
        <f t="shared" si="78"/>
        <v>1.3951127852600966</v>
      </c>
      <c r="Z355">
        <f t="shared" si="79"/>
        <v>0.60474433217521351</v>
      </c>
      <c r="AA355">
        <f t="shared" si="80"/>
        <v>0.18106425247368804</v>
      </c>
      <c r="AB355">
        <f t="shared" si="81"/>
        <v>0.73073273471171618</v>
      </c>
      <c r="AC355">
        <f t="shared" si="82"/>
        <v>0.22729342331803393</v>
      </c>
      <c r="AD355">
        <f t="shared" si="83"/>
        <v>0.22409977564420538</v>
      </c>
      <c r="AE355">
        <f t="shared" si="84"/>
        <v>0.30667816699441519</v>
      </c>
    </row>
    <row r="356" spans="1:57" x14ac:dyDescent="0.25">
      <c r="A356" s="196" t="s">
        <v>712</v>
      </c>
      <c r="B356" s="2">
        <f>SQRT(1-B357^2)</f>
        <v>0.97929915930220168</v>
      </c>
      <c r="C356" s="2"/>
      <c r="D356" s="2"/>
      <c r="E356" s="3"/>
      <c r="G356" s="5">
        <v>0.75</v>
      </c>
      <c r="H356">
        <f t="shared" si="65"/>
        <v>0.66143782776614768</v>
      </c>
      <c r="I356">
        <f t="shared" si="66"/>
        <v>837.30000000000007</v>
      </c>
      <c r="J356">
        <v>4.5604134905601482E-3</v>
      </c>
      <c r="K356">
        <f t="shared" si="67"/>
        <v>0.48586330245051834</v>
      </c>
      <c r="L356">
        <f t="shared" si="68"/>
        <v>0.90743702504463253</v>
      </c>
      <c r="M356">
        <f t="shared" si="69"/>
        <v>0.16328065233998615</v>
      </c>
      <c r="N356">
        <f t="shared" si="70"/>
        <v>2.5986922931178043E-2</v>
      </c>
      <c r="O356">
        <f t="shared" si="71"/>
        <v>0.21284847584675293</v>
      </c>
      <c r="P356">
        <f t="shared" si="72"/>
        <v>0.21247872206496424</v>
      </c>
      <c r="Q356">
        <f t="shared" si="63"/>
        <v>0.16479251023202307</v>
      </c>
      <c r="R356">
        <f t="shared" si="73"/>
        <v>2.6227542587948214E-2</v>
      </c>
      <c r="S356">
        <f t="shared" si="74"/>
        <v>0.22402223560332959</v>
      </c>
      <c r="T356" s="29">
        <f t="shared" si="64"/>
        <v>0.74830423604334784</v>
      </c>
      <c r="U356">
        <v>0.8</v>
      </c>
      <c r="V356" s="29">
        <f t="shared" si="75"/>
        <v>-0.8</v>
      </c>
      <c r="W356" s="29">
        <f t="shared" si="76"/>
        <v>1.3712201769514749</v>
      </c>
      <c r="X356" s="29">
        <f t="shared" si="77"/>
        <v>0.1992385684209218</v>
      </c>
      <c r="Y356" s="29">
        <f t="shared" si="78"/>
        <v>1.5042699888815725</v>
      </c>
      <c r="Z356">
        <f t="shared" si="79"/>
        <v>0.6407342113045229</v>
      </c>
      <c r="AA356">
        <f t="shared" si="80"/>
        <v>0.18106425247368804</v>
      </c>
      <c r="AB356">
        <f t="shared" si="81"/>
        <v>0.7742205053262986</v>
      </c>
      <c r="AC356">
        <f t="shared" si="82"/>
        <v>0.22729342331803393</v>
      </c>
      <c r="AD356">
        <f t="shared" si="83"/>
        <v>0.23743652542295909</v>
      </c>
      <c r="AE356">
        <f t="shared" si="84"/>
        <v>0.30667816699441514</v>
      </c>
    </row>
    <row r="357" spans="1:57" x14ac:dyDescent="0.25">
      <c r="A357" s="56" t="s">
        <v>182</v>
      </c>
      <c r="B357" s="5">
        <f>B358/B359</f>
        <v>0.20241827138378862</v>
      </c>
      <c r="C357" s="5"/>
      <c r="D357" s="5" t="s">
        <v>326</v>
      </c>
      <c r="E357" s="6"/>
      <c r="G357" s="5">
        <v>0.8</v>
      </c>
      <c r="H357">
        <f t="shared" si="65"/>
        <v>0.59999999999999987</v>
      </c>
      <c r="I357">
        <f t="shared" si="66"/>
        <v>893.12000000000012</v>
      </c>
      <c r="J357">
        <v>4.518504423855897E-3</v>
      </c>
      <c r="K357">
        <f t="shared" si="67"/>
        <v>0.48362566825401065</v>
      </c>
      <c r="L357">
        <f t="shared" si="68"/>
        <v>0.9095263114744262</v>
      </c>
      <c r="M357">
        <f t="shared" si="69"/>
        <v>0.18000000000000005</v>
      </c>
      <c r="N357">
        <f t="shared" si="70"/>
        <v>2.8647889756541169E-2</v>
      </c>
      <c r="O357">
        <f t="shared" si="71"/>
        <v>0.25167326542920682</v>
      </c>
      <c r="P357">
        <f t="shared" si="72"/>
        <v>0.251236066425092</v>
      </c>
      <c r="Q357">
        <f t="shared" si="63"/>
        <v>0.1816666666666667</v>
      </c>
      <c r="R357">
        <f t="shared" si="73"/>
        <v>2.8913147995027658E-2</v>
      </c>
      <c r="S357">
        <f t="shared" si="74"/>
        <v>0.266683574276255</v>
      </c>
      <c r="T357" s="29">
        <f t="shared" si="64"/>
        <v>0.79819118511290432</v>
      </c>
      <c r="U357">
        <v>0</v>
      </c>
      <c r="V357" s="29">
        <f t="shared" si="75"/>
        <v>0</v>
      </c>
      <c r="W357" s="29">
        <f t="shared" si="76"/>
        <v>1.6213386456394356</v>
      </c>
      <c r="X357" s="29">
        <f t="shared" si="77"/>
        <v>0.22479410117923354</v>
      </c>
      <c r="Y357" s="29">
        <f t="shared" si="78"/>
        <v>1.7070113297128373</v>
      </c>
      <c r="Z357">
        <f t="shared" si="79"/>
        <v>0.68723722324087244</v>
      </c>
      <c r="AA357">
        <f t="shared" si="80"/>
        <v>0.18106425247368804</v>
      </c>
      <c r="AB357">
        <f t="shared" si="81"/>
        <v>0.83041164474938745</v>
      </c>
      <c r="AC357">
        <f t="shared" si="82"/>
        <v>0.22729342331803393</v>
      </c>
      <c r="AD357">
        <f t="shared" si="83"/>
        <v>0.25466912106255962</v>
      </c>
      <c r="AE357">
        <f t="shared" si="84"/>
        <v>0.30667816699441519</v>
      </c>
    </row>
    <row r="358" spans="1:57" x14ac:dyDescent="0.25">
      <c r="A358" s="207" t="s">
        <v>934</v>
      </c>
      <c r="B358" s="5">
        <v>226</v>
      </c>
      <c r="C358" s="5" t="s">
        <v>135</v>
      </c>
      <c r="D358" s="11" t="s">
        <v>937</v>
      </c>
      <c r="E358" s="6"/>
      <c r="G358" s="5">
        <v>0.85</v>
      </c>
      <c r="H358">
        <f t="shared" si="65"/>
        <v>0.52678268764263703</v>
      </c>
      <c r="I358">
        <f t="shared" si="66"/>
        <v>948.94</v>
      </c>
      <c r="J358">
        <v>4.8379918873832865E-3</v>
      </c>
      <c r="K358">
        <f t="shared" si="67"/>
        <v>0.50043140316070156</v>
      </c>
      <c r="L358">
        <f t="shared" si="68"/>
        <v>0.89372498737516792</v>
      </c>
      <c r="M358">
        <f t="shared" si="69"/>
        <v>0.20501812708253975</v>
      </c>
      <c r="N358">
        <f t="shared" si="70"/>
        <v>3.2629648348628582E-2</v>
      </c>
      <c r="O358">
        <f t="shared" si="71"/>
        <v>0.31267319102286617</v>
      </c>
      <c r="P358">
        <f t="shared" si="72"/>
        <v>0.31213002483675789</v>
      </c>
      <c r="Q358">
        <f t="shared" si="63"/>
        <v>0.20691644307404475</v>
      </c>
      <c r="R358">
        <f t="shared" si="73"/>
        <v>3.293177472222699E-2</v>
      </c>
      <c r="S358">
        <f t="shared" si="74"/>
        <v>0.33467687582814859</v>
      </c>
      <c r="T358" s="29">
        <f t="shared" si="64"/>
        <v>0.84807813418246081</v>
      </c>
      <c r="U358">
        <v>0</v>
      </c>
      <c r="V358" s="29">
        <f t="shared" si="75"/>
        <v>0</v>
      </c>
      <c r="W358" s="29">
        <f t="shared" si="76"/>
        <v>2.0143145804391134</v>
      </c>
      <c r="X358" s="29">
        <f t="shared" si="77"/>
        <v>0.25890006919380087</v>
      </c>
      <c r="Y358" s="29">
        <f t="shared" si="78"/>
        <v>2.1338352284298052</v>
      </c>
      <c r="Z358">
        <f t="shared" si="79"/>
        <v>0.74961881678889786</v>
      </c>
      <c r="AA358">
        <f t="shared" si="80"/>
        <v>0.18106425247368804</v>
      </c>
      <c r="AB358">
        <f t="shared" si="81"/>
        <v>0.90578940361991822</v>
      </c>
      <c r="AC358">
        <f t="shared" si="82"/>
        <v>0.22729342331803393</v>
      </c>
      <c r="AD358">
        <f t="shared" si="83"/>
        <v>0.27778583398512102</v>
      </c>
      <c r="AE358">
        <f t="shared" si="84"/>
        <v>0.30667816699441519</v>
      </c>
    </row>
    <row r="359" spans="1:57" x14ac:dyDescent="0.25">
      <c r="A359" s="208" t="s">
        <v>142</v>
      </c>
      <c r="B359" s="20">
        <v>1116.5</v>
      </c>
      <c r="C359" s="8"/>
      <c r="D359" s="8" t="s">
        <v>936</v>
      </c>
      <c r="E359" s="9"/>
      <c r="G359" s="5">
        <v>0.9</v>
      </c>
      <c r="H359">
        <f t="shared" si="65"/>
        <v>0.43588989435406728</v>
      </c>
      <c r="I359">
        <f t="shared" si="66"/>
        <v>1004.7600000000001</v>
      </c>
      <c r="J359">
        <v>4.798857773988691E-3</v>
      </c>
      <c r="K359">
        <f t="shared" si="67"/>
        <v>0.49840331961533613</v>
      </c>
      <c r="L359">
        <f t="shared" si="68"/>
        <v>0.89563960819011967</v>
      </c>
      <c r="M359">
        <f t="shared" si="69"/>
        <v>0.24776899258020674</v>
      </c>
      <c r="N359">
        <f t="shared" si="70"/>
        <v>3.9433659914039042E-2</v>
      </c>
      <c r="O359">
        <f t="shared" si="71"/>
        <v>0.42233542912549932</v>
      </c>
      <c r="P359">
        <f t="shared" si="72"/>
        <v>0.42160176109484387</v>
      </c>
      <c r="Q359">
        <f t="shared" si="63"/>
        <v>0.25006314991891238</v>
      </c>
      <c r="R359">
        <f t="shared" si="73"/>
        <v>3.9798786394724589E-2</v>
      </c>
      <c r="S359">
        <f t="shared" si="74"/>
        <v>0.45954225107850494</v>
      </c>
      <c r="T359" s="29">
        <f t="shared" si="64"/>
        <v>0.8979650832520174</v>
      </c>
      <c r="U359">
        <v>0</v>
      </c>
      <c r="V359" s="29">
        <f t="shared" si="75"/>
        <v>0</v>
      </c>
      <c r="W359" s="29">
        <f t="shared" si="76"/>
        <v>2.720784631200726</v>
      </c>
      <c r="X359" s="29">
        <f t="shared" si="77"/>
        <v>0.29733954732076684</v>
      </c>
      <c r="Y359" s="29">
        <f t="shared" si="78"/>
        <v>3.2423783594749129</v>
      </c>
      <c r="Z359">
        <f t="shared" si="79"/>
        <v>0.83782372779117353</v>
      </c>
      <c r="AA359">
        <f t="shared" si="80"/>
        <v>0.18106425247368804</v>
      </c>
      <c r="AB359">
        <f t="shared" si="81"/>
        <v>1.012370337747668</v>
      </c>
      <c r="AC359">
        <f t="shared" si="82"/>
        <v>0.22729342331803393</v>
      </c>
      <c r="AD359">
        <f t="shared" si="83"/>
        <v>0.31047187949997179</v>
      </c>
      <c r="AE359">
        <f t="shared" si="84"/>
        <v>0.30667816699441514</v>
      </c>
    </row>
    <row r="360" spans="1:57" x14ac:dyDescent="0.25">
      <c r="A360" s="206" t="s">
        <v>889</v>
      </c>
      <c r="B360" s="170">
        <f>(2*PI()*B361)/(2+SQRT(4+B361^2*B362^2*(1+((TAN(B363))^2/B362^2))))</f>
        <v>2.8326158836470801</v>
      </c>
      <c r="C360" s="5"/>
      <c r="D360" s="5" t="s">
        <v>890</v>
      </c>
      <c r="E360" s="6" t="s">
        <v>891</v>
      </c>
      <c r="G360" s="5">
        <v>0.95</v>
      </c>
      <c r="H360">
        <f t="shared" si="65"/>
        <v>0.31224989991991997</v>
      </c>
      <c r="I360">
        <f t="shared" si="66"/>
        <v>1060.58</v>
      </c>
      <c r="J360">
        <v>4.7622431756993286E-3</v>
      </c>
      <c r="K360">
        <f t="shared" si="67"/>
        <v>0.49649830589853455</v>
      </c>
      <c r="L360">
        <f t="shared" si="68"/>
        <v>0.8974375832495457</v>
      </c>
      <c r="M360">
        <f t="shared" si="69"/>
        <v>0.34587681221898814</v>
      </c>
      <c r="N360">
        <f>M360/(2*PI())</f>
        <v>5.5048004365519231E-2</v>
      </c>
      <c r="O360">
        <f t="shared" si="71"/>
        <v>0.6830453188898814</v>
      </c>
      <c r="P360">
        <f t="shared" si="72"/>
        <v>0.68185875371111815</v>
      </c>
      <c r="Q360">
        <f t="shared" si="63"/>
        <v>0.34907937529508987</v>
      </c>
      <c r="R360">
        <f t="shared" si="73"/>
        <v>5.5557708109644402E-2</v>
      </c>
      <c r="S360">
        <f t="shared" si="74"/>
        <v>0.76642749247693198</v>
      </c>
      <c r="T360" s="29">
        <f t="shared" si="64"/>
        <v>0.94785203232157378</v>
      </c>
      <c r="U360">
        <v>0</v>
      </c>
      <c r="V360" s="29">
        <f t="shared" si="75"/>
        <v>0</v>
      </c>
      <c r="W360" s="29">
        <f t="shared" si="76"/>
        <v>4.400339346138419</v>
      </c>
      <c r="X360" s="29">
        <f t="shared" si="77"/>
        <v>0.27151160687642356</v>
      </c>
      <c r="Y360" s="29">
        <f t="shared" si="78"/>
        <v>7.7014034657252379</v>
      </c>
      <c r="Z360">
        <f t="shared" si="79"/>
        <v>0.97066678114832761</v>
      </c>
      <c r="AA360">
        <f t="shared" si="80"/>
        <v>0.18106425247368804</v>
      </c>
      <c r="AB360">
        <f t="shared" si="81"/>
        <v>1.1728890272208958</v>
      </c>
      <c r="AC360">
        <f t="shared" si="82"/>
        <v>0.22729342331803393</v>
      </c>
      <c r="AD360">
        <f t="shared" si="83"/>
        <v>0.35969945695596706</v>
      </c>
      <c r="AE360">
        <f t="shared" si="84"/>
        <v>0.30667816699441519</v>
      </c>
    </row>
    <row r="361" spans="1:57" x14ac:dyDescent="0.25">
      <c r="A361" s="56" t="s">
        <v>892</v>
      </c>
      <c r="B361" s="5">
        <f>B354</f>
        <v>7.6923076923076916</v>
      </c>
      <c r="C361" s="5"/>
      <c r="D361" s="11" t="s">
        <v>893</v>
      </c>
      <c r="E361" s="6"/>
    </row>
    <row r="362" spans="1:57" x14ac:dyDescent="0.25">
      <c r="A362" s="56" t="s">
        <v>712</v>
      </c>
      <c r="B362" s="5">
        <f>B356</f>
        <v>0.97929915930220168</v>
      </c>
      <c r="C362" s="5"/>
      <c r="D362" s="5"/>
      <c r="E362" s="6"/>
      <c r="G362" s="99" t="s">
        <v>181</v>
      </c>
      <c r="H362" s="254">
        <v>5000</v>
      </c>
    </row>
    <row r="363" spans="1:57" x14ac:dyDescent="0.25">
      <c r="A363" s="7" t="s">
        <v>410</v>
      </c>
      <c r="B363" s="198">
        <v>24.1</v>
      </c>
      <c r="C363" s="8" t="s">
        <v>364</v>
      </c>
      <c r="D363" s="8" t="s">
        <v>270</v>
      </c>
      <c r="E363" s="9"/>
      <c r="G363" s="221" t="s">
        <v>428</v>
      </c>
      <c r="H363">
        <v>1.3</v>
      </c>
    </row>
    <row r="364" spans="1:57" x14ac:dyDescent="0.25">
      <c r="A364" s="36" t="s">
        <v>1271</v>
      </c>
      <c r="B364" t="s">
        <v>560</v>
      </c>
      <c r="C364" t="s">
        <v>360</v>
      </c>
      <c r="G364" t="s">
        <v>142</v>
      </c>
      <c r="H364">
        <v>1097.0999999999999</v>
      </c>
      <c r="U364" t="s">
        <v>706</v>
      </c>
      <c r="Y364" t="s">
        <v>1158</v>
      </c>
      <c r="Z364" t="s">
        <v>560</v>
      </c>
      <c r="AB364" t="s">
        <v>360</v>
      </c>
      <c r="AD364" t="s">
        <v>1188</v>
      </c>
      <c r="AN364" t="s">
        <v>1201</v>
      </c>
      <c r="AV364" t="s">
        <v>1202</v>
      </c>
      <c r="BD364" t="s">
        <v>1204</v>
      </c>
    </row>
    <row r="365" spans="1:57" ht="15.75" x14ac:dyDescent="0.25">
      <c r="A365" s="151" t="s">
        <v>180</v>
      </c>
      <c r="B365">
        <v>12</v>
      </c>
      <c r="C365">
        <v>12</v>
      </c>
      <c r="G365" t="s">
        <v>348</v>
      </c>
      <c r="H365" s="223" t="s">
        <v>712</v>
      </c>
      <c r="I365" t="s">
        <v>1085</v>
      </c>
      <c r="J365" s="223" t="s">
        <v>356</v>
      </c>
      <c r="K365" s="231" t="s">
        <v>779</v>
      </c>
      <c r="L365" s="5" t="s">
        <v>785</v>
      </c>
      <c r="M365" s="11" t="s">
        <v>1153</v>
      </c>
      <c r="N365" s="11" t="s">
        <v>1152</v>
      </c>
      <c r="O365" t="s">
        <v>1059</v>
      </c>
      <c r="P365" t="s">
        <v>1060</v>
      </c>
      <c r="Q365" s="11" t="s">
        <v>1154</v>
      </c>
      <c r="R365" s="11" t="s">
        <v>788</v>
      </c>
      <c r="S365" t="s">
        <v>1061</v>
      </c>
      <c r="T365" t="s">
        <v>1156</v>
      </c>
      <c r="U365" s="223" t="s">
        <v>1157</v>
      </c>
      <c r="V365" s="221" t="s">
        <v>758</v>
      </c>
      <c r="W365" s="223" t="s">
        <v>786</v>
      </c>
      <c r="X365" s="226" t="s">
        <v>535</v>
      </c>
      <c r="Y365" s="226" t="s">
        <v>94</v>
      </c>
      <c r="Z365" s="226" t="s">
        <v>750</v>
      </c>
      <c r="AA365" s="227" t="s">
        <v>476</v>
      </c>
      <c r="AB365" s="226" t="s">
        <v>750</v>
      </c>
      <c r="AC365" s="227" t="s">
        <v>476</v>
      </c>
      <c r="AD365" s="226" t="s">
        <v>750</v>
      </c>
      <c r="AE365" s="227" t="s">
        <v>1193</v>
      </c>
      <c r="AN365" s="227" t="s">
        <v>1193</v>
      </c>
      <c r="AV365" s="227" t="s">
        <v>1193</v>
      </c>
      <c r="BD365" s="227" t="s">
        <v>1203</v>
      </c>
    </row>
    <row r="366" spans="1:57" x14ac:dyDescent="0.25">
      <c r="A366" s="151" t="s">
        <v>143</v>
      </c>
      <c r="B366">
        <v>46.5</v>
      </c>
      <c r="C366">
        <v>46.5</v>
      </c>
      <c r="G366" s="5">
        <v>0</v>
      </c>
      <c r="H366">
        <f>SQRT(1-G366^2)</f>
        <v>1</v>
      </c>
      <c r="I366">
        <f>G366*$H$364</f>
        <v>0</v>
      </c>
      <c r="J366" t="e">
        <v>#NUM!</v>
      </c>
      <c r="K366" t="e">
        <f>0.68*$H$271*(J366*(($Q$262/$H$271)+0.15))^0.5</f>
        <v>#NUM!</v>
      </c>
      <c r="L366" t="e">
        <f>1-(COS((PI()*$Q$263)/2*K366)^2)*(2.42*SQRT(J366))/(($Q$262/$H$270)+0.3)</f>
        <v>#NUM!</v>
      </c>
      <c r="M366">
        <f t="shared" ref="M366:M385" si="85">$Q$267/(1-G366^2)^0.5</f>
        <v>0.108</v>
      </c>
      <c r="N366">
        <f>M366/(2*PI())</f>
        <v>1.7188733853924696E-2</v>
      </c>
      <c r="O366">
        <f>(2*PI()*$H$265)/(2+($H$265^2*H366^2/N366^2*(1+TAN(RADIANS($H$275))^2/H366^2)+4)^0.5)</f>
        <v>0.10073378060434053</v>
      </c>
      <c r="P366">
        <f>O366*$N$262</f>
        <v>0.10055878899970652</v>
      </c>
      <c r="Q366">
        <f t="shared" ref="Q366:Q385" si="86">$Q$271/(1-G366^2)^0.5</f>
        <v>0.109</v>
      </c>
      <c r="R366">
        <f>Q366/(2*PI())</f>
        <v>1.7347888797016594E-2</v>
      </c>
      <c r="S366">
        <f>(2*PI()*$K$265)/(2+($K$265^2*H366^2/R366^2*(1+TAN(RADIANS($K$275))^2/H366^2)+4)^0.5)</f>
        <v>0.10381027215104761</v>
      </c>
      <c r="T366" s="29">
        <f t="shared" ref="T366:T385" si="87">G366*COS($H$273)</f>
        <v>0</v>
      </c>
      <c r="U366">
        <v>1</v>
      </c>
      <c r="V366" s="29">
        <f>($Q$273+($Q$272*$Q$274))*U366</f>
        <v>-1</v>
      </c>
      <c r="W366" s="29">
        <f t="shared" ref="W366:W385" si="88">4.44*(($N$265*$N$266*$N$267*SQRT(COS($H$273)))^1.19)*(O366/$O$441)</f>
        <v>0.6489508177860982</v>
      </c>
      <c r="X366" s="29" t="e">
        <f>P366+S366*L366*($K$263/$H$263)*(1-W366)</f>
        <v>#NUM!</v>
      </c>
      <c r="Y366" s="29">
        <f t="shared" ref="Y366:Y385" si="89">$H$438-S366*($K$263/$H$263)*$N$272*(1-W366-$N$271)+$N$270</f>
        <v>1.2104861657449768</v>
      </c>
      <c r="Z366">
        <f t="shared" ref="Z366:Z385" si="90">$U$302*$W$299*(O366/M366)*$U$301</f>
        <v>0.38204298311929219</v>
      </c>
      <c r="AA366">
        <f t="shared" ref="AA366:AA385" si="91">$W$300*$U$305*$U$303</f>
        <v>0.18106425247368804</v>
      </c>
      <c r="AB366">
        <f t="shared" ref="AB366:AB385" si="92">$U$302*$Y$299*(O366/M366)*$U$301</f>
        <v>0.55396232552297364</v>
      </c>
      <c r="AC366">
        <f t="shared" ref="AC366:AC385" si="93">$Y$300*$U$305*$U$303</f>
        <v>0.22729342331803393</v>
      </c>
      <c r="AD366">
        <f>$AH$323*$AH$322*(O366/M366)*$AH$324</f>
        <v>0.16988815057534906</v>
      </c>
      <c r="AE366" t="s">
        <v>1194</v>
      </c>
      <c r="AF366" t="s">
        <v>244</v>
      </c>
      <c r="AN366" t="s">
        <v>1194</v>
      </c>
      <c r="AO366" t="s">
        <v>244</v>
      </c>
      <c r="AV366" t="s">
        <v>1194</v>
      </c>
      <c r="AW366" t="s">
        <v>244</v>
      </c>
      <c r="BD366" t="s">
        <v>1194</v>
      </c>
      <c r="BE366" t="s">
        <v>244</v>
      </c>
    </row>
    <row r="367" spans="1:57" x14ac:dyDescent="0.25">
      <c r="A367" s="151" t="s">
        <v>1269</v>
      </c>
      <c r="B367">
        <f>B365/B366</f>
        <v>0.25806451612903225</v>
      </c>
      <c r="C367">
        <f>C365/C366</f>
        <v>0.25806451612903225</v>
      </c>
      <c r="G367" s="5">
        <v>0.05</v>
      </c>
      <c r="H367">
        <f t="shared" ref="H367:H385" si="94">SQRT(1-G367^2)</f>
        <v>0.99874921777190895</v>
      </c>
      <c r="I367">
        <f t="shared" ref="I367:I385" si="95">G367*$H$364</f>
        <v>54.854999999999997</v>
      </c>
      <c r="J367">
        <v>5.8159608114671012E-3</v>
      </c>
      <c r="K367">
        <f t="shared" ref="K367:K385" si="96">0.68*$H$271*(J367*(($Q$262/$H$271)+0.15))^0.5</f>
        <v>0.54868453899590419</v>
      </c>
      <c r="L367">
        <f t="shared" ref="L367:L385" si="97">1-(COS((PI()*$Q$263)/2*K367)^2)*(2.42*SQRT(J367))/(($Q$262/$H$270)+0.3)</f>
        <v>0.8500409953178284</v>
      </c>
      <c r="M367">
        <f t="shared" si="85"/>
        <v>0.10813525365349991</v>
      </c>
      <c r="N367">
        <f t="shared" ref="N367:N384" si="98">M367/(2*PI())</f>
        <v>1.7210260141450447E-2</v>
      </c>
      <c r="O367">
        <f t="shared" ref="O367:O385" si="99">(2*PI()*$H$265)/(2+($H$265^2*H367^2/N367^2*(1+TAN(RADIANS($H$275))^2/H367^2)+4)^0.5)</f>
        <v>0.10096966142983717</v>
      </c>
      <c r="P367">
        <f t="shared" ref="P367:P385" si="100">O367*$N$262</f>
        <v>0.10079426006033672</v>
      </c>
      <c r="Q367">
        <f t="shared" si="86"/>
        <v>0.10913650600214343</v>
      </c>
      <c r="R367">
        <f t="shared" ref="R367:R385" si="101">Q367/(2*PI())</f>
        <v>1.7369614402019434E-2</v>
      </c>
      <c r="S367">
        <f t="shared" ref="S367:S385" si="102">(2*PI()*$K$265)/(2+($K$265^2*H367^2/R367^2*(1+TAN(RADIANS($K$275))^2/H367^2)+4)^0.5)</f>
        <v>0.1040582208604917</v>
      </c>
      <c r="T367" s="29">
        <f t="shared" si="87"/>
        <v>4.988694906955652E-2</v>
      </c>
      <c r="U367">
        <v>1</v>
      </c>
      <c r="V367" s="29">
        <f t="shared" ref="V367:V385" si="103">($Q$273+($Q$272*$Q$274))*U367</f>
        <v>-1</v>
      </c>
      <c r="W367" s="29">
        <f t="shared" si="88"/>
        <v>0.65047041780197912</v>
      </c>
      <c r="X367" s="29">
        <f t="shared" ref="X367:X385" si="104">P367+S367*L367*($K$263/$H$263)*(1-W367)</f>
        <v>0.10621868912756693</v>
      </c>
      <c r="Y367" s="29">
        <f t="shared" si="89"/>
        <v>1.210660771233947</v>
      </c>
      <c r="Z367">
        <f t="shared" si="90"/>
        <v>0.3824586133220616</v>
      </c>
      <c r="AA367">
        <f t="shared" si="91"/>
        <v>0.18106425247368804</v>
      </c>
      <c r="AB367">
        <f t="shared" si="92"/>
        <v>0.55456498931698928</v>
      </c>
      <c r="AC367">
        <f t="shared" si="93"/>
        <v>0.22729342331803393</v>
      </c>
      <c r="AD367">
        <f t="shared" ref="AD367:AD385" si="105">$AH$323*$AH$322*(O367/M367)*$AH$324</f>
        <v>0.1700729744030117</v>
      </c>
      <c r="AE367">
        <v>-1</v>
      </c>
      <c r="AF367">
        <v>0</v>
      </c>
      <c r="AN367">
        <v>-1</v>
      </c>
      <c r="AO367">
        <v>0</v>
      </c>
      <c r="AV367">
        <v>-1</v>
      </c>
      <c r="AW367">
        <v>0</v>
      </c>
      <c r="BD367">
        <v>-1</v>
      </c>
      <c r="BE367">
        <v>0</v>
      </c>
    </row>
    <row r="368" spans="1:57" x14ac:dyDescent="0.25">
      <c r="A368" s="151" t="s">
        <v>1270</v>
      </c>
      <c r="B368">
        <f>(1-1.32*(B367))/(1.05+7.4*B367)</f>
        <v>0.22277929155313353</v>
      </c>
      <c r="C368">
        <f>(1-1.32*(C367))/(1.05+7.4*C367)</f>
        <v>0.22277929155313353</v>
      </c>
      <c r="G368" s="5">
        <v>0.1</v>
      </c>
      <c r="H368">
        <f t="shared" si="94"/>
        <v>0.99498743710661997</v>
      </c>
      <c r="I368">
        <f t="shared" si="95"/>
        <v>109.71</v>
      </c>
      <c r="J368">
        <v>5.1903411458382879E-3</v>
      </c>
      <c r="K368">
        <f t="shared" si="96"/>
        <v>0.5183342882726345</v>
      </c>
      <c r="L368">
        <f t="shared" si="97"/>
        <v>0.87692440080054879</v>
      </c>
      <c r="M368">
        <f t="shared" si="85"/>
        <v>0.1085440840479949</v>
      </c>
      <c r="N368">
        <f t="shared" si="98"/>
        <v>1.7275327519620534E-2</v>
      </c>
      <c r="O368">
        <f t="shared" si="99"/>
        <v>0.10168399167415836</v>
      </c>
      <c r="P368">
        <f t="shared" si="100"/>
        <v>0.10150734939227536</v>
      </c>
      <c r="Q368">
        <f t="shared" si="86"/>
        <v>0.10954912186325412</v>
      </c>
      <c r="R368">
        <f t="shared" si="101"/>
        <v>1.7435284255913317E-2</v>
      </c>
      <c r="S368">
        <f t="shared" si="102"/>
        <v>0.10480923052652887</v>
      </c>
      <c r="T368" s="29">
        <f t="shared" si="87"/>
        <v>9.977389813911304E-2</v>
      </c>
      <c r="U368">
        <v>1</v>
      </c>
      <c r="V368" s="29">
        <f t="shared" si="103"/>
        <v>-1</v>
      </c>
      <c r="W368" s="29">
        <f t="shared" si="88"/>
        <v>0.65507230203029343</v>
      </c>
      <c r="X368" s="29">
        <f t="shared" si="104"/>
        <v>0.10706951078708708</v>
      </c>
      <c r="Y368" s="29">
        <f t="shared" si="89"/>
        <v>1.2112007152996589</v>
      </c>
      <c r="Z368">
        <f t="shared" si="90"/>
        <v>0.38371367545476148</v>
      </c>
      <c r="AA368">
        <f t="shared" si="91"/>
        <v>0.18106425247368804</v>
      </c>
      <c r="AB368">
        <f t="shared" si="92"/>
        <v>0.55638482940940404</v>
      </c>
      <c r="AC368">
        <f t="shared" si="93"/>
        <v>0.22729342331803393</v>
      </c>
      <c r="AD368">
        <f t="shared" si="105"/>
        <v>0.1706310796267764</v>
      </c>
      <c r="AE368">
        <v>11</v>
      </c>
      <c r="AF368">
        <f>(AE368+1)*X378</f>
        <v>1.8259358279748987</v>
      </c>
      <c r="AN368">
        <v>11</v>
      </c>
      <c r="AO368">
        <f>X376*(AN368+1)</f>
        <v>1.6150264223347048</v>
      </c>
      <c r="AV368">
        <v>11</v>
      </c>
      <c r="AW368">
        <f>X377*(AV368+1)</f>
        <v>1.7095311084487022</v>
      </c>
      <c r="BD368">
        <v>11</v>
      </c>
      <c r="BE368">
        <f>X382*(BD368+1)</f>
        <v>2.6967005343325479</v>
      </c>
    </row>
    <row r="369" spans="1:57" x14ac:dyDescent="0.25">
      <c r="A369" s="151" t="s">
        <v>244</v>
      </c>
      <c r="B369">
        <f>AK338</f>
        <v>2.1553633099714564</v>
      </c>
      <c r="C369">
        <f>AM338</f>
        <v>2.4282756080709045</v>
      </c>
      <c r="G369" s="11">
        <v>0.15</v>
      </c>
      <c r="H369" s="29">
        <f t="shared" si="94"/>
        <v>0.98868599666425949</v>
      </c>
      <c r="I369" s="29">
        <f t="shared" si="95"/>
        <v>164.56499999999997</v>
      </c>
      <c r="J369" s="29">
        <v>4.8670216497677535E-3</v>
      </c>
      <c r="K369" s="29">
        <f t="shared" si="96"/>
        <v>0.50193054554578709</v>
      </c>
      <c r="L369" s="29">
        <f t="shared" si="97"/>
        <v>0.89230983723481661</v>
      </c>
      <c r="M369" s="29">
        <f t="shared" si="85"/>
        <v>0.10923589528362149</v>
      </c>
      <c r="N369" s="29">
        <f t="shared" si="98"/>
        <v>1.7385432697457015E-2</v>
      </c>
      <c r="O369">
        <f t="shared" si="99"/>
        <v>0.10289731528202789</v>
      </c>
      <c r="P369" s="29">
        <f t="shared" si="100"/>
        <v>0.10271856525194158</v>
      </c>
      <c r="Q369" s="29">
        <f t="shared" si="86"/>
        <v>0.11024733875846984</v>
      </c>
      <c r="R369" s="29">
        <f t="shared" si="101"/>
        <v>1.7546408926137177E-2</v>
      </c>
      <c r="S369">
        <f t="shared" si="102"/>
        <v>0.10608531589764157</v>
      </c>
      <c r="T369" s="29">
        <f t="shared" si="87"/>
        <v>0.14966084720866954</v>
      </c>
      <c r="U369" s="29">
        <v>1</v>
      </c>
      <c r="V369" s="29">
        <f t="shared" si="103"/>
        <v>-1</v>
      </c>
      <c r="W369" s="29">
        <f t="shared" si="88"/>
        <v>0.66288881941743272</v>
      </c>
      <c r="X369" s="29">
        <f t="shared" si="104"/>
        <v>0.10831740375517844</v>
      </c>
      <c r="Y369" s="29">
        <f t="shared" si="89"/>
        <v>1.2121563656765011</v>
      </c>
      <c r="Z369">
        <f t="shared" si="90"/>
        <v>0.38583313397868807</v>
      </c>
      <c r="AA369">
        <f t="shared" si="91"/>
        <v>0.18106425247368804</v>
      </c>
      <c r="AB369">
        <f t="shared" si="92"/>
        <v>0.55945804426909762</v>
      </c>
      <c r="AC369">
        <f t="shared" si="93"/>
        <v>0.22729342331803393</v>
      </c>
      <c r="AD369">
        <f t="shared" si="105"/>
        <v>0.17157356752672726</v>
      </c>
      <c r="AE369">
        <v>14</v>
      </c>
      <c r="AF369">
        <f>(AE369+1)*X378</f>
        <v>2.2824197849686234</v>
      </c>
      <c r="AN369">
        <v>14</v>
      </c>
      <c r="AO369">
        <f>X376*(AN369+1)</f>
        <v>2.0187830279183809</v>
      </c>
      <c r="AV369">
        <v>14</v>
      </c>
      <c r="AW369">
        <f>X377*(AV369+1)</f>
        <v>2.1369138855608778</v>
      </c>
      <c r="BD369">
        <v>14</v>
      </c>
      <c r="BE369">
        <f>X382*(BD369+1)</f>
        <v>3.3708756679156844</v>
      </c>
    </row>
    <row r="370" spans="1:57" x14ac:dyDescent="0.25">
      <c r="A370" s="328" t="s">
        <v>1272</v>
      </c>
      <c r="B370">
        <f>-B368*B369^2/(PI()*5.51*10)</f>
        <v>-5.9788040283089202E-3</v>
      </c>
      <c r="C370">
        <f>-C368*C369^2/(PI()*5.51*10)</f>
        <v>-7.5887335035378202E-3</v>
      </c>
      <c r="G370" s="5">
        <v>0.2</v>
      </c>
      <c r="H370">
        <f t="shared" si="94"/>
        <v>0.9797958971132712</v>
      </c>
      <c r="I370">
        <f t="shared" si="95"/>
        <v>219.42</v>
      </c>
      <c r="J370">
        <v>4.6543469383458118E-3</v>
      </c>
      <c r="K370">
        <f t="shared" si="96"/>
        <v>0.49084160021547502</v>
      </c>
      <c r="L370">
        <f t="shared" si="97"/>
        <v>0.90276749653182298</v>
      </c>
      <c r="M370">
        <f t="shared" si="85"/>
        <v>0.11022703842524302</v>
      </c>
      <c r="N370">
        <f t="shared" si="98"/>
        <v>1.7543178027757716E-2</v>
      </c>
      <c r="O370">
        <f t="shared" si="99"/>
        <v>0.10464554001175856</v>
      </c>
      <c r="P370">
        <f t="shared" si="100"/>
        <v>0.10446375301980225</v>
      </c>
      <c r="Q370">
        <f t="shared" si="86"/>
        <v>0.11124765915140268</v>
      </c>
      <c r="R370">
        <f t="shared" si="101"/>
        <v>1.7705614861348064E-2</v>
      </c>
      <c r="S370">
        <f t="shared" si="102"/>
        <v>0.10792498822942134</v>
      </c>
      <c r="T370" s="29">
        <f t="shared" si="87"/>
        <v>0.19954779627822608</v>
      </c>
      <c r="U370">
        <v>1</v>
      </c>
      <c r="V370" s="29">
        <f t="shared" si="103"/>
        <v>-1</v>
      </c>
      <c r="W370" s="29">
        <f t="shared" si="88"/>
        <v>0.67415129622735914</v>
      </c>
      <c r="X370" s="29">
        <f t="shared" si="104"/>
        <v>0.11003391405771784</v>
      </c>
      <c r="Y370" s="29">
        <f t="shared" si="89"/>
        <v>1.2136186727696732</v>
      </c>
      <c r="Z370">
        <f t="shared" si="90"/>
        <v>0.38886014509871991</v>
      </c>
      <c r="AA370">
        <f t="shared" si="91"/>
        <v>0.18106425247368804</v>
      </c>
      <c r="AB370">
        <f t="shared" si="92"/>
        <v>0.56384721039314389</v>
      </c>
      <c r="AC370">
        <f t="shared" si="93"/>
        <v>0.22729342331803393</v>
      </c>
      <c r="AD370">
        <f t="shared" si="105"/>
        <v>0.17291962894828372</v>
      </c>
    </row>
    <row r="371" spans="1:57" x14ac:dyDescent="0.25">
      <c r="G371" s="5">
        <v>0.25</v>
      </c>
      <c r="H371">
        <f t="shared" si="94"/>
        <v>0.96824583655185426</v>
      </c>
      <c r="I371">
        <f t="shared" si="95"/>
        <v>274.27499999999998</v>
      </c>
      <c r="J371">
        <v>4.4981662148001183E-3</v>
      </c>
      <c r="K371">
        <f t="shared" si="96"/>
        <v>0.48253601863990919</v>
      </c>
      <c r="L371">
        <f t="shared" si="97"/>
        <v>0.91054113106091172</v>
      </c>
      <c r="M371">
        <f t="shared" si="85"/>
        <v>0.1115419203707736</v>
      </c>
      <c r="N371">
        <f t="shared" si="98"/>
        <v>1.7752447988971194E-2</v>
      </c>
      <c r="O371">
        <f t="shared" si="99"/>
        <v>0.10698268400095574</v>
      </c>
      <c r="P371">
        <f t="shared" si="100"/>
        <v>0.10679683699482667</v>
      </c>
      <c r="Q371">
        <f t="shared" si="86"/>
        <v>0.11257471592976225</v>
      </c>
      <c r="R371">
        <f t="shared" si="101"/>
        <v>1.7916822507387593E-2</v>
      </c>
      <c r="S371">
        <f t="shared" si="102"/>
        <v>0.11038625709076041</v>
      </c>
      <c r="T371" s="29">
        <f t="shared" si="87"/>
        <v>0.24943474534778259</v>
      </c>
      <c r="U371">
        <v>1</v>
      </c>
      <c r="V371" s="29">
        <f>($Q$273+($Q$272*$Q$274))*U371</f>
        <v>-1</v>
      </c>
      <c r="W371" s="29">
        <f t="shared" si="88"/>
        <v>0.68920773006687319</v>
      </c>
      <c r="X371" s="29">
        <f t="shared" si="104"/>
        <v>0.11227756959867793</v>
      </c>
      <c r="Y371" s="29">
        <f t="shared" si="89"/>
        <v>1.2157311472964261</v>
      </c>
      <c r="Z371">
        <f t="shared" si="90"/>
        <v>0.39285856093509275</v>
      </c>
      <c r="AA371">
        <f t="shared" si="91"/>
        <v>0.18106425247368804</v>
      </c>
      <c r="AB371">
        <f t="shared" si="92"/>
        <v>0.56964491335588441</v>
      </c>
      <c r="AC371">
        <f t="shared" si="93"/>
        <v>0.22729342331803393</v>
      </c>
      <c r="AD371">
        <f t="shared" si="105"/>
        <v>0.17469765786567512</v>
      </c>
    </row>
    <row r="372" spans="1:57" x14ac:dyDescent="0.25">
      <c r="G372" s="5">
        <v>0.3</v>
      </c>
      <c r="H372">
        <f t="shared" si="94"/>
        <v>0.95393920141694566</v>
      </c>
      <c r="I372">
        <f t="shared" si="95"/>
        <v>329.12999999999994</v>
      </c>
      <c r="J372">
        <v>4.7474444920768888E-3</v>
      </c>
      <c r="K372">
        <f t="shared" si="96"/>
        <v>0.49572627073845676</v>
      </c>
      <c r="L372">
        <f t="shared" si="97"/>
        <v>0.89816596165798601</v>
      </c>
      <c r="M372">
        <f t="shared" si="85"/>
        <v>0.11321476236596717</v>
      </c>
      <c r="N372">
        <f t="shared" si="98"/>
        <v>1.8018689061517958E-2</v>
      </c>
      <c r="O372">
        <f t="shared" si="99"/>
        <v>0.10998526883345291</v>
      </c>
      <c r="P372">
        <f t="shared" si="100"/>
        <v>0.10979420582992221</v>
      </c>
      <c r="Q372">
        <f t="shared" si="86"/>
        <v>0.11426304720268909</v>
      </c>
      <c r="R372">
        <f t="shared" si="101"/>
        <v>1.8185528775050534E-2</v>
      </c>
      <c r="S372">
        <f t="shared" si="102"/>
        <v>0.11355144228561578</v>
      </c>
      <c r="T372" s="29">
        <f t="shared" si="87"/>
        <v>0.29932169441733908</v>
      </c>
      <c r="U372">
        <v>1</v>
      </c>
      <c r="V372" s="29">
        <f t="shared" si="103"/>
        <v>-1</v>
      </c>
      <c r="W372" s="29">
        <f t="shared" si="88"/>
        <v>0.70855109106088332</v>
      </c>
      <c r="X372" s="29">
        <f t="shared" si="104"/>
        <v>0.11500934029076199</v>
      </c>
      <c r="Y372" s="29">
        <f t="shared" si="89"/>
        <v>1.2187100318108479</v>
      </c>
      <c r="Z372">
        <f t="shared" si="90"/>
        <v>0.39791683239406395</v>
      </c>
      <c r="AA372">
        <f t="shared" si="91"/>
        <v>0.18106425247368804</v>
      </c>
      <c r="AB372">
        <f t="shared" si="92"/>
        <v>0.57697940697139272</v>
      </c>
      <c r="AC372">
        <f t="shared" si="93"/>
        <v>0.22729342331803393</v>
      </c>
      <c r="AD372">
        <f t="shared" si="105"/>
        <v>0.17694698692351138</v>
      </c>
    </row>
    <row r="373" spans="1:57" x14ac:dyDescent="0.25">
      <c r="G373" s="5">
        <v>0.35</v>
      </c>
      <c r="H373">
        <f t="shared" si="94"/>
        <v>0.93674969975975975</v>
      </c>
      <c r="I373">
        <f t="shared" si="95"/>
        <v>383.98499999999996</v>
      </c>
      <c r="J373">
        <v>4.6391693839288707E-3</v>
      </c>
      <c r="K373">
        <f t="shared" si="96"/>
        <v>0.49004064377201884</v>
      </c>
      <c r="L373">
        <f t="shared" si="97"/>
        <v>0.9035204383586124</v>
      </c>
      <c r="M373">
        <f t="shared" si="85"/>
        <v>0.11529227073966274</v>
      </c>
      <c r="N373">
        <f t="shared" si="98"/>
        <v>1.8349334788506415E-2</v>
      </c>
      <c r="O373">
        <f t="shared" si="99"/>
        <v>0.11375906391372086</v>
      </c>
      <c r="P373">
        <f t="shared" si="100"/>
        <v>0.11356144519022517</v>
      </c>
      <c r="Q373">
        <f t="shared" si="86"/>
        <v>0.11635979176502999</v>
      </c>
      <c r="R373">
        <f t="shared" si="101"/>
        <v>1.8519236036548141E-2</v>
      </c>
      <c r="S373">
        <f t="shared" si="102"/>
        <v>0.11753458280720043</v>
      </c>
      <c r="T373" s="29">
        <f t="shared" si="87"/>
        <v>0.34920864348689562</v>
      </c>
      <c r="U373">
        <v>1</v>
      </c>
      <c r="V373" s="29">
        <f t="shared" si="103"/>
        <v>-1</v>
      </c>
      <c r="W373" s="29">
        <f t="shared" si="88"/>
        <v>0.73286277070602823</v>
      </c>
      <c r="X373" s="29">
        <f t="shared" si="104"/>
        <v>0.11853872318180796</v>
      </c>
      <c r="Y373" s="29">
        <f t="shared" si="89"/>
        <v>1.2228773485094071</v>
      </c>
      <c r="Z373">
        <f t="shared" si="90"/>
        <v>0.40415379968872978</v>
      </c>
      <c r="AA373">
        <f t="shared" si="91"/>
        <v>0.18106425247368804</v>
      </c>
      <c r="AB373">
        <f t="shared" si="92"/>
        <v>0.58602300954865816</v>
      </c>
      <c r="AC373">
        <f t="shared" si="93"/>
        <v>0.22729342331803393</v>
      </c>
      <c r="AD373">
        <f t="shared" si="105"/>
        <v>0.17972046238493314</v>
      </c>
    </row>
    <row r="374" spans="1:57" x14ac:dyDescent="0.25">
      <c r="G374" s="5">
        <v>0.4</v>
      </c>
      <c r="H374">
        <f t="shared" si="94"/>
        <v>0.91651513899116799</v>
      </c>
      <c r="I374">
        <f t="shared" si="95"/>
        <v>438.84</v>
      </c>
      <c r="J374">
        <v>4.5481275801252741E-3</v>
      </c>
      <c r="K374">
        <f t="shared" si="96"/>
        <v>0.48520839486252509</v>
      </c>
      <c r="L374">
        <f t="shared" si="97"/>
        <v>0.90804921442867348</v>
      </c>
      <c r="M374">
        <f t="shared" si="85"/>
        <v>0.11783766072743589</v>
      </c>
      <c r="N374">
        <f t="shared" si="98"/>
        <v>1.8754446187157128E-2</v>
      </c>
      <c r="O374">
        <f t="shared" si="99"/>
        <v>0.11844937702562958</v>
      </c>
      <c r="P374">
        <f t="shared" si="100"/>
        <v>0.1182436104354226</v>
      </c>
      <c r="Q374">
        <f t="shared" si="86"/>
        <v>0.11892875017861584</v>
      </c>
      <c r="R374">
        <f t="shared" si="101"/>
        <v>1.8928098466667844E-2</v>
      </c>
      <c r="S374">
        <f t="shared" si="102"/>
        <v>0.12249278234294751</v>
      </c>
      <c r="T374" s="29">
        <f t="shared" si="87"/>
        <v>0.39909559255645216</v>
      </c>
      <c r="U374">
        <v>1</v>
      </c>
      <c r="V374" s="29">
        <f t="shared" si="103"/>
        <v>-1</v>
      </c>
      <c r="W374" s="29">
        <f t="shared" si="88"/>
        <v>0.76307887608185354</v>
      </c>
      <c r="X374" s="29">
        <f t="shared" si="104"/>
        <v>0.12286718110409348</v>
      </c>
      <c r="Y374" s="29">
        <f t="shared" si="89"/>
        <v>1.2287153291552386</v>
      </c>
      <c r="Z374">
        <f t="shared" si="90"/>
        <v>0.41172716118850533</v>
      </c>
      <c r="AA374">
        <f t="shared" si="91"/>
        <v>0.18106425247368804</v>
      </c>
      <c r="AB374">
        <f t="shared" si="92"/>
        <v>0.59700438372333264</v>
      </c>
      <c r="AC374">
        <f t="shared" si="93"/>
        <v>0.22729342331803393</v>
      </c>
      <c r="AD374">
        <f t="shared" si="105"/>
        <v>0.18308821008790213</v>
      </c>
    </row>
    <row r="375" spans="1:57" x14ac:dyDescent="0.25">
      <c r="G375" s="5">
        <v>0.45</v>
      </c>
      <c r="H375">
        <f t="shared" si="94"/>
        <v>0.89302855497458755</v>
      </c>
      <c r="I375">
        <f t="shared" si="95"/>
        <v>493.69499999999999</v>
      </c>
      <c r="J375">
        <v>4.4698680796692392E-3</v>
      </c>
      <c r="K375">
        <f t="shared" si="96"/>
        <v>0.48101579768170255</v>
      </c>
      <c r="L375">
        <f t="shared" si="97"/>
        <v>0.91195383992983581</v>
      </c>
      <c r="M375">
        <f t="shared" si="85"/>
        <v>0.12093678236646453</v>
      </c>
      <c r="N375">
        <f t="shared" si="98"/>
        <v>1.9247686715251594E-2</v>
      </c>
      <c r="O375">
        <f t="shared" si="99"/>
        <v>0.12425694261102585</v>
      </c>
      <c r="P375">
        <f t="shared" si="100"/>
        <v>0.12404108729770424</v>
      </c>
      <c r="Q375">
        <f t="shared" si="86"/>
        <v>0.12205656738837624</v>
      </c>
      <c r="R375">
        <f t="shared" si="101"/>
        <v>1.942590603668911E-2</v>
      </c>
      <c r="S375">
        <f t="shared" si="102"/>
        <v>0.12864380245837007</v>
      </c>
      <c r="T375" s="29">
        <f t="shared" si="87"/>
        <v>0.4489825416260087</v>
      </c>
      <c r="U375">
        <v>1</v>
      </c>
      <c r="V375" s="29">
        <f t="shared" si="103"/>
        <v>-1</v>
      </c>
      <c r="W375" s="29">
        <f t="shared" si="88"/>
        <v>0.80049258589576777</v>
      </c>
      <c r="X375" s="29">
        <f t="shared" si="104"/>
        <v>0.12814761345673484</v>
      </c>
      <c r="Y375" s="29">
        <f t="shared" si="89"/>
        <v>1.2369580304296415</v>
      </c>
      <c r="Z375">
        <f t="shared" si="90"/>
        <v>0.42084590260886801</v>
      </c>
      <c r="AA375">
        <f t="shared" si="91"/>
        <v>0.18106425247368804</v>
      </c>
      <c r="AB375">
        <f t="shared" si="92"/>
        <v>0.61022655878285847</v>
      </c>
      <c r="AC375">
        <f t="shared" si="93"/>
        <v>0.22729342331803393</v>
      </c>
      <c r="AD375">
        <f t="shared" si="105"/>
        <v>0.18714316249883678</v>
      </c>
    </row>
    <row r="376" spans="1:57" x14ac:dyDescent="0.25">
      <c r="G376" s="58">
        <v>0.5</v>
      </c>
      <c r="H376" s="99">
        <f t="shared" si="94"/>
        <v>0.8660254037844386</v>
      </c>
      <c r="I376" s="99">
        <f t="shared" si="95"/>
        <v>548.54999999999995</v>
      </c>
      <c r="J376" s="99">
        <v>4.4014370864332757E-3</v>
      </c>
      <c r="K376" s="99">
        <f t="shared" si="96"/>
        <v>0.4773195649936704</v>
      </c>
      <c r="L376" s="99">
        <f t="shared" si="97"/>
        <v>0.91537179741103425</v>
      </c>
      <c r="M376" s="99">
        <f t="shared" si="85"/>
        <v>0.12470765814495917</v>
      </c>
      <c r="N376" s="99">
        <f t="shared" si="98"/>
        <v>1.9847840235184516E-2</v>
      </c>
      <c r="O376" s="99">
        <f t="shared" si="99"/>
        <v>0.13146303448299143</v>
      </c>
      <c r="P376" s="99">
        <f t="shared" si="100"/>
        <v>0.13123466096999292</v>
      </c>
      <c r="Q376" s="99">
        <f t="shared" si="86"/>
        <v>0.12586235868333842</v>
      </c>
      <c r="R376" s="99">
        <f t="shared" si="101"/>
        <v>2.0031616533658446E-2</v>
      </c>
      <c r="S376">
        <f t="shared" si="102"/>
        <v>0.136294012347947</v>
      </c>
      <c r="T376" s="99">
        <f t="shared" si="87"/>
        <v>0.49886949069556519</v>
      </c>
      <c r="U376" s="99">
        <v>1</v>
      </c>
      <c r="V376" s="99">
        <f t="shared" si="103"/>
        <v>-1</v>
      </c>
      <c r="W376" s="99">
        <f t="shared" si="88"/>
        <v>0.84691593251592157</v>
      </c>
      <c r="X376" s="99">
        <f t="shared" si="104"/>
        <v>0.13458553519455874</v>
      </c>
      <c r="Y376" s="99">
        <f t="shared" si="89"/>
        <v>1.2487506177526941</v>
      </c>
      <c r="Z376" s="99">
        <f t="shared" si="90"/>
        <v>0.43178880504861844</v>
      </c>
      <c r="AA376" s="99">
        <f t="shared" si="91"/>
        <v>0.18106425247368804</v>
      </c>
      <c r="AB376" s="99">
        <f t="shared" si="92"/>
        <v>0.6260937673204966</v>
      </c>
      <c r="AC376" s="99">
        <f t="shared" si="93"/>
        <v>0.22729342331803393</v>
      </c>
      <c r="AD376">
        <f t="shared" si="105"/>
        <v>0.19200928892847777</v>
      </c>
    </row>
    <row r="377" spans="1:57" x14ac:dyDescent="0.25">
      <c r="G377" s="58">
        <v>0.55000000000000004</v>
      </c>
      <c r="H377" s="99">
        <f t="shared" si="94"/>
        <v>0.83516465442450327</v>
      </c>
      <c r="I377" s="99">
        <f t="shared" si="95"/>
        <v>603.40499999999997</v>
      </c>
      <c r="J377" s="99">
        <v>4.3407797128726614E-3</v>
      </c>
      <c r="K377" s="99">
        <f t="shared" si="96"/>
        <v>0.47401912061588419</v>
      </c>
      <c r="L377" s="99">
        <f t="shared" si="97"/>
        <v>0.9184007767309994</v>
      </c>
      <c r="M377" s="99">
        <f t="shared" si="85"/>
        <v>0.12931581745927792</v>
      </c>
      <c r="N377" s="99">
        <f t="shared" si="98"/>
        <v>2.0581251568613304E-2</v>
      </c>
      <c r="O377" s="99">
        <f t="shared" si="99"/>
        <v>0.14047047884093974</v>
      </c>
      <c r="P377" s="99">
        <f t="shared" si="100"/>
        <v>0.14022645787450116</v>
      </c>
      <c r="Q377" s="99">
        <f t="shared" si="86"/>
        <v>0.13051318613945642</v>
      </c>
      <c r="R377" s="99">
        <f t="shared" si="101"/>
        <v>2.0771818712767131E-2</v>
      </c>
      <c r="S377">
        <f t="shared" si="102"/>
        <v>0.14588430801061572</v>
      </c>
      <c r="T377" s="99">
        <f t="shared" si="87"/>
        <v>0.54875643976512178</v>
      </c>
      <c r="U377" s="99">
        <v>1</v>
      </c>
      <c r="V377" s="99">
        <f t="shared" si="103"/>
        <v>-1</v>
      </c>
      <c r="W377" s="99">
        <f t="shared" si="88"/>
        <v>0.9049440175057295</v>
      </c>
      <c r="X377" s="99">
        <f t="shared" si="104"/>
        <v>0.14246092570405852</v>
      </c>
      <c r="Y377" s="99">
        <f t="shared" si="89"/>
        <v>1.2659380192107941</v>
      </c>
      <c r="Z377" s="99">
        <f t="shared" si="90"/>
        <v>0.44493263614763967</v>
      </c>
      <c r="AA377" s="99">
        <f t="shared" si="91"/>
        <v>0.18106425247368804</v>
      </c>
      <c r="AB377" s="99">
        <f t="shared" si="92"/>
        <v>0.64515232241407749</v>
      </c>
      <c r="AC377" s="99">
        <f t="shared" si="93"/>
        <v>0.22729342331803393</v>
      </c>
      <c r="AD377">
        <f t="shared" si="105"/>
        <v>0.19785413167013924</v>
      </c>
    </row>
    <row r="378" spans="1:57" x14ac:dyDescent="0.25">
      <c r="G378" s="58">
        <v>0.6</v>
      </c>
      <c r="H378" s="99">
        <f t="shared" si="94"/>
        <v>0.8</v>
      </c>
      <c r="I378" s="99">
        <f t="shared" si="95"/>
        <v>658.25999999999988</v>
      </c>
      <c r="J378" s="99">
        <v>4.2864120392982832E-3</v>
      </c>
      <c r="K378" s="99">
        <f t="shared" si="96"/>
        <v>0.471041254492093</v>
      </c>
      <c r="L378" s="99">
        <f t="shared" si="97"/>
        <v>0.921112510895018</v>
      </c>
      <c r="M378" s="99">
        <f t="shared" si="85"/>
        <v>0.13499999999999998</v>
      </c>
      <c r="N378" s="99">
        <f t="shared" si="98"/>
        <v>2.1485917317405869E-2</v>
      </c>
      <c r="O378">
        <f t="shared" si="99"/>
        <v>0.15187349429154923</v>
      </c>
      <c r="P378" s="99">
        <f t="shared" si="100"/>
        <v>0.15160966435974274</v>
      </c>
      <c r="Q378" s="99">
        <f t="shared" si="86"/>
        <v>0.13624999999999998</v>
      </c>
      <c r="R378" s="99">
        <f t="shared" si="101"/>
        <v>2.1684860996270736E-2</v>
      </c>
      <c r="S378">
        <f t="shared" si="102"/>
        <v>0.15806885198995582</v>
      </c>
      <c r="T378" s="99">
        <f t="shared" si="87"/>
        <v>0.59864338883467816</v>
      </c>
      <c r="U378" s="99">
        <v>1</v>
      </c>
      <c r="V378" s="99">
        <f t="shared" si="103"/>
        <v>-1</v>
      </c>
      <c r="W378" s="99">
        <f t="shared" si="88"/>
        <v>0.97840493754174052</v>
      </c>
      <c r="X378" s="99">
        <f t="shared" si="104"/>
        <v>0.15216131899790822</v>
      </c>
      <c r="Y378" s="99">
        <f t="shared" si="89"/>
        <v>1.2916153945984163</v>
      </c>
      <c r="Z378" s="99">
        <f t="shared" si="90"/>
        <v>0.46079638800646094</v>
      </c>
      <c r="AA378" s="99">
        <f t="shared" si="91"/>
        <v>0.18106425247368804</v>
      </c>
      <c r="AB378" s="99">
        <f t="shared" si="92"/>
        <v>0.66815476260936835</v>
      </c>
      <c r="AC378" s="99">
        <f t="shared" si="93"/>
        <v>0.22729342331803393</v>
      </c>
      <c r="AD378">
        <f t="shared" si="105"/>
        <v>0.20490847786562968</v>
      </c>
    </row>
    <row r="379" spans="1:57" x14ac:dyDescent="0.25">
      <c r="G379" s="5">
        <v>0.65</v>
      </c>
      <c r="H379">
        <f t="shared" si="94"/>
        <v>0.75993420767853315</v>
      </c>
      <c r="I379">
        <f t="shared" si="95"/>
        <v>713.11500000000001</v>
      </c>
      <c r="J379">
        <v>4.6056842228440172E-3</v>
      </c>
      <c r="K379">
        <f t="shared" si="96"/>
        <v>0.48826890342788964</v>
      </c>
      <c r="L379">
        <f t="shared" si="97"/>
        <v>0.90518386673688811</v>
      </c>
      <c r="M379">
        <f t="shared" si="85"/>
        <v>0.1421175661113101</v>
      </c>
      <c r="N379">
        <f t="shared" si="98"/>
        <v>2.2618713146804234E-2</v>
      </c>
      <c r="O379">
        <f t="shared" si="99"/>
        <v>0.16658299205178798</v>
      </c>
      <c r="P379">
        <f t="shared" si="100"/>
        <v>0.16629360923592432</v>
      </c>
      <c r="Q379">
        <f t="shared" si="86"/>
        <v>0.14343346950122965</v>
      </c>
      <c r="R379">
        <f t="shared" si="101"/>
        <v>2.2828145675941311E-2</v>
      </c>
      <c r="S379">
        <f t="shared" si="102"/>
        <v>0.17385749335052486</v>
      </c>
      <c r="T379" s="29">
        <f t="shared" si="87"/>
        <v>0.64853033790423475</v>
      </c>
      <c r="U379">
        <v>1</v>
      </c>
      <c r="V379" s="29">
        <f t="shared" si="103"/>
        <v>-1</v>
      </c>
      <c r="W379" s="29">
        <f t="shared" si="88"/>
        <v>1.0731669979296379</v>
      </c>
      <c r="X379" s="29">
        <f t="shared" si="104"/>
        <v>0.1642733863625756</v>
      </c>
      <c r="Y379" s="29">
        <f t="shared" si="89"/>
        <v>1.3312457184293842</v>
      </c>
      <c r="Z379">
        <f t="shared" si="90"/>
        <v>0.48011331066331625</v>
      </c>
      <c r="AA379">
        <f t="shared" si="91"/>
        <v>0.18106425247368804</v>
      </c>
      <c r="AB379">
        <f t="shared" si="92"/>
        <v>0.69616430046180855</v>
      </c>
      <c r="AC379">
        <f t="shared" si="93"/>
        <v>0.22729342331803393</v>
      </c>
      <c r="AD379">
        <f t="shared" si="105"/>
        <v>0.21349839159257672</v>
      </c>
    </row>
    <row r="380" spans="1:57" x14ac:dyDescent="0.25">
      <c r="G380" s="5">
        <v>0.7</v>
      </c>
      <c r="H380">
        <f t="shared" si="94"/>
        <v>0.71414284285428498</v>
      </c>
      <c r="I380">
        <f t="shared" si="95"/>
        <v>767.96999999999991</v>
      </c>
      <c r="J380">
        <v>4.5569444845219315E-3</v>
      </c>
      <c r="K380">
        <f t="shared" si="96"/>
        <v>0.48567847454193158</v>
      </c>
      <c r="L380">
        <f t="shared" si="97"/>
        <v>0.90760985309101128</v>
      </c>
      <c r="M380">
        <f t="shared" si="85"/>
        <v>0.15123024907502505</v>
      </c>
      <c r="N380">
        <f t="shared" si="98"/>
        <v>2.4069041685308771E-2</v>
      </c>
      <c r="O380">
        <f t="shared" si="99"/>
        <v>0.18606658153192498</v>
      </c>
      <c r="P380">
        <f t="shared" si="100"/>
        <v>0.18574335242768911</v>
      </c>
      <c r="Q380">
        <f t="shared" si="86"/>
        <v>0.15263052915905306</v>
      </c>
      <c r="R380">
        <f t="shared" si="101"/>
        <v>2.4291903182394964E-2</v>
      </c>
      <c r="S380">
        <f t="shared" si="102"/>
        <v>0.19489118882148326</v>
      </c>
      <c r="T380" s="29">
        <f t="shared" si="87"/>
        <v>0.69841728697379124</v>
      </c>
      <c r="U380">
        <v>1</v>
      </c>
      <c r="V380" s="29">
        <f t="shared" si="103"/>
        <v>-1</v>
      </c>
      <c r="W380" s="29">
        <f t="shared" si="88"/>
        <v>1.1986848852826983</v>
      </c>
      <c r="X380" s="29">
        <f t="shared" si="104"/>
        <v>0.17957725949504674</v>
      </c>
      <c r="Y380" s="29">
        <f t="shared" si="89"/>
        <v>1.3951127852600966</v>
      </c>
      <c r="Z380">
        <f t="shared" si="90"/>
        <v>0.50395361014601125</v>
      </c>
      <c r="AA380">
        <f t="shared" si="91"/>
        <v>0.18106425247368804</v>
      </c>
      <c r="AB380">
        <f t="shared" si="92"/>
        <v>0.73073273471171618</v>
      </c>
      <c r="AC380">
        <f t="shared" si="93"/>
        <v>0.22729342331803393</v>
      </c>
      <c r="AD380">
        <f t="shared" si="105"/>
        <v>0.22409977564420538</v>
      </c>
    </row>
    <row r="381" spans="1:57" x14ac:dyDescent="0.25">
      <c r="G381" s="5">
        <v>0.75</v>
      </c>
      <c r="H381">
        <f t="shared" si="94"/>
        <v>0.66143782776614768</v>
      </c>
      <c r="I381">
        <f t="shared" si="95"/>
        <v>822.82499999999993</v>
      </c>
      <c r="J381">
        <v>4.5122098333888264E-3</v>
      </c>
      <c r="K381">
        <f t="shared" si="96"/>
        <v>0.483288688782612</v>
      </c>
      <c r="L381">
        <f t="shared" si="97"/>
        <v>0.9098403400769226</v>
      </c>
      <c r="M381">
        <f t="shared" si="85"/>
        <v>0.16328065233998615</v>
      </c>
      <c r="N381">
        <f t="shared" si="98"/>
        <v>2.5986922931178043E-2</v>
      </c>
      <c r="O381">
        <f t="shared" si="99"/>
        <v>0.21284847584675293</v>
      </c>
      <c r="P381">
        <f t="shared" si="100"/>
        <v>0.21247872206496424</v>
      </c>
      <c r="Q381">
        <f t="shared" si="86"/>
        <v>0.16479251023202307</v>
      </c>
      <c r="R381">
        <f t="shared" si="101"/>
        <v>2.6227542587948214E-2</v>
      </c>
      <c r="S381">
        <f t="shared" si="102"/>
        <v>0.22402223560332959</v>
      </c>
      <c r="T381" s="29">
        <f t="shared" si="87"/>
        <v>0.74830423604334784</v>
      </c>
      <c r="U381">
        <v>0.8</v>
      </c>
      <c r="V381" s="29">
        <f t="shared" si="103"/>
        <v>-0.8</v>
      </c>
      <c r="W381" s="29">
        <f t="shared" si="88"/>
        <v>1.3712201769514749</v>
      </c>
      <c r="X381" s="29">
        <f t="shared" si="104"/>
        <v>0.19920350233985573</v>
      </c>
      <c r="Y381" s="29">
        <f t="shared" si="89"/>
        <v>1.5042699888815725</v>
      </c>
      <c r="Z381">
        <f t="shared" si="90"/>
        <v>0.53394517608710246</v>
      </c>
      <c r="AA381">
        <f t="shared" si="91"/>
        <v>0.18106425247368804</v>
      </c>
      <c r="AB381">
        <f t="shared" si="92"/>
        <v>0.7742205053262986</v>
      </c>
      <c r="AC381">
        <f t="shared" si="93"/>
        <v>0.22729342331803393</v>
      </c>
      <c r="AD381">
        <f t="shared" si="105"/>
        <v>0.23743652542295909</v>
      </c>
    </row>
    <row r="382" spans="1:57" x14ac:dyDescent="0.25">
      <c r="G382" s="58">
        <v>0.8</v>
      </c>
      <c r="H382" s="99">
        <f t="shared" si="94"/>
        <v>0.59999999999999987</v>
      </c>
      <c r="I382" s="99">
        <f t="shared" si="95"/>
        <v>877.68</v>
      </c>
      <c r="J382" s="99">
        <v>4.4709130977153193E-3</v>
      </c>
      <c r="K382" s="99">
        <f t="shared" si="96"/>
        <v>0.48107202314557229</v>
      </c>
      <c r="L382" s="99">
        <f t="shared" si="97"/>
        <v>0.91190165842601956</v>
      </c>
      <c r="M382" s="99">
        <f t="shared" si="85"/>
        <v>0.18000000000000005</v>
      </c>
      <c r="N382" s="99">
        <f t="shared" si="98"/>
        <v>2.8647889756541169E-2</v>
      </c>
      <c r="O382" s="99">
        <f t="shared" si="99"/>
        <v>0.25167326542920682</v>
      </c>
      <c r="P382" s="99">
        <f t="shared" si="100"/>
        <v>0.251236066425092</v>
      </c>
      <c r="Q382" s="99">
        <f t="shared" si="86"/>
        <v>0.1816666666666667</v>
      </c>
      <c r="R382" s="99">
        <f t="shared" si="101"/>
        <v>2.8913147995027658E-2</v>
      </c>
      <c r="S382">
        <f t="shared" si="102"/>
        <v>0.266683574276255</v>
      </c>
      <c r="T382" s="99">
        <f t="shared" si="87"/>
        <v>0.79819118511290432</v>
      </c>
      <c r="U382" s="99">
        <v>0</v>
      </c>
      <c r="V382" s="99">
        <f t="shared" si="103"/>
        <v>0</v>
      </c>
      <c r="W382" s="99">
        <f t="shared" si="88"/>
        <v>1.6213386456394356</v>
      </c>
      <c r="X382" s="99">
        <f t="shared" si="104"/>
        <v>0.2247250445277123</v>
      </c>
      <c r="Y382" s="99">
        <f t="shared" si="89"/>
        <v>1.7070113297128373</v>
      </c>
      <c r="Z382" s="99">
        <f t="shared" si="90"/>
        <v>0.57269768603406035</v>
      </c>
      <c r="AA382" s="99">
        <f t="shared" si="91"/>
        <v>0.18106425247368804</v>
      </c>
      <c r="AB382" s="99">
        <f t="shared" si="92"/>
        <v>0.83041164474938745</v>
      </c>
      <c r="AC382" s="99">
        <f t="shared" si="93"/>
        <v>0.22729342331803393</v>
      </c>
      <c r="AD382" s="99">
        <f t="shared" si="105"/>
        <v>0.25466912106255962</v>
      </c>
    </row>
    <row r="383" spans="1:57" x14ac:dyDescent="0.25">
      <c r="G383" s="5">
        <v>0.85</v>
      </c>
      <c r="H383">
        <f t="shared" si="94"/>
        <v>0.52678268764263703</v>
      </c>
      <c r="I383">
        <f t="shared" si="95"/>
        <v>932.53499999999985</v>
      </c>
      <c r="J383">
        <v>4.7872047087880254E-3</v>
      </c>
      <c r="K383">
        <f t="shared" si="96"/>
        <v>0.49779781547378971</v>
      </c>
      <c r="L383">
        <f t="shared" si="97"/>
        <v>0.89621117091281588</v>
      </c>
      <c r="M383">
        <f t="shared" si="85"/>
        <v>0.20501812708253975</v>
      </c>
      <c r="N383">
        <f t="shared" si="98"/>
        <v>3.2629648348628582E-2</v>
      </c>
      <c r="O383">
        <f t="shared" si="99"/>
        <v>0.31267319102286617</v>
      </c>
      <c r="P383">
        <f t="shared" si="100"/>
        <v>0.31213002483675789</v>
      </c>
      <c r="Q383">
        <f t="shared" si="86"/>
        <v>0.20691644307404475</v>
      </c>
      <c r="R383">
        <f t="shared" si="101"/>
        <v>3.293177472222699E-2</v>
      </c>
      <c r="S383">
        <f t="shared" si="102"/>
        <v>0.33467687582814859</v>
      </c>
      <c r="T383" s="29">
        <f t="shared" si="87"/>
        <v>0.84807813418246081</v>
      </c>
      <c r="U383">
        <v>0</v>
      </c>
      <c r="V383" s="29">
        <f t="shared" si="103"/>
        <v>0</v>
      </c>
      <c r="W383" s="29">
        <f t="shared" si="88"/>
        <v>2.0143145804391134</v>
      </c>
      <c r="X383" s="29">
        <f t="shared" si="104"/>
        <v>0.25875199294965567</v>
      </c>
      <c r="Y383" s="29">
        <f t="shared" si="89"/>
        <v>2.1338352284298052</v>
      </c>
      <c r="Z383">
        <f t="shared" si="90"/>
        <v>0.62468234732408157</v>
      </c>
      <c r="AA383">
        <f t="shared" si="91"/>
        <v>0.18106425247368804</v>
      </c>
      <c r="AB383">
        <f t="shared" si="92"/>
        <v>0.90578940361991822</v>
      </c>
      <c r="AC383">
        <f t="shared" si="93"/>
        <v>0.22729342331803393</v>
      </c>
      <c r="AD383">
        <f t="shared" si="105"/>
        <v>0.27778583398512102</v>
      </c>
    </row>
    <row r="384" spans="1:57" x14ac:dyDescent="0.25">
      <c r="G384" s="5">
        <v>0.9</v>
      </c>
      <c r="H384">
        <f t="shared" si="94"/>
        <v>0.43588989435406728</v>
      </c>
      <c r="I384">
        <f t="shared" si="95"/>
        <v>987.39</v>
      </c>
      <c r="J384">
        <v>4.7486385914477574E-3</v>
      </c>
      <c r="K384">
        <f t="shared" si="96"/>
        <v>0.49578861051003276</v>
      </c>
      <c r="L384">
        <f t="shared" si="97"/>
        <v>0.89810715478101111</v>
      </c>
      <c r="M384">
        <f t="shared" si="85"/>
        <v>0.24776899258020674</v>
      </c>
      <c r="N384">
        <f t="shared" si="98"/>
        <v>3.9433659914039042E-2</v>
      </c>
      <c r="O384">
        <f t="shared" si="99"/>
        <v>0.42233542912549932</v>
      </c>
      <c r="P384">
        <f t="shared" si="100"/>
        <v>0.42160176109484387</v>
      </c>
      <c r="Q384">
        <f t="shared" si="86"/>
        <v>0.25006314991891238</v>
      </c>
      <c r="R384">
        <f t="shared" si="101"/>
        <v>3.9798786394724589E-2</v>
      </c>
      <c r="S384">
        <f t="shared" si="102"/>
        <v>0.45954225107850494</v>
      </c>
      <c r="T384" s="29">
        <f t="shared" si="87"/>
        <v>0.8979650832520174</v>
      </c>
      <c r="U384">
        <v>0</v>
      </c>
      <c r="V384" s="29">
        <f t="shared" si="103"/>
        <v>0</v>
      </c>
      <c r="W384" s="29">
        <f t="shared" si="88"/>
        <v>2.720784631200726</v>
      </c>
      <c r="X384" s="29">
        <f t="shared" si="104"/>
        <v>0.29699719667082802</v>
      </c>
      <c r="Y384" s="29">
        <f t="shared" si="89"/>
        <v>3.2423783594749129</v>
      </c>
      <c r="Z384">
        <f t="shared" si="90"/>
        <v>0.69818643982597794</v>
      </c>
      <c r="AA384">
        <f t="shared" si="91"/>
        <v>0.18106425247368804</v>
      </c>
      <c r="AB384">
        <f t="shared" si="92"/>
        <v>1.012370337747668</v>
      </c>
      <c r="AC384">
        <f t="shared" si="93"/>
        <v>0.22729342331803393</v>
      </c>
      <c r="AD384">
        <f t="shared" si="105"/>
        <v>0.31047187949997179</v>
      </c>
    </row>
    <row r="385" spans="7:49" x14ac:dyDescent="0.25">
      <c r="G385" s="5">
        <v>0.95</v>
      </c>
      <c r="H385">
        <f t="shared" si="94"/>
        <v>0.31224989991991997</v>
      </c>
      <c r="I385">
        <f t="shared" si="95"/>
        <v>1042.2449999999999</v>
      </c>
      <c r="J385">
        <v>4.712553812877056E-3</v>
      </c>
      <c r="K385">
        <f t="shared" si="96"/>
        <v>0.49390127597779171</v>
      </c>
      <c r="L385">
        <f t="shared" si="97"/>
        <v>0.89988679201315158</v>
      </c>
      <c r="M385">
        <f t="shared" si="85"/>
        <v>0.34587681221898814</v>
      </c>
      <c r="N385">
        <f>M385/(2*PI())</f>
        <v>5.5048004365519231E-2</v>
      </c>
      <c r="O385">
        <f t="shared" si="99"/>
        <v>0.6830453188898814</v>
      </c>
      <c r="P385">
        <f t="shared" si="100"/>
        <v>0.68185875371111815</v>
      </c>
      <c r="Q385">
        <f t="shared" si="86"/>
        <v>0.34907937529508987</v>
      </c>
      <c r="R385">
        <f t="shared" si="101"/>
        <v>5.5557708109644402E-2</v>
      </c>
      <c r="S385">
        <f t="shared" si="102"/>
        <v>0.76642749247693198</v>
      </c>
      <c r="T385" s="29">
        <f t="shared" si="87"/>
        <v>0.94785203232157378</v>
      </c>
      <c r="U385">
        <v>0</v>
      </c>
      <c r="V385" s="29">
        <f t="shared" si="103"/>
        <v>0</v>
      </c>
      <c r="W385" s="29">
        <f t="shared" si="88"/>
        <v>4.400339346138419</v>
      </c>
      <c r="X385" s="29">
        <f t="shared" si="104"/>
        <v>0.27039172305730702</v>
      </c>
      <c r="Y385" s="29">
        <f t="shared" si="89"/>
        <v>7.7014034657252379</v>
      </c>
      <c r="Z385">
        <f t="shared" si="90"/>
        <v>0.80888898429027301</v>
      </c>
      <c r="AA385">
        <f t="shared" si="91"/>
        <v>0.18106425247368804</v>
      </c>
      <c r="AB385">
        <f t="shared" si="92"/>
        <v>1.1728890272208958</v>
      </c>
      <c r="AC385">
        <f t="shared" si="93"/>
        <v>0.22729342331803393</v>
      </c>
      <c r="AD385">
        <f t="shared" si="105"/>
        <v>0.35969945695596706</v>
      </c>
    </row>
    <row r="387" spans="7:49" x14ac:dyDescent="0.25">
      <c r="G387" s="99" t="s">
        <v>181</v>
      </c>
      <c r="H387" s="254">
        <v>15000</v>
      </c>
    </row>
    <row r="388" spans="7:49" x14ac:dyDescent="0.25">
      <c r="G388" s="221" t="s">
        <v>428</v>
      </c>
      <c r="H388">
        <v>1.3</v>
      </c>
    </row>
    <row r="389" spans="7:49" x14ac:dyDescent="0.25">
      <c r="G389" t="s">
        <v>142</v>
      </c>
      <c r="H389">
        <v>1057.4000000000001</v>
      </c>
      <c r="U389" t="s">
        <v>706</v>
      </c>
      <c r="Y389" t="s">
        <v>1158</v>
      </c>
      <c r="Z389" t="s">
        <v>560</v>
      </c>
      <c r="AB389" t="s">
        <v>360</v>
      </c>
      <c r="AE389" t="s">
        <v>1207</v>
      </c>
      <c r="AN389" t="s">
        <v>1201</v>
      </c>
      <c r="AV389" t="s">
        <v>1202</v>
      </c>
    </row>
    <row r="390" spans="7:49" ht="15.75" x14ac:dyDescent="0.25">
      <c r="G390" t="s">
        <v>348</v>
      </c>
      <c r="H390" s="223" t="s">
        <v>712</v>
      </c>
      <c r="I390" t="s">
        <v>1085</v>
      </c>
      <c r="J390" s="223" t="s">
        <v>356</v>
      </c>
      <c r="K390" s="231" t="s">
        <v>779</v>
      </c>
      <c r="L390" s="5" t="s">
        <v>785</v>
      </c>
      <c r="M390" s="11" t="s">
        <v>1153</v>
      </c>
      <c r="N390" s="11" t="s">
        <v>1152</v>
      </c>
      <c r="O390" t="s">
        <v>1059</v>
      </c>
      <c r="P390" t="s">
        <v>1060</v>
      </c>
      <c r="Q390" s="11" t="s">
        <v>1154</v>
      </c>
      <c r="R390" s="11" t="s">
        <v>788</v>
      </c>
      <c r="S390" t="s">
        <v>1061</v>
      </c>
      <c r="T390" t="s">
        <v>1156</v>
      </c>
      <c r="U390" s="223" t="s">
        <v>1157</v>
      </c>
      <c r="V390" s="221" t="s">
        <v>758</v>
      </c>
      <c r="W390" s="223" t="s">
        <v>786</v>
      </c>
      <c r="X390" s="226" t="s">
        <v>535</v>
      </c>
      <c r="Y390" s="226" t="s">
        <v>94</v>
      </c>
      <c r="Z390" s="226" t="s">
        <v>750</v>
      </c>
      <c r="AA390" s="227" t="s">
        <v>476</v>
      </c>
      <c r="AB390" s="226" t="s">
        <v>750</v>
      </c>
      <c r="AC390" s="227" t="s">
        <v>476</v>
      </c>
      <c r="AE390" s="227" t="s">
        <v>1193</v>
      </c>
      <c r="AN390" s="227" t="s">
        <v>1193</v>
      </c>
      <c r="AV390" s="227" t="s">
        <v>1193</v>
      </c>
    </row>
    <row r="391" spans="7:49" x14ac:dyDescent="0.25">
      <c r="G391" s="5">
        <v>0</v>
      </c>
      <c r="H391">
        <f>SQRT(1-G391^2)</f>
        <v>1</v>
      </c>
      <c r="I391">
        <f>G391*$H$389</f>
        <v>0</v>
      </c>
      <c r="J391" t="e">
        <v>#NUM!</v>
      </c>
      <c r="K391" t="e">
        <f>0.68*$H$271*(J391*(($Q$262/$H$271)+0.15))^0.5</f>
        <v>#NUM!</v>
      </c>
      <c r="L391" t="e">
        <f>1-(COS((PI()*$Q$263)/2*K391)^2)*(2.42*SQRT(J391))/(($Q$262/$H$270)+0.3)</f>
        <v>#NUM!</v>
      </c>
      <c r="M391">
        <f t="shared" ref="M391:M410" si="106">$Q$267/(1-G391^2)^0.5</f>
        <v>0.108</v>
      </c>
      <c r="N391">
        <f>M391/(2*PI())</f>
        <v>1.7188733853924696E-2</v>
      </c>
      <c r="O391">
        <f>(2*PI()*$H$265)/(2+($H$265^2*H391^2/N391^2*(1+TAN(RADIANS($H$275))^2/H391^2)+4)^0.5)</f>
        <v>0.10073378060434053</v>
      </c>
      <c r="P391">
        <f>O391*$N$262</f>
        <v>0.10055878899970652</v>
      </c>
      <c r="Q391">
        <f t="shared" ref="Q391:Q410" si="107">$Q$271/(1-G391^2)^0.5</f>
        <v>0.109</v>
      </c>
      <c r="R391">
        <f>Q391/(2*PI())</f>
        <v>1.7347888797016594E-2</v>
      </c>
      <c r="S391">
        <f>(2*PI()*$K$265)/(2+($K$265^2*H391^2/R391^2*(1+TAN(RADIANS($K$275))^2/H391^2)+4)^0.5)</f>
        <v>0.10381027215104761</v>
      </c>
      <c r="T391" s="29">
        <f t="shared" ref="T391:T410" si="108">G391*COS($H$273)</f>
        <v>0</v>
      </c>
      <c r="U391">
        <v>1</v>
      </c>
      <c r="V391" s="29">
        <f>($Q$273+($Q$272*$Q$274))*U391</f>
        <v>-1</v>
      </c>
      <c r="W391" s="29">
        <f t="shared" ref="W391:W410" si="109">4.44*(($N$265*$N$266*$N$267*SQRT(COS($H$273)))^1.19)*(O391/$O$441)</f>
        <v>0.6489508177860982</v>
      </c>
      <c r="X391" s="29" t="e">
        <f>P391+S391*L391*($K$263/$H$263)*(1-W391)</f>
        <v>#NUM!</v>
      </c>
      <c r="Y391" s="29">
        <f t="shared" ref="Y391:Y410" si="110">$H$438-S391*($K$263/$H$263)*$N$272*(1-W391-$N$271)+$N$270</f>
        <v>1.2104861657449768</v>
      </c>
      <c r="Z391">
        <f t="shared" ref="Z391:Z410" si="111">$U$302*$W$299*(O391/M391)*$U$301</f>
        <v>0.38204298311929219</v>
      </c>
      <c r="AA391">
        <f t="shared" ref="AA391:AA410" si="112">$W$300*$U$305*$U$303</f>
        <v>0.18106425247368804</v>
      </c>
      <c r="AB391">
        <f t="shared" ref="AB391:AB410" si="113">$U$302*$Y$299*(O391/M391)*$U$301</f>
        <v>0.55396232552297364</v>
      </c>
      <c r="AC391">
        <f t="shared" ref="AC391:AC410" si="114">$Y$300*$U$305*$U$303</f>
        <v>0.22729342331803393</v>
      </c>
      <c r="AE391" t="s">
        <v>1194</v>
      </c>
      <c r="AF391" t="s">
        <v>244</v>
      </c>
      <c r="AN391" t="s">
        <v>1194</v>
      </c>
      <c r="AO391" t="s">
        <v>244</v>
      </c>
      <c r="AV391" t="s">
        <v>1194</v>
      </c>
      <c r="AW391" t="s">
        <v>244</v>
      </c>
    </row>
    <row r="392" spans="7:49" x14ac:dyDescent="0.25">
      <c r="G392" s="5">
        <v>0.05</v>
      </c>
      <c r="H392">
        <f t="shared" ref="H392:H410" si="115">SQRT(1-G392^2)</f>
        <v>0.99874921777190895</v>
      </c>
      <c r="I392">
        <f t="shared" ref="I392:I410" si="116">G392*$H$389</f>
        <v>52.870000000000005</v>
      </c>
      <c r="J392">
        <v>5.7970172188212344E-3</v>
      </c>
      <c r="K392">
        <f t="shared" ref="K392:K410" si="117">0.68*$H$271*(J392*(($Q$262/$H$271)+0.15))^0.5</f>
        <v>0.54779022983890291</v>
      </c>
      <c r="L392">
        <f t="shared" ref="L392:L410" si="118">1-(COS((PI()*$Q$263)/2*K392)^2)*(2.42*SQRT(J392))/(($Q$262/$H$270)+0.3)</f>
        <v>0.85078423124379809</v>
      </c>
      <c r="M392">
        <f t="shared" si="106"/>
        <v>0.10813525365349991</v>
      </c>
      <c r="N392">
        <f t="shared" ref="N392:N409" si="119">M392/(2*PI())</f>
        <v>1.7210260141450447E-2</v>
      </c>
      <c r="O392">
        <f t="shared" ref="O392:O410" si="120">(2*PI()*$H$265)/(2+($H$265^2*H392^2/N392^2*(1+TAN(RADIANS($H$275))^2/H392^2)+4)^0.5)</f>
        <v>0.10096966142983717</v>
      </c>
      <c r="P392">
        <f t="shared" ref="P392:P410" si="121">O392*$N$262</f>
        <v>0.10079426006033672</v>
      </c>
      <c r="Q392">
        <f t="shared" si="107"/>
        <v>0.10913650600214343</v>
      </c>
      <c r="R392">
        <f t="shared" ref="R392:R410" si="122">Q392/(2*PI())</f>
        <v>1.7369614402019434E-2</v>
      </c>
      <c r="S392">
        <f t="shared" ref="S392:S410" si="123">(2*PI()*$K$265)/(2+($K$265^2*H392^2/R392^2*(1+TAN(RADIANS($K$275))^2/H392^2)+4)^0.5)</f>
        <v>0.1040582208604917</v>
      </c>
      <c r="T392" s="29">
        <f t="shared" si="108"/>
        <v>4.988694906955652E-2</v>
      </c>
      <c r="U392">
        <v>1</v>
      </c>
      <c r="V392" s="29">
        <f t="shared" ref="V392:V410" si="124">($Q$273+($Q$272*$Q$274))*U392</f>
        <v>-1</v>
      </c>
      <c r="W392" s="29">
        <f t="shared" si="109"/>
        <v>0.65047041780197912</v>
      </c>
      <c r="X392" s="29">
        <f t="shared" ref="X392:X410" si="125">P392+S392*L392*($K$263/$H$263)*(1-W392)</f>
        <v>0.10622343199359674</v>
      </c>
      <c r="Y392" s="29">
        <f t="shared" si="110"/>
        <v>1.210660771233947</v>
      </c>
      <c r="Z392">
        <f t="shared" si="111"/>
        <v>0.3824586133220616</v>
      </c>
      <c r="AA392">
        <f t="shared" si="112"/>
        <v>0.18106425247368804</v>
      </c>
      <c r="AB392">
        <f t="shared" si="113"/>
        <v>0.55456498931698928</v>
      </c>
      <c r="AC392">
        <f t="shared" si="114"/>
        <v>0.22729342331803393</v>
      </c>
      <c r="AE392">
        <v>-1</v>
      </c>
      <c r="AF392">
        <v>0</v>
      </c>
      <c r="AN392">
        <v>-1</v>
      </c>
      <c r="AO392">
        <v>0</v>
      </c>
      <c r="AV392">
        <v>-1</v>
      </c>
      <c r="AW392">
        <v>0</v>
      </c>
    </row>
    <row r="393" spans="7:49" x14ac:dyDescent="0.25">
      <c r="G393" s="5">
        <v>0.1</v>
      </c>
      <c r="H393">
        <f t="shared" si="115"/>
        <v>0.99498743710661997</v>
      </c>
      <c r="I393">
        <f t="shared" si="116"/>
        <v>105.74000000000001</v>
      </c>
      <c r="J393">
        <v>5.1741632527092145E-3</v>
      </c>
      <c r="K393">
        <f t="shared" si="117"/>
        <v>0.51752585381989424</v>
      </c>
      <c r="L393">
        <f t="shared" si="118"/>
        <v>0.87767494449379047</v>
      </c>
      <c r="M393">
        <f t="shared" si="106"/>
        <v>0.1085440840479949</v>
      </c>
      <c r="N393">
        <f t="shared" si="119"/>
        <v>1.7275327519620534E-2</v>
      </c>
      <c r="O393">
        <f t="shared" si="120"/>
        <v>0.10168399167415836</v>
      </c>
      <c r="P393">
        <f t="shared" si="121"/>
        <v>0.10150734939227536</v>
      </c>
      <c r="Q393">
        <f t="shared" si="107"/>
        <v>0.10954912186325412</v>
      </c>
      <c r="R393">
        <f t="shared" si="122"/>
        <v>1.7435284255913317E-2</v>
      </c>
      <c r="S393">
        <f t="shared" si="123"/>
        <v>0.10480923052652887</v>
      </c>
      <c r="T393" s="29">
        <f t="shared" si="108"/>
        <v>9.977389813911304E-2</v>
      </c>
      <c r="U393">
        <v>1</v>
      </c>
      <c r="V393" s="29">
        <f t="shared" si="124"/>
        <v>-1</v>
      </c>
      <c r="W393" s="29">
        <f t="shared" si="109"/>
        <v>0.65507230203029343</v>
      </c>
      <c r="X393" s="29">
        <f t="shared" si="125"/>
        <v>0.10707427134016538</v>
      </c>
      <c r="Y393" s="29">
        <f t="shared" si="110"/>
        <v>1.2112007152996589</v>
      </c>
      <c r="Z393">
        <f t="shared" si="111"/>
        <v>0.38371367545476148</v>
      </c>
      <c r="AA393">
        <f t="shared" si="112"/>
        <v>0.18106425247368804</v>
      </c>
      <c r="AB393">
        <f t="shared" si="113"/>
        <v>0.55638482940940404</v>
      </c>
      <c r="AC393">
        <f t="shared" si="114"/>
        <v>0.22729342331803393</v>
      </c>
      <c r="AE393">
        <v>11</v>
      </c>
      <c r="AF393">
        <f>(AE393+1)*X403</f>
        <v>1.8259401329117499</v>
      </c>
      <c r="AN393">
        <v>11</v>
      </c>
      <c r="AO393">
        <f>X401*(AN393+1)</f>
        <v>1.6150537878928224</v>
      </c>
      <c r="AV393">
        <v>11</v>
      </c>
      <c r="AW393">
        <f>X402*(AV393+1)</f>
        <v>1.7095489344539865</v>
      </c>
    </row>
    <row r="394" spans="7:49" x14ac:dyDescent="0.25">
      <c r="G394" s="11">
        <v>0.15</v>
      </c>
      <c r="H394" s="29">
        <f t="shared" si="115"/>
        <v>0.98868599666425949</v>
      </c>
      <c r="I394" s="29">
        <f t="shared" si="116"/>
        <v>158.61000000000001</v>
      </c>
      <c r="J394" s="29">
        <v>4.8522242340185585E-3</v>
      </c>
      <c r="K394" s="29">
        <f t="shared" si="117"/>
        <v>0.50116694416296304</v>
      </c>
      <c r="L394" s="29">
        <f t="shared" si="118"/>
        <v>0.89303061927041527</v>
      </c>
      <c r="M394" s="29">
        <f t="shared" si="106"/>
        <v>0.10923589528362149</v>
      </c>
      <c r="N394" s="29">
        <f t="shared" si="119"/>
        <v>1.7385432697457015E-2</v>
      </c>
      <c r="O394">
        <f t="shared" si="120"/>
        <v>0.10289731528202789</v>
      </c>
      <c r="P394" s="29">
        <f t="shared" si="121"/>
        <v>0.10271856525194158</v>
      </c>
      <c r="Q394" s="29">
        <f t="shared" si="107"/>
        <v>0.11024733875846984</v>
      </c>
      <c r="R394" s="29">
        <f t="shared" si="122"/>
        <v>1.7546408926137177E-2</v>
      </c>
      <c r="S394">
        <f t="shared" si="123"/>
        <v>0.10608531589764157</v>
      </c>
      <c r="T394" s="29">
        <f t="shared" si="108"/>
        <v>0.14966084720866954</v>
      </c>
      <c r="U394" s="29">
        <v>1</v>
      </c>
      <c r="V394" s="29">
        <f t="shared" si="124"/>
        <v>-1</v>
      </c>
      <c r="W394" s="29">
        <f t="shared" si="109"/>
        <v>0.66288881941743272</v>
      </c>
      <c r="X394" s="29">
        <f t="shared" si="125"/>
        <v>0.1083219263347186</v>
      </c>
      <c r="Y394" s="29">
        <f t="shared" si="110"/>
        <v>1.2121563656765011</v>
      </c>
      <c r="Z394">
        <f t="shared" si="111"/>
        <v>0.38583313397868807</v>
      </c>
      <c r="AA394">
        <f t="shared" si="112"/>
        <v>0.18106425247368804</v>
      </c>
      <c r="AB394">
        <f t="shared" si="113"/>
        <v>0.55945804426909762</v>
      </c>
      <c r="AC394">
        <f t="shared" si="114"/>
        <v>0.22729342331803393</v>
      </c>
      <c r="AE394">
        <v>14</v>
      </c>
      <c r="AF394">
        <f>(AE394+1)*X404</f>
        <v>2.4640793830629799</v>
      </c>
      <c r="AN394">
        <v>14</v>
      </c>
      <c r="AO394">
        <f>X401*(AN394+1)</f>
        <v>2.0188172348660278</v>
      </c>
      <c r="AV394">
        <v>14</v>
      </c>
      <c r="AW394">
        <f>X402*(AV394+1)</f>
        <v>2.136936168067483</v>
      </c>
    </row>
    <row r="395" spans="7:49" x14ac:dyDescent="0.25">
      <c r="G395" s="5">
        <v>0.2</v>
      </c>
      <c r="H395">
        <f t="shared" si="115"/>
        <v>0.9797958971132712</v>
      </c>
      <c r="I395">
        <f t="shared" si="116"/>
        <v>211.48000000000002</v>
      </c>
      <c r="J395">
        <v>4.6404385773266511E-3</v>
      </c>
      <c r="K395">
        <f t="shared" si="117"/>
        <v>0.49010767234599922</v>
      </c>
      <c r="L395">
        <f t="shared" si="118"/>
        <v>0.90345744925122484</v>
      </c>
      <c r="M395">
        <f t="shared" si="106"/>
        <v>0.11022703842524302</v>
      </c>
      <c r="N395">
        <f t="shared" si="119"/>
        <v>1.7543178027757716E-2</v>
      </c>
      <c r="O395">
        <f t="shared" si="120"/>
        <v>0.10464554001175856</v>
      </c>
      <c r="P395">
        <f t="shared" si="121"/>
        <v>0.10446375301980225</v>
      </c>
      <c r="Q395">
        <f t="shared" si="107"/>
        <v>0.11124765915140268</v>
      </c>
      <c r="R395">
        <f t="shared" si="122"/>
        <v>1.7705614861348064E-2</v>
      </c>
      <c r="S395">
        <f t="shared" si="123"/>
        <v>0.10792498822942134</v>
      </c>
      <c r="T395" s="29">
        <f t="shared" si="108"/>
        <v>0.19954779627822608</v>
      </c>
      <c r="U395">
        <v>1</v>
      </c>
      <c r="V395" s="29">
        <f t="shared" si="124"/>
        <v>-1</v>
      </c>
      <c r="W395" s="29">
        <f t="shared" si="109"/>
        <v>0.67415129622735914</v>
      </c>
      <c r="X395" s="29">
        <f t="shared" si="125"/>
        <v>0.11003817113140557</v>
      </c>
      <c r="Y395" s="29">
        <f t="shared" si="110"/>
        <v>1.2136186727696732</v>
      </c>
      <c r="Z395">
        <f t="shared" si="111"/>
        <v>0.38886014509871991</v>
      </c>
      <c r="AA395">
        <f t="shared" si="112"/>
        <v>0.18106425247368804</v>
      </c>
      <c r="AB395">
        <f t="shared" si="113"/>
        <v>0.56384721039314389</v>
      </c>
      <c r="AC395">
        <f t="shared" si="114"/>
        <v>0.22729342331803393</v>
      </c>
    </row>
    <row r="396" spans="7:49" x14ac:dyDescent="0.25">
      <c r="G396" s="5">
        <v>0.25</v>
      </c>
      <c r="H396">
        <f t="shared" si="115"/>
        <v>0.96824583655185426</v>
      </c>
      <c r="I396">
        <f t="shared" si="116"/>
        <v>264.35000000000002</v>
      </c>
      <c r="J396">
        <v>4.4849008531299955E-3</v>
      </c>
      <c r="K396">
        <f t="shared" si="117"/>
        <v>0.48182397947597105</v>
      </c>
      <c r="L396">
        <f t="shared" si="118"/>
        <v>0.91120328035211451</v>
      </c>
      <c r="M396">
        <f t="shared" si="106"/>
        <v>0.1115419203707736</v>
      </c>
      <c r="N396">
        <f t="shared" si="119"/>
        <v>1.7752447988971194E-2</v>
      </c>
      <c r="O396">
        <f t="shared" si="120"/>
        <v>0.10698268400095574</v>
      </c>
      <c r="P396">
        <f t="shared" si="121"/>
        <v>0.10679683699482667</v>
      </c>
      <c r="Q396">
        <f t="shared" si="107"/>
        <v>0.11257471592976225</v>
      </c>
      <c r="R396">
        <f t="shared" si="122"/>
        <v>1.7916822507387593E-2</v>
      </c>
      <c r="S396">
        <f t="shared" si="123"/>
        <v>0.11038625709076041</v>
      </c>
      <c r="T396" s="29">
        <f t="shared" si="108"/>
        <v>0.24943474534778259</v>
      </c>
      <c r="U396">
        <v>1</v>
      </c>
      <c r="V396" s="29">
        <f>($Q$273+($Q$272*$Q$274))*U396</f>
        <v>-1</v>
      </c>
      <c r="W396" s="29">
        <f t="shared" si="109"/>
        <v>0.68920773006687319</v>
      </c>
      <c r="X396" s="29">
        <f t="shared" si="125"/>
        <v>0.11228155521018422</v>
      </c>
      <c r="Y396" s="29">
        <f t="shared" si="110"/>
        <v>1.2157311472964261</v>
      </c>
      <c r="Z396">
        <f t="shared" si="111"/>
        <v>0.39285856093509275</v>
      </c>
      <c r="AA396">
        <f t="shared" si="112"/>
        <v>0.18106425247368804</v>
      </c>
      <c r="AB396">
        <f t="shared" si="113"/>
        <v>0.56964491335588441</v>
      </c>
      <c r="AC396">
        <f t="shared" si="114"/>
        <v>0.22729342331803393</v>
      </c>
    </row>
    <row r="397" spans="7:49" x14ac:dyDescent="0.25">
      <c r="G397" s="5">
        <v>0.3</v>
      </c>
      <c r="H397">
        <f t="shared" si="115"/>
        <v>0.95393920141694566</v>
      </c>
      <c r="I397">
        <f t="shared" si="116"/>
        <v>317.22000000000003</v>
      </c>
      <c r="J397">
        <v>4.7335924328074149E-3</v>
      </c>
      <c r="K397">
        <f t="shared" si="117"/>
        <v>0.49500252915362586</v>
      </c>
      <c r="L397">
        <f t="shared" si="118"/>
        <v>0.89884857518509409</v>
      </c>
      <c r="M397">
        <f t="shared" si="106"/>
        <v>0.11321476236596717</v>
      </c>
      <c r="N397">
        <f t="shared" si="119"/>
        <v>1.8018689061517958E-2</v>
      </c>
      <c r="O397">
        <f t="shared" si="120"/>
        <v>0.10998526883345291</v>
      </c>
      <c r="P397">
        <f t="shared" si="121"/>
        <v>0.10979420582992221</v>
      </c>
      <c r="Q397">
        <f t="shared" si="107"/>
        <v>0.11426304720268909</v>
      </c>
      <c r="R397">
        <f t="shared" si="122"/>
        <v>1.8185528775050534E-2</v>
      </c>
      <c r="S397">
        <f t="shared" si="123"/>
        <v>0.11355144228561578</v>
      </c>
      <c r="T397" s="29">
        <f t="shared" si="108"/>
        <v>0.29932169441733908</v>
      </c>
      <c r="U397">
        <v>1</v>
      </c>
      <c r="V397" s="29">
        <f t="shared" si="124"/>
        <v>-1</v>
      </c>
      <c r="W397" s="29">
        <f t="shared" si="109"/>
        <v>0.70855109106088332</v>
      </c>
      <c r="X397" s="29">
        <f t="shared" si="125"/>
        <v>0.115013303835898</v>
      </c>
      <c r="Y397" s="29">
        <f t="shared" si="110"/>
        <v>1.2187100318108479</v>
      </c>
      <c r="Z397">
        <f t="shared" si="111"/>
        <v>0.39791683239406395</v>
      </c>
      <c r="AA397">
        <f t="shared" si="112"/>
        <v>0.18106425247368804</v>
      </c>
      <c r="AB397">
        <f t="shared" si="113"/>
        <v>0.57697940697139272</v>
      </c>
      <c r="AC397">
        <f t="shared" si="114"/>
        <v>0.22729342331803393</v>
      </c>
    </row>
    <row r="398" spans="7:49" x14ac:dyDescent="0.25">
      <c r="G398" s="5">
        <v>0.35</v>
      </c>
      <c r="H398">
        <f t="shared" si="115"/>
        <v>0.93674969975975975</v>
      </c>
      <c r="I398">
        <f t="shared" si="116"/>
        <v>370.09000000000003</v>
      </c>
      <c r="J398">
        <v>4.6257535116471836E-3</v>
      </c>
      <c r="K398">
        <f t="shared" si="117"/>
        <v>0.48933156397227751</v>
      </c>
      <c r="L398">
        <f t="shared" si="118"/>
        <v>0.90418653447081709</v>
      </c>
      <c r="M398">
        <f t="shared" si="106"/>
        <v>0.11529227073966274</v>
      </c>
      <c r="N398">
        <f t="shared" si="119"/>
        <v>1.8349334788506415E-2</v>
      </c>
      <c r="O398">
        <f t="shared" si="120"/>
        <v>0.11375906391372086</v>
      </c>
      <c r="P398">
        <f t="shared" si="121"/>
        <v>0.11356144519022517</v>
      </c>
      <c r="Q398">
        <f t="shared" si="107"/>
        <v>0.11635979176502999</v>
      </c>
      <c r="R398">
        <f t="shared" si="122"/>
        <v>1.8519236036548141E-2</v>
      </c>
      <c r="S398">
        <f t="shared" si="123"/>
        <v>0.11753458280720043</v>
      </c>
      <c r="T398" s="29">
        <f t="shared" si="108"/>
        <v>0.34920864348689562</v>
      </c>
      <c r="U398">
        <v>1</v>
      </c>
      <c r="V398" s="29">
        <f t="shared" si="124"/>
        <v>-1</v>
      </c>
      <c r="W398" s="29">
        <f t="shared" si="109"/>
        <v>0.73286277070602823</v>
      </c>
      <c r="X398" s="29">
        <f t="shared" si="125"/>
        <v>0.11854239254597372</v>
      </c>
      <c r="Y398" s="29">
        <f t="shared" si="110"/>
        <v>1.2228773485094071</v>
      </c>
      <c r="Z398">
        <f t="shared" si="111"/>
        <v>0.40415379968872978</v>
      </c>
      <c r="AA398">
        <f t="shared" si="112"/>
        <v>0.18106425247368804</v>
      </c>
      <c r="AB398">
        <f t="shared" si="113"/>
        <v>0.58602300954865816</v>
      </c>
      <c r="AC398">
        <f t="shared" si="114"/>
        <v>0.22729342331803393</v>
      </c>
    </row>
    <row r="399" spans="7:49" x14ac:dyDescent="0.25">
      <c r="G399" s="5">
        <v>0.4</v>
      </c>
      <c r="H399">
        <f t="shared" si="115"/>
        <v>0.91651513899116799</v>
      </c>
      <c r="I399">
        <f t="shared" si="116"/>
        <v>422.96000000000004</v>
      </c>
      <c r="J399">
        <v>4.5350754402076745E-3</v>
      </c>
      <c r="K399">
        <f t="shared" si="117"/>
        <v>0.48451167320417399</v>
      </c>
      <c r="L399">
        <f t="shared" si="118"/>
        <v>0.9086998666819277</v>
      </c>
      <c r="M399">
        <f t="shared" si="106"/>
        <v>0.11783766072743589</v>
      </c>
      <c r="N399">
        <f t="shared" si="119"/>
        <v>1.8754446187157128E-2</v>
      </c>
      <c r="O399">
        <f t="shared" si="120"/>
        <v>0.11844937702562958</v>
      </c>
      <c r="P399">
        <f t="shared" si="121"/>
        <v>0.1182436104354226</v>
      </c>
      <c r="Q399">
        <f t="shared" si="107"/>
        <v>0.11892875017861584</v>
      </c>
      <c r="R399">
        <f t="shared" si="122"/>
        <v>1.8928098466667844E-2</v>
      </c>
      <c r="S399">
        <f t="shared" si="123"/>
        <v>0.12249278234294751</v>
      </c>
      <c r="T399" s="29">
        <f t="shared" si="108"/>
        <v>0.39909559255645216</v>
      </c>
      <c r="U399">
        <v>1</v>
      </c>
      <c r="V399" s="29">
        <f t="shared" si="124"/>
        <v>-1</v>
      </c>
      <c r="W399" s="29">
        <f t="shared" si="109"/>
        <v>0.76307887608185354</v>
      </c>
      <c r="X399" s="29">
        <f t="shared" si="125"/>
        <v>0.12287049407064402</v>
      </c>
      <c r="Y399" s="29">
        <f t="shared" si="110"/>
        <v>1.2287153291552386</v>
      </c>
      <c r="Z399">
        <f t="shared" si="111"/>
        <v>0.41172716118850533</v>
      </c>
      <c r="AA399">
        <f t="shared" si="112"/>
        <v>0.18106425247368804</v>
      </c>
      <c r="AB399">
        <f t="shared" si="113"/>
        <v>0.59700438372333264</v>
      </c>
      <c r="AC399">
        <f t="shared" si="114"/>
        <v>0.22729342331803393</v>
      </c>
    </row>
    <row r="400" spans="7:49" x14ac:dyDescent="0.25">
      <c r="G400" s="5">
        <v>0.45</v>
      </c>
      <c r="H400">
        <f t="shared" si="115"/>
        <v>0.89302855497458755</v>
      </c>
      <c r="I400">
        <f t="shared" si="116"/>
        <v>475.83000000000004</v>
      </c>
      <c r="J400">
        <v>4.4571263639960708E-3</v>
      </c>
      <c r="K400">
        <f t="shared" si="117"/>
        <v>0.48032972144493713</v>
      </c>
      <c r="L400">
        <f t="shared" si="118"/>
        <v>0.91259013634250763</v>
      </c>
      <c r="M400">
        <f t="shared" si="106"/>
        <v>0.12093678236646453</v>
      </c>
      <c r="N400">
        <f t="shared" si="119"/>
        <v>1.9247686715251594E-2</v>
      </c>
      <c r="O400">
        <f t="shared" si="120"/>
        <v>0.12425694261102585</v>
      </c>
      <c r="P400">
        <f t="shared" si="121"/>
        <v>0.12404108729770424</v>
      </c>
      <c r="Q400">
        <f t="shared" si="107"/>
        <v>0.12205656738837624</v>
      </c>
      <c r="R400">
        <f t="shared" si="122"/>
        <v>1.942590603668911E-2</v>
      </c>
      <c r="S400">
        <f t="shared" si="123"/>
        <v>0.12864380245837007</v>
      </c>
      <c r="T400" s="29">
        <f t="shared" si="108"/>
        <v>0.4489825416260087</v>
      </c>
      <c r="U400">
        <v>1</v>
      </c>
      <c r="V400" s="29">
        <f t="shared" si="124"/>
        <v>-1</v>
      </c>
      <c r="W400" s="29">
        <f t="shared" si="109"/>
        <v>0.80049258589576777</v>
      </c>
      <c r="X400" s="29">
        <f t="shared" si="125"/>
        <v>0.12815047869809809</v>
      </c>
      <c r="Y400" s="29">
        <f t="shared" si="110"/>
        <v>1.2369580304296415</v>
      </c>
      <c r="Z400">
        <f t="shared" si="111"/>
        <v>0.42084590260886801</v>
      </c>
      <c r="AA400">
        <f t="shared" si="112"/>
        <v>0.18106425247368804</v>
      </c>
      <c r="AB400">
        <f t="shared" si="113"/>
        <v>0.61022655878285847</v>
      </c>
      <c r="AC400">
        <f t="shared" si="114"/>
        <v>0.22729342331803393</v>
      </c>
    </row>
    <row r="401" spans="7:57" x14ac:dyDescent="0.25">
      <c r="G401" s="5">
        <v>0.5</v>
      </c>
      <c r="H401">
        <f t="shared" si="115"/>
        <v>0.8660254037844386</v>
      </c>
      <c r="I401">
        <f t="shared" si="116"/>
        <v>528.70000000000005</v>
      </c>
      <c r="J401">
        <v>4.3889650937751663E-3</v>
      </c>
      <c r="K401">
        <f t="shared" si="117"/>
        <v>0.47664281451416185</v>
      </c>
      <c r="L401">
        <f t="shared" si="118"/>
        <v>0.91599476071460173</v>
      </c>
      <c r="M401">
        <f t="shared" si="106"/>
        <v>0.12470765814495917</v>
      </c>
      <c r="N401">
        <f t="shared" si="119"/>
        <v>1.9847840235184516E-2</v>
      </c>
      <c r="O401">
        <f t="shared" si="120"/>
        <v>0.13146303448299143</v>
      </c>
      <c r="P401">
        <f t="shared" si="121"/>
        <v>0.13123466096999292</v>
      </c>
      <c r="Q401">
        <f t="shared" si="107"/>
        <v>0.12586235868333842</v>
      </c>
      <c r="R401">
        <f t="shared" si="122"/>
        <v>2.0031616533658446E-2</v>
      </c>
      <c r="S401">
        <f t="shared" si="123"/>
        <v>0.136294012347947</v>
      </c>
      <c r="T401" s="29">
        <f t="shared" si="108"/>
        <v>0.49886949069556519</v>
      </c>
      <c r="U401">
        <v>1</v>
      </c>
      <c r="V401" s="29">
        <f t="shared" si="124"/>
        <v>-1</v>
      </c>
      <c r="W401" s="29">
        <f t="shared" si="109"/>
        <v>0.84691593251592157</v>
      </c>
      <c r="X401" s="29">
        <f t="shared" si="125"/>
        <v>0.1345878156577352</v>
      </c>
      <c r="Y401" s="29">
        <f t="shared" si="110"/>
        <v>1.2487506177526941</v>
      </c>
      <c r="Z401">
        <f t="shared" si="111"/>
        <v>0.43178880504861844</v>
      </c>
      <c r="AA401">
        <f t="shared" si="112"/>
        <v>0.18106425247368804</v>
      </c>
      <c r="AB401">
        <f t="shared" si="113"/>
        <v>0.6260937673204966</v>
      </c>
      <c r="AC401">
        <f t="shared" si="114"/>
        <v>0.22729342331803393</v>
      </c>
    </row>
    <row r="402" spans="7:57" x14ac:dyDescent="0.25">
      <c r="G402" s="5">
        <v>0.55000000000000004</v>
      </c>
      <c r="H402">
        <f t="shared" si="115"/>
        <v>0.83516465442450327</v>
      </c>
      <c r="I402">
        <f t="shared" si="116"/>
        <v>581.57000000000005</v>
      </c>
      <c r="J402">
        <v>4.3285454522710553E-3</v>
      </c>
      <c r="K402">
        <f t="shared" si="117"/>
        <v>0.47335065022099559</v>
      </c>
      <c r="L402">
        <f t="shared" si="118"/>
        <v>0.91901134034717846</v>
      </c>
      <c r="M402">
        <f t="shared" si="106"/>
        <v>0.12931581745927792</v>
      </c>
      <c r="N402">
        <f t="shared" si="119"/>
        <v>2.0581251568613304E-2</v>
      </c>
      <c r="O402">
        <f t="shared" si="120"/>
        <v>0.14047047884093974</v>
      </c>
      <c r="P402">
        <f t="shared" si="121"/>
        <v>0.14022645787450116</v>
      </c>
      <c r="Q402">
        <f t="shared" si="107"/>
        <v>0.13051318613945642</v>
      </c>
      <c r="R402">
        <f t="shared" si="122"/>
        <v>2.0771818712767131E-2</v>
      </c>
      <c r="S402">
        <f t="shared" si="123"/>
        <v>0.14588430801061572</v>
      </c>
      <c r="T402" s="29">
        <f t="shared" si="108"/>
        <v>0.54875643976512178</v>
      </c>
      <c r="U402">
        <v>1</v>
      </c>
      <c r="V402" s="29">
        <f t="shared" si="124"/>
        <v>-1</v>
      </c>
      <c r="W402" s="29">
        <f t="shared" si="109"/>
        <v>0.9049440175057295</v>
      </c>
      <c r="X402" s="29">
        <f t="shared" si="125"/>
        <v>0.14246241120449887</v>
      </c>
      <c r="Y402" s="29">
        <f t="shared" si="110"/>
        <v>1.2659380192107941</v>
      </c>
      <c r="Z402">
        <f t="shared" si="111"/>
        <v>0.44493263614763967</v>
      </c>
      <c r="AA402">
        <f t="shared" si="112"/>
        <v>0.18106425247368804</v>
      </c>
      <c r="AB402">
        <f t="shared" si="113"/>
        <v>0.64515232241407749</v>
      </c>
      <c r="AC402">
        <f t="shared" si="114"/>
        <v>0.22729342331803393</v>
      </c>
    </row>
    <row r="403" spans="7:57" x14ac:dyDescent="0.25">
      <c r="G403" s="58">
        <v>0.6</v>
      </c>
      <c r="H403" s="99">
        <f t="shared" si="115"/>
        <v>0.8</v>
      </c>
      <c r="I403" s="99">
        <f t="shared" si="116"/>
        <v>634.44000000000005</v>
      </c>
      <c r="J403" s="99">
        <v>4.274389771499164E-3</v>
      </c>
      <c r="K403" s="99">
        <f t="shared" si="117"/>
        <v>0.47038021672546648</v>
      </c>
      <c r="L403" s="99">
        <f t="shared" si="118"/>
        <v>0.92171151658294792</v>
      </c>
      <c r="M403" s="99">
        <f t="shared" si="106"/>
        <v>0.13499999999999998</v>
      </c>
      <c r="N403" s="99">
        <f t="shared" si="119"/>
        <v>2.1485917317405869E-2</v>
      </c>
      <c r="O403">
        <f t="shared" si="120"/>
        <v>0.15187349429154923</v>
      </c>
      <c r="P403" s="99">
        <f t="shared" si="121"/>
        <v>0.15160966435974274</v>
      </c>
      <c r="Q403" s="99">
        <f t="shared" si="107"/>
        <v>0.13624999999999998</v>
      </c>
      <c r="R403" s="99">
        <f t="shared" si="122"/>
        <v>2.1684860996270736E-2</v>
      </c>
      <c r="S403">
        <f t="shared" si="123"/>
        <v>0.15806885198995582</v>
      </c>
      <c r="T403" s="99">
        <f t="shared" si="108"/>
        <v>0.59864338883467816</v>
      </c>
      <c r="U403" s="99">
        <v>1</v>
      </c>
      <c r="V403" s="99">
        <f t="shared" si="124"/>
        <v>-1</v>
      </c>
      <c r="W403" s="99">
        <f t="shared" si="109"/>
        <v>0.97840493754174052</v>
      </c>
      <c r="X403" s="99">
        <f t="shared" si="125"/>
        <v>0.15216167774264583</v>
      </c>
      <c r="Y403" s="99">
        <f t="shared" si="110"/>
        <v>1.2916153945984163</v>
      </c>
      <c r="Z403" s="99">
        <f t="shared" si="111"/>
        <v>0.46079638800646094</v>
      </c>
      <c r="AA403" s="99">
        <f t="shared" si="112"/>
        <v>0.18106425247368804</v>
      </c>
      <c r="AB403" s="99">
        <f t="shared" si="113"/>
        <v>0.66815476260936835</v>
      </c>
      <c r="AC403" s="99">
        <f t="shared" si="114"/>
        <v>0.22729342331803393</v>
      </c>
    </row>
    <row r="404" spans="7:57" x14ac:dyDescent="0.25">
      <c r="G404" s="5">
        <v>0.65</v>
      </c>
      <c r="H404">
        <f t="shared" si="115"/>
        <v>0.75993420767853315</v>
      </c>
      <c r="I404">
        <f t="shared" si="116"/>
        <v>687.31000000000006</v>
      </c>
      <c r="J404">
        <v>4.5928240204003608E-3</v>
      </c>
      <c r="K404">
        <f t="shared" si="117"/>
        <v>0.48758674350717396</v>
      </c>
      <c r="L404">
        <f t="shared" si="118"/>
        <v>0.90582347065539581</v>
      </c>
      <c r="M404">
        <f t="shared" si="106"/>
        <v>0.1421175661113101</v>
      </c>
      <c r="N404">
        <f t="shared" si="119"/>
        <v>2.2618713146804234E-2</v>
      </c>
      <c r="O404">
        <f t="shared" si="120"/>
        <v>0.16658299205178798</v>
      </c>
      <c r="P404">
        <f t="shared" si="121"/>
        <v>0.16629360923592432</v>
      </c>
      <c r="Q404">
        <f t="shared" si="107"/>
        <v>0.14343346950122965</v>
      </c>
      <c r="R404">
        <f t="shared" si="122"/>
        <v>2.2828145675941311E-2</v>
      </c>
      <c r="S404">
        <f t="shared" si="123"/>
        <v>0.17385749335052486</v>
      </c>
      <c r="T404" s="29">
        <f t="shared" si="108"/>
        <v>0.64853033790423475</v>
      </c>
      <c r="U404">
        <v>1</v>
      </c>
      <c r="V404" s="29">
        <f t="shared" si="124"/>
        <v>-1</v>
      </c>
      <c r="W404" s="29">
        <f t="shared" si="109"/>
        <v>1.0731669979296379</v>
      </c>
      <c r="X404" s="29">
        <f t="shared" si="125"/>
        <v>0.16427195887086532</v>
      </c>
      <c r="Y404" s="29">
        <f t="shared" si="110"/>
        <v>1.3312457184293842</v>
      </c>
      <c r="Z404">
        <f t="shared" si="111"/>
        <v>0.48011331066331625</v>
      </c>
      <c r="AA404">
        <f t="shared" si="112"/>
        <v>0.18106425247368804</v>
      </c>
      <c r="AB404">
        <f t="shared" si="113"/>
        <v>0.69616430046180855</v>
      </c>
      <c r="AC404">
        <f t="shared" si="114"/>
        <v>0.22729342331803393</v>
      </c>
    </row>
    <row r="405" spans="7:57" x14ac:dyDescent="0.25">
      <c r="G405" s="5">
        <v>0.7</v>
      </c>
      <c r="H405">
        <f t="shared" si="115"/>
        <v>0.71414284285428498</v>
      </c>
      <c r="I405">
        <f t="shared" si="116"/>
        <v>740.18000000000006</v>
      </c>
      <c r="J405">
        <v>4.5442726355496184E-3</v>
      </c>
      <c r="K405">
        <f t="shared" si="117"/>
        <v>0.48500272253378857</v>
      </c>
      <c r="L405">
        <f t="shared" si="118"/>
        <v>0.90824135523284022</v>
      </c>
      <c r="M405">
        <f t="shared" si="106"/>
        <v>0.15123024907502505</v>
      </c>
      <c r="N405">
        <f t="shared" si="119"/>
        <v>2.4069041685308771E-2</v>
      </c>
      <c r="O405">
        <f t="shared" si="120"/>
        <v>0.18606658153192498</v>
      </c>
      <c r="P405">
        <f t="shared" si="121"/>
        <v>0.18574335242768911</v>
      </c>
      <c r="Q405">
        <f t="shared" si="107"/>
        <v>0.15263052915905306</v>
      </c>
      <c r="R405">
        <f t="shared" si="122"/>
        <v>2.4291903182394964E-2</v>
      </c>
      <c r="S405">
        <f t="shared" si="123"/>
        <v>0.19489118882148326</v>
      </c>
      <c r="T405" s="29">
        <f t="shared" si="108"/>
        <v>0.69841728697379124</v>
      </c>
      <c r="U405">
        <v>1</v>
      </c>
      <c r="V405" s="29">
        <f t="shared" si="124"/>
        <v>-1</v>
      </c>
      <c r="W405" s="29">
        <f t="shared" si="109"/>
        <v>1.1986848852826983</v>
      </c>
      <c r="X405" s="29">
        <f t="shared" si="125"/>
        <v>0.17957296921450339</v>
      </c>
      <c r="Y405" s="29">
        <f t="shared" si="110"/>
        <v>1.3951127852600966</v>
      </c>
      <c r="Z405">
        <f t="shared" si="111"/>
        <v>0.50395361014601125</v>
      </c>
      <c r="AA405">
        <f t="shared" si="112"/>
        <v>0.18106425247368804</v>
      </c>
      <c r="AB405">
        <f t="shared" si="113"/>
        <v>0.73073273471171618</v>
      </c>
      <c r="AC405">
        <f t="shared" si="114"/>
        <v>0.22729342331803393</v>
      </c>
    </row>
    <row r="406" spans="7:57" x14ac:dyDescent="0.25">
      <c r="G406" s="5">
        <v>0.75</v>
      </c>
      <c r="H406">
        <f t="shared" si="115"/>
        <v>0.66143782776614768</v>
      </c>
      <c r="I406">
        <f t="shared" si="116"/>
        <v>793.05000000000007</v>
      </c>
      <c r="J406">
        <v>4.4997101763239377E-3</v>
      </c>
      <c r="K406">
        <f t="shared" si="117"/>
        <v>0.48261882495382324</v>
      </c>
      <c r="L406">
        <f t="shared" si="118"/>
        <v>0.91046407483385339</v>
      </c>
      <c r="M406">
        <f t="shared" si="106"/>
        <v>0.16328065233998615</v>
      </c>
      <c r="N406">
        <f t="shared" si="119"/>
        <v>2.5986922931178043E-2</v>
      </c>
      <c r="O406">
        <f t="shared" si="120"/>
        <v>0.21284847584675293</v>
      </c>
      <c r="P406">
        <f t="shared" si="121"/>
        <v>0.21247872206496424</v>
      </c>
      <c r="Q406">
        <f t="shared" si="107"/>
        <v>0.16479251023202307</v>
      </c>
      <c r="R406">
        <f t="shared" si="122"/>
        <v>2.6227542587948214E-2</v>
      </c>
      <c r="S406">
        <f t="shared" si="123"/>
        <v>0.22402223560332959</v>
      </c>
      <c r="T406" s="29">
        <f t="shared" si="108"/>
        <v>0.74830423604334784</v>
      </c>
      <c r="U406">
        <v>0.8</v>
      </c>
      <c r="V406" s="29">
        <f t="shared" si="124"/>
        <v>-0.8</v>
      </c>
      <c r="W406" s="29">
        <f t="shared" si="109"/>
        <v>1.3712201769514749</v>
      </c>
      <c r="X406" s="29">
        <f t="shared" si="125"/>
        <v>0.19919440160472265</v>
      </c>
      <c r="Y406" s="29">
        <f t="shared" si="110"/>
        <v>1.5042699888815725</v>
      </c>
      <c r="Z406">
        <f t="shared" si="111"/>
        <v>0.53394517608710246</v>
      </c>
      <c r="AA406">
        <f t="shared" si="112"/>
        <v>0.18106425247368804</v>
      </c>
      <c r="AB406">
        <f t="shared" si="113"/>
        <v>0.7742205053262986</v>
      </c>
      <c r="AC406">
        <f t="shared" si="114"/>
        <v>0.22729342331803393</v>
      </c>
    </row>
    <row r="407" spans="7:57" x14ac:dyDescent="0.25">
      <c r="G407" s="5">
        <v>0.8</v>
      </c>
      <c r="H407">
        <f t="shared" si="115"/>
        <v>0.59999999999999987</v>
      </c>
      <c r="I407">
        <f t="shared" si="116"/>
        <v>845.92000000000007</v>
      </c>
      <c r="J407">
        <v>4.4585718146812579E-3</v>
      </c>
      <c r="K407">
        <f t="shared" si="117"/>
        <v>0.4804076008438401</v>
      </c>
      <c r="L407">
        <f t="shared" si="118"/>
        <v>0.91251794852039914</v>
      </c>
      <c r="M407">
        <f t="shared" si="106"/>
        <v>0.18000000000000005</v>
      </c>
      <c r="N407">
        <f t="shared" si="119"/>
        <v>2.8647889756541169E-2</v>
      </c>
      <c r="O407">
        <f t="shared" si="120"/>
        <v>0.25167326542920682</v>
      </c>
      <c r="P407">
        <f t="shared" si="121"/>
        <v>0.251236066425092</v>
      </c>
      <c r="Q407">
        <f t="shared" si="107"/>
        <v>0.1816666666666667</v>
      </c>
      <c r="R407">
        <f t="shared" si="122"/>
        <v>2.8913147995027658E-2</v>
      </c>
      <c r="S407">
        <f t="shared" si="123"/>
        <v>0.266683574276255</v>
      </c>
      <c r="T407" s="29">
        <f t="shared" si="108"/>
        <v>0.79819118511290432</v>
      </c>
      <c r="U407">
        <v>0</v>
      </c>
      <c r="V407" s="29">
        <f t="shared" si="124"/>
        <v>0</v>
      </c>
      <c r="W407" s="29">
        <f t="shared" si="109"/>
        <v>1.6213386456394356</v>
      </c>
      <c r="X407" s="29">
        <f t="shared" si="125"/>
        <v>0.22470712759551215</v>
      </c>
      <c r="Y407" s="29">
        <f t="shared" si="110"/>
        <v>1.7070113297128373</v>
      </c>
      <c r="Z407">
        <f t="shared" si="111"/>
        <v>0.57269768603406035</v>
      </c>
      <c r="AA407">
        <f t="shared" si="112"/>
        <v>0.18106425247368804</v>
      </c>
      <c r="AB407">
        <f t="shared" si="113"/>
        <v>0.83041164474938745</v>
      </c>
      <c r="AC407">
        <f t="shared" si="114"/>
        <v>0.22729342331803393</v>
      </c>
    </row>
    <row r="408" spans="7:57" x14ac:dyDescent="0.25">
      <c r="G408" s="5">
        <v>0.85</v>
      </c>
      <c r="H408">
        <f t="shared" si="115"/>
        <v>0.52678268764263703</v>
      </c>
      <c r="I408">
        <f t="shared" si="116"/>
        <v>898.79000000000008</v>
      </c>
      <c r="J408">
        <v>4.7740342766977419E-3</v>
      </c>
      <c r="K408">
        <f t="shared" si="117"/>
        <v>0.49711257969884382</v>
      </c>
      <c r="L408">
        <f t="shared" si="118"/>
        <v>0.89685791376776947</v>
      </c>
      <c r="M408">
        <f t="shared" si="106"/>
        <v>0.20501812708253975</v>
      </c>
      <c r="N408">
        <f t="shared" si="119"/>
        <v>3.2629648348628582E-2</v>
      </c>
      <c r="O408">
        <f t="shared" si="120"/>
        <v>0.31267319102286617</v>
      </c>
      <c r="P408">
        <f t="shared" si="121"/>
        <v>0.31213002483675789</v>
      </c>
      <c r="Q408">
        <f t="shared" si="107"/>
        <v>0.20691644307404475</v>
      </c>
      <c r="R408">
        <f t="shared" si="122"/>
        <v>3.293177472222699E-2</v>
      </c>
      <c r="S408">
        <f t="shared" si="123"/>
        <v>0.33467687582814859</v>
      </c>
      <c r="T408" s="29">
        <f t="shared" si="108"/>
        <v>0.84807813418246081</v>
      </c>
      <c r="U408">
        <v>0</v>
      </c>
      <c r="V408" s="29">
        <f t="shared" si="124"/>
        <v>0</v>
      </c>
      <c r="W408" s="29">
        <f t="shared" si="109"/>
        <v>2.0143145804391134</v>
      </c>
      <c r="X408" s="29">
        <f t="shared" si="125"/>
        <v>0.25871347316564169</v>
      </c>
      <c r="Y408" s="29">
        <f t="shared" si="110"/>
        <v>2.1338352284298052</v>
      </c>
      <c r="Z408">
        <f t="shared" si="111"/>
        <v>0.62468234732408157</v>
      </c>
      <c r="AA408">
        <f t="shared" si="112"/>
        <v>0.18106425247368804</v>
      </c>
      <c r="AB408">
        <f t="shared" si="113"/>
        <v>0.90578940361991822</v>
      </c>
      <c r="AC408">
        <f t="shared" si="114"/>
        <v>0.22729342331803393</v>
      </c>
    </row>
    <row r="409" spans="7:57" x14ac:dyDescent="0.25">
      <c r="G409" s="5">
        <v>0.9</v>
      </c>
      <c r="H409">
        <f t="shared" si="115"/>
        <v>0.43588989435406728</v>
      </c>
      <c r="I409">
        <f t="shared" si="116"/>
        <v>951.66000000000008</v>
      </c>
      <c r="J409">
        <v>4.7356150781938606E-3</v>
      </c>
      <c r="K409">
        <f t="shared" si="117"/>
        <v>0.49510827417341424</v>
      </c>
      <c r="L409">
        <f t="shared" si="118"/>
        <v>0.89874885293752704</v>
      </c>
      <c r="M409">
        <f t="shared" si="106"/>
        <v>0.24776899258020674</v>
      </c>
      <c r="N409">
        <f t="shared" si="119"/>
        <v>3.9433659914039042E-2</v>
      </c>
      <c r="O409">
        <f t="shared" si="120"/>
        <v>0.42233542912549932</v>
      </c>
      <c r="P409">
        <f t="shared" si="121"/>
        <v>0.42160176109484387</v>
      </c>
      <c r="Q409">
        <f t="shared" si="107"/>
        <v>0.25006314991891238</v>
      </c>
      <c r="R409">
        <f t="shared" si="122"/>
        <v>3.9798786394724589E-2</v>
      </c>
      <c r="S409">
        <f t="shared" si="123"/>
        <v>0.45954225107850494</v>
      </c>
      <c r="T409" s="29">
        <f t="shared" si="108"/>
        <v>0.8979650832520174</v>
      </c>
      <c r="U409">
        <v>0</v>
      </c>
      <c r="V409" s="29">
        <f t="shared" si="124"/>
        <v>0</v>
      </c>
      <c r="W409" s="29">
        <f t="shared" si="109"/>
        <v>2.720784631200726</v>
      </c>
      <c r="X409" s="29">
        <f t="shared" si="125"/>
        <v>0.29690816662707575</v>
      </c>
      <c r="Y409" s="29">
        <f t="shared" si="110"/>
        <v>3.2423783594749129</v>
      </c>
      <c r="Z409">
        <f t="shared" si="111"/>
        <v>0.69818643982597794</v>
      </c>
      <c r="AA409">
        <f t="shared" si="112"/>
        <v>0.18106425247368804</v>
      </c>
      <c r="AB409">
        <f t="shared" si="113"/>
        <v>1.012370337747668</v>
      </c>
      <c r="AC409">
        <f t="shared" si="114"/>
        <v>0.22729342331803393</v>
      </c>
    </row>
    <row r="410" spans="7:57" x14ac:dyDescent="0.25">
      <c r="G410" s="5">
        <v>0.95</v>
      </c>
      <c r="H410">
        <f t="shared" si="115"/>
        <v>0.31224989991991997</v>
      </c>
      <c r="I410">
        <f t="shared" si="116"/>
        <v>1004.5300000000001</v>
      </c>
      <c r="J410">
        <v>4.6996673486327896E-3</v>
      </c>
      <c r="K410">
        <f t="shared" si="117"/>
        <v>0.49322552792608643</v>
      </c>
      <c r="L410">
        <f t="shared" si="118"/>
        <v>0.90052354183170824</v>
      </c>
      <c r="M410">
        <f t="shared" si="106"/>
        <v>0.34587681221898814</v>
      </c>
      <c r="N410">
        <f>M410/(2*PI())</f>
        <v>5.5048004365519231E-2</v>
      </c>
      <c r="O410">
        <f t="shared" si="120"/>
        <v>0.6830453188898814</v>
      </c>
      <c r="P410">
        <f t="shared" si="121"/>
        <v>0.68185875371111815</v>
      </c>
      <c r="Q410">
        <f t="shared" si="107"/>
        <v>0.34907937529508987</v>
      </c>
      <c r="R410">
        <f t="shared" si="122"/>
        <v>5.5557708109644402E-2</v>
      </c>
      <c r="S410">
        <f t="shared" si="123"/>
        <v>0.76642749247693198</v>
      </c>
      <c r="T410" s="29">
        <f t="shared" si="108"/>
        <v>0.94785203232157378</v>
      </c>
      <c r="U410">
        <v>0</v>
      </c>
      <c r="V410" s="29">
        <f t="shared" si="124"/>
        <v>0</v>
      </c>
      <c r="W410" s="29">
        <f t="shared" si="109"/>
        <v>4.400339346138419</v>
      </c>
      <c r="X410" s="29">
        <f t="shared" si="125"/>
        <v>0.27010057359335643</v>
      </c>
      <c r="Y410" s="29">
        <f t="shared" si="110"/>
        <v>7.7014034657252379</v>
      </c>
      <c r="Z410">
        <f t="shared" si="111"/>
        <v>0.80888898429027301</v>
      </c>
      <c r="AA410">
        <f t="shared" si="112"/>
        <v>0.18106425247368804</v>
      </c>
      <c r="AB410">
        <f t="shared" si="113"/>
        <v>1.1728890272208958</v>
      </c>
      <c r="AC410">
        <f t="shared" si="114"/>
        <v>0.22729342331803393</v>
      </c>
    </row>
    <row r="412" spans="7:57" x14ac:dyDescent="0.25">
      <c r="G412" s="99" t="s">
        <v>181</v>
      </c>
      <c r="H412" s="254">
        <v>20000</v>
      </c>
    </row>
    <row r="413" spans="7:57" x14ac:dyDescent="0.25">
      <c r="G413" s="221" t="s">
        <v>428</v>
      </c>
      <c r="H413">
        <v>1.3</v>
      </c>
    </row>
    <row r="414" spans="7:57" x14ac:dyDescent="0.25">
      <c r="G414" t="s">
        <v>142</v>
      </c>
      <c r="H414">
        <v>1057.4000000000001</v>
      </c>
      <c r="U414" t="s">
        <v>706</v>
      </c>
      <c r="Y414" t="s">
        <v>1158</v>
      </c>
      <c r="Z414" t="s">
        <v>560</v>
      </c>
      <c r="AB414" t="s">
        <v>360</v>
      </c>
      <c r="AN414" t="s">
        <v>1201</v>
      </c>
      <c r="AV414" t="s">
        <v>1202</v>
      </c>
    </row>
    <row r="415" spans="7:57" ht="15.75" x14ac:dyDescent="0.25">
      <c r="G415" t="s">
        <v>348</v>
      </c>
      <c r="H415" s="223" t="s">
        <v>712</v>
      </c>
      <c r="I415" t="s">
        <v>1085</v>
      </c>
      <c r="J415" s="223" t="s">
        <v>356</v>
      </c>
      <c r="K415" s="231" t="s">
        <v>779</v>
      </c>
      <c r="L415" s="5" t="s">
        <v>785</v>
      </c>
      <c r="M415" s="11" t="s">
        <v>1153</v>
      </c>
      <c r="N415" s="11" t="s">
        <v>1152</v>
      </c>
      <c r="O415" t="s">
        <v>1059</v>
      </c>
      <c r="P415" t="s">
        <v>1060</v>
      </c>
      <c r="Q415" s="11" t="s">
        <v>1154</v>
      </c>
      <c r="R415" s="11" t="s">
        <v>788</v>
      </c>
      <c r="S415" t="s">
        <v>1061</v>
      </c>
      <c r="T415" t="s">
        <v>1156</v>
      </c>
      <c r="U415" s="223" t="s">
        <v>1157</v>
      </c>
      <c r="V415" s="221" t="s">
        <v>758</v>
      </c>
      <c r="W415" s="223" t="s">
        <v>786</v>
      </c>
      <c r="X415" s="226" t="s">
        <v>535</v>
      </c>
      <c r="Y415" s="226" t="s">
        <v>94</v>
      </c>
      <c r="Z415" s="226" t="s">
        <v>750</v>
      </c>
      <c r="AA415" s="227" t="s">
        <v>476</v>
      </c>
      <c r="AB415" s="226" t="s">
        <v>750</v>
      </c>
      <c r="AC415" s="227" t="s">
        <v>476</v>
      </c>
      <c r="AE415" s="227" t="s">
        <v>1193</v>
      </c>
      <c r="AN415" s="227" t="s">
        <v>1193</v>
      </c>
      <c r="AV415" s="227" t="s">
        <v>1193</v>
      </c>
      <c r="BD415" t="s">
        <v>1197</v>
      </c>
    </row>
    <row r="416" spans="7:57" x14ac:dyDescent="0.25">
      <c r="G416" s="5">
        <v>0</v>
      </c>
      <c r="H416">
        <f>SQRT(1-G416^2)</f>
        <v>1</v>
      </c>
      <c r="I416">
        <f>G416*$H$414</f>
        <v>0</v>
      </c>
      <c r="J416" t="e">
        <v>#NUM!</v>
      </c>
      <c r="K416" t="e">
        <f>0.68*$H$271*(J416*(($Q$262/$H$271)+0.15))^0.5</f>
        <v>#NUM!</v>
      </c>
      <c r="L416" t="e">
        <f>1-(COS((PI()*$Q$263)/2*K416)^2)*(2.42*SQRT(J416))/(($Q$262/$H$270)+0.3)</f>
        <v>#NUM!</v>
      </c>
      <c r="M416">
        <f t="shared" ref="M416:M435" si="126">$Q$267/(1-G416^2)^0.5</f>
        <v>0.108</v>
      </c>
      <c r="N416">
        <f>M416/(2*PI())</f>
        <v>1.7188733853924696E-2</v>
      </c>
      <c r="O416">
        <f>(2*PI()*$H$265)/(2+($H$265^2*H416^2/N416^2*(1+TAN(RADIANS($H$275))^2/H416^2)+4)^0.5)</f>
        <v>0.10073378060434053</v>
      </c>
      <c r="P416">
        <f>O416*$N$262</f>
        <v>0.10055878899970652</v>
      </c>
      <c r="Q416">
        <f t="shared" ref="Q416:Q435" si="127">$Q$271/(1-G416^2)^0.5</f>
        <v>0.109</v>
      </c>
      <c r="R416">
        <f>Q416/(2*PI())</f>
        <v>1.7347888797016594E-2</v>
      </c>
      <c r="S416">
        <f>(2*PI()*$K$265)/(2+($K$265^2*H416^2/R416^2*(1+TAN(RADIANS($K$275))^2/H416^2)+4)^0.5)</f>
        <v>0.10381027215104761</v>
      </c>
      <c r="T416" s="29">
        <f t="shared" ref="T416:T435" si="128">G416*COS($H$273)</f>
        <v>0</v>
      </c>
      <c r="U416">
        <v>1</v>
      </c>
      <c r="V416" s="29">
        <f>($Q$273+($Q$272*$Q$274))*U416</f>
        <v>-1</v>
      </c>
      <c r="W416" s="29">
        <f t="shared" ref="W416:W435" si="129">4.44*(($N$265*$N$266*$N$267*SQRT(COS($H$273)))^1.19)*(O416/$O$441)</f>
        <v>0.6489508177860982</v>
      </c>
      <c r="X416" s="29" t="e">
        <f>P416+S416*L416*($K$263/$H$263)*(1-W416)</f>
        <v>#NUM!</v>
      </c>
      <c r="Y416" s="29">
        <f t="shared" ref="Y416:Y435" si="130">$H$438-S416*($K$263/$H$263)*$N$272*(1-W416-$N$271)+$N$270</f>
        <v>1.2104861657449768</v>
      </c>
      <c r="Z416">
        <f t="shared" ref="Z416:Z435" si="131">$U$302*$W$299*(O416/M416)*$U$301</f>
        <v>0.38204298311929219</v>
      </c>
      <c r="AA416">
        <f t="shared" ref="AA416:AA435" si="132">$W$300*$U$305*$U$303</f>
        <v>0.18106425247368804</v>
      </c>
      <c r="AB416">
        <f t="shared" ref="AB416:AB435" si="133">$U$302*$Y$299*(O416/M416)*$U$301</f>
        <v>0.55396232552297364</v>
      </c>
      <c r="AC416">
        <f t="shared" ref="AC416:AC435" si="134">$Y$300*$U$305*$U$303</f>
        <v>0.22729342331803393</v>
      </c>
      <c r="AE416" t="s">
        <v>1194</v>
      </c>
      <c r="AF416" t="s">
        <v>244</v>
      </c>
      <c r="AN416" t="s">
        <v>1194</v>
      </c>
      <c r="AO416" t="s">
        <v>244</v>
      </c>
      <c r="AV416" t="s">
        <v>1194</v>
      </c>
      <c r="AW416" t="s">
        <v>244</v>
      </c>
      <c r="BD416" t="s">
        <v>1194</v>
      </c>
      <c r="BE416" t="s">
        <v>244</v>
      </c>
    </row>
    <row r="417" spans="7:57" x14ac:dyDescent="0.25">
      <c r="G417" s="5">
        <v>0.05</v>
      </c>
      <c r="H417">
        <f t="shared" ref="H417:H435" si="135">SQRT(1-G417^2)</f>
        <v>0.99874921777190895</v>
      </c>
      <c r="I417">
        <f t="shared" ref="I417:I435" si="136">G417*$H$414</f>
        <v>52.870000000000005</v>
      </c>
      <c r="J417">
        <v>6.4903036083949033E-3</v>
      </c>
      <c r="K417">
        <f t="shared" ref="K417:K435" si="137">0.68*$H$271*(J417*(($Q$262/$H$271)+0.15))^0.5</f>
        <v>0.57962150930601253</v>
      </c>
      <c r="L417">
        <f t="shared" ref="L417:L435" si="138">1-(COS((PI()*$Q$263)/2*K417)^2)*(2.42*SQRT(J417))/(($Q$262/$H$270)+0.3)</f>
        <v>0.82710296062628896</v>
      </c>
      <c r="M417">
        <f t="shared" si="126"/>
        <v>0.10813525365349991</v>
      </c>
      <c r="N417">
        <f t="shared" ref="N417:N434" si="139">M417/(2*PI())</f>
        <v>1.7210260141450447E-2</v>
      </c>
      <c r="O417">
        <f t="shared" ref="O417:O435" si="140">(2*PI()*$H$265)/(2+($H$265^2*H417^2/N417^2*(1+TAN(RADIANS($H$275))^2/H417^2)+4)^0.5)</f>
        <v>0.10096966142983717</v>
      </c>
      <c r="P417">
        <f t="shared" ref="P417:P435" si="141">O417*$N$262</f>
        <v>0.10079426006033672</v>
      </c>
      <c r="Q417">
        <f t="shared" si="127"/>
        <v>0.10913650600214343</v>
      </c>
      <c r="R417">
        <f t="shared" ref="R417:R435" si="142">Q417/(2*PI())</f>
        <v>1.7369614402019434E-2</v>
      </c>
      <c r="S417">
        <f t="shared" ref="S417:S435" si="143">(2*PI()*$K$265)/(2+($K$265^2*H417^2/R417^2*(1+TAN(RADIANS($K$275))^2/H417^2)+4)^0.5)</f>
        <v>0.1040582208604917</v>
      </c>
      <c r="T417" s="29">
        <f t="shared" si="128"/>
        <v>4.988694906955652E-2</v>
      </c>
      <c r="U417">
        <v>1</v>
      </c>
      <c r="V417" s="29">
        <f t="shared" ref="V417:V435" si="144">($Q$273+($Q$272*$Q$274))*U417</f>
        <v>-1</v>
      </c>
      <c r="W417" s="29">
        <f t="shared" si="129"/>
        <v>0.65047041780197912</v>
      </c>
      <c r="X417" s="29">
        <f t="shared" ref="X417:X435" si="145">P417+S417*L417*($K$263/$H$263)*(1-W417)</f>
        <v>0.10607231296122756</v>
      </c>
      <c r="Y417" s="29">
        <f t="shared" si="130"/>
        <v>1.210660771233947</v>
      </c>
      <c r="Z417">
        <f t="shared" si="131"/>
        <v>0.3824586133220616</v>
      </c>
      <c r="AA417">
        <f t="shared" si="132"/>
        <v>0.18106425247368804</v>
      </c>
      <c r="AB417">
        <f t="shared" si="133"/>
        <v>0.55456498931698928</v>
      </c>
      <c r="AC417">
        <f t="shared" si="134"/>
        <v>0.22729342331803393</v>
      </c>
      <c r="AE417">
        <v>-1</v>
      </c>
      <c r="AF417">
        <v>0</v>
      </c>
      <c r="AN417">
        <v>-1</v>
      </c>
      <c r="AO417">
        <v>0</v>
      </c>
      <c r="AV417">
        <v>-1</v>
      </c>
      <c r="AW417">
        <v>0</v>
      </c>
      <c r="BD417">
        <v>-1</v>
      </c>
      <c r="BE417">
        <v>0</v>
      </c>
    </row>
    <row r="418" spans="7:57" x14ac:dyDescent="0.25">
      <c r="G418" s="5">
        <v>0.1</v>
      </c>
      <c r="H418">
        <f t="shared" si="135"/>
        <v>0.99498743710661997</v>
      </c>
      <c r="I418">
        <f t="shared" si="136"/>
        <v>105.74000000000001</v>
      </c>
      <c r="J418">
        <v>5.7642279288479771E-3</v>
      </c>
      <c r="K418">
        <f t="shared" si="137"/>
        <v>0.5462388178861366</v>
      </c>
      <c r="L418">
        <f t="shared" si="138"/>
        <v>0.85208230968365706</v>
      </c>
      <c r="M418">
        <f t="shared" si="126"/>
        <v>0.1085440840479949</v>
      </c>
      <c r="N418">
        <f t="shared" si="139"/>
        <v>1.7275327519620534E-2</v>
      </c>
      <c r="O418">
        <f t="shared" si="140"/>
        <v>0.10168399167415836</v>
      </c>
      <c r="P418">
        <f t="shared" si="141"/>
        <v>0.10150734939227536</v>
      </c>
      <c r="Q418">
        <f t="shared" si="127"/>
        <v>0.10954912186325412</v>
      </c>
      <c r="R418">
        <f t="shared" si="142"/>
        <v>1.7435284255913317E-2</v>
      </c>
      <c r="S418">
        <f t="shared" si="143"/>
        <v>0.10480923052652887</v>
      </c>
      <c r="T418" s="29">
        <f t="shared" si="128"/>
        <v>9.977389813911304E-2</v>
      </c>
      <c r="U418">
        <v>1</v>
      </c>
      <c r="V418" s="29">
        <f t="shared" si="144"/>
        <v>-1</v>
      </c>
      <c r="W418" s="29">
        <f t="shared" si="129"/>
        <v>0.65507230203029343</v>
      </c>
      <c r="X418" s="29">
        <f t="shared" si="145"/>
        <v>0.10691194222125561</v>
      </c>
      <c r="Y418" s="29">
        <f t="shared" si="130"/>
        <v>1.2112007152996589</v>
      </c>
      <c r="Z418">
        <f t="shared" si="131"/>
        <v>0.38371367545476148</v>
      </c>
      <c r="AA418">
        <f t="shared" si="132"/>
        <v>0.18106425247368804</v>
      </c>
      <c r="AB418">
        <f t="shared" si="133"/>
        <v>0.55638482940940404</v>
      </c>
      <c r="AC418">
        <f t="shared" si="134"/>
        <v>0.22729342331803393</v>
      </c>
      <c r="AE418">
        <v>11</v>
      </c>
      <c r="AF418">
        <f>(AE418+1)*X428</f>
        <v>1.8257843312490301</v>
      </c>
      <c r="AN418">
        <v>11</v>
      </c>
      <c r="AO418">
        <f>X426*(AN418+1)</f>
        <v>1.6140695642117868</v>
      </c>
      <c r="AV418">
        <v>11</v>
      </c>
      <c r="AW418">
        <f>X427*(AV418+1)</f>
        <v>1.708905669962328</v>
      </c>
      <c r="BD418">
        <v>11</v>
      </c>
      <c r="BE418">
        <f>(BD418+1)*$X$432</f>
        <v>2.7041764372382149</v>
      </c>
    </row>
    <row r="419" spans="7:57" x14ac:dyDescent="0.25">
      <c r="G419" s="11">
        <v>0.15</v>
      </c>
      <c r="H419" s="29">
        <f t="shared" si="135"/>
        <v>0.98868599666425949</v>
      </c>
      <c r="I419" s="29">
        <f t="shared" si="136"/>
        <v>158.61000000000001</v>
      </c>
      <c r="J419" s="29">
        <v>5.3909416575421143E-3</v>
      </c>
      <c r="K419" s="29">
        <f t="shared" si="137"/>
        <v>0.5282558349153551</v>
      </c>
      <c r="L419" s="29">
        <f t="shared" si="138"/>
        <v>0.86782365197347322</v>
      </c>
      <c r="M419" s="29">
        <f t="shared" si="126"/>
        <v>0.10923589528362149</v>
      </c>
      <c r="N419" s="29">
        <f t="shared" si="139"/>
        <v>1.7385432697457015E-2</v>
      </c>
      <c r="O419">
        <f t="shared" si="140"/>
        <v>0.10289731528202789</v>
      </c>
      <c r="P419" s="29">
        <f t="shared" si="141"/>
        <v>0.10271856525194158</v>
      </c>
      <c r="Q419" s="29">
        <f t="shared" si="127"/>
        <v>0.11024733875846984</v>
      </c>
      <c r="R419" s="29">
        <f t="shared" si="142"/>
        <v>1.7546408926137177E-2</v>
      </c>
      <c r="S419">
        <f t="shared" si="143"/>
        <v>0.10608531589764157</v>
      </c>
      <c r="T419" s="29">
        <f t="shared" si="128"/>
        <v>0.14966084720866954</v>
      </c>
      <c r="U419" s="29">
        <v>1</v>
      </c>
      <c r="V419" s="29">
        <f t="shared" si="144"/>
        <v>-1</v>
      </c>
      <c r="W419" s="29">
        <f t="shared" si="129"/>
        <v>0.66288881941743272</v>
      </c>
      <c r="X419" s="29">
        <f t="shared" si="145"/>
        <v>0.10816376407631595</v>
      </c>
      <c r="Y419" s="29">
        <f t="shared" si="130"/>
        <v>1.2121563656765011</v>
      </c>
      <c r="Z419">
        <f t="shared" si="131"/>
        <v>0.38583313397868807</v>
      </c>
      <c r="AA419">
        <f t="shared" si="132"/>
        <v>0.18106425247368804</v>
      </c>
      <c r="AB419">
        <f t="shared" si="133"/>
        <v>0.55945804426909762</v>
      </c>
      <c r="AC419">
        <f t="shared" si="134"/>
        <v>0.22729342331803393</v>
      </c>
      <c r="AE419">
        <v>14</v>
      </c>
      <c r="AF419">
        <f>(AE419+1)*X429</f>
        <v>2.4648395086856434</v>
      </c>
      <c r="AN419">
        <v>14</v>
      </c>
      <c r="AO419">
        <f>X426*(AN419+1)</f>
        <v>2.0175869552647332</v>
      </c>
      <c r="AV419">
        <v>14</v>
      </c>
      <c r="AW419">
        <f>X427*(AV419+1)</f>
        <v>2.1361320874529097</v>
      </c>
      <c r="BD419">
        <v>14</v>
      </c>
      <c r="BE419">
        <f>(BD419+1)*$X$432</f>
        <v>3.3802205465477684</v>
      </c>
    </row>
    <row r="420" spans="7:57" x14ac:dyDescent="0.25">
      <c r="G420" s="5">
        <v>0.2</v>
      </c>
      <c r="H420">
        <f t="shared" si="135"/>
        <v>0.9797958971132712</v>
      </c>
      <c r="I420">
        <f t="shared" si="136"/>
        <v>211.48000000000002</v>
      </c>
      <c r="J420">
        <v>5.146153609203989E-3</v>
      </c>
      <c r="K420">
        <f t="shared" si="137"/>
        <v>0.51612317430482102</v>
      </c>
      <c r="L420">
        <f t="shared" si="138"/>
        <v>0.87897978419771794</v>
      </c>
      <c r="M420">
        <f t="shared" si="126"/>
        <v>0.11022703842524302</v>
      </c>
      <c r="N420">
        <f t="shared" si="139"/>
        <v>1.7543178027757716E-2</v>
      </c>
      <c r="O420">
        <f t="shared" si="140"/>
        <v>0.10464554001175856</v>
      </c>
      <c r="P420">
        <f t="shared" si="141"/>
        <v>0.10446375301980225</v>
      </c>
      <c r="Q420">
        <f t="shared" si="127"/>
        <v>0.11124765915140268</v>
      </c>
      <c r="R420">
        <f t="shared" si="142"/>
        <v>1.7705614861348064E-2</v>
      </c>
      <c r="S420">
        <f t="shared" si="143"/>
        <v>0.10792498822942134</v>
      </c>
      <c r="T420" s="29">
        <f t="shared" si="128"/>
        <v>0.19954779627822608</v>
      </c>
      <c r="U420">
        <v>1</v>
      </c>
      <c r="V420" s="29">
        <f t="shared" si="144"/>
        <v>-1</v>
      </c>
      <c r="W420" s="29">
        <f t="shared" si="129"/>
        <v>0.67415129622735914</v>
      </c>
      <c r="X420" s="29">
        <f t="shared" si="145"/>
        <v>0.10988714161748976</v>
      </c>
      <c r="Y420" s="29">
        <f t="shared" si="130"/>
        <v>1.2136186727696732</v>
      </c>
      <c r="Z420">
        <f t="shared" si="131"/>
        <v>0.38886014509871991</v>
      </c>
      <c r="AA420">
        <f t="shared" si="132"/>
        <v>0.18106425247368804</v>
      </c>
      <c r="AB420">
        <f t="shared" si="133"/>
        <v>0.56384721039314389</v>
      </c>
      <c r="AC420">
        <f t="shared" si="134"/>
        <v>0.22729342331803393</v>
      </c>
    </row>
    <row r="421" spans="7:57" x14ac:dyDescent="0.25">
      <c r="G421" s="5">
        <v>0.25</v>
      </c>
      <c r="H421">
        <f t="shared" si="135"/>
        <v>0.96824583655185426</v>
      </c>
      <c r="I421">
        <f t="shared" si="136"/>
        <v>264.35000000000002</v>
      </c>
      <c r="J421">
        <v>4.9667811005482771E-3</v>
      </c>
      <c r="K421">
        <f t="shared" si="137"/>
        <v>0.50704849366520766</v>
      </c>
      <c r="L421">
        <f t="shared" si="138"/>
        <v>0.88748400378309866</v>
      </c>
      <c r="M421">
        <f t="shared" si="126"/>
        <v>0.1115419203707736</v>
      </c>
      <c r="N421">
        <f t="shared" si="139"/>
        <v>1.7752447988971194E-2</v>
      </c>
      <c r="O421">
        <f t="shared" si="140"/>
        <v>0.10698268400095574</v>
      </c>
      <c r="P421">
        <f t="shared" si="141"/>
        <v>0.10679683699482667</v>
      </c>
      <c r="Q421">
        <f t="shared" si="127"/>
        <v>0.11257471592976225</v>
      </c>
      <c r="R421">
        <f t="shared" si="142"/>
        <v>1.7916822507387593E-2</v>
      </c>
      <c r="S421">
        <f t="shared" si="143"/>
        <v>0.11038625709076041</v>
      </c>
      <c r="T421" s="29">
        <f t="shared" si="128"/>
        <v>0.24943474534778259</v>
      </c>
      <c r="U421">
        <v>1</v>
      </c>
      <c r="V421" s="29">
        <f>($Q$273+($Q$272*$Q$274))*U421</f>
        <v>-1</v>
      </c>
      <c r="W421" s="29">
        <f t="shared" si="129"/>
        <v>0.68920773006687319</v>
      </c>
      <c r="X421" s="29">
        <f t="shared" si="145"/>
        <v>0.11213878405136782</v>
      </c>
      <c r="Y421" s="29">
        <f t="shared" si="130"/>
        <v>1.2157311472964261</v>
      </c>
      <c r="Z421">
        <f t="shared" si="131"/>
        <v>0.39285856093509275</v>
      </c>
      <c r="AA421">
        <f t="shared" si="132"/>
        <v>0.18106425247368804</v>
      </c>
      <c r="AB421">
        <f t="shared" si="133"/>
        <v>0.56964491335588441</v>
      </c>
      <c r="AC421">
        <f t="shared" si="134"/>
        <v>0.22729342331803393</v>
      </c>
    </row>
    <row r="422" spans="7:57" x14ac:dyDescent="0.25">
      <c r="G422" s="5">
        <v>0.3</v>
      </c>
      <c r="H422">
        <f t="shared" si="135"/>
        <v>0.95393920141694566</v>
      </c>
      <c r="I422">
        <f t="shared" si="136"/>
        <v>317.22000000000003</v>
      </c>
      <c r="J422">
        <v>5.2364066900298855E-3</v>
      </c>
      <c r="K422">
        <f t="shared" si="137"/>
        <v>0.52062937879461635</v>
      </c>
      <c r="L422">
        <f t="shared" si="138"/>
        <v>0.87480015834082325</v>
      </c>
      <c r="M422">
        <f t="shared" si="126"/>
        <v>0.11321476236596717</v>
      </c>
      <c r="N422">
        <f t="shared" si="139"/>
        <v>1.8018689061517958E-2</v>
      </c>
      <c r="O422">
        <f t="shared" si="140"/>
        <v>0.10998526883345291</v>
      </c>
      <c r="P422">
        <f t="shared" si="141"/>
        <v>0.10979420582992221</v>
      </c>
      <c r="Q422">
        <f t="shared" si="127"/>
        <v>0.11426304720268909</v>
      </c>
      <c r="R422">
        <f t="shared" si="142"/>
        <v>1.8185528775050534E-2</v>
      </c>
      <c r="S422">
        <f t="shared" si="143"/>
        <v>0.11355144228561578</v>
      </c>
      <c r="T422" s="29">
        <f t="shared" si="128"/>
        <v>0.29932169441733908</v>
      </c>
      <c r="U422">
        <v>1</v>
      </c>
      <c r="V422" s="29">
        <f t="shared" si="144"/>
        <v>-1</v>
      </c>
      <c r="W422" s="29">
        <f t="shared" si="129"/>
        <v>0.70855109106088332</v>
      </c>
      <c r="X422" s="29">
        <f t="shared" si="145"/>
        <v>0.1148736684758787</v>
      </c>
      <c r="Y422" s="29">
        <f t="shared" si="130"/>
        <v>1.2187100318108479</v>
      </c>
      <c r="Z422">
        <f t="shared" si="131"/>
        <v>0.39791683239406395</v>
      </c>
      <c r="AA422">
        <f t="shared" si="132"/>
        <v>0.18106425247368804</v>
      </c>
      <c r="AB422">
        <f t="shared" si="133"/>
        <v>0.57697940697139272</v>
      </c>
      <c r="AC422">
        <f t="shared" si="134"/>
        <v>0.22729342331803393</v>
      </c>
    </row>
    <row r="423" spans="7:57" x14ac:dyDescent="0.25">
      <c r="G423" s="5">
        <v>0.35</v>
      </c>
      <c r="H423">
        <f t="shared" si="135"/>
        <v>0.93674969975975975</v>
      </c>
      <c r="I423">
        <f t="shared" si="136"/>
        <v>370.09000000000003</v>
      </c>
      <c r="J423">
        <v>5.1124311179731397E-3</v>
      </c>
      <c r="K423">
        <f t="shared" si="137"/>
        <v>0.51442932994924251</v>
      </c>
      <c r="L423">
        <f t="shared" si="138"/>
        <v>0.88055955175658651</v>
      </c>
      <c r="M423">
        <f t="shared" si="126"/>
        <v>0.11529227073966274</v>
      </c>
      <c r="N423">
        <f t="shared" si="139"/>
        <v>1.8349334788506415E-2</v>
      </c>
      <c r="O423">
        <f t="shared" si="140"/>
        <v>0.11375906391372086</v>
      </c>
      <c r="P423">
        <f t="shared" si="141"/>
        <v>0.11356144519022517</v>
      </c>
      <c r="Q423">
        <f t="shared" si="127"/>
        <v>0.11635979176502999</v>
      </c>
      <c r="R423">
        <f t="shared" si="142"/>
        <v>1.8519236036548141E-2</v>
      </c>
      <c r="S423">
        <f t="shared" si="143"/>
        <v>0.11753458280720043</v>
      </c>
      <c r="T423" s="29">
        <f t="shared" si="128"/>
        <v>0.34920864348689562</v>
      </c>
      <c r="U423">
        <v>1</v>
      </c>
      <c r="V423" s="29">
        <f t="shared" si="144"/>
        <v>-1</v>
      </c>
      <c r="W423" s="29">
        <f t="shared" si="129"/>
        <v>0.73286277070602823</v>
      </c>
      <c r="X423" s="29">
        <f t="shared" si="145"/>
        <v>0.11841223714928488</v>
      </c>
      <c r="Y423" s="29">
        <f t="shared" si="130"/>
        <v>1.2228773485094071</v>
      </c>
      <c r="Z423">
        <f t="shared" si="131"/>
        <v>0.40415379968872978</v>
      </c>
      <c r="AA423">
        <f t="shared" si="132"/>
        <v>0.18106425247368804</v>
      </c>
      <c r="AB423">
        <f t="shared" si="133"/>
        <v>0.58602300954865816</v>
      </c>
      <c r="AC423">
        <f t="shared" si="134"/>
        <v>0.22729342331803393</v>
      </c>
    </row>
    <row r="424" spans="7:57" x14ac:dyDescent="0.25">
      <c r="G424" s="5">
        <v>0.4</v>
      </c>
      <c r="H424">
        <f t="shared" si="135"/>
        <v>0.91651513899116799</v>
      </c>
      <c r="I424">
        <f t="shared" si="136"/>
        <v>422.96000000000004</v>
      </c>
      <c r="J424">
        <v>5.008306844787971E-3</v>
      </c>
      <c r="K424">
        <f t="shared" si="137"/>
        <v>0.50916372069718574</v>
      </c>
      <c r="L424">
        <f t="shared" si="138"/>
        <v>0.8854940455500222</v>
      </c>
      <c r="M424">
        <f t="shared" si="126"/>
        <v>0.11783766072743589</v>
      </c>
      <c r="N424">
        <f t="shared" si="139"/>
        <v>1.8754446187157128E-2</v>
      </c>
      <c r="O424">
        <f t="shared" si="140"/>
        <v>0.11844937702562958</v>
      </c>
      <c r="P424">
        <f t="shared" si="141"/>
        <v>0.1182436104354226</v>
      </c>
      <c r="Q424">
        <f t="shared" si="127"/>
        <v>0.11892875017861584</v>
      </c>
      <c r="R424">
        <f t="shared" si="142"/>
        <v>1.8928098466667844E-2</v>
      </c>
      <c r="S424">
        <f t="shared" si="143"/>
        <v>0.12249278234294751</v>
      </c>
      <c r="T424" s="29">
        <f t="shared" si="128"/>
        <v>0.39909559255645216</v>
      </c>
      <c r="U424">
        <v>1</v>
      </c>
      <c r="V424" s="29">
        <f t="shared" si="144"/>
        <v>-1</v>
      </c>
      <c r="W424" s="29">
        <f t="shared" si="129"/>
        <v>0.76307887608185354</v>
      </c>
      <c r="X424" s="29">
        <f t="shared" si="145"/>
        <v>0.12275233554771042</v>
      </c>
      <c r="Y424" s="29">
        <f t="shared" si="130"/>
        <v>1.2287153291552386</v>
      </c>
      <c r="Z424">
        <f t="shared" si="131"/>
        <v>0.41172716118850533</v>
      </c>
      <c r="AA424">
        <f t="shared" si="132"/>
        <v>0.18106425247368804</v>
      </c>
      <c r="AB424">
        <f t="shared" si="133"/>
        <v>0.59700438372333264</v>
      </c>
      <c r="AC424">
        <f t="shared" si="134"/>
        <v>0.22729342331803393</v>
      </c>
    </row>
    <row r="425" spans="7:57" x14ac:dyDescent="0.25">
      <c r="G425" s="5">
        <v>0.45</v>
      </c>
      <c r="H425">
        <f t="shared" si="135"/>
        <v>0.89302855497458755</v>
      </c>
      <c r="I425">
        <f t="shared" si="136"/>
        <v>475.83000000000004</v>
      </c>
      <c r="J425">
        <v>4.9188895576894676E-3</v>
      </c>
      <c r="K425">
        <f t="shared" si="137"/>
        <v>0.50459799752587431</v>
      </c>
      <c r="L425">
        <f t="shared" si="138"/>
        <v>0.88979316799870745</v>
      </c>
      <c r="M425">
        <f t="shared" si="126"/>
        <v>0.12093678236646453</v>
      </c>
      <c r="N425">
        <f t="shared" si="139"/>
        <v>1.9247686715251594E-2</v>
      </c>
      <c r="O425">
        <f t="shared" si="140"/>
        <v>0.12425694261102585</v>
      </c>
      <c r="P425">
        <f t="shared" si="141"/>
        <v>0.12404108729770424</v>
      </c>
      <c r="Q425">
        <f t="shared" si="127"/>
        <v>0.12205656738837624</v>
      </c>
      <c r="R425">
        <f t="shared" si="142"/>
        <v>1.942590603668911E-2</v>
      </c>
      <c r="S425">
        <f t="shared" si="143"/>
        <v>0.12864380245837007</v>
      </c>
      <c r="T425" s="29">
        <f t="shared" si="128"/>
        <v>0.4489825416260087</v>
      </c>
      <c r="U425">
        <v>1</v>
      </c>
      <c r="V425" s="29">
        <f t="shared" si="144"/>
        <v>-1</v>
      </c>
      <c r="W425" s="29">
        <f t="shared" si="129"/>
        <v>0.80049258589576777</v>
      </c>
      <c r="X425" s="29">
        <f t="shared" si="145"/>
        <v>0.1280478239991962</v>
      </c>
      <c r="Y425" s="29">
        <f t="shared" si="130"/>
        <v>1.2369580304296415</v>
      </c>
      <c r="Z425">
        <f t="shared" si="131"/>
        <v>0.42084590260886801</v>
      </c>
      <c r="AA425">
        <f t="shared" si="132"/>
        <v>0.18106425247368804</v>
      </c>
      <c r="AB425">
        <f t="shared" si="133"/>
        <v>0.61022655878285847</v>
      </c>
      <c r="AC425">
        <f t="shared" si="134"/>
        <v>0.22729342331803393</v>
      </c>
    </row>
    <row r="426" spans="7:57" x14ac:dyDescent="0.25">
      <c r="G426" s="5">
        <v>0.5</v>
      </c>
      <c r="H426">
        <f t="shared" si="135"/>
        <v>0.8660254037844386</v>
      </c>
      <c r="I426">
        <f t="shared" si="136"/>
        <v>528.70000000000005</v>
      </c>
      <c r="J426">
        <v>4.8407693046361973E-3</v>
      </c>
      <c r="K426">
        <f t="shared" si="137"/>
        <v>0.50057502756330063</v>
      </c>
      <c r="L426">
        <f t="shared" si="138"/>
        <v>0.89358939872082299</v>
      </c>
      <c r="M426">
        <f t="shared" si="126"/>
        <v>0.12470765814495917</v>
      </c>
      <c r="N426">
        <f t="shared" si="139"/>
        <v>1.9847840235184516E-2</v>
      </c>
      <c r="O426">
        <f t="shared" si="140"/>
        <v>0.13146303448299143</v>
      </c>
      <c r="P426">
        <f t="shared" si="141"/>
        <v>0.13123466096999292</v>
      </c>
      <c r="Q426">
        <f t="shared" si="127"/>
        <v>0.12586235868333842</v>
      </c>
      <c r="R426">
        <f t="shared" si="142"/>
        <v>2.0031616533658446E-2</v>
      </c>
      <c r="S426">
        <f t="shared" si="143"/>
        <v>0.136294012347947</v>
      </c>
      <c r="T426" s="29">
        <f t="shared" si="128"/>
        <v>0.49886949069556519</v>
      </c>
      <c r="U426">
        <v>1</v>
      </c>
      <c r="V426" s="29">
        <f t="shared" si="144"/>
        <v>-1</v>
      </c>
      <c r="W426" s="29">
        <f t="shared" si="129"/>
        <v>0.84691593251592157</v>
      </c>
      <c r="X426" s="29">
        <f t="shared" si="145"/>
        <v>0.13450579701764889</v>
      </c>
      <c r="Y426" s="29">
        <f t="shared" si="130"/>
        <v>1.2487506177526941</v>
      </c>
      <c r="Z426">
        <f t="shared" si="131"/>
        <v>0.43178880504861844</v>
      </c>
      <c r="AA426">
        <f t="shared" si="132"/>
        <v>0.18106425247368804</v>
      </c>
      <c r="AB426">
        <f t="shared" si="133"/>
        <v>0.6260937673204966</v>
      </c>
      <c r="AC426">
        <f t="shared" si="134"/>
        <v>0.22729342331803393</v>
      </c>
    </row>
    <row r="427" spans="7:57" x14ac:dyDescent="0.25">
      <c r="G427" s="5">
        <v>0.55000000000000004</v>
      </c>
      <c r="H427">
        <f t="shared" si="135"/>
        <v>0.83516465442450327</v>
      </c>
      <c r="I427">
        <f t="shared" si="136"/>
        <v>581.57000000000005</v>
      </c>
      <c r="J427">
        <v>4.7715762443601463E-3</v>
      </c>
      <c r="K427">
        <f t="shared" si="137"/>
        <v>0.49698458772706994</v>
      </c>
      <c r="L427">
        <f t="shared" si="138"/>
        <v>0.89697870387448408</v>
      </c>
      <c r="M427">
        <f t="shared" si="126"/>
        <v>0.12931581745927792</v>
      </c>
      <c r="N427">
        <f t="shared" si="139"/>
        <v>2.0581251568613304E-2</v>
      </c>
      <c r="O427">
        <f t="shared" si="140"/>
        <v>0.14047047884093974</v>
      </c>
      <c r="P427">
        <f t="shared" si="141"/>
        <v>0.14022645787450116</v>
      </c>
      <c r="Q427">
        <f t="shared" si="127"/>
        <v>0.13051318613945642</v>
      </c>
      <c r="R427">
        <f t="shared" si="142"/>
        <v>2.0771818712767131E-2</v>
      </c>
      <c r="S427">
        <f t="shared" si="143"/>
        <v>0.14588430801061572</v>
      </c>
      <c r="T427" s="29">
        <f t="shared" si="128"/>
        <v>0.54875643976512178</v>
      </c>
      <c r="U427">
        <v>1</v>
      </c>
      <c r="V427" s="29">
        <f t="shared" si="144"/>
        <v>-1</v>
      </c>
      <c r="W427" s="29">
        <f t="shared" si="129"/>
        <v>0.9049440175057295</v>
      </c>
      <c r="X427" s="29">
        <f t="shared" si="145"/>
        <v>0.142408805830194</v>
      </c>
      <c r="Y427" s="29">
        <f t="shared" si="130"/>
        <v>1.2659380192107941</v>
      </c>
      <c r="Z427">
        <f t="shared" si="131"/>
        <v>0.44493263614763967</v>
      </c>
      <c r="AA427">
        <f t="shared" si="132"/>
        <v>0.18106425247368804</v>
      </c>
      <c r="AB427">
        <f t="shared" si="133"/>
        <v>0.64515232241407749</v>
      </c>
      <c r="AC427">
        <f t="shared" si="134"/>
        <v>0.22729342331803393</v>
      </c>
    </row>
    <row r="428" spans="7:57" x14ac:dyDescent="0.25">
      <c r="G428" s="58">
        <v>0.6</v>
      </c>
      <c r="H428" s="99">
        <f t="shared" si="135"/>
        <v>0.8</v>
      </c>
      <c r="I428" s="99">
        <f t="shared" si="136"/>
        <v>634.44000000000005</v>
      </c>
      <c r="J428" s="99">
        <v>4.7096005359667037E-3</v>
      </c>
      <c r="K428" s="99">
        <f t="shared" si="137"/>
        <v>0.49374649198082449</v>
      </c>
      <c r="L428" s="99">
        <f t="shared" si="138"/>
        <v>0.90003266614207755</v>
      </c>
      <c r="M428" s="99">
        <f t="shared" si="126"/>
        <v>0.13499999999999998</v>
      </c>
      <c r="N428" s="99">
        <f t="shared" si="139"/>
        <v>2.1485917317405869E-2</v>
      </c>
      <c r="O428">
        <f t="shared" si="140"/>
        <v>0.15187349429154923</v>
      </c>
      <c r="P428" s="99">
        <f t="shared" si="141"/>
        <v>0.15160966435974274</v>
      </c>
      <c r="Q428" s="99">
        <f t="shared" si="127"/>
        <v>0.13624999999999998</v>
      </c>
      <c r="R428" s="99">
        <f t="shared" si="142"/>
        <v>2.1684860996270736E-2</v>
      </c>
      <c r="S428">
        <f t="shared" si="143"/>
        <v>0.15806885198995582</v>
      </c>
      <c r="T428" s="99">
        <f t="shared" si="128"/>
        <v>0.59864338883467816</v>
      </c>
      <c r="U428" s="99">
        <v>1</v>
      </c>
      <c r="V428" s="99">
        <f t="shared" si="144"/>
        <v>-1</v>
      </c>
      <c r="W428" s="99">
        <f t="shared" si="129"/>
        <v>0.97840493754174052</v>
      </c>
      <c r="X428" s="99">
        <f t="shared" si="145"/>
        <v>0.1521486942707525</v>
      </c>
      <c r="Y428" s="99">
        <f t="shared" si="130"/>
        <v>1.2916153945984163</v>
      </c>
      <c r="Z428" s="99">
        <f t="shared" si="131"/>
        <v>0.46079638800646094</v>
      </c>
      <c r="AA428" s="99">
        <f t="shared" si="132"/>
        <v>0.18106425247368804</v>
      </c>
      <c r="AB428" s="99">
        <f t="shared" si="133"/>
        <v>0.66815476260936835</v>
      </c>
      <c r="AC428" s="99">
        <f t="shared" si="134"/>
        <v>0.22729342331803393</v>
      </c>
    </row>
    <row r="429" spans="7:57" x14ac:dyDescent="0.25">
      <c r="G429" s="5">
        <v>0.65</v>
      </c>
      <c r="H429">
        <f t="shared" si="135"/>
        <v>0.75993420767853315</v>
      </c>
      <c r="I429">
        <f t="shared" si="136"/>
        <v>687.31000000000006</v>
      </c>
      <c r="J429">
        <v>5.058228741916965E-3</v>
      </c>
      <c r="K429">
        <f t="shared" si="137"/>
        <v>0.51169505432517359</v>
      </c>
      <c r="L429">
        <f t="shared" si="138"/>
        <v>0.88311794116800768</v>
      </c>
      <c r="M429">
        <f t="shared" si="126"/>
        <v>0.1421175661113101</v>
      </c>
      <c r="N429">
        <f t="shared" si="139"/>
        <v>2.2618713146804234E-2</v>
      </c>
      <c r="O429">
        <f t="shared" si="140"/>
        <v>0.16658299205178798</v>
      </c>
      <c r="P429">
        <f t="shared" si="141"/>
        <v>0.16629360923592432</v>
      </c>
      <c r="Q429">
        <f t="shared" si="127"/>
        <v>0.14343346950122965</v>
      </c>
      <c r="R429">
        <f t="shared" si="142"/>
        <v>2.2828145675941311E-2</v>
      </c>
      <c r="S429">
        <f t="shared" si="143"/>
        <v>0.17385749335052486</v>
      </c>
      <c r="T429" s="29">
        <f t="shared" si="128"/>
        <v>0.64853033790423475</v>
      </c>
      <c r="U429">
        <v>1</v>
      </c>
      <c r="V429" s="29">
        <f t="shared" si="144"/>
        <v>-1</v>
      </c>
      <c r="W429" s="29">
        <f t="shared" si="129"/>
        <v>1.0731669979296379</v>
      </c>
      <c r="X429" s="29">
        <f t="shared" si="145"/>
        <v>0.16432263391237623</v>
      </c>
      <c r="Y429" s="29">
        <f t="shared" si="130"/>
        <v>1.3312457184293842</v>
      </c>
      <c r="Z429">
        <f t="shared" si="131"/>
        <v>0.48011331066331625</v>
      </c>
      <c r="AA429">
        <f t="shared" si="132"/>
        <v>0.18106425247368804</v>
      </c>
      <c r="AB429">
        <f t="shared" si="133"/>
        <v>0.69616430046180855</v>
      </c>
      <c r="AC429">
        <f t="shared" si="134"/>
        <v>0.22729342331803393</v>
      </c>
    </row>
    <row r="430" spans="7:57" x14ac:dyDescent="0.25">
      <c r="G430" s="5">
        <v>0.7</v>
      </c>
      <c r="H430">
        <f t="shared" si="135"/>
        <v>0.71414284285428498</v>
      </c>
      <c r="I430">
        <f t="shared" si="136"/>
        <v>740.18000000000006</v>
      </c>
      <c r="J430">
        <v>5.0027347262103766E-3</v>
      </c>
      <c r="K430">
        <f t="shared" si="137"/>
        <v>0.50888040037736848</v>
      </c>
      <c r="L430">
        <f t="shared" si="138"/>
        <v>0.88576037565996502</v>
      </c>
      <c r="M430">
        <f t="shared" si="126"/>
        <v>0.15123024907502505</v>
      </c>
      <c r="N430">
        <f t="shared" si="139"/>
        <v>2.4069041685308771E-2</v>
      </c>
      <c r="O430">
        <f t="shared" si="140"/>
        <v>0.18606658153192498</v>
      </c>
      <c r="P430">
        <f t="shared" si="141"/>
        <v>0.18574335242768911</v>
      </c>
      <c r="Q430">
        <f t="shared" si="127"/>
        <v>0.15263052915905306</v>
      </c>
      <c r="R430">
        <f t="shared" si="142"/>
        <v>2.4291903182394964E-2</v>
      </c>
      <c r="S430">
        <f t="shared" si="143"/>
        <v>0.19489118882148326</v>
      </c>
      <c r="T430" s="29">
        <f t="shared" si="128"/>
        <v>0.69841728697379124</v>
      </c>
      <c r="U430">
        <v>1</v>
      </c>
      <c r="V430" s="29">
        <f t="shared" si="144"/>
        <v>-1</v>
      </c>
      <c r="W430" s="29">
        <f t="shared" si="129"/>
        <v>1.1986848852826983</v>
      </c>
      <c r="X430" s="29">
        <f t="shared" si="145"/>
        <v>0.17972569982754277</v>
      </c>
      <c r="Y430" s="29">
        <f t="shared" si="130"/>
        <v>1.3951127852600966</v>
      </c>
      <c r="Z430">
        <f t="shared" si="131"/>
        <v>0.50395361014601125</v>
      </c>
      <c r="AA430">
        <f t="shared" si="132"/>
        <v>0.18106425247368804</v>
      </c>
      <c r="AB430">
        <f t="shared" si="133"/>
        <v>0.73073273471171618</v>
      </c>
      <c r="AC430">
        <f t="shared" si="134"/>
        <v>0.22729342331803393</v>
      </c>
    </row>
    <row r="431" spans="7:57" x14ac:dyDescent="0.25">
      <c r="G431" s="5">
        <v>0.75</v>
      </c>
      <c r="H431">
        <f t="shared" si="135"/>
        <v>0.66143782776614768</v>
      </c>
      <c r="I431">
        <f t="shared" si="136"/>
        <v>793.05000000000007</v>
      </c>
      <c r="J431">
        <v>4.951827507549366E-3</v>
      </c>
      <c r="K431">
        <f t="shared" si="137"/>
        <v>0.50628462746809499</v>
      </c>
      <c r="L431">
        <f t="shared" si="138"/>
        <v>0.88820343639815136</v>
      </c>
      <c r="M431">
        <f t="shared" si="126"/>
        <v>0.16328065233998615</v>
      </c>
      <c r="N431">
        <f t="shared" si="139"/>
        <v>2.5986922931178043E-2</v>
      </c>
      <c r="O431">
        <f t="shared" si="140"/>
        <v>0.21284847584675293</v>
      </c>
      <c r="P431">
        <f t="shared" si="141"/>
        <v>0.21247872206496424</v>
      </c>
      <c r="Q431">
        <f t="shared" si="127"/>
        <v>0.16479251023202307</v>
      </c>
      <c r="R431">
        <f t="shared" si="142"/>
        <v>2.6227542587948214E-2</v>
      </c>
      <c r="S431">
        <f t="shared" si="143"/>
        <v>0.22402223560332959</v>
      </c>
      <c r="T431" s="29">
        <f t="shared" si="128"/>
        <v>0.74830423604334784</v>
      </c>
      <c r="U431">
        <v>0.8</v>
      </c>
      <c r="V431" s="29">
        <f t="shared" si="144"/>
        <v>-0.8</v>
      </c>
      <c r="W431" s="29">
        <f t="shared" si="129"/>
        <v>1.3712201769514749</v>
      </c>
      <c r="X431" s="29">
        <f t="shared" si="145"/>
        <v>0.19951920020227676</v>
      </c>
      <c r="Y431" s="29">
        <f t="shared" si="130"/>
        <v>1.5042699888815725</v>
      </c>
      <c r="Z431">
        <f t="shared" si="131"/>
        <v>0.53394517608710246</v>
      </c>
      <c r="AA431">
        <f t="shared" si="132"/>
        <v>0.18106425247368804</v>
      </c>
      <c r="AB431">
        <f t="shared" si="133"/>
        <v>0.7742205053262986</v>
      </c>
      <c r="AC431">
        <f t="shared" si="134"/>
        <v>0.22729342331803393</v>
      </c>
    </row>
    <row r="432" spans="7:57" x14ac:dyDescent="0.25">
      <c r="G432" s="58">
        <v>0.8</v>
      </c>
      <c r="H432" s="99">
        <f t="shared" si="135"/>
        <v>0.59999999999999987</v>
      </c>
      <c r="I432" s="99">
        <f t="shared" si="136"/>
        <v>845.92000000000007</v>
      </c>
      <c r="J432" s="99">
        <v>4.9048553751630045E-3</v>
      </c>
      <c r="K432" s="99">
        <f t="shared" si="137"/>
        <v>0.50387764400770096</v>
      </c>
      <c r="L432" s="99">
        <f t="shared" si="138"/>
        <v>0.89047255784193424</v>
      </c>
      <c r="M432" s="99">
        <f t="shared" si="126"/>
        <v>0.18000000000000005</v>
      </c>
      <c r="N432" s="99">
        <f t="shared" si="139"/>
        <v>2.8647889756541169E-2</v>
      </c>
      <c r="O432">
        <f t="shared" si="140"/>
        <v>0.25167326542920682</v>
      </c>
      <c r="P432" s="99">
        <f t="shared" si="141"/>
        <v>0.251236066425092</v>
      </c>
      <c r="Q432" s="99">
        <f t="shared" si="127"/>
        <v>0.1816666666666667</v>
      </c>
      <c r="R432" s="99">
        <f t="shared" si="142"/>
        <v>2.8913147995027658E-2</v>
      </c>
      <c r="S432">
        <f t="shared" si="143"/>
        <v>0.266683574276255</v>
      </c>
      <c r="T432" s="99">
        <f t="shared" si="128"/>
        <v>0.79819118511290432</v>
      </c>
      <c r="U432" s="99">
        <v>0</v>
      </c>
      <c r="V432" s="99">
        <f t="shared" si="144"/>
        <v>0</v>
      </c>
      <c r="W432" s="99">
        <f t="shared" si="129"/>
        <v>1.6213386456394356</v>
      </c>
      <c r="X432" s="99">
        <f t="shared" si="145"/>
        <v>0.22534803643651791</v>
      </c>
      <c r="Y432" s="99">
        <f t="shared" si="130"/>
        <v>1.7070113297128373</v>
      </c>
      <c r="Z432" s="99">
        <f t="shared" si="131"/>
        <v>0.57269768603406035</v>
      </c>
      <c r="AA432" s="99">
        <f t="shared" si="132"/>
        <v>0.18106425247368804</v>
      </c>
      <c r="AB432" s="99">
        <f t="shared" si="133"/>
        <v>0.83041164474938745</v>
      </c>
      <c r="AC432" s="99">
        <f t="shared" si="134"/>
        <v>0.22729342331803393</v>
      </c>
    </row>
    <row r="433" spans="7:49" x14ac:dyDescent="0.25">
      <c r="G433" s="5">
        <v>0.85</v>
      </c>
      <c r="H433">
        <f t="shared" si="135"/>
        <v>0.52678268764263703</v>
      </c>
      <c r="I433">
        <f t="shared" si="136"/>
        <v>898.79000000000008</v>
      </c>
      <c r="J433">
        <v>5.2501965815398653E-3</v>
      </c>
      <c r="K433">
        <f t="shared" si="137"/>
        <v>0.52131445757095585</v>
      </c>
      <c r="L433">
        <f t="shared" si="138"/>
        <v>0.87416806587759566</v>
      </c>
      <c r="M433">
        <f t="shared" si="126"/>
        <v>0.20501812708253975</v>
      </c>
      <c r="N433">
        <f t="shared" si="139"/>
        <v>3.2629648348628582E-2</v>
      </c>
      <c r="O433">
        <f t="shared" si="140"/>
        <v>0.31267319102286617</v>
      </c>
      <c r="P433">
        <f t="shared" si="141"/>
        <v>0.31213002483675789</v>
      </c>
      <c r="Q433">
        <f t="shared" si="127"/>
        <v>0.20691644307404475</v>
      </c>
      <c r="R433">
        <f t="shared" si="142"/>
        <v>3.293177472222699E-2</v>
      </c>
      <c r="S433">
        <f t="shared" si="143"/>
        <v>0.33467687582814859</v>
      </c>
      <c r="T433" s="29">
        <f t="shared" si="128"/>
        <v>0.84807813418246081</v>
      </c>
      <c r="U433">
        <v>0</v>
      </c>
      <c r="V433" s="29">
        <f t="shared" si="144"/>
        <v>0</v>
      </c>
      <c r="W433" s="29">
        <f t="shared" si="129"/>
        <v>2.0143145804391134</v>
      </c>
      <c r="X433" s="29">
        <f t="shared" si="145"/>
        <v>0.26006487277268031</v>
      </c>
      <c r="Y433" s="29">
        <f t="shared" si="130"/>
        <v>2.1338352284298052</v>
      </c>
      <c r="Z433">
        <f t="shared" si="131"/>
        <v>0.62468234732408157</v>
      </c>
      <c r="AA433">
        <f t="shared" si="132"/>
        <v>0.18106425247368804</v>
      </c>
      <c r="AB433">
        <f t="shared" si="133"/>
        <v>0.90578940361991822</v>
      </c>
      <c r="AC433">
        <f t="shared" si="134"/>
        <v>0.22729342331803393</v>
      </c>
    </row>
    <row r="434" spans="7:49" x14ac:dyDescent="0.25">
      <c r="G434" s="5">
        <v>0.9</v>
      </c>
      <c r="H434">
        <f t="shared" si="135"/>
        <v>0.43588989435406728</v>
      </c>
      <c r="I434">
        <f t="shared" si="136"/>
        <v>951.66000000000008</v>
      </c>
      <c r="J434">
        <v>5.2063686418640578E-3</v>
      </c>
      <c r="K434">
        <f t="shared" si="137"/>
        <v>0.51913396569636094</v>
      </c>
      <c r="L434">
        <f t="shared" si="138"/>
        <v>0.87618312942533005</v>
      </c>
      <c r="M434">
        <f t="shared" si="126"/>
        <v>0.24776899258020674</v>
      </c>
      <c r="N434">
        <f t="shared" si="139"/>
        <v>3.9433659914039042E-2</v>
      </c>
      <c r="O434">
        <f t="shared" si="140"/>
        <v>0.42233542912549932</v>
      </c>
      <c r="P434">
        <f t="shared" si="141"/>
        <v>0.42160176109484387</v>
      </c>
      <c r="Q434">
        <f t="shared" si="127"/>
        <v>0.25006314991891238</v>
      </c>
      <c r="R434">
        <f t="shared" si="142"/>
        <v>3.9798786394724589E-2</v>
      </c>
      <c r="S434">
        <f t="shared" si="143"/>
        <v>0.45954225107850494</v>
      </c>
      <c r="T434" s="29">
        <f t="shared" si="128"/>
        <v>0.8979650832520174</v>
      </c>
      <c r="U434">
        <v>0</v>
      </c>
      <c r="V434" s="29">
        <f t="shared" si="144"/>
        <v>0</v>
      </c>
      <c r="W434" s="29">
        <f t="shared" si="129"/>
        <v>2.720784631200726</v>
      </c>
      <c r="X434" s="29">
        <f t="shared" si="145"/>
        <v>0.30003896469964619</v>
      </c>
      <c r="Y434" s="29">
        <f t="shared" si="130"/>
        <v>3.2423783594749129</v>
      </c>
      <c r="Z434">
        <f t="shared" si="131"/>
        <v>0.69818643982597794</v>
      </c>
      <c r="AA434">
        <f t="shared" si="132"/>
        <v>0.18106425247368804</v>
      </c>
      <c r="AB434">
        <f t="shared" si="133"/>
        <v>1.012370337747668</v>
      </c>
      <c r="AC434">
        <f t="shared" si="134"/>
        <v>0.22729342331803393</v>
      </c>
    </row>
    <row r="435" spans="7:49" x14ac:dyDescent="0.25">
      <c r="G435" s="5">
        <v>0.95</v>
      </c>
      <c r="H435">
        <f t="shared" si="135"/>
        <v>0.31224989991991997</v>
      </c>
      <c r="I435">
        <f t="shared" si="136"/>
        <v>1004.5300000000001</v>
      </c>
      <c r="J435">
        <v>5.165376822416622E-3</v>
      </c>
      <c r="K435">
        <f t="shared" si="137"/>
        <v>0.51708625260320196</v>
      </c>
      <c r="L435">
        <f t="shared" si="138"/>
        <v>0.87808353571204001</v>
      </c>
      <c r="M435">
        <f t="shared" si="126"/>
        <v>0.34587681221898814</v>
      </c>
      <c r="N435">
        <f>M435/(2*PI())</f>
        <v>5.5048004365519231E-2</v>
      </c>
      <c r="O435">
        <f t="shared" si="140"/>
        <v>0.6830453188898814</v>
      </c>
      <c r="P435">
        <f t="shared" si="141"/>
        <v>0.68185875371111815</v>
      </c>
      <c r="Q435">
        <f t="shared" si="127"/>
        <v>0.34907937529508987</v>
      </c>
      <c r="R435">
        <f t="shared" si="142"/>
        <v>5.5557708109644402E-2</v>
      </c>
      <c r="S435">
        <f t="shared" si="143"/>
        <v>0.76642749247693198</v>
      </c>
      <c r="T435" s="29">
        <f t="shared" si="128"/>
        <v>0.94785203232157378</v>
      </c>
      <c r="U435">
        <v>0</v>
      </c>
      <c r="V435" s="29">
        <f t="shared" si="144"/>
        <v>0</v>
      </c>
      <c r="W435" s="29">
        <f t="shared" si="129"/>
        <v>4.400339346138419</v>
      </c>
      <c r="X435" s="29">
        <f t="shared" si="145"/>
        <v>0.28036111166088074</v>
      </c>
      <c r="Y435" s="29">
        <f t="shared" si="130"/>
        <v>7.7014034657252379</v>
      </c>
      <c r="Z435">
        <f t="shared" si="131"/>
        <v>0.80888898429027301</v>
      </c>
      <c r="AA435">
        <f t="shared" si="132"/>
        <v>0.18106425247368804</v>
      </c>
      <c r="AB435">
        <f t="shared" si="133"/>
        <v>1.1728890272208958</v>
      </c>
      <c r="AC435">
        <f t="shared" si="134"/>
        <v>0.22729342331803393</v>
      </c>
    </row>
    <row r="437" spans="7:49" x14ac:dyDescent="0.25">
      <c r="G437" s="99" t="s">
        <v>181</v>
      </c>
      <c r="H437" s="254">
        <v>30000</v>
      </c>
    </row>
    <row r="438" spans="7:49" x14ac:dyDescent="0.25">
      <c r="G438" s="221" t="s">
        <v>428</v>
      </c>
      <c r="H438">
        <v>1.3</v>
      </c>
    </row>
    <row r="439" spans="7:49" x14ac:dyDescent="0.25">
      <c r="G439" t="s">
        <v>142</v>
      </c>
      <c r="H439">
        <v>994.8</v>
      </c>
      <c r="U439" t="s">
        <v>706</v>
      </c>
      <c r="Y439" t="s">
        <v>1158</v>
      </c>
      <c r="Z439" t="s">
        <v>560</v>
      </c>
      <c r="AB439" t="s">
        <v>360</v>
      </c>
      <c r="AN439" t="s">
        <v>1201</v>
      </c>
      <c r="AV439" t="s">
        <v>1202</v>
      </c>
    </row>
    <row r="440" spans="7:49" ht="15.75" x14ac:dyDescent="0.25">
      <c r="G440" t="s">
        <v>348</v>
      </c>
      <c r="H440" s="223" t="s">
        <v>712</v>
      </c>
      <c r="I440" t="s">
        <v>1085</v>
      </c>
      <c r="J440" s="223" t="s">
        <v>356</v>
      </c>
      <c r="K440" s="231" t="s">
        <v>779</v>
      </c>
      <c r="L440" s="5" t="s">
        <v>785</v>
      </c>
      <c r="M440" s="11" t="s">
        <v>1153</v>
      </c>
      <c r="N440" s="11" t="s">
        <v>1152</v>
      </c>
      <c r="O440" t="s">
        <v>1059</v>
      </c>
      <c r="P440" t="s">
        <v>1060</v>
      </c>
      <c r="Q440" s="11" t="s">
        <v>1154</v>
      </c>
      <c r="R440" s="11" t="s">
        <v>788</v>
      </c>
      <c r="S440" t="s">
        <v>1061</v>
      </c>
      <c r="T440" t="s">
        <v>1156</v>
      </c>
      <c r="U440" s="223" t="s">
        <v>1157</v>
      </c>
      <c r="V440" s="221" t="s">
        <v>758</v>
      </c>
      <c r="W440" s="223" t="s">
        <v>786</v>
      </c>
      <c r="X440" s="226" t="s">
        <v>535</v>
      </c>
      <c r="Y440" s="226" t="s">
        <v>94</v>
      </c>
      <c r="Z440" s="226" t="s">
        <v>750</v>
      </c>
      <c r="AA440" s="227" t="s">
        <v>476</v>
      </c>
      <c r="AB440" s="226" t="s">
        <v>750</v>
      </c>
      <c r="AC440" s="227" t="s">
        <v>476</v>
      </c>
      <c r="AE440" s="227" t="s">
        <v>1193</v>
      </c>
      <c r="AN440" s="227" t="s">
        <v>1193</v>
      </c>
      <c r="AV440" s="227" t="s">
        <v>1193</v>
      </c>
    </row>
    <row r="441" spans="7:49" x14ac:dyDescent="0.25">
      <c r="G441" s="5">
        <v>0</v>
      </c>
      <c r="H441">
        <f>SQRT(1-G441^2)</f>
        <v>1</v>
      </c>
      <c r="I441">
        <f>G441*$H$439</f>
        <v>0</v>
      </c>
      <c r="J441" t="e">
        <v>#NUM!</v>
      </c>
      <c r="K441" t="e">
        <f>0.68*$H$271*(J441*(($Q$262/$H$271)+0.15))^0.5</f>
        <v>#NUM!</v>
      </c>
      <c r="L441" t="e">
        <f>1-(COS((PI()*$Q$263)/2*K441)^2)*(2.42*SQRT(J441))/(($Q$262/$H$270)+0.3)</f>
        <v>#NUM!</v>
      </c>
      <c r="M441">
        <f t="shared" ref="M441:M460" si="146">$Q$267/(1-G441^2)^0.5</f>
        <v>0.108</v>
      </c>
      <c r="N441">
        <f>M441/(2*PI())</f>
        <v>1.7188733853924696E-2</v>
      </c>
      <c r="O441">
        <f>(2*PI()*$H$265)/(2+($H$265^2*H441^2/N441^2*(1+TAN(RADIANS($H$275))^2/H441^2)+4)^0.5)</f>
        <v>0.10073378060434053</v>
      </c>
      <c r="P441">
        <f>O441*$N$262</f>
        <v>0.10055878899970652</v>
      </c>
      <c r="Q441">
        <f>$Q$271/(1-G441^2)^0.5</f>
        <v>0.109</v>
      </c>
      <c r="R441">
        <f>Q441/(2*PI())</f>
        <v>1.7347888797016594E-2</v>
      </c>
      <c r="S441">
        <f>(2*PI()*$K$265)/(2+($K$265^2*H441^2/R441^2*(1+TAN(RADIANS($K$275))^2/H441^2)+4)^0.5)</f>
        <v>0.10381027215104761</v>
      </c>
      <c r="T441" s="29">
        <f t="shared" ref="T441:T460" si="147">G441*COS($H$273)</f>
        <v>0</v>
      </c>
      <c r="U441">
        <v>1</v>
      </c>
      <c r="V441" s="29">
        <f>($Q$273+($Q$272*$Q$274))*U441</f>
        <v>-1</v>
      </c>
      <c r="W441" s="29">
        <f t="shared" ref="W441:W460" si="148">4.44*(($N$265*$N$266*$N$267*SQRT(COS($H$273)))^1.19)*(O441/$O$441)</f>
        <v>0.6489508177860982</v>
      </c>
      <c r="X441" s="29" t="e">
        <f>P441+S441*L441*($K$263/$H$263)*(1-W441)</f>
        <v>#NUM!</v>
      </c>
      <c r="Y441" s="29">
        <f t="shared" ref="Y441:Y460" si="149">$H$438-S441*($K$263/$H$263)*$N$272*(1-W441-$N$271)+$N$270</f>
        <v>1.2104861657449768</v>
      </c>
      <c r="Z441">
        <f t="shared" ref="Z441:Z460" si="150">$U$302*$W$299*(O441/M441)*$U$301</f>
        <v>0.38204298311929219</v>
      </c>
      <c r="AA441">
        <f t="shared" ref="AA441:AA460" si="151">$W$300*$U$305*$U$303</f>
        <v>0.18106425247368804</v>
      </c>
      <c r="AB441">
        <f t="shared" ref="AB441:AB460" si="152">$U$302*$Y$299*(O441/M441)*$U$301</f>
        <v>0.55396232552297364</v>
      </c>
      <c r="AC441">
        <f t="shared" ref="AC441:AC460" si="153">$Y$300*$U$305*$U$303</f>
        <v>0.22729342331803393</v>
      </c>
      <c r="AE441" t="s">
        <v>1194</v>
      </c>
      <c r="AF441" t="s">
        <v>244</v>
      </c>
      <c r="AN441" t="s">
        <v>1194</v>
      </c>
      <c r="AO441" t="s">
        <v>244</v>
      </c>
      <c r="AV441" t="s">
        <v>1194</v>
      </c>
      <c r="AW441" t="s">
        <v>244</v>
      </c>
    </row>
    <row r="442" spans="7:49" x14ac:dyDescent="0.25">
      <c r="G442" s="5">
        <v>0.05</v>
      </c>
      <c r="H442">
        <f t="shared" ref="H442:H460" si="154">SQRT(1-G442^2)</f>
        <v>0.99874921777190895</v>
      </c>
      <c r="I442">
        <f t="shared" ref="I442:I460" si="155">G442*$H$439</f>
        <v>49.74</v>
      </c>
      <c r="J442">
        <v>5.6834033342462896E-3</v>
      </c>
      <c r="K442">
        <f t="shared" ref="K442:K460" si="156">0.68*$H$271*(J442*(($Q$262/$H$271)+0.15))^0.5</f>
        <v>0.5423956848879824</v>
      </c>
      <c r="L442">
        <f t="shared" ref="L442:L460" si="157">1-(COS((PI()*$Q$263)/2*K442)^2)*(2.42*SQRT(J442))/(($Q$262/$H$270)+0.3)</f>
        <v>0.85534359114237291</v>
      </c>
      <c r="M442">
        <f t="shared" si="146"/>
        <v>0.10813525365349991</v>
      </c>
      <c r="N442">
        <f t="shared" ref="N442:N459" si="158">M442/(2*PI())</f>
        <v>1.7210260141450447E-2</v>
      </c>
      <c r="O442">
        <f t="shared" ref="O442:O460" si="159">(2*PI()*$H$265)/(2+($H$265^2*H442^2/N442^2*(1+TAN(RADIANS($H$275))^2/H442^2)+4)^0.5)</f>
        <v>0.10096966142983717</v>
      </c>
      <c r="P442">
        <f t="shared" ref="P442:P460" si="160">O442*$N$262</f>
        <v>0.10079426006033672</v>
      </c>
      <c r="Q442">
        <f t="shared" ref="Q442:Q460" si="161">$Q$271/(1-G442^2)^0.5</f>
        <v>0.10913650600214343</v>
      </c>
      <c r="R442">
        <f t="shared" ref="R442:R460" si="162">Q442/(2*PI())</f>
        <v>1.7369614402019434E-2</v>
      </c>
      <c r="S442">
        <f t="shared" ref="S442:S460" si="163">(2*PI()*$K$265)/(2+($K$265^2*H442^2/R442^2*(1+TAN(RADIANS($K$275))^2/H442^2)+4)^0.5)</f>
        <v>0.1040582208604917</v>
      </c>
      <c r="T442" s="29">
        <f t="shared" si="147"/>
        <v>4.988694906955652E-2</v>
      </c>
      <c r="U442">
        <v>1</v>
      </c>
      <c r="V442" s="29">
        <f t="shared" ref="V442:V460" si="164">($Q$273+($Q$272*$Q$274))*U442</f>
        <v>-1</v>
      </c>
      <c r="W442" s="29">
        <f t="shared" si="148"/>
        <v>0.65047041780197912</v>
      </c>
      <c r="X442" s="29">
        <f t="shared" ref="X442:X460" si="165">P442+S442*L442*($K$263/$H$263)*(1-W442)</f>
        <v>0.10625252697195428</v>
      </c>
      <c r="Y442" s="29">
        <f t="shared" si="149"/>
        <v>1.210660771233947</v>
      </c>
      <c r="Z442">
        <f t="shared" si="150"/>
        <v>0.3824586133220616</v>
      </c>
      <c r="AA442">
        <f t="shared" si="151"/>
        <v>0.18106425247368804</v>
      </c>
      <c r="AB442">
        <f t="shared" si="152"/>
        <v>0.55456498931698928</v>
      </c>
      <c r="AC442">
        <f t="shared" si="153"/>
        <v>0.22729342331803393</v>
      </c>
      <c r="AE442">
        <v>-1</v>
      </c>
      <c r="AF442">
        <v>0</v>
      </c>
      <c r="AN442">
        <v>-1</v>
      </c>
      <c r="AO442">
        <v>0</v>
      </c>
      <c r="AV442">
        <v>-1</v>
      </c>
      <c r="AW442">
        <v>0</v>
      </c>
    </row>
    <row r="443" spans="7:49" x14ac:dyDescent="0.25">
      <c r="G443" s="5">
        <v>0.1</v>
      </c>
      <c r="H443">
        <f t="shared" si="154"/>
        <v>0.99498743710661997</v>
      </c>
      <c r="I443">
        <f t="shared" si="155"/>
        <v>99.48</v>
      </c>
      <c r="J443">
        <v>5.07707000381651E-3</v>
      </c>
      <c r="K443">
        <f t="shared" si="156"/>
        <v>0.5126471681822643</v>
      </c>
      <c r="L443">
        <f t="shared" si="157"/>
        <v>0.88222601063843475</v>
      </c>
      <c r="M443">
        <f t="shared" si="146"/>
        <v>0.1085440840479949</v>
      </c>
      <c r="N443">
        <f t="shared" si="158"/>
        <v>1.7275327519620534E-2</v>
      </c>
      <c r="O443">
        <f t="shared" si="159"/>
        <v>0.10168399167415836</v>
      </c>
      <c r="P443">
        <f t="shared" si="160"/>
        <v>0.10150734939227536</v>
      </c>
      <c r="Q443">
        <f t="shared" si="161"/>
        <v>0.10954912186325412</v>
      </c>
      <c r="R443">
        <f t="shared" si="162"/>
        <v>1.7435284255913317E-2</v>
      </c>
      <c r="S443">
        <f t="shared" si="163"/>
        <v>0.10480923052652887</v>
      </c>
      <c r="T443" s="29">
        <f t="shared" si="147"/>
        <v>9.977389813911304E-2</v>
      </c>
      <c r="U443">
        <v>1</v>
      </c>
      <c r="V443" s="29">
        <f t="shared" si="164"/>
        <v>-1</v>
      </c>
      <c r="W443" s="29">
        <f t="shared" si="148"/>
        <v>0.65507230203029343</v>
      </c>
      <c r="X443" s="29">
        <f t="shared" si="165"/>
        <v>0.10710313787004169</v>
      </c>
      <c r="Y443" s="29">
        <f t="shared" si="149"/>
        <v>1.2112007152996589</v>
      </c>
      <c r="Z443">
        <f t="shared" si="150"/>
        <v>0.38371367545476148</v>
      </c>
      <c r="AA443">
        <f t="shared" si="151"/>
        <v>0.18106425247368804</v>
      </c>
      <c r="AB443">
        <f t="shared" si="152"/>
        <v>0.55638482940940404</v>
      </c>
      <c r="AC443">
        <f t="shared" si="153"/>
        <v>0.22729342331803393</v>
      </c>
      <c r="AE443">
        <v>11</v>
      </c>
      <c r="AF443">
        <f>(AE443+1)*X453</f>
        <v>1.8259659597799436</v>
      </c>
      <c r="AN443">
        <v>11</v>
      </c>
      <c r="AO443">
        <f>X451*(AN443+1)</f>
        <v>1.6152181571287758</v>
      </c>
      <c r="AV443">
        <v>11</v>
      </c>
      <c r="AW443">
        <f>X452*(AV443+1)</f>
        <v>1.7096559380894725</v>
      </c>
    </row>
    <row r="444" spans="7:49" x14ac:dyDescent="0.25">
      <c r="G444" s="11">
        <v>0.15</v>
      </c>
      <c r="H444" s="29">
        <f t="shared" si="154"/>
        <v>0.98868599666425949</v>
      </c>
      <c r="I444" s="29">
        <f t="shared" si="155"/>
        <v>149.22</v>
      </c>
      <c r="J444" s="29">
        <v>4.7633827715169814E-3</v>
      </c>
      <c r="K444" s="29">
        <f t="shared" si="156"/>
        <v>0.49655770789953374</v>
      </c>
      <c r="L444" s="29">
        <f t="shared" si="157"/>
        <v>0.89738153224704831</v>
      </c>
      <c r="M444" s="29">
        <f t="shared" si="146"/>
        <v>0.10923589528362149</v>
      </c>
      <c r="N444" s="29">
        <f t="shared" si="158"/>
        <v>1.7385432697457015E-2</v>
      </c>
      <c r="O444">
        <f t="shared" si="159"/>
        <v>0.10289731528202789</v>
      </c>
      <c r="P444" s="29">
        <f t="shared" si="160"/>
        <v>0.10271856525194158</v>
      </c>
      <c r="Q444" s="29">
        <f t="shared" si="161"/>
        <v>0.11024733875846984</v>
      </c>
      <c r="R444" s="29">
        <f t="shared" si="162"/>
        <v>1.7546408926137177E-2</v>
      </c>
      <c r="S444">
        <f t="shared" si="163"/>
        <v>0.10608531589764157</v>
      </c>
      <c r="T444" s="29">
        <f t="shared" si="147"/>
        <v>0.14966084720866954</v>
      </c>
      <c r="U444" s="29">
        <v>1</v>
      </c>
      <c r="V444" s="29">
        <f t="shared" si="164"/>
        <v>-1</v>
      </c>
      <c r="W444" s="29">
        <f t="shared" si="148"/>
        <v>0.66288881941743272</v>
      </c>
      <c r="X444" s="29">
        <f t="shared" si="165"/>
        <v>0.10834922633532522</v>
      </c>
      <c r="Y444" s="29">
        <f t="shared" si="149"/>
        <v>1.2121563656765011</v>
      </c>
      <c r="Z444">
        <f t="shared" si="150"/>
        <v>0.38583313397868807</v>
      </c>
      <c r="AA444">
        <f t="shared" si="151"/>
        <v>0.18106425247368804</v>
      </c>
      <c r="AB444">
        <f t="shared" si="152"/>
        <v>0.55945804426909762</v>
      </c>
      <c r="AC444">
        <f t="shared" si="153"/>
        <v>0.22729342331803393</v>
      </c>
      <c r="AE444">
        <v>14</v>
      </c>
      <c r="AF444">
        <f>(AE444+1)*X454</f>
        <v>2.463950435897055</v>
      </c>
      <c r="AN444">
        <v>14</v>
      </c>
      <c r="AO444">
        <f>X451*(AN444+1)</f>
        <v>2.0190226964109699</v>
      </c>
      <c r="AV444">
        <v>14</v>
      </c>
      <c r="AW444">
        <f>X452*(AV444+1)</f>
        <v>2.1370699226118406</v>
      </c>
    </row>
    <row r="445" spans="7:49" x14ac:dyDescent="0.25">
      <c r="G445" s="5">
        <v>0.2</v>
      </c>
      <c r="H445">
        <f t="shared" si="154"/>
        <v>0.9797958971132712</v>
      </c>
      <c r="I445">
        <f t="shared" si="155"/>
        <v>198.96</v>
      </c>
      <c r="J445">
        <v>4.5569135744776296E-3</v>
      </c>
      <c r="K445">
        <f t="shared" si="156"/>
        <v>0.48567682734514517</v>
      </c>
      <c r="L445">
        <f t="shared" si="157"/>
        <v>0.90761139314826356</v>
      </c>
      <c r="M445">
        <f t="shared" si="146"/>
        <v>0.11022703842524302</v>
      </c>
      <c r="N445">
        <f t="shared" si="158"/>
        <v>1.7543178027757716E-2</v>
      </c>
      <c r="O445">
        <f t="shared" si="159"/>
        <v>0.10464554001175856</v>
      </c>
      <c r="P445">
        <f t="shared" si="160"/>
        <v>0.10446375301980225</v>
      </c>
      <c r="Q445">
        <f t="shared" si="161"/>
        <v>0.11124765915140268</v>
      </c>
      <c r="R445">
        <f t="shared" si="162"/>
        <v>1.7705614861348064E-2</v>
      </c>
      <c r="S445">
        <f t="shared" si="163"/>
        <v>0.10792498822942134</v>
      </c>
      <c r="T445" s="29">
        <f t="shared" si="147"/>
        <v>0.19954779627822608</v>
      </c>
      <c r="U445">
        <v>1</v>
      </c>
      <c r="V445" s="29">
        <f t="shared" si="164"/>
        <v>-1</v>
      </c>
      <c r="W445" s="29">
        <f t="shared" si="148"/>
        <v>0.67415129622735914</v>
      </c>
      <c r="X445" s="29">
        <f t="shared" si="165"/>
        <v>0.11006380135905318</v>
      </c>
      <c r="Y445" s="29">
        <f t="shared" si="149"/>
        <v>1.2136186727696732</v>
      </c>
      <c r="Z445">
        <f t="shared" si="150"/>
        <v>0.38886014509871991</v>
      </c>
      <c r="AA445">
        <f t="shared" si="151"/>
        <v>0.18106425247368804</v>
      </c>
      <c r="AB445">
        <f t="shared" si="152"/>
        <v>0.56384721039314389</v>
      </c>
      <c r="AC445">
        <f t="shared" si="153"/>
        <v>0.22729342331803393</v>
      </c>
    </row>
    <row r="446" spans="7:49" x14ac:dyDescent="0.25">
      <c r="G446" s="5">
        <v>0.25</v>
      </c>
      <c r="H446">
        <f t="shared" si="154"/>
        <v>0.96824583655185426</v>
      </c>
      <c r="I446">
        <f t="shared" si="155"/>
        <v>248.7</v>
      </c>
      <c r="J446">
        <v>4.4052220229309422E-3</v>
      </c>
      <c r="K446">
        <f t="shared" si="156"/>
        <v>0.47752475207013445</v>
      </c>
      <c r="L446">
        <f t="shared" si="157"/>
        <v>0.91518273592732879</v>
      </c>
      <c r="M446">
        <f t="shared" si="146"/>
        <v>0.1115419203707736</v>
      </c>
      <c r="N446">
        <f t="shared" si="158"/>
        <v>1.7752447988971194E-2</v>
      </c>
      <c r="O446">
        <f t="shared" si="159"/>
        <v>0.10698268400095574</v>
      </c>
      <c r="P446">
        <f t="shared" si="160"/>
        <v>0.10679683699482667</v>
      </c>
      <c r="Q446">
        <f t="shared" si="161"/>
        <v>0.11257471592976225</v>
      </c>
      <c r="R446">
        <f t="shared" si="162"/>
        <v>1.7916822507387593E-2</v>
      </c>
      <c r="S446">
        <f t="shared" si="163"/>
        <v>0.11038625709076041</v>
      </c>
      <c r="T446" s="29">
        <f t="shared" si="147"/>
        <v>0.24943474534778259</v>
      </c>
      <c r="U446">
        <v>1</v>
      </c>
      <c r="V446" s="29">
        <f>($Q$273+($Q$272*$Q$274))*U446</f>
        <v>-1</v>
      </c>
      <c r="W446" s="29">
        <f t="shared" si="148"/>
        <v>0.68920773006687319</v>
      </c>
      <c r="X446" s="29">
        <f t="shared" si="165"/>
        <v>0.11230550836416338</v>
      </c>
      <c r="Y446" s="29">
        <f t="shared" si="149"/>
        <v>1.2157311472964261</v>
      </c>
      <c r="Z446">
        <f t="shared" si="150"/>
        <v>0.39285856093509275</v>
      </c>
      <c r="AA446">
        <f t="shared" si="151"/>
        <v>0.18106425247368804</v>
      </c>
      <c r="AB446">
        <f t="shared" si="152"/>
        <v>0.56964491335588441</v>
      </c>
      <c r="AC446">
        <f t="shared" si="153"/>
        <v>0.22729342331803393</v>
      </c>
    </row>
    <row r="447" spans="7:49" x14ac:dyDescent="0.25">
      <c r="G447" s="5">
        <v>0.3</v>
      </c>
      <c r="H447">
        <f t="shared" si="154"/>
        <v>0.95393920141694566</v>
      </c>
      <c r="I447">
        <f t="shared" si="155"/>
        <v>298.44</v>
      </c>
      <c r="J447">
        <v>4.6503768490536402E-3</v>
      </c>
      <c r="K447">
        <f t="shared" si="156"/>
        <v>0.49063221523255507</v>
      </c>
      <c r="L447">
        <f t="shared" si="157"/>
        <v>0.90296438233026788</v>
      </c>
      <c r="M447">
        <f t="shared" si="146"/>
        <v>0.11321476236596717</v>
      </c>
      <c r="N447">
        <f t="shared" si="158"/>
        <v>1.8018689061517958E-2</v>
      </c>
      <c r="O447">
        <f t="shared" si="159"/>
        <v>0.10998526883345291</v>
      </c>
      <c r="P447">
        <f t="shared" si="160"/>
        <v>0.10979420582992221</v>
      </c>
      <c r="Q447">
        <f t="shared" si="161"/>
        <v>0.11426304720268909</v>
      </c>
      <c r="R447">
        <f t="shared" si="162"/>
        <v>1.8185528775050534E-2</v>
      </c>
      <c r="S447">
        <f t="shared" si="163"/>
        <v>0.11355144228561578</v>
      </c>
      <c r="T447" s="29">
        <f t="shared" si="147"/>
        <v>0.29932169441733908</v>
      </c>
      <c r="U447">
        <v>1</v>
      </c>
      <c r="V447" s="29">
        <f t="shared" si="164"/>
        <v>-1</v>
      </c>
      <c r="W447" s="29">
        <f t="shared" si="148"/>
        <v>0.70855109106088332</v>
      </c>
      <c r="X447" s="29">
        <f t="shared" si="165"/>
        <v>0.11503720196674827</v>
      </c>
      <c r="Y447" s="29">
        <f t="shared" si="149"/>
        <v>1.2187100318108479</v>
      </c>
      <c r="Z447">
        <f t="shared" si="150"/>
        <v>0.39791683239406395</v>
      </c>
      <c r="AA447">
        <f t="shared" si="151"/>
        <v>0.18106425247368804</v>
      </c>
      <c r="AB447">
        <f t="shared" si="152"/>
        <v>0.57697940697139272</v>
      </c>
      <c r="AC447">
        <f t="shared" si="153"/>
        <v>0.22729342331803393</v>
      </c>
    </row>
    <row r="448" spans="7:49" x14ac:dyDescent="0.25">
      <c r="G448" s="5">
        <v>0.35</v>
      </c>
      <c r="H448">
        <f t="shared" si="154"/>
        <v>0.93674969975975975</v>
      </c>
      <c r="I448">
        <f t="shared" si="155"/>
        <v>348.17999999999995</v>
      </c>
      <c r="J448">
        <v>4.5451480722475653E-3</v>
      </c>
      <c r="K448">
        <f t="shared" si="156"/>
        <v>0.48504943724140637</v>
      </c>
      <c r="L448">
        <f t="shared" si="157"/>
        <v>0.9081977189172582</v>
      </c>
      <c r="M448">
        <f t="shared" si="146"/>
        <v>0.11529227073966274</v>
      </c>
      <c r="N448">
        <f t="shared" si="158"/>
        <v>1.8349334788506415E-2</v>
      </c>
      <c r="O448">
        <f t="shared" si="159"/>
        <v>0.11375906391372086</v>
      </c>
      <c r="P448">
        <f t="shared" si="160"/>
        <v>0.11356144519022517</v>
      </c>
      <c r="Q448">
        <f t="shared" si="161"/>
        <v>0.11635979176502999</v>
      </c>
      <c r="R448">
        <f t="shared" si="162"/>
        <v>1.8519236036548141E-2</v>
      </c>
      <c r="S448">
        <f t="shared" si="163"/>
        <v>0.11753458280720043</v>
      </c>
      <c r="T448" s="29">
        <f t="shared" si="147"/>
        <v>0.34920864348689562</v>
      </c>
      <c r="U448">
        <v>1</v>
      </c>
      <c r="V448" s="29">
        <f t="shared" si="164"/>
        <v>-1</v>
      </c>
      <c r="W448" s="29">
        <f t="shared" si="148"/>
        <v>0.73286277070602823</v>
      </c>
      <c r="X448" s="29">
        <f t="shared" si="165"/>
        <v>0.11856448920169711</v>
      </c>
      <c r="Y448" s="29">
        <f t="shared" si="149"/>
        <v>1.2228773485094071</v>
      </c>
      <c r="Z448">
        <f t="shared" si="150"/>
        <v>0.40415379968872978</v>
      </c>
      <c r="AA448">
        <f t="shared" si="151"/>
        <v>0.18106425247368804</v>
      </c>
      <c r="AB448">
        <f t="shared" si="152"/>
        <v>0.58602300954865816</v>
      </c>
      <c r="AC448">
        <f t="shared" si="153"/>
        <v>0.22729342331803393</v>
      </c>
    </row>
    <row r="449" spans="7:94" x14ac:dyDescent="0.25">
      <c r="G449" s="5">
        <v>0.4</v>
      </c>
      <c r="H449">
        <f t="shared" si="154"/>
        <v>0.91651513899116799</v>
      </c>
      <c r="I449">
        <f t="shared" si="155"/>
        <v>397.92</v>
      </c>
      <c r="J449">
        <v>4.4566469035678801E-3</v>
      </c>
      <c r="K449">
        <f t="shared" si="156"/>
        <v>0.4803038858202705</v>
      </c>
      <c r="L449">
        <f t="shared" si="157"/>
        <v>0.91261408151113121</v>
      </c>
      <c r="M449">
        <f t="shared" si="146"/>
        <v>0.11783766072743589</v>
      </c>
      <c r="N449">
        <f t="shared" si="158"/>
        <v>1.8754446187157128E-2</v>
      </c>
      <c r="O449">
        <f t="shared" si="159"/>
        <v>0.11844937702562958</v>
      </c>
      <c r="P449">
        <f t="shared" si="160"/>
        <v>0.1182436104354226</v>
      </c>
      <c r="Q449">
        <f t="shared" si="161"/>
        <v>0.11892875017861584</v>
      </c>
      <c r="R449">
        <f t="shared" si="162"/>
        <v>1.8928098466667844E-2</v>
      </c>
      <c r="S449">
        <f t="shared" si="163"/>
        <v>0.12249278234294751</v>
      </c>
      <c r="T449" s="29">
        <f t="shared" si="147"/>
        <v>0.39909559255645216</v>
      </c>
      <c r="U449">
        <v>1</v>
      </c>
      <c r="V449" s="29">
        <f t="shared" si="164"/>
        <v>-1</v>
      </c>
      <c r="W449" s="29">
        <f t="shared" si="148"/>
        <v>0.76307887608185354</v>
      </c>
      <c r="X449" s="29">
        <f t="shared" si="165"/>
        <v>0.12289042432176656</v>
      </c>
      <c r="Y449" s="29">
        <f t="shared" si="149"/>
        <v>1.2287153291552386</v>
      </c>
      <c r="Z449">
        <f t="shared" si="150"/>
        <v>0.41172716118850533</v>
      </c>
      <c r="AA449">
        <f t="shared" si="151"/>
        <v>0.18106425247368804</v>
      </c>
      <c r="AB449">
        <f t="shared" si="152"/>
        <v>0.59700438372333264</v>
      </c>
      <c r="AC449">
        <f t="shared" si="153"/>
        <v>0.22729342331803393</v>
      </c>
    </row>
    <row r="450" spans="7:94" x14ac:dyDescent="0.25">
      <c r="G450" s="5">
        <v>0.45</v>
      </c>
      <c r="H450">
        <f t="shared" si="154"/>
        <v>0.89302855497458755</v>
      </c>
      <c r="I450">
        <f t="shared" si="155"/>
        <v>447.65999999999997</v>
      </c>
      <c r="J450">
        <v>4.3805559263202206E-3</v>
      </c>
      <c r="K450">
        <f t="shared" si="156"/>
        <v>0.47618597663873952</v>
      </c>
      <c r="L450">
        <f t="shared" si="157"/>
        <v>0.91641475812315187</v>
      </c>
      <c r="M450">
        <f t="shared" si="146"/>
        <v>0.12093678236646453</v>
      </c>
      <c r="N450">
        <f t="shared" si="158"/>
        <v>1.9247686715251594E-2</v>
      </c>
      <c r="O450">
        <f t="shared" si="159"/>
        <v>0.12425694261102585</v>
      </c>
      <c r="P450">
        <f t="shared" si="160"/>
        <v>0.12404108729770424</v>
      </c>
      <c r="Q450">
        <f t="shared" si="161"/>
        <v>0.12205656738837624</v>
      </c>
      <c r="R450">
        <f t="shared" si="162"/>
        <v>1.942590603668911E-2</v>
      </c>
      <c r="S450">
        <f t="shared" si="163"/>
        <v>0.12864380245837007</v>
      </c>
      <c r="T450" s="29">
        <f t="shared" si="147"/>
        <v>0.4489825416260087</v>
      </c>
      <c r="U450">
        <v>1</v>
      </c>
      <c r="V450" s="29">
        <f t="shared" si="164"/>
        <v>-1</v>
      </c>
      <c r="W450" s="29">
        <f t="shared" si="148"/>
        <v>0.80049258589576777</v>
      </c>
      <c r="X450" s="29">
        <f t="shared" si="165"/>
        <v>0.12816770096166333</v>
      </c>
      <c r="Y450" s="29">
        <f t="shared" si="149"/>
        <v>1.2369580304296415</v>
      </c>
      <c r="Z450">
        <f t="shared" si="150"/>
        <v>0.42084590260886801</v>
      </c>
      <c r="AA450">
        <f t="shared" si="151"/>
        <v>0.18106425247368804</v>
      </c>
      <c r="AB450">
        <f t="shared" si="152"/>
        <v>0.61022655878285847</v>
      </c>
      <c r="AC450">
        <f t="shared" si="153"/>
        <v>0.22729342331803393</v>
      </c>
    </row>
    <row r="451" spans="7:94" x14ac:dyDescent="0.25">
      <c r="G451" s="5">
        <v>0.5</v>
      </c>
      <c r="H451">
        <f t="shared" si="154"/>
        <v>0.8660254037844386</v>
      </c>
      <c r="I451">
        <f t="shared" si="155"/>
        <v>497.4</v>
      </c>
      <c r="J451">
        <v>4.3140093134334586E-3</v>
      </c>
      <c r="K451">
        <f t="shared" si="156"/>
        <v>0.4725551777860445</v>
      </c>
      <c r="L451">
        <f t="shared" si="157"/>
        <v>0.91973654452161346</v>
      </c>
      <c r="M451">
        <f t="shared" si="146"/>
        <v>0.12470765814495917</v>
      </c>
      <c r="N451">
        <f t="shared" si="158"/>
        <v>1.9847840235184516E-2</v>
      </c>
      <c r="O451">
        <f t="shared" si="159"/>
        <v>0.13146303448299143</v>
      </c>
      <c r="P451">
        <f t="shared" si="160"/>
        <v>0.13123466096999292</v>
      </c>
      <c r="Q451">
        <f t="shared" si="161"/>
        <v>0.12586235868333842</v>
      </c>
      <c r="R451">
        <f t="shared" si="162"/>
        <v>2.0031616533658446E-2</v>
      </c>
      <c r="S451">
        <f t="shared" si="163"/>
        <v>0.136294012347947</v>
      </c>
      <c r="T451" s="29">
        <f t="shared" si="147"/>
        <v>0.49886949069556519</v>
      </c>
      <c r="U451">
        <v>1</v>
      </c>
      <c r="V451" s="29">
        <f t="shared" si="164"/>
        <v>-1</v>
      </c>
      <c r="W451" s="29">
        <f t="shared" si="148"/>
        <v>0.84691593251592157</v>
      </c>
      <c r="X451" s="29">
        <f t="shared" si="165"/>
        <v>0.13460151309406465</v>
      </c>
      <c r="Y451" s="29">
        <f t="shared" si="149"/>
        <v>1.2487506177526941</v>
      </c>
      <c r="Z451">
        <f t="shared" si="150"/>
        <v>0.43178880504861844</v>
      </c>
      <c r="AA451">
        <f t="shared" si="151"/>
        <v>0.18106425247368804</v>
      </c>
      <c r="AB451">
        <f t="shared" si="152"/>
        <v>0.6260937673204966</v>
      </c>
      <c r="AC451">
        <f t="shared" si="153"/>
        <v>0.22729342331803393</v>
      </c>
    </row>
    <row r="452" spans="7:94" x14ac:dyDescent="0.25">
      <c r="G452" s="5">
        <v>0.55000000000000004</v>
      </c>
      <c r="H452">
        <f t="shared" si="154"/>
        <v>0.83516465442450327</v>
      </c>
      <c r="I452">
        <f t="shared" si="155"/>
        <v>547.14</v>
      </c>
      <c r="J452">
        <v>4.2550129631943679E-3</v>
      </c>
      <c r="K452">
        <f t="shared" si="156"/>
        <v>0.46931283392229617</v>
      </c>
      <c r="L452">
        <f t="shared" si="157"/>
        <v>0.92267635253498692</v>
      </c>
      <c r="M452">
        <f t="shared" si="146"/>
        <v>0.12931581745927792</v>
      </c>
      <c r="N452">
        <f t="shared" si="158"/>
        <v>2.0581251568613304E-2</v>
      </c>
      <c r="O452">
        <f t="shared" si="159"/>
        <v>0.14047047884093974</v>
      </c>
      <c r="P452">
        <f t="shared" si="160"/>
        <v>0.14022645787450116</v>
      </c>
      <c r="Q452">
        <f t="shared" si="161"/>
        <v>0.13051318613945642</v>
      </c>
      <c r="R452">
        <f t="shared" si="162"/>
        <v>2.0771818712767131E-2</v>
      </c>
      <c r="S452">
        <f t="shared" si="163"/>
        <v>0.14588430801061572</v>
      </c>
      <c r="T452" s="29">
        <f t="shared" si="147"/>
        <v>0.54875643976512178</v>
      </c>
      <c r="U452">
        <v>1</v>
      </c>
      <c r="V452" s="29">
        <f t="shared" si="164"/>
        <v>-1</v>
      </c>
      <c r="W452" s="29">
        <f t="shared" si="148"/>
        <v>0.9049440175057295</v>
      </c>
      <c r="X452" s="29">
        <f t="shared" si="165"/>
        <v>0.1424713281741227</v>
      </c>
      <c r="Y452" s="29">
        <f t="shared" si="149"/>
        <v>1.2659380192107941</v>
      </c>
      <c r="Z452">
        <f t="shared" si="150"/>
        <v>0.44493263614763967</v>
      </c>
      <c r="AA452">
        <f t="shared" si="151"/>
        <v>0.18106425247368804</v>
      </c>
      <c r="AB452">
        <f t="shared" si="152"/>
        <v>0.64515232241407749</v>
      </c>
      <c r="AC452">
        <f t="shared" si="153"/>
        <v>0.22729342331803393</v>
      </c>
    </row>
    <row r="453" spans="7:94" x14ac:dyDescent="0.25">
      <c r="G453" s="58">
        <v>0.6</v>
      </c>
      <c r="H453" s="99">
        <f t="shared" si="154"/>
        <v>0.8</v>
      </c>
      <c r="I453" s="99">
        <f t="shared" si="155"/>
        <v>596.88</v>
      </c>
      <c r="J453" s="99">
        <v>4.2021265886299274E-3</v>
      </c>
      <c r="K453" s="99">
        <f t="shared" si="156"/>
        <v>0.46638712470391036</v>
      </c>
      <c r="L453" s="99">
        <f t="shared" si="157"/>
        <v>0.92530516765928195</v>
      </c>
      <c r="M453" s="99">
        <f t="shared" si="146"/>
        <v>0.13499999999999998</v>
      </c>
      <c r="N453" s="99">
        <f t="shared" si="158"/>
        <v>2.1485917317405869E-2</v>
      </c>
      <c r="O453">
        <f t="shared" si="159"/>
        <v>0.15187349429154923</v>
      </c>
      <c r="P453" s="99">
        <f t="shared" si="160"/>
        <v>0.15160966435974274</v>
      </c>
      <c r="Q453" s="99">
        <f t="shared" si="161"/>
        <v>0.13624999999999998</v>
      </c>
      <c r="R453" s="99">
        <f t="shared" si="162"/>
        <v>2.1684860996270736E-2</v>
      </c>
      <c r="S453">
        <f t="shared" si="163"/>
        <v>0.15806885198995582</v>
      </c>
      <c r="T453" s="99">
        <f t="shared" si="147"/>
        <v>0.59864338883467816</v>
      </c>
      <c r="U453" s="99">
        <v>1</v>
      </c>
      <c r="V453" s="99">
        <f t="shared" si="164"/>
        <v>-1</v>
      </c>
      <c r="W453" s="99">
        <f t="shared" si="148"/>
        <v>0.97840493754174052</v>
      </c>
      <c r="X453" s="99">
        <f t="shared" si="165"/>
        <v>0.15216382998166197</v>
      </c>
      <c r="Y453" s="99">
        <f t="shared" si="149"/>
        <v>1.2916153945984163</v>
      </c>
      <c r="Z453" s="99">
        <f t="shared" si="150"/>
        <v>0.46079638800646094</v>
      </c>
      <c r="AA453" s="99">
        <f t="shared" si="151"/>
        <v>0.18106425247368804</v>
      </c>
      <c r="AB453" s="99">
        <f t="shared" si="152"/>
        <v>0.66815476260936835</v>
      </c>
      <c r="AC453" s="99">
        <f t="shared" si="153"/>
        <v>0.22729342331803393</v>
      </c>
    </row>
    <row r="454" spans="7:94" x14ac:dyDescent="0.25">
      <c r="G454" s="5">
        <v>0.65</v>
      </c>
      <c r="H454">
        <f t="shared" si="154"/>
        <v>0.75993420767853315</v>
      </c>
      <c r="I454">
        <f t="shared" si="155"/>
        <v>646.62</v>
      </c>
      <c r="J454">
        <v>4.5155194698685555E-3</v>
      </c>
      <c r="K454">
        <f t="shared" si="156"/>
        <v>0.48346589870161322</v>
      </c>
      <c r="L454">
        <f t="shared" si="157"/>
        <v>0.90967522040692006</v>
      </c>
      <c r="M454">
        <f t="shared" si="146"/>
        <v>0.1421175661113101</v>
      </c>
      <c r="N454">
        <f t="shared" si="158"/>
        <v>2.2618713146804234E-2</v>
      </c>
      <c r="O454">
        <f t="shared" si="159"/>
        <v>0.16658299205178798</v>
      </c>
      <c r="P454">
        <f t="shared" si="160"/>
        <v>0.16629360923592432</v>
      </c>
      <c r="Q454">
        <f t="shared" si="161"/>
        <v>0.14343346950122965</v>
      </c>
      <c r="R454">
        <f t="shared" si="162"/>
        <v>2.2828145675941311E-2</v>
      </c>
      <c r="S454">
        <f t="shared" si="163"/>
        <v>0.17385749335052486</v>
      </c>
      <c r="T454" s="29">
        <f t="shared" si="147"/>
        <v>0.64853033790423475</v>
      </c>
      <c r="U454">
        <v>1</v>
      </c>
      <c r="V454" s="29">
        <f t="shared" si="164"/>
        <v>-1</v>
      </c>
      <c r="W454" s="29">
        <f t="shared" si="148"/>
        <v>1.0731669979296379</v>
      </c>
      <c r="X454" s="29">
        <f t="shared" si="165"/>
        <v>0.16426336239313699</v>
      </c>
      <c r="Y454" s="29">
        <f t="shared" si="149"/>
        <v>1.3312457184293842</v>
      </c>
      <c r="Z454">
        <f t="shared" si="150"/>
        <v>0.48011331066331625</v>
      </c>
      <c r="AA454">
        <f t="shared" si="151"/>
        <v>0.18106425247368804</v>
      </c>
      <c r="AB454">
        <f t="shared" si="152"/>
        <v>0.69616430046180855</v>
      </c>
      <c r="AC454">
        <f t="shared" si="153"/>
        <v>0.22729342331803393</v>
      </c>
    </row>
    <row r="455" spans="7:94" x14ac:dyDescent="0.25">
      <c r="G455" s="5">
        <v>0.7</v>
      </c>
      <c r="H455">
        <f t="shared" si="154"/>
        <v>0.71414284285428498</v>
      </c>
      <c r="I455">
        <f t="shared" si="155"/>
        <v>696.3599999999999</v>
      </c>
      <c r="J455">
        <v>4.4680960278680728E-3</v>
      </c>
      <c r="K455">
        <f t="shared" si="156"/>
        <v>0.48092044034755749</v>
      </c>
      <c r="L455">
        <f t="shared" si="157"/>
        <v>0.91204232657403195</v>
      </c>
      <c r="M455">
        <f t="shared" si="146"/>
        <v>0.15123024907502505</v>
      </c>
      <c r="N455">
        <f t="shared" si="158"/>
        <v>2.4069041685308771E-2</v>
      </c>
      <c r="O455">
        <f t="shared" si="159"/>
        <v>0.18606658153192498</v>
      </c>
      <c r="P455">
        <f t="shared" si="160"/>
        <v>0.18574335242768911</v>
      </c>
      <c r="Q455">
        <f t="shared" si="161"/>
        <v>0.15263052915905306</v>
      </c>
      <c r="R455">
        <f t="shared" si="162"/>
        <v>2.4291903182394964E-2</v>
      </c>
      <c r="S455">
        <f t="shared" si="163"/>
        <v>0.19489118882148326</v>
      </c>
      <c r="T455" s="29">
        <f t="shared" si="147"/>
        <v>0.69841728697379124</v>
      </c>
      <c r="U455">
        <v>1</v>
      </c>
      <c r="V455" s="29">
        <f t="shared" si="164"/>
        <v>-1</v>
      </c>
      <c r="W455" s="29">
        <f t="shared" si="148"/>
        <v>1.1986848852826983</v>
      </c>
      <c r="X455" s="29">
        <f t="shared" si="165"/>
        <v>0.17954714628800661</v>
      </c>
      <c r="Y455" s="29">
        <f t="shared" si="149"/>
        <v>1.3951127852600966</v>
      </c>
      <c r="Z455">
        <f t="shared" si="150"/>
        <v>0.50395361014601125</v>
      </c>
      <c r="AA455">
        <f t="shared" si="151"/>
        <v>0.18106425247368804</v>
      </c>
      <c r="AB455">
        <f t="shared" si="152"/>
        <v>0.73073273471171618</v>
      </c>
      <c r="AC455">
        <f t="shared" si="153"/>
        <v>0.22729342331803393</v>
      </c>
    </row>
    <row r="456" spans="7:94" x14ac:dyDescent="0.25">
      <c r="G456" s="5">
        <v>0.75</v>
      </c>
      <c r="H456">
        <f t="shared" si="154"/>
        <v>0.66143782776614768</v>
      </c>
      <c r="I456">
        <f t="shared" si="155"/>
        <v>746.09999999999991</v>
      </c>
      <c r="J456">
        <v>4.4245648001826942E-3</v>
      </c>
      <c r="K456">
        <f t="shared" si="156"/>
        <v>0.47857197940787238</v>
      </c>
      <c r="L456">
        <f t="shared" si="157"/>
        <v>0.91421652348956861</v>
      </c>
      <c r="M456">
        <f t="shared" si="146"/>
        <v>0.16328065233998615</v>
      </c>
      <c r="N456">
        <f t="shared" si="158"/>
        <v>2.5986922931178043E-2</v>
      </c>
      <c r="O456">
        <f t="shared" si="159"/>
        <v>0.21284847584675293</v>
      </c>
      <c r="P456">
        <f t="shared" si="160"/>
        <v>0.21247872206496424</v>
      </c>
      <c r="Q456">
        <f t="shared" si="161"/>
        <v>0.16479251023202307</v>
      </c>
      <c r="R456">
        <f t="shared" si="162"/>
        <v>2.6227542587948214E-2</v>
      </c>
      <c r="S456">
        <f t="shared" si="163"/>
        <v>0.22402223560332959</v>
      </c>
      <c r="T456" s="29">
        <f t="shared" si="147"/>
        <v>0.74830423604334784</v>
      </c>
      <c r="U456">
        <v>0.8</v>
      </c>
      <c r="V456" s="29">
        <f t="shared" si="164"/>
        <v>-0.8</v>
      </c>
      <c r="W456" s="29">
        <f t="shared" si="148"/>
        <v>1.3712201769514749</v>
      </c>
      <c r="X456" s="29">
        <f t="shared" si="165"/>
        <v>0.19913965070149539</v>
      </c>
      <c r="Y456" s="29">
        <f t="shared" si="149"/>
        <v>1.5042699888815725</v>
      </c>
      <c r="Z456">
        <f t="shared" si="150"/>
        <v>0.53394517608710246</v>
      </c>
      <c r="AA456">
        <f t="shared" si="151"/>
        <v>0.18106425247368804</v>
      </c>
      <c r="AB456">
        <f t="shared" si="152"/>
        <v>0.7742205053262986</v>
      </c>
      <c r="AC456">
        <f t="shared" si="153"/>
        <v>0.22729342331803393</v>
      </c>
    </row>
    <row r="457" spans="7:94" x14ac:dyDescent="0.25">
      <c r="G457" s="5">
        <v>0.8</v>
      </c>
      <c r="H457">
        <f t="shared" si="154"/>
        <v>0.59999999999999987</v>
      </c>
      <c r="I457">
        <f t="shared" si="155"/>
        <v>795.84</v>
      </c>
      <c r="J457">
        <v>4.3843749775260722E-3</v>
      </c>
      <c r="K457">
        <f t="shared" si="156"/>
        <v>0.47639350537068365</v>
      </c>
      <c r="L457">
        <f t="shared" si="157"/>
        <v>0.9162240187729076</v>
      </c>
      <c r="M457">
        <f t="shared" si="146"/>
        <v>0.18000000000000005</v>
      </c>
      <c r="N457">
        <f t="shared" si="158"/>
        <v>2.8647889756541169E-2</v>
      </c>
      <c r="O457">
        <f t="shared" si="159"/>
        <v>0.25167326542920682</v>
      </c>
      <c r="P457">
        <f t="shared" si="160"/>
        <v>0.251236066425092</v>
      </c>
      <c r="Q457">
        <f t="shared" si="161"/>
        <v>0.1816666666666667</v>
      </c>
      <c r="R457">
        <f t="shared" si="162"/>
        <v>2.8913147995027658E-2</v>
      </c>
      <c r="S457">
        <f t="shared" si="163"/>
        <v>0.266683574276255</v>
      </c>
      <c r="T457" s="29">
        <f t="shared" si="147"/>
        <v>0.79819118511290432</v>
      </c>
      <c r="U457">
        <v>0</v>
      </c>
      <c r="V457" s="29">
        <f t="shared" si="164"/>
        <v>0</v>
      </c>
      <c r="W457" s="29">
        <f t="shared" si="148"/>
        <v>1.6213386456394356</v>
      </c>
      <c r="X457" s="29">
        <f t="shared" si="165"/>
        <v>0.22459938383969194</v>
      </c>
      <c r="Y457" s="29">
        <f t="shared" si="149"/>
        <v>1.7070113297128373</v>
      </c>
      <c r="Z457">
        <f t="shared" si="150"/>
        <v>0.57269768603406035</v>
      </c>
      <c r="AA457">
        <f t="shared" si="151"/>
        <v>0.18106425247368804</v>
      </c>
      <c r="AB457">
        <f t="shared" si="152"/>
        <v>0.83041164474938745</v>
      </c>
      <c r="AC457">
        <f t="shared" si="153"/>
        <v>0.22729342331803393</v>
      </c>
    </row>
    <row r="458" spans="7:94" x14ac:dyDescent="0.25">
      <c r="G458" s="5">
        <v>0.85</v>
      </c>
      <c r="H458">
        <f t="shared" si="154"/>
        <v>0.52678268764263703</v>
      </c>
      <c r="I458">
        <f t="shared" si="155"/>
        <v>845.57999999999993</v>
      </c>
      <c r="J458">
        <v>4.6948489676231168E-3</v>
      </c>
      <c r="K458">
        <f t="shared" si="156"/>
        <v>0.49297262087986282</v>
      </c>
      <c r="L458">
        <f t="shared" si="157"/>
        <v>0.90076178383335359</v>
      </c>
      <c r="M458">
        <f t="shared" si="146"/>
        <v>0.20501812708253975</v>
      </c>
      <c r="N458">
        <f t="shared" si="158"/>
        <v>3.2629648348628582E-2</v>
      </c>
      <c r="O458">
        <f t="shared" si="159"/>
        <v>0.31267319102286617</v>
      </c>
      <c r="P458">
        <f t="shared" si="160"/>
        <v>0.31213002483675789</v>
      </c>
      <c r="Q458">
        <f t="shared" si="161"/>
        <v>0.20691644307404475</v>
      </c>
      <c r="R458">
        <f t="shared" si="162"/>
        <v>3.293177472222699E-2</v>
      </c>
      <c r="S458">
        <f t="shared" si="163"/>
        <v>0.33467687582814859</v>
      </c>
      <c r="T458" s="29">
        <f t="shared" si="147"/>
        <v>0.84807813418246081</v>
      </c>
      <c r="U458">
        <v>0</v>
      </c>
      <c r="V458" s="29">
        <f t="shared" si="164"/>
        <v>0</v>
      </c>
      <c r="W458" s="29">
        <f t="shared" si="148"/>
        <v>2.0143145804391134</v>
      </c>
      <c r="X458" s="29">
        <f t="shared" si="165"/>
        <v>0.25848095999507764</v>
      </c>
      <c r="Y458" s="29">
        <f t="shared" si="149"/>
        <v>2.1338352284298052</v>
      </c>
      <c r="Z458">
        <f t="shared" si="150"/>
        <v>0.62468234732408157</v>
      </c>
      <c r="AA458">
        <f t="shared" si="151"/>
        <v>0.18106425247368804</v>
      </c>
      <c r="AB458">
        <f t="shared" si="152"/>
        <v>0.90578940361991822</v>
      </c>
      <c r="AC458">
        <f t="shared" si="153"/>
        <v>0.22729342331803393</v>
      </c>
    </row>
    <row r="459" spans="7:94" x14ac:dyDescent="0.25">
      <c r="G459" s="5">
        <v>0.9</v>
      </c>
      <c r="H459">
        <f t="shared" si="154"/>
        <v>0.43588989435406728</v>
      </c>
      <c r="I459">
        <f t="shared" si="155"/>
        <v>895.31999999999994</v>
      </c>
      <c r="J459">
        <v>4.6573098015750287E-3</v>
      </c>
      <c r="K459">
        <f t="shared" si="156"/>
        <v>0.49099780528329651</v>
      </c>
      <c r="L459">
        <f t="shared" si="157"/>
        <v>0.90262059259701066</v>
      </c>
      <c r="M459">
        <f t="shared" si="146"/>
        <v>0.24776899258020674</v>
      </c>
      <c r="N459">
        <f t="shared" si="158"/>
        <v>3.9433659914039042E-2</v>
      </c>
      <c r="O459">
        <f t="shared" si="159"/>
        <v>0.42233542912549932</v>
      </c>
      <c r="P459">
        <f t="shared" si="160"/>
        <v>0.42160176109484387</v>
      </c>
      <c r="Q459">
        <f t="shared" si="161"/>
        <v>0.25006314991891238</v>
      </c>
      <c r="R459">
        <f t="shared" si="162"/>
        <v>3.9798786394724589E-2</v>
      </c>
      <c r="S459">
        <f t="shared" si="163"/>
        <v>0.45954225107850494</v>
      </c>
      <c r="T459" s="29">
        <f t="shared" si="147"/>
        <v>0.8979650832520174</v>
      </c>
      <c r="U459">
        <v>0</v>
      </c>
      <c r="V459" s="29">
        <f t="shared" si="164"/>
        <v>0</v>
      </c>
      <c r="W459" s="29">
        <f t="shared" si="148"/>
        <v>2.720784631200726</v>
      </c>
      <c r="X459" s="29">
        <f t="shared" si="165"/>
        <v>0.29637099638935421</v>
      </c>
      <c r="Y459" s="29">
        <f t="shared" si="149"/>
        <v>3.2423783594749129</v>
      </c>
      <c r="Z459">
        <f t="shared" si="150"/>
        <v>0.69818643982597794</v>
      </c>
      <c r="AA459">
        <f t="shared" si="151"/>
        <v>0.18106425247368804</v>
      </c>
      <c r="AB459">
        <f t="shared" si="152"/>
        <v>1.012370337747668</v>
      </c>
      <c r="AC459">
        <f t="shared" si="153"/>
        <v>0.22729342331803393</v>
      </c>
    </row>
    <row r="460" spans="7:94" x14ac:dyDescent="0.25">
      <c r="G460" s="5">
        <v>0.95</v>
      </c>
      <c r="H460">
        <f t="shared" si="154"/>
        <v>0.31224989991991997</v>
      </c>
      <c r="I460">
        <f t="shared" si="155"/>
        <v>945.06</v>
      </c>
      <c r="J460">
        <v>4.6221830278180866E-3</v>
      </c>
      <c r="K460">
        <f t="shared" si="156"/>
        <v>0.4891426771557203</v>
      </c>
      <c r="L460">
        <f t="shared" si="157"/>
        <v>0.90436389131847228</v>
      </c>
      <c r="M460">
        <f t="shared" si="146"/>
        <v>0.34587681221898814</v>
      </c>
      <c r="N460">
        <f>M460/(2*PI())</f>
        <v>5.5048004365519231E-2</v>
      </c>
      <c r="O460">
        <f t="shared" si="159"/>
        <v>0.6830453188898814</v>
      </c>
      <c r="P460">
        <f t="shared" si="160"/>
        <v>0.68185875371111815</v>
      </c>
      <c r="Q460">
        <f t="shared" si="161"/>
        <v>0.34907937529508987</v>
      </c>
      <c r="R460">
        <f t="shared" si="162"/>
        <v>5.5557708109644402E-2</v>
      </c>
      <c r="S460">
        <f t="shared" si="163"/>
        <v>0.76642749247693198</v>
      </c>
      <c r="T460" s="29">
        <f t="shared" si="147"/>
        <v>0.94785203232157378</v>
      </c>
      <c r="U460">
        <v>0</v>
      </c>
      <c r="V460" s="29">
        <f t="shared" si="164"/>
        <v>0</v>
      </c>
      <c r="W460" s="29">
        <f t="shared" si="148"/>
        <v>4.400339346138419</v>
      </c>
      <c r="X460" s="29">
        <f t="shared" si="165"/>
        <v>0.26834460027091589</v>
      </c>
      <c r="Y460" s="29">
        <f t="shared" si="149"/>
        <v>7.7014034657252379</v>
      </c>
      <c r="Z460">
        <f t="shared" si="150"/>
        <v>0.80888898429027301</v>
      </c>
      <c r="AA460">
        <f t="shared" si="151"/>
        <v>0.18106425247368804</v>
      </c>
      <c r="AB460">
        <f t="shared" si="152"/>
        <v>1.1728890272208958</v>
      </c>
      <c r="AC460">
        <f t="shared" si="153"/>
        <v>0.22729342331803393</v>
      </c>
    </row>
    <row r="462" spans="7:94" x14ac:dyDescent="0.25">
      <c r="G462" s="99" t="s">
        <v>181</v>
      </c>
      <c r="H462" s="254">
        <v>36000</v>
      </c>
    </row>
    <row r="463" spans="7:94" x14ac:dyDescent="0.25">
      <c r="G463" s="221" t="s">
        <v>428</v>
      </c>
      <c r="H463">
        <v>1.3</v>
      </c>
    </row>
    <row r="464" spans="7:94" x14ac:dyDescent="0.25">
      <c r="G464" t="s">
        <v>142</v>
      </c>
      <c r="H464">
        <v>968.7</v>
      </c>
      <c r="U464" t="s">
        <v>706</v>
      </c>
      <c r="Y464" t="s">
        <v>1158</v>
      </c>
      <c r="Z464" t="s">
        <v>560</v>
      </c>
      <c r="AB464" t="s">
        <v>360</v>
      </c>
      <c r="BB464" t="s">
        <v>1201</v>
      </c>
      <c r="BJ464" t="s">
        <v>1202</v>
      </c>
      <c r="BR464" t="s">
        <v>1205</v>
      </c>
      <c r="BZ464" t="s">
        <v>1226</v>
      </c>
      <c r="CH464" t="s">
        <v>1227</v>
      </c>
      <c r="CP464" t="s">
        <v>1207</v>
      </c>
    </row>
    <row r="465" spans="7:95" ht="15.75" x14ac:dyDescent="0.25">
      <c r="G465" t="s">
        <v>348</v>
      </c>
      <c r="H465" s="223" t="s">
        <v>712</v>
      </c>
      <c r="I465" t="s">
        <v>1085</v>
      </c>
      <c r="J465" s="223" t="s">
        <v>356</v>
      </c>
      <c r="K465" s="231" t="s">
        <v>779</v>
      </c>
      <c r="L465" s="5" t="s">
        <v>785</v>
      </c>
      <c r="M465" s="11" t="s">
        <v>1153</v>
      </c>
      <c r="N465" s="11" t="s">
        <v>1152</v>
      </c>
      <c r="O465" t="s">
        <v>1059</v>
      </c>
      <c r="P465" t="s">
        <v>1060</v>
      </c>
      <c r="Q465" s="11" t="s">
        <v>1154</v>
      </c>
      <c r="R465" s="11" t="s">
        <v>788</v>
      </c>
      <c r="S465" t="s">
        <v>1061</v>
      </c>
      <c r="T465" t="s">
        <v>1156</v>
      </c>
      <c r="U465" s="223" t="s">
        <v>1157</v>
      </c>
      <c r="V465" s="221" t="s">
        <v>758</v>
      </c>
      <c r="W465" s="223" t="s">
        <v>786</v>
      </c>
      <c r="X465" s="226" t="s">
        <v>535</v>
      </c>
      <c r="Y465" s="226" t="s">
        <v>94</v>
      </c>
      <c r="Z465" s="226" t="s">
        <v>750</v>
      </c>
      <c r="AA465" s="227" t="s">
        <v>476</v>
      </c>
      <c r="AB465" s="226" t="s">
        <v>750</v>
      </c>
      <c r="AC465" s="227" t="s">
        <v>476</v>
      </c>
      <c r="AE465" s="227" t="s">
        <v>1193</v>
      </c>
      <c r="AL465" t="s">
        <v>1195</v>
      </c>
      <c r="AT465" t="s">
        <v>1198</v>
      </c>
      <c r="BB465" s="227" t="s">
        <v>1193</v>
      </c>
      <c r="BJ465" s="227" t="s">
        <v>1193</v>
      </c>
      <c r="BR465" t="s">
        <v>1195</v>
      </c>
      <c r="BZ465" t="s">
        <v>1195</v>
      </c>
      <c r="CH465" t="s">
        <v>1195</v>
      </c>
      <c r="CP465" t="s">
        <v>1195</v>
      </c>
    </row>
    <row r="466" spans="7:95" x14ac:dyDescent="0.25">
      <c r="G466" s="5">
        <v>0</v>
      </c>
      <c r="H466">
        <f>SQRT(1-G466^2)</f>
        <v>1</v>
      </c>
      <c r="I466">
        <f>G466*$H$464</f>
        <v>0</v>
      </c>
      <c r="J466" t="e">
        <v>#NUM!</v>
      </c>
      <c r="K466" t="e">
        <f>0.68*$H$271*(J466*(($Q$262/$H$271)+0.15))^0.5</f>
        <v>#NUM!</v>
      </c>
      <c r="L466" t="e">
        <f>1-(COS((PI()*$Q$263)/2*K466)^2)*(2.42*SQRT(J466))/(($Q$262/$H$270)+0.3)</f>
        <v>#NUM!</v>
      </c>
      <c r="M466">
        <f t="shared" ref="M466:M485" si="166">$Q$267/(1-G466^2)^0.5</f>
        <v>0.108</v>
      </c>
      <c r="N466">
        <f>M466/(2*PI())</f>
        <v>1.7188733853924696E-2</v>
      </c>
      <c r="O466">
        <f>(2*PI()*$H$265)/(2+($H$265^2*H466^2/N466^2*(1+TAN(RADIANS($H$275))^2/H466^2)+4)^0.5)</f>
        <v>0.10073378060434053</v>
      </c>
      <c r="P466">
        <f>O466*$N$262</f>
        <v>0.10055878899970652</v>
      </c>
      <c r="Q466">
        <f t="shared" ref="Q466:Q485" si="167">$Q$271/(1-G466^2)^0.5</f>
        <v>0.109</v>
      </c>
      <c r="R466">
        <f>Q466/(2*PI())</f>
        <v>1.7347888797016594E-2</v>
      </c>
      <c r="S466">
        <f>(2*PI()*$K$265)/(2+($K$265^2*H466^2/R466^2*(1+TAN(RADIANS($K$275))^2/H466^2)+4)^0.5)</f>
        <v>0.10381027215104761</v>
      </c>
      <c r="T466" s="29">
        <f t="shared" ref="T466:T485" si="168">G466*COS($H$273)</f>
        <v>0</v>
      </c>
      <c r="U466">
        <v>1</v>
      </c>
      <c r="V466" s="29">
        <f>($Q$273+($Q$272*$Q$274))*U466</f>
        <v>-1</v>
      </c>
      <c r="W466" s="29">
        <f t="shared" ref="W466:W485" si="169">4.44*(($N$265*$N$266*$N$267*SQRT(COS($H$273)))^1.19)*(O466/$O$441)</f>
        <v>0.6489508177860982</v>
      </c>
      <c r="X466" s="29" t="e">
        <f>P466+S466*L466*($K$263/$H$263)*(1-W466)</f>
        <v>#NUM!</v>
      </c>
      <c r="Y466" s="29">
        <f t="shared" ref="Y466:Y485" si="170">$H$438-S466*($K$263/$H$263)*$N$272*(1-W466-$N$271)+$N$270</f>
        <v>1.2104861657449768</v>
      </c>
      <c r="Z466">
        <f t="shared" ref="Z466:Z485" si="171">$U$302*$W$299*(O466/M466)*$U$301</f>
        <v>0.38204298311929219</v>
      </c>
      <c r="AA466">
        <f t="shared" ref="AA466:AA485" si="172">$W$300*$U$305*$U$303</f>
        <v>0.18106425247368804</v>
      </c>
      <c r="AB466">
        <f t="shared" ref="AB466:AB485" si="173">$U$302*$Y$299*(O466/M466)*$U$301</f>
        <v>0.55396232552297364</v>
      </c>
      <c r="AC466">
        <f t="shared" ref="AC466:AC485" si="174">$Y$300*$U$305*$U$303</f>
        <v>0.22729342331803393</v>
      </c>
      <c r="AE466" t="s">
        <v>1194</v>
      </c>
      <c r="AF466" t="s">
        <v>244</v>
      </c>
      <c r="AL466" t="s">
        <v>1194</v>
      </c>
      <c r="AM466" t="s">
        <v>244</v>
      </c>
      <c r="AT466" t="s">
        <v>1194</v>
      </c>
      <c r="AU466" t="s">
        <v>244</v>
      </c>
      <c r="BB466" t="s">
        <v>1194</v>
      </c>
      <c r="BC466" t="s">
        <v>244</v>
      </c>
      <c r="BJ466" t="s">
        <v>1194</v>
      </c>
      <c r="BK466" t="s">
        <v>244</v>
      </c>
      <c r="BR466" t="s">
        <v>1194</v>
      </c>
      <c r="BS466" t="s">
        <v>244</v>
      </c>
      <c r="BZ466" t="s">
        <v>1194</v>
      </c>
      <c r="CA466" t="s">
        <v>244</v>
      </c>
      <c r="CH466" t="s">
        <v>1194</v>
      </c>
      <c r="CI466" t="s">
        <v>244</v>
      </c>
      <c r="CP466" t="s">
        <v>1194</v>
      </c>
      <c r="CQ466" t="s">
        <v>244</v>
      </c>
    </row>
    <row r="467" spans="7:95" x14ac:dyDescent="0.25">
      <c r="G467" s="5">
        <v>0.05</v>
      </c>
      <c r="H467">
        <f t="shared" ref="H467:H485" si="175">SQRT(1-G467^2)</f>
        <v>0.99874921777190895</v>
      </c>
      <c r="I467">
        <f t="shared" ref="I467:I485" si="176">G467*$H$464</f>
        <v>48.435000000000002</v>
      </c>
      <c r="J467">
        <v>5.6660345296620802E-3</v>
      </c>
      <c r="K467">
        <f t="shared" ref="K467:K485" si="177">0.68*$H$271*(J467*(($Q$262/$H$271)+0.15))^0.5</f>
        <v>0.54156625463982655</v>
      </c>
      <c r="L467">
        <f t="shared" ref="L467:L485" si="178">1-(COS((PI()*$Q$263)/2*K467)^2)*(2.42*SQRT(J467))/(($Q$262/$H$270)+0.3)</f>
        <v>0.8560556050166257</v>
      </c>
      <c r="M467">
        <f t="shared" si="166"/>
        <v>0.10813525365349991</v>
      </c>
      <c r="N467">
        <f t="shared" ref="N467:N484" si="179">M467/(2*PI())</f>
        <v>1.7210260141450447E-2</v>
      </c>
      <c r="O467">
        <f t="shared" ref="O467:O485" si="180">(2*PI()*$H$265)/(2+($H$265^2*H467^2/N467^2*(1+TAN(RADIANS($H$275))^2/H467^2)+4)^0.5)</f>
        <v>0.10096966142983717</v>
      </c>
      <c r="P467">
        <f t="shared" ref="P467:P485" si="181">O467*$N$262</f>
        <v>0.10079426006033672</v>
      </c>
      <c r="Q467">
        <f t="shared" si="167"/>
        <v>0.10913650600214343</v>
      </c>
      <c r="R467">
        <f t="shared" ref="R467:R485" si="182">Q467/(2*PI())</f>
        <v>1.7369614402019434E-2</v>
      </c>
      <c r="S467">
        <f t="shared" ref="S467:S485" si="183">(2*PI()*$K$265)/(2+($K$265^2*H467^2/R467^2*(1+TAN(RADIANS($K$275))^2/H467^2)+4)^0.5)</f>
        <v>0.1040582208604917</v>
      </c>
      <c r="T467" s="29">
        <f t="shared" si="168"/>
        <v>4.988694906955652E-2</v>
      </c>
      <c r="U467">
        <v>1</v>
      </c>
      <c r="V467" s="29">
        <f t="shared" ref="V467:V485" si="184">($Q$273+($Q$272*$Q$274))*U467</f>
        <v>-1</v>
      </c>
      <c r="W467" s="29">
        <f t="shared" si="169"/>
        <v>0.65047041780197912</v>
      </c>
      <c r="X467" s="29">
        <f t="shared" ref="X467:X485" si="185">P467+S467*L467*($K$263/$H$263)*(1-W467)</f>
        <v>0.10625707059841116</v>
      </c>
      <c r="Y467" s="29">
        <f t="shared" si="170"/>
        <v>1.210660771233947</v>
      </c>
      <c r="Z467">
        <f t="shared" si="171"/>
        <v>0.3824586133220616</v>
      </c>
      <c r="AA467">
        <f t="shared" si="172"/>
        <v>0.18106425247368804</v>
      </c>
      <c r="AB467">
        <f t="shared" si="173"/>
        <v>0.55456498931698928</v>
      </c>
      <c r="AC467">
        <f t="shared" si="174"/>
        <v>0.22729342331803393</v>
      </c>
      <c r="AE467">
        <v>-1</v>
      </c>
      <c r="AF467">
        <v>0</v>
      </c>
      <c r="AL467">
        <v>-1</v>
      </c>
      <c r="AM467">
        <v>0</v>
      </c>
      <c r="AT467">
        <v>-1</v>
      </c>
      <c r="AU467">
        <v>0</v>
      </c>
      <c r="BB467">
        <v>-1</v>
      </c>
      <c r="BC467">
        <v>0</v>
      </c>
      <c r="BJ467">
        <v>-1</v>
      </c>
      <c r="BK467">
        <v>0</v>
      </c>
      <c r="BR467">
        <v>-1</v>
      </c>
      <c r="BS467">
        <v>0</v>
      </c>
      <c r="BZ467">
        <v>-1</v>
      </c>
      <c r="CA467">
        <v>0</v>
      </c>
      <c r="CH467">
        <v>-1</v>
      </c>
      <c r="CI467">
        <v>0</v>
      </c>
      <c r="CP467">
        <v>-1</v>
      </c>
      <c r="CQ467">
        <v>0</v>
      </c>
    </row>
    <row r="468" spans="7:95" x14ac:dyDescent="0.25">
      <c r="G468" s="5">
        <v>0.1</v>
      </c>
      <c r="H468">
        <f t="shared" si="175"/>
        <v>0.99498743710661997</v>
      </c>
      <c r="I468">
        <f t="shared" si="176"/>
        <v>96.87</v>
      </c>
      <c r="J468">
        <v>5.0622166820323399E-3</v>
      </c>
      <c r="K468">
        <f t="shared" si="177"/>
        <v>0.51189672642119632</v>
      </c>
      <c r="L468">
        <f t="shared" si="178"/>
        <v>0.88292892818411695</v>
      </c>
      <c r="M468">
        <f t="shared" si="166"/>
        <v>0.1085440840479949</v>
      </c>
      <c r="N468">
        <f t="shared" si="179"/>
        <v>1.7275327519620534E-2</v>
      </c>
      <c r="O468">
        <f t="shared" si="180"/>
        <v>0.10168399167415836</v>
      </c>
      <c r="P468">
        <f t="shared" si="181"/>
        <v>0.10150734939227536</v>
      </c>
      <c r="Q468">
        <f t="shared" si="167"/>
        <v>0.10954912186325412</v>
      </c>
      <c r="R468">
        <f t="shared" si="182"/>
        <v>1.7435284255913317E-2</v>
      </c>
      <c r="S468">
        <f t="shared" si="183"/>
        <v>0.10480923052652887</v>
      </c>
      <c r="T468" s="29">
        <f t="shared" si="168"/>
        <v>9.977389813911304E-2</v>
      </c>
      <c r="U468">
        <v>1</v>
      </c>
      <c r="V468" s="29">
        <f t="shared" si="184"/>
        <v>-1</v>
      </c>
      <c r="W468" s="29">
        <f t="shared" si="169"/>
        <v>0.65507230203029343</v>
      </c>
      <c r="X468" s="29">
        <f t="shared" si="185"/>
        <v>0.10710759633970311</v>
      </c>
      <c r="Y468" s="29">
        <f t="shared" si="170"/>
        <v>1.2112007152996589</v>
      </c>
      <c r="Z468">
        <f t="shared" si="171"/>
        <v>0.38371367545476148</v>
      </c>
      <c r="AA468">
        <f t="shared" si="172"/>
        <v>0.18106425247368804</v>
      </c>
      <c r="AB468">
        <f t="shared" si="173"/>
        <v>0.55638482940940404</v>
      </c>
      <c r="AC468">
        <f t="shared" si="174"/>
        <v>0.22729342331803393</v>
      </c>
      <c r="AE468">
        <v>11</v>
      </c>
      <c r="AF468">
        <f>(AE468+1)*X478</f>
        <v>1.8259699078326617</v>
      </c>
      <c r="AL468">
        <v>11</v>
      </c>
      <c r="AM468">
        <f>(AL468+1)*$X$482</f>
        <v>2.6949944987308152</v>
      </c>
      <c r="AT468">
        <v>11</v>
      </c>
      <c r="AU468">
        <f>(AT468+1)*$X$483</f>
        <v>3.1013424153090319</v>
      </c>
      <c r="BB468">
        <v>11</v>
      </c>
      <c r="BC468">
        <f>X476*(BB468+1)</f>
        <v>1.6152433126282904</v>
      </c>
      <c r="BJ468">
        <v>11</v>
      </c>
      <c r="BK468">
        <f>X477*(BJ468+1)</f>
        <v>1.7096723041713613</v>
      </c>
      <c r="BR468">
        <v>11</v>
      </c>
      <c r="BS468">
        <f>(BR468+1)*$X$481</f>
        <v>2.3895750962512436</v>
      </c>
      <c r="BZ468">
        <v>11</v>
      </c>
      <c r="CA468">
        <f>(BZ468+1)*$X$480</f>
        <v>2.1545182332825528</v>
      </c>
      <c r="CH468">
        <v>11</v>
      </c>
      <c r="CI468">
        <f>(CH468+1)*$X$479</f>
        <v>1.971144520462059</v>
      </c>
      <c r="CP468">
        <v>11</v>
      </c>
      <c r="CQ468">
        <f>(CP468+1)*$X$478</f>
        <v>1.8259699078326617</v>
      </c>
    </row>
    <row r="469" spans="7:95" x14ac:dyDescent="0.25">
      <c r="G469" s="11">
        <v>0.15</v>
      </c>
      <c r="H469" s="29">
        <f t="shared" si="175"/>
        <v>0.98868599666425949</v>
      </c>
      <c r="I469" s="29">
        <f t="shared" si="176"/>
        <v>145.30500000000001</v>
      </c>
      <c r="J469" s="29">
        <v>4.7497867474299918E-3</v>
      </c>
      <c r="K469" s="29">
        <f t="shared" si="177"/>
        <v>0.49584854434617359</v>
      </c>
      <c r="L469" s="29">
        <f t="shared" si="178"/>
        <v>0.89805061613781678</v>
      </c>
      <c r="M469" s="29">
        <f t="shared" si="166"/>
        <v>0.10923589528362149</v>
      </c>
      <c r="N469" s="29">
        <f t="shared" si="179"/>
        <v>1.7385432697457015E-2</v>
      </c>
      <c r="O469">
        <f t="shared" si="180"/>
        <v>0.10289731528202789</v>
      </c>
      <c r="P469" s="29">
        <f t="shared" si="181"/>
        <v>0.10271856525194158</v>
      </c>
      <c r="Q469" s="29">
        <f t="shared" si="167"/>
        <v>0.11024733875846984</v>
      </c>
      <c r="R469" s="29">
        <f t="shared" si="182"/>
        <v>1.7546408926137177E-2</v>
      </c>
      <c r="S469">
        <f t="shared" si="183"/>
        <v>0.10608531589764157</v>
      </c>
      <c r="T469" s="29">
        <f t="shared" si="168"/>
        <v>0.14966084720866954</v>
      </c>
      <c r="U469" s="29">
        <v>1</v>
      </c>
      <c r="V469" s="29">
        <f t="shared" si="184"/>
        <v>-1</v>
      </c>
      <c r="W469" s="29">
        <f t="shared" si="169"/>
        <v>0.66288881941743272</v>
      </c>
      <c r="X469" s="29">
        <f t="shared" si="185"/>
        <v>0.10835342453251325</v>
      </c>
      <c r="Y469" s="29">
        <f t="shared" si="170"/>
        <v>1.2121563656765011</v>
      </c>
      <c r="Z469">
        <f t="shared" si="171"/>
        <v>0.38583313397868807</v>
      </c>
      <c r="AA469">
        <f t="shared" si="172"/>
        <v>0.18106425247368804</v>
      </c>
      <c r="AB469">
        <f t="shared" si="173"/>
        <v>0.55945804426909762</v>
      </c>
      <c r="AC469">
        <f t="shared" si="174"/>
        <v>0.22729342331803393</v>
      </c>
      <c r="AE469">
        <v>14</v>
      </c>
      <c r="AF469">
        <f>(AE469+1)*X479</f>
        <v>2.4639306505775735</v>
      </c>
      <c r="AL469">
        <v>14</v>
      </c>
      <c r="AM469">
        <f>(AL469+1)*$X$482</f>
        <v>3.3687431234135188</v>
      </c>
      <c r="AT469">
        <v>14</v>
      </c>
      <c r="AU469">
        <f>(AT469+1)*$X$483</f>
        <v>3.87667801913629</v>
      </c>
      <c r="BB469">
        <v>14</v>
      </c>
      <c r="BC469">
        <f>X476*(BB469+1)</f>
        <v>2.0190541407853626</v>
      </c>
      <c r="BJ469">
        <v>14</v>
      </c>
      <c r="BK469">
        <f>X477*(BJ469+1)</f>
        <v>2.1370903802142016</v>
      </c>
      <c r="BR469">
        <v>14</v>
      </c>
      <c r="BS469">
        <f>(BR469+1)*$X$481</f>
        <v>2.9869688703140547</v>
      </c>
      <c r="BZ469">
        <v>14</v>
      </c>
      <c r="CA469">
        <f>(BZ469+1)*$X$480</f>
        <v>2.6931477916031912</v>
      </c>
      <c r="CH469">
        <v>14</v>
      </c>
      <c r="CI469">
        <f>(CH469+1)*$X$479</f>
        <v>2.4639306505775735</v>
      </c>
      <c r="CP469">
        <v>14</v>
      </c>
      <c r="CQ469">
        <f>(CP469+1)*$X$478</f>
        <v>2.2824623847908274</v>
      </c>
    </row>
    <row r="470" spans="7:95" x14ac:dyDescent="0.25">
      <c r="G470" s="5">
        <v>0.2</v>
      </c>
      <c r="H470">
        <f t="shared" si="175"/>
        <v>0.9797958971132712</v>
      </c>
      <c r="I470">
        <f t="shared" si="176"/>
        <v>193.74</v>
      </c>
      <c r="J470">
        <v>4.5441279275414666E-3</v>
      </c>
      <c r="K470">
        <f t="shared" si="177"/>
        <v>0.48499500024880515</v>
      </c>
      <c r="L470">
        <f t="shared" si="178"/>
        <v>0.90824856835521117</v>
      </c>
      <c r="M470">
        <f t="shared" si="166"/>
        <v>0.11022703842524302</v>
      </c>
      <c r="N470">
        <f t="shared" si="179"/>
        <v>1.7543178027757716E-2</v>
      </c>
      <c r="O470">
        <f t="shared" si="180"/>
        <v>0.10464554001175856</v>
      </c>
      <c r="P470">
        <f t="shared" si="181"/>
        <v>0.10446375301980225</v>
      </c>
      <c r="Q470">
        <f t="shared" si="167"/>
        <v>0.11124765915140268</v>
      </c>
      <c r="R470">
        <f t="shared" si="182"/>
        <v>1.7705614861348064E-2</v>
      </c>
      <c r="S470">
        <f t="shared" si="183"/>
        <v>0.10792498822942134</v>
      </c>
      <c r="T470" s="29">
        <f t="shared" si="168"/>
        <v>0.19954779627822608</v>
      </c>
      <c r="U470">
        <v>1</v>
      </c>
      <c r="V470" s="29">
        <f t="shared" si="184"/>
        <v>-1</v>
      </c>
      <c r="W470" s="29">
        <f t="shared" si="169"/>
        <v>0.67415129622735914</v>
      </c>
      <c r="X470" s="29">
        <f t="shared" si="185"/>
        <v>0.11006773279048564</v>
      </c>
      <c r="Y470" s="29">
        <f t="shared" si="170"/>
        <v>1.2136186727696732</v>
      </c>
      <c r="Z470">
        <f t="shared" si="171"/>
        <v>0.38886014509871991</v>
      </c>
      <c r="AA470">
        <f t="shared" si="172"/>
        <v>0.18106425247368804</v>
      </c>
      <c r="AB470">
        <f t="shared" si="173"/>
        <v>0.56384721039314389</v>
      </c>
      <c r="AC470">
        <f t="shared" si="174"/>
        <v>0.22729342331803393</v>
      </c>
    </row>
    <row r="471" spans="7:95" x14ac:dyDescent="0.25">
      <c r="G471" s="5">
        <v>0.25</v>
      </c>
      <c r="H471">
        <f t="shared" si="175"/>
        <v>0.96824583655185426</v>
      </c>
      <c r="I471">
        <f t="shared" si="176"/>
        <v>242.17500000000001</v>
      </c>
      <c r="J471">
        <v>4.3930228071975387E-3</v>
      </c>
      <c r="K471">
        <f t="shared" si="177"/>
        <v>0.47686309800747106</v>
      </c>
      <c r="L471">
        <f t="shared" si="178"/>
        <v>0.91579208731839767</v>
      </c>
      <c r="M471">
        <f t="shared" si="166"/>
        <v>0.1115419203707736</v>
      </c>
      <c r="N471">
        <f t="shared" si="179"/>
        <v>1.7752447988971194E-2</v>
      </c>
      <c r="O471">
        <f t="shared" si="180"/>
        <v>0.10698268400095574</v>
      </c>
      <c r="P471">
        <f t="shared" si="181"/>
        <v>0.10679683699482667</v>
      </c>
      <c r="Q471">
        <f t="shared" si="167"/>
        <v>0.11257471592976225</v>
      </c>
      <c r="R471">
        <f t="shared" si="182"/>
        <v>1.7916822507387593E-2</v>
      </c>
      <c r="S471">
        <f t="shared" si="183"/>
        <v>0.11038625709076041</v>
      </c>
      <c r="T471" s="29">
        <f t="shared" si="168"/>
        <v>0.24943474534778259</v>
      </c>
      <c r="U471">
        <v>1</v>
      </c>
      <c r="V471" s="29">
        <f>($Q$273+($Q$272*$Q$274))*U471</f>
        <v>-1</v>
      </c>
      <c r="W471" s="29">
        <f t="shared" si="169"/>
        <v>0.68920773006687319</v>
      </c>
      <c r="X471" s="29">
        <f t="shared" si="185"/>
        <v>0.11230917617435043</v>
      </c>
      <c r="Y471" s="29">
        <f t="shared" si="170"/>
        <v>1.2157311472964261</v>
      </c>
      <c r="Z471">
        <f t="shared" si="171"/>
        <v>0.39285856093509275</v>
      </c>
      <c r="AA471">
        <f t="shared" si="172"/>
        <v>0.18106425247368804</v>
      </c>
      <c r="AB471">
        <f t="shared" si="173"/>
        <v>0.56964491335588441</v>
      </c>
      <c r="AC471">
        <f t="shared" si="174"/>
        <v>0.22729342331803393</v>
      </c>
    </row>
    <row r="472" spans="7:95" x14ac:dyDescent="0.25">
      <c r="G472" s="5">
        <v>0.3</v>
      </c>
      <c r="H472">
        <f t="shared" si="175"/>
        <v>0.95393920141694566</v>
      </c>
      <c r="I472">
        <f t="shared" si="176"/>
        <v>290.61</v>
      </c>
      <c r="J472">
        <v>4.6376342021143989E-3</v>
      </c>
      <c r="K472">
        <f t="shared" si="177"/>
        <v>0.48995955557819393</v>
      </c>
      <c r="L472">
        <f t="shared" si="178"/>
        <v>0.90359663441793936</v>
      </c>
      <c r="M472">
        <f t="shared" si="166"/>
        <v>0.11321476236596717</v>
      </c>
      <c r="N472">
        <f t="shared" si="179"/>
        <v>1.8018689061517958E-2</v>
      </c>
      <c r="O472">
        <f t="shared" si="180"/>
        <v>0.10998526883345291</v>
      </c>
      <c r="P472">
        <f t="shared" si="181"/>
        <v>0.10979420582992221</v>
      </c>
      <c r="Q472">
        <f t="shared" si="167"/>
        <v>0.11426304720268909</v>
      </c>
      <c r="R472">
        <f t="shared" si="182"/>
        <v>1.8185528775050534E-2</v>
      </c>
      <c r="S472">
        <f t="shared" si="183"/>
        <v>0.11355144228561578</v>
      </c>
      <c r="T472" s="29">
        <f t="shared" si="168"/>
        <v>0.29932169441733908</v>
      </c>
      <c r="U472">
        <v>1</v>
      </c>
      <c r="V472" s="29">
        <f t="shared" si="184"/>
        <v>-1</v>
      </c>
      <c r="W472" s="29">
        <f t="shared" si="169"/>
        <v>0.70855109106088332</v>
      </c>
      <c r="X472" s="29">
        <f t="shared" si="185"/>
        <v>0.11504087309189787</v>
      </c>
      <c r="Y472" s="29">
        <f t="shared" si="170"/>
        <v>1.2187100318108479</v>
      </c>
      <c r="Z472">
        <f t="shared" si="171"/>
        <v>0.39791683239406395</v>
      </c>
      <c r="AA472">
        <f t="shared" si="172"/>
        <v>0.18106425247368804</v>
      </c>
      <c r="AB472">
        <f t="shared" si="173"/>
        <v>0.57697940697139272</v>
      </c>
      <c r="AC472">
        <f t="shared" si="174"/>
        <v>0.22729342331803393</v>
      </c>
    </row>
    <row r="473" spans="7:95" x14ac:dyDescent="0.25">
      <c r="G473" s="5">
        <v>0.35</v>
      </c>
      <c r="H473">
        <f t="shared" si="175"/>
        <v>0.93674969975975975</v>
      </c>
      <c r="I473">
        <f t="shared" si="176"/>
        <v>339.04500000000002</v>
      </c>
      <c r="J473">
        <v>4.5328035559213508E-3</v>
      </c>
      <c r="K473">
        <f t="shared" si="177"/>
        <v>0.48439029789697052</v>
      </c>
      <c r="L473">
        <f t="shared" si="178"/>
        <v>0.90881314836268801</v>
      </c>
      <c r="M473">
        <f t="shared" si="166"/>
        <v>0.11529227073966274</v>
      </c>
      <c r="N473">
        <f t="shared" si="179"/>
        <v>1.8349334788506415E-2</v>
      </c>
      <c r="O473">
        <f t="shared" si="180"/>
        <v>0.11375906391372086</v>
      </c>
      <c r="P473">
        <f t="shared" si="181"/>
        <v>0.11356144519022517</v>
      </c>
      <c r="Q473">
        <f t="shared" si="167"/>
        <v>0.11635979176502999</v>
      </c>
      <c r="R473">
        <f t="shared" si="182"/>
        <v>1.8519236036548141E-2</v>
      </c>
      <c r="S473">
        <f t="shared" si="183"/>
        <v>0.11753458280720043</v>
      </c>
      <c r="T473" s="29">
        <f t="shared" si="168"/>
        <v>0.34920864348689562</v>
      </c>
      <c r="U473">
        <v>1</v>
      </c>
      <c r="V473" s="29">
        <f t="shared" si="184"/>
        <v>-1</v>
      </c>
      <c r="W473" s="29">
        <f t="shared" si="169"/>
        <v>0.73286277070602823</v>
      </c>
      <c r="X473" s="29">
        <f t="shared" si="185"/>
        <v>0.11856787945531404</v>
      </c>
      <c r="Y473" s="29">
        <f t="shared" si="170"/>
        <v>1.2228773485094071</v>
      </c>
      <c r="Z473">
        <f t="shared" si="171"/>
        <v>0.40415379968872978</v>
      </c>
      <c r="AA473">
        <f t="shared" si="172"/>
        <v>0.18106425247368804</v>
      </c>
      <c r="AB473">
        <f t="shared" si="173"/>
        <v>0.58602300954865816</v>
      </c>
      <c r="AC473">
        <f t="shared" si="174"/>
        <v>0.22729342331803393</v>
      </c>
    </row>
    <row r="474" spans="7:95" x14ac:dyDescent="0.25">
      <c r="G474" s="5">
        <v>0.4</v>
      </c>
      <c r="H474">
        <f t="shared" si="175"/>
        <v>0.91651513899116799</v>
      </c>
      <c r="I474">
        <f t="shared" si="176"/>
        <v>387.48</v>
      </c>
      <c r="J474">
        <v>4.4446344842977194E-3</v>
      </c>
      <c r="K474">
        <f t="shared" si="177"/>
        <v>0.47965614494342895</v>
      </c>
      <c r="L474">
        <f t="shared" si="178"/>
        <v>0.91321404011526808</v>
      </c>
      <c r="M474">
        <f t="shared" si="166"/>
        <v>0.11783766072743589</v>
      </c>
      <c r="N474">
        <f t="shared" si="179"/>
        <v>1.8754446187157128E-2</v>
      </c>
      <c r="O474">
        <f t="shared" si="180"/>
        <v>0.11844937702562958</v>
      </c>
      <c r="P474">
        <f t="shared" si="181"/>
        <v>0.1182436104354226</v>
      </c>
      <c r="Q474">
        <f t="shared" si="167"/>
        <v>0.11892875017861584</v>
      </c>
      <c r="R474">
        <f t="shared" si="182"/>
        <v>1.8928098466667844E-2</v>
      </c>
      <c r="S474">
        <f t="shared" si="183"/>
        <v>0.12249278234294751</v>
      </c>
      <c r="T474" s="29">
        <f t="shared" si="168"/>
        <v>0.39909559255645216</v>
      </c>
      <c r="U474">
        <v>1</v>
      </c>
      <c r="V474" s="29">
        <f t="shared" si="184"/>
        <v>-1</v>
      </c>
      <c r="W474" s="29">
        <f t="shared" si="169"/>
        <v>0.76307887608185354</v>
      </c>
      <c r="X474" s="29">
        <f t="shared" si="185"/>
        <v>0.12289347916831057</v>
      </c>
      <c r="Y474" s="29">
        <f t="shared" si="170"/>
        <v>1.2287153291552386</v>
      </c>
      <c r="Z474">
        <f t="shared" si="171"/>
        <v>0.41172716118850533</v>
      </c>
      <c r="AA474">
        <f t="shared" si="172"/>
        <v>0.18106425247368804</v>
      </c>
      <c r="AB474">
        <f t="shared" si="173"/>
        <v>0.59700438372333264</v>
      </c>
      <c r="AC474">
        <f t="shared" si="174"/>
        <v>0.22729342331803393</v>
      </c>
    </row>
    <row r="475" spans="7:95" x14ac:dyDescent="0.25">
      <c r="G475" s="5">
        <v>0.45</v>
      </c>
      <c r="H475">
        <f t="shared" si="175"/>
        <v>0.89302855497458755</v>
      </c>
      <c r="I475">
        <f t="shared" si="176"/>
        <v>435.91500000000002</v>
      </c>
      <c r="J475">
        <v>4.368827005500708E-3</v>
      </c>
      <c r="K475">
        <f t="shared" si="177"/>
        <v>0.4755480563296185</v>
      </c>
      <c r="L475">
        <f t="shared" si="178"/>
        <v>0.91700050088286134</v>
      </c>
      <c r="M475">
        <f t="shared" si="166"/>
        <v>0.12093678236646453</v>
      </c>
      <c r="N475">
        <f t="shared" si="179"/>
        <v>1.9247686715251594E-2</v>
      </c>
      <c r="O475">
        <f t="shared" si="180"/>
        <v>0.12425694261102585</v>
      </c>
      <c r="P475">
        <f t="shared" si="181"/>
        <v>0.12404108729770424</v>
      </c>
      <c r="Q475">
        <f t="shared" si="167"/>
        <v>0.12205656738837624</v>
      </c>
      <c r="R475">
        <f t="shared" si="182"/>
        <v>1.942590603668911E-2</v>
      </c>
      <c r="S475">
        <f t="shared" si="183"/>
        <v>0.12864380245837007</v>
      </c>
      <c r="T475" s="29">
        <f t="shared" si="168"/>
        <v>0.4489825416260087</v>
      </c>
      <c r="U475">
        <v>1</v>
      </c>
      <c r="V475" s="29">
        <f t="shared" si="184"/>
        <v>-1</v>
      </c>
      <c r="W475" s="29">
        <f t="shared" si="169"/>
        <v>0.80049258589576777</v>
      </c>
      <c r="X475" s="29">
        <f t="shared" si="185"/>
        <v>0.12817033856003718</v>
      </c>
      <c r="Y475" s="29">
        <f t="shared" si="170"/>
        <v>1.2369580304296415</v>
      </c>
      <c r="Z475">
        <f t="shared" si="171"/>
        <v>0.42084590260886801</v>
      </c>
      <c r="AA475">
        <f t="shared" si="172"/>
        <v>0.18106425247368804</v>
      </c>
      <c r="AB475">
        <f t="shared" si="173"/>
        <v>0.61022655878285847</v>
      </c>
      <c r="AC475">
        <f t="shared" si="174"/>
        <v>0.22729342331803393</v>
      </c>
    </row>
    <row r="476" spans="7:95" x14ac:dyDescent="0.25">
      <c r="G476" s="5">
        <v>0.5</v>
      </c>
      <c r="H476">
        <f t="shared" si="175"/>
        <v>0.8660254037844386</v>
      </c>
      <c r="I476">
        <f t="shared" si="176"/>
        <v>484.35</v>
      </c>
      <c r="J476">
        <v>4.3025267758388585E-3</v>
      </c>
      <c r="K476">
        <f t="shared" si="177"/>
        <v>0.47192586202913561</v>
      </c>
      <c r="L476">
        <f t="shared" si="178"/>
        <v>0.92030919694160174</v>
      </c>
      <c r="M476">
        <f t="shared" si="166"/>
        <v>0.12470765814495917</v>
      </c>
      <c r="N476">
        <f t="shared" si="179"/>
        <v>1.9847840235184516E-2</v>
      </c>
      <c r="O476">
        <f t="shared" si="180"/>
        <v>0.13146303448299143</v>
      </c>
      <c r="P476">
        <f t="shared" si="181"/>
        <v>0.13123466096999292</v>
      </c>
      <c r="Q476">
        <f t="shared" si="167"/>
        <v>0.12586235868333842</v>
      </c>
      <c r="R476">
        <f t="shared" si="182"/>
        <v>2.0031616533658446E-2</v>
      </c>
      <c r="S476">
        <f t="shared" si="183"/>
        <v>0.136294012347947</v>
      </c>
      <c r="T476" s="29">
        <f t="shared" si="168"/>
        <v>0.49886949069556519</v>
      </c>
      <c r="U476">
        <v>1</v>
      </c>
      <c r="V476" s="29">
        <f t="shared" si="184"/>
        <v>-1</v>
      </c>
      <c r="W476" s="29">
        <f t="shared" si="169"/>
        <v>0.84691593251592157</v>
      </c>
      <c r="X476" s="29">
        <f t="shared" si="185"/>
        <v>0.13460360938569085</v>
      </c>
      <c r="Y476" s="29">
        <f t="shared" si="170"/>
        <v>1.2487506177526941</v>
      </c>
      <c r="Z476">
        <f t="shared" si="171"/>
        <v>0.43178880504861844</v>
      </c>
      <c r="AA476">
        <f t="shared" si="172"/>
        <v>0.18106425247368804</v>
      </c>
      <c r="AB476">
        <f t="shared" si="173"/>
        <v>0.6260937673204966</v>
      </c>
      <c r="AC476">
        <f t="shared" si="174"/>
        <v>0.22729342331803393</v>
      </c>
    </row>
    <row r="477" spans="7:95" x14ac:dyDescent="0.25">
      <c r="G477" s="5">
        <v>0.55000000000000004</v>
      </c>
      <c r="H477">
        <f t="shared" si="175"/>
        <v>0.83516465442450327</v>
      </c>
      <c r="I477">
        <f t="shared" si="176"/>
        <v>532.78500000000008</v>
      </c>
      <c r="J477">
        <v>4.2437476296955578E-3</v>
      </c>
      <c r="K477">
        <f t="shared" si="177"/>
        <v>0.46869115901277747</v>
      </c>
      <c r="L477">
        <f t="shared" si="178"/>
        <v>0.92323691189652501</v>
      </c>
      <c r="M477">
        <f t="shared" si="166"/>
        <v>0.12931581745927792</v>
      </c>
      <c r="N477">
        <f t="shared" si="179"/>
        <v>2.0581251568613304E-2</v>
      </c>
      <c r="O477">
        <f t="shared" si="180"/>
        <v>0.14047047884093974</v>
      </c>
      <c r="P477">
        <f t="shared" si="181"/>
        <v>0.14022645787450116</v>
      </c>
      <c r="Q477">
        <f t="shared" si="167"/>
        <v>0.13051318613945642</v>
      </c>
      <c r="R477">
        <f t="shared" si="182"/>
        <v>2.0771818712767131E-2</v>
      </c>
      <c r="S477">
        <f t="shared" si="183"/>
        <v>0.14588430801061572</v>
      </c>
      <c r="T477" s="29">
        <f t="shared" si="168"/>
        <v>0.54875643976512178</v>
      </c>
      <c r="U477">
        <v>1</v>
      </c>
      <c r="V477" s="29">
        <f t="shared" si="184"/>
        <v>-1</v>
      </c>
      <c r="W477" s="29">
        <f t="shared" si="169"/>
        <v>0.9049440175057295</v>
      </c>
      <c r="X477" s="29">
        <f t="shared" si="185"/>
        <v>0.14247269201428012</v>
      </c>
      <c r="Y477" s="29">
        <f t="shared" si="170"/>
        <v>1.2659380192107941</v>
      </c>
      <c r="Z477">
        <f t="shared" si="171"/>
        <v>0.44493263614763967</v>
      </c>
      <c r="AA477">
        <f t="shared" si="172"/>
        <v>0.18106425247368804</v>
      </c>
      <c r="AB477">
        <f t="shared" si="173"/>
        <v>0.64515232241407749</v>
      </c>
      <c r="AC477">
        <f t="shared" si="174"/>
        <v>0.22729342331803393</v>
      </c>
    </row>
    <row r="478" spans="7:95" x14ac:dyDescent="0.25">
      <c r="G478" s="58">
        <v>0.6</v>
      </c>
      <c r="H478" s="99">
        <f t="shared" si="175"/>
        <v>0.8</v>
      </c>
      <c r="I478" s="99">
        <f t="shared" si="176"/>
        <v>581.22</v>
      </c>
      <c r="J478" s="99">
        <v>4.1910549774638317E-3</v>
      </c>
      <c r="K478" s="99">
        <f t="shared" si="177"/>
        <v>0.465772309498934</v>
      </c>
      <c r="L478" s="99">
        <f t="shared" si="178"/>
        <v>0.92585451509826244</v>
      </c>
      <c r="M478" s="99">
        <f t="shared" si="166"/>
        <v>0.13499999999999998</v>
      </c>
      <c r="N478" s="99">
        <f t="shared" si="179"/>
        <v>2.1485917317405869E-2</v>
      </c>
      <c r="O478">
        <f t="shared" si="180"/>
        <v>0.15187349429154923</v>
      </c>
      <c r="P478" s="99">
        <f t="shared" si="181"/>
        <v>0.15160966435974274</v>
      </c>
      <c r="Q478" s="99">
        <f t="shared" si="167"/>
        <v>0.13624999999999998</v>
      </c>
      <c r="R478" s="99">
        <f t="shared" si="182"/>
        <v>2.1684860996270736E-2</v>
      </c>
      <c r="S478">
        <f t="shared" si="183"/>
        <v>0.15806885198995582</v>
      </c>
      <c r="T478" s="99">
        <f t="shared" si="168"/>
        <v>0.59864338883467816</v>
      </c>
      <c r="U478" s="99">
        <v>1</v>
      </c>
      <c r="V478" s="99">
        <f t="shared" si="184"/>
        <v>-1</v>
      </c>
      <c r="W478" s="99">
        <f t="shared" si="169"/>
        <v>0.97840493754174052</v>
      </c>
      <c r="X478" s="99">
        <f t="shared" si="185"/>
        <v>0.15216415898605515</v>
      </c>
      <c r="Y478" s="99">
        <f t="shared" si="170"/>
        <v>1.2916153945984163</v>
      </c>
      <c r="Z478" s="99">
        <f t="shared" si="171"/>
        <v>0.46079638800646094</v>
      </c>
      <c r="AA478" s="99">
        <f t="shared" si="172"/>
        <v>0.18106425247368804</v>
      </c>
      <c r="AB478" s="99">
        <f t="shared" si="173"/>
        <v>0.66815476260936835</v>
      </c>
      <c r="AC478" s="99">
        <f t="shared" si="174"/>
        <v>0.22729342331803393</v>
      </c>
    </row>
    <row r="479" spans="7:95" x14ac:dyDescent="0.25">
      <c r="G479" s="5">
        <v>0.65</v>
      </c>
      <c r="H479">
        <f t="shared" si="175"/>
        <v>0.75993420767853315</v>
      </c>
      <c r="I479">
        <f t="shared" si="176"/>
        <v>629.65500000000009</v>
      </c>
      <c r="J479">
        <v>4.5036747393406521E-3</v>
      </c>
      <c r="K479">
        <f t="shared" si="177"/>
        <v>0.48283138880804893</v>
      </c>
      <c r="L479">
        <f t="shared" si="178"/>
        <v>0.91026622292216208</v>
      </c>
      <c r="M479">
        <f t="shared" si="166"/>
        <v>0.1421175661113101</v>
      </c>
      <c r="N479">
        <f t="shared" si="179"/>
        <v>2.2618713146804234E-2</v>
      </c>
      <c r="O479">
        <f t="shared" si="180"/>
        <v>0.16658299205178798</v>
      </c>
      <c r="P479">
        <f t="shared" si="181"/>
        <v>0.16629360923592432</v>
      </c>
      <c r="Q479">
        <f t="shared" si="167"/>
        <v>0.14343346950122965</v>
      </c>
      <c r="R479">
        <f t="shared" si="182"/>
        <v>2.2828145675941311E-2</v>
      </c>
      <c r="S479">
        <f t="shared" si="183"/>
        <v>0.17385749335052486</v>
      </c>
      <c r="T479" s="29">
        <f t="shared" si="168"/>
        <v>0.64853033790423475</v>
      </c>
      <c r="U479">
        <v>1</v>
      </c>
      <c r="V479" s="29">
        <f t="shared" si="184"/>
        <v>-1</v>
      </c>
      <c r="W479" s="29">
        <f t="shared" si="169"/>
        <v>1.0731669979296379</v>
      </c>
      <c r="X479" s="29">
        <f t="shared" si="185"/>
        <v>0.16426204337183825</v>
      </c>
      <c r="Y479" s="29">
        <f t="shared" si="170"/>
        <v>1.3312457184293842</v>
      </c>
      <c r="Z479">
        <f t="shared" si="171"/>
        <v>0.48011331066331625</v>
      </c>
      <c r="AA479">
        <f t="shared" si="172"/>
        <v>0.18106425247368804</v>
      </c>
      <c r="AB479">
        <f t="shared" si="173"/>
        <v>0.69616430046180855</v>
      </c>
      <c r="AC479">
        <f t="shared" si="174"/>
        <v>0.22729342331803393</v>
      </c>
    </row>
    <row r="480" spans="7:95" x14ac:dyDescent="0.25">
      <c r="G480" s="5">
        <v>0.7</v>
      </c>
      <c r="H480">
        <f t="shared" si="175"/>
        <v>0.71414284285428498</v>
      </c>
      <c r="I480">
        <f t="shared" si="176"/>
        <v>678.09</v>
      </c>
      <c r="J480">
        <v>4.4564234716010813E-3</v>
      </c>
      <c r="K480">
        <f t="shared" si="177"/>
        <v>0.48029184576086309</v>
      </c>
      <c r="L480">
        <f t="shared" si="178"/>
        <v>0.91262524017107649</v>
      </c>
      <c r="M480">
        <f t="shared" si="166"/>
        <v>0.15123024907502505</v>
      </c>
      <c r="N480">
        <f t="shared" si="179"/>
        <v>2.4069041685308771E-2</v>
      </c>
      <c r="O480">
        <f t="shared" si="180"/>
        <v>0.18606658153192498</v>
      </c>
      <c r="P480">
        <f t="shared" si="181"/>
        <v>0.18574335242768911</v>
      </c>
      <c r="Q480">
        <f t="shared" si="167"/>
        <v>0.15263052915905306</v>
      </c>
      <c r="R480">
        <f t="shared" si="182"/>
        <v>2.4291903182394964E-2</v>
      </c>
      <c r="S480">
        <f t="shared" si="183"/>
        <v>0.19489118882148326</v>
      </c>
      <c r="T480" s="29">
        <f t="shared" si="168"/>
        <v>0.69841728697379124</v>
      </c>
      <c r="U480">
        <v>1</v>
      </c>
      <c r="V480" s="29">
        <f t="shared" si="184"/>
        <v>-1</v>
      </c>
      <c r="W480" s="29">
        <f t="shared" si="169"/>
        <v>1.1986848852826983</v>
      </c>
      <c r="X480" s="29">
        <f t="shared" si="185"/>
        <v>0.17954318610687942</v>
      </c>
      <c r="Y480" s="29">
        <f t="shared" si="170"/>
        <v>1.3951127852600966</v>
      </c>
      <c r="Z480">
        <f t="shared" si="171"/>
        <v>0.50395361014601125</v>
      </c>
      <c r="AA480">
        <f t="shared" si="172"/>
        <v>0.18106425247368804</v>
      </c>
      <c r="AB480">
        <f t="shared" si="173"/>
        <v>0.73073273471171618</v>
      </c>
      <c r="AC480">
        <f t="shared" si="174"/>
        <v>0.22729342331803393</v>
      </c>
    </row>
    <row r="481" spans="7:32" x14ac:dyDescent="0.25">
      <c r="G481" s="5">
        <v>0.75</v>
      </c>
      <c r="H481">
        <f t="shared" si="175"/>
        <v>0.66143782776614768</v>
      </c>
      <c r="I481">
        <f t="shared" si="176"/>
        <v>726.52500000000009</v>
      </c>
      <c r="J481">
        <v>4.4130496665427017E-3</v>
      </c>
      <c r="K481">
        <f t="shared" si="177"/>
        <v>0.47794882088691681</v>
      </c>
      <c r="L481">
        <f t="shared" si="178"/>
        <v>0.91479173049114937</v>
      </c>
      <c r="M481">
        <f t="shared" si="166"/>
        <v>0.16328065233998615</v>
      </c>
      <c r="N481">
        <f t="shared" si="179"/>
        <v>2.5986922931178043E-2</v>
      </c>
      <c r="O481">
        <f t="shared" si="180"/>
        <v>0.21284847584675293</v>
      </c>
      <c r="P481">
        <f t="shared" si="181"/>
        <v>0.21247872206496424</v>
      </c>
      <c r="Q481">
        <f t="shared" si="167"/>
        <v>0.16479251023202307</v>
      </c>
      <c r="R481">
        <f t="shared" si="182"/>
        <v>2.6227542587948214E-2</v>
      </c>
      <c r="S481">
        <f t="shared" si="183"/>
        <v>0.22402223560332959</v>
      </c>
      <c r="T481" s="29">
        <f t="shared" si="168"/>
        <v>0.74830423604334784</v>
      </c>
      <c r="U481">
        <v>0.8</v>
      </c>
      <c r="V481" s="29">
        <f t="shared" si="184"/>
        <v>-0.8</v>
      </c>
      <c r="W481" s="29">
        <f t="shared" si="169"/>
        <v>1.3712201769514749</v>
      </c>
      <c r="X481" s="29">
        <f t="shared" si="185"/>
        <v>0.19913125802093698</v>
      </c>
      <c r="Y481" s="29">
        <f t="shared" si="170"/>
        <v>1.5042699888815725</v>
      </c>
      <c r="Z481">
        <f t="shared" si="171"/>
        <v>0.53394517608710246</v>
      </c>
      <c r="AA481">
        <f t="shared" si="172"/>
        <v>0.18106425247368804</v>
      </c>
      <c r="AB481">
        <f t="shared" si="173"/>
        <v>0.7742205053262986</v>
      </c>
      <c r="AC481">
        <f t="shared" si="174"/>
        <v>0.22729342331803393</v>
      </c>
    </row>
    <row r="482" spans="7:32" x14ac:dyDescent="0.25">
      <c r="G482" s="58">
        <v>0.8</v>
      </c>
      <c r="H482" s="99">
        <f t="shared" si="175"/>
        <v>0.59999999999999987</v>
      </c>
      <c r="I482" s="99">
        <f t="shared" si="176"/>
        <v>774.96</v>
      </c>
      <c r="J482" s="99">
        <v>4.3730046522949791E-3</v>
      </c>
      <c r="K482" s="99">
        <f t="shared" si="177"/>
        <v>0.47577537101886591</v>
      </c>
      <c r="L482" s="99">
        <f t="shared" si="178"/>
        <v>0.91679187823904584</v>
      </c>
      <c r="M482" s="99">
        <f t="shared" si="166"/>
        <v>0.18000000000000005</v>
      </c>
      <c r="N482" s="99">
        <f t="shared" si="179"/>
        <v>2.8647889756541169E-2</v>
      </c>
      <c r="O482">
        <f t="shared" si="180"/>
        <v>0.25167326542920682</v>
      </c>
      <c r="P482" s="99">
        <f t="shared" si="181"/>
        <v>0.251236066425092</v>
      </c>
      <c r="Q482" s="99">
        <f t="shared" si="167"/>
        <v>0.1816666666666667</v>
      </c>
      <c r="R482" s="99">
        <f t="shared" si="182"/>
        <v>2.8913147995027658E-2</v>
      </c>
      <c r="S482">
        <f t="shared" si="183"/>
        <v>0.266683574276255</v>
      </c>
      <c r="T482" s="99">
        <f t="shared" si="168"/>
        <v>0.79819118511290432</v>
      </c>
      <c r="U482" s="99">
        <v>0</v>
      </c>
      <c r="V482" s="99">
        <f t="shared" si="184"/>
        <v>0</v>
      </c>
      <c r="W482" s="99">
        <f t="shared" si="169"/>
        <v>1.6213386456394356</v>
      </c>
      <c r="X482" s="99">
        <f t="shared" si="185"/>
        <v>0.22458287489423459</v>
      </c>
      <c r="Y482" s="99">
        <f t="shared" si="170"/>
        <v>1.7070113297128373</v>
      </c>
      <c r="Z482" s="99">
        <f t="shared" si="171"/>
        <v>0.57269768603406035</v>
      </c>
      <c r="AA482" s="99">
        <f t="shared" si="172"/>
        <v>0.18106425247368804</v>
      </c>
      <c r="AB482" s="99">
        <f t="shared" si="173"/>
        <v>0.83041164474938745</v>
      </c>
      <c r="AC482" s="99">
        <f t="shared" si="174"/>
        <v>0.22729342331803393</v>
      </c>
    </row>
    <row r="483" spans="7:32" x14ac:dyDescent="0.25">
      <c r="G483" s="58">
        <v>0.85</v>
      </c>
      <c r="H483" s="99">
        <f t="shared" si="175"/>
        <v>0.52678268764263703</v>
      </c>
      <c r="I483" s="99">
        <f t="shared" si="176"/>
        <v>823.39499999999998</v>
      </c>
      <c r="J483" s="99">
        <v>4.6827136403866706E-3</v>
      </c>
      <c r="K483" s="99">
        <f t="shared" si="177"/>
        <v>0.49233508653518065</v>
      </c>
      <c r="L483" s="99">
        <f t="shared" si="178"/>
        <v>0.90136216872173547</v>
      </c>
      <c r="M483" s="99">
        <f t="shared" si="166"/>
        <v>0.20501812708253975</v>
      </c>
      <c r="N483" s="99">
        <f t="shared" si="179"/>
        <v>3.2629648348628582E-2</v>
      </c>
      <c r="O483">
        <f t="shared" si="180"/>
        <v>0.31267319102286617</v>
      </c>
      <c r="P483" s="99">
        <f t="shared" si="181"/>
        <v>0.31213002483675789</v>
      </c>
      <c r="Q483" s="99">
        <f t="shared" si="167"/>
        <v>0.20691644307404475</v>
      </c>
      <c r="R483" s="99">
        <f t="shared" si="182"/>
        <v>3.293177472222699E-2</v>
      </c>
      <c r="S483">
        <f t="shared" si="183"/>
        <v>0.33467687582814859</v>
      </c>
      <c r="T483" s="99">
        <f t="shared" si="168"/>
        <v>0.84807813418246081</v>
      </c>
      <c r="U483" s="99">
        <v>0</v>
      </c>
      <c r="V483" s="99">
        <f t="shared" si="184"/>
        <v>0</v>
      </c>
      <c r="W483" s="99">
        <f t="shared" si="169"/>
        <v>2.0143145804391134</v>
      </c>
      <c r="X483" s="99">
        <f t="shared" si="185"/>
        <v>0.25844520127575266</v>
      </c>
      <c r="Y483" s="99">
        <f t="shared" si="170"/>
        <v>2.1338352284298052</v>
      </c>
      <c r="Z483" s="99">
        <f t="shared" si="171"/>
        <v>0.62468234732408157</v>
      </c>
      <c r="AA483" s="99">
        <f t="shared" si="172"/>
        <v>0.18106425247368804</v>
      </c>
      <c r="AB483" s="99">
        <f t="shared" si="173"/>
        <v>0.90578940361991822</v>
      </c>
      <c r="AC483" s="99">
        <f t="shared" si="174"/>
        <v>0.22729342331803393</v>
      </c>
    </row>
    <row r="484" spans="7:32" x14ac:dyDescent="0.25">
      <c r="G484" s="5">
        <v>0.9</v>
      </c>
      <c r="H484">
        <f t="shared" si="175"/>
        <v>0.43588989435406728</v>
      </c>
      <c r="I484">
        <f t="shared" si="176"/>
        <v>871.83</v>
      </c>
      <c r="J484">
        <v>4.6453088396096664E-3</v>
      </c>
      <c r="K484">
        <f t="shared" si="177"/>
        <v>0.49036479534283017</v>
      </c>
      <c r="L484">
        <f t="shared" si="178"/>
        <v>0.90321578499403266</v>
      </c>
      <c r="M484">
        <f t="shared" si="166"/>
        <v>0.24776899258020674</v>
      </c>
      <c r="N484">
        <f t="shared" si="179"/>
        <v>3.9433659914039042E-2</v>
      </c>
      <c r="O484">
        <f t="shared" si="180"/>
        <v>0.42233542912549932</v>
      </c>
      <c r="P484">
        <f t="shared" si="181"/>
        <v>0.42160176109484387</v>
      </c>
      <c r="Q484">
        <f t="shared" si="167"/>
        <v>0.25006314991891238</v>
      </c>
      <c r="R484">
        <f t="shared" si="182"/>
        <v>3.9798786394724589E-2</v>
      </c>
      <c r="S484">
        <f t="shared" si="183"/>
        <v>0.45954225107850494</v>
      </c>
      <c r="T484" s="29">
        <f t="shared" si="168"/>
        <v>0.8979650832520174</v>
      </c>
      <c r="U484">
        <v>0</v>
      </c>
      <c r="V484" s="29">
        <f t="shared" si="184"/>
        <v>0</v>
      </c>
      <c r="W484" s="29">
        <f t="shared" si="169"/>
        <v>2.720784631200726</v>
      </c>
      <c r="X484" s="29">
        <f t="shared" si="185"/>
        <v>0.29628841861566135</v>
      </c>
      <c r="Y484" s="29">
        <f t="shared" si="170"/>
        <v>3.2423783594749129</v>
      </c>
      <c r="Z484">
        <f t="shared" si="171"/>
        <v>0.69818643982597794</v>
      </c>
      <c r="AA484">
        <f t="shared" si="172"/>
        <v>0.18106425247368804</v>
      </c>
      <c r="AB484">
        <f t="shared" si="173"/>
        <v>1.012370337747668</v>
      </c>
      <c r="AC484">
        <f t="shared" si="174"/>
        <v>0.22729342331803393</v>
      </c>
    </row>
    <row r="485" spans="7:32" x14ac:dyDescent="0.25">
      <c r="G485" s="5">
        <v>0.95</v>
      </c>
      <c r="H485">
        <f t="shared" si="175"/>
        <v>0.31224989991991997</v>
      </c>
      <c r="I485">
        <f t="shared" si="176"/>
        <v>920.26499999999999</v>
      </c>
      <c r="J485">
        <v>4.6103074176819152E-3</v>
      </c>
      <c r="K485">
        <f t="shared" si="177"/>
        <v>0.48851390460063782</v>
      </c>
      <c r="L485">
        <f t="shared" si="178"/>
        <v>0.90495402878184639</v>
      </c>
      <c r="M485">
        <f t="shared" si="166"/>
        <v>0.34587681221898814</v>
      </c>
      <c r="N485">
        <f>M485/(2*PI())</f>
        <v>5.5048004365519231E-2</v>
      </c>
      <c r="O485">
        <f t="shared" si="180"/>
        <v>0.6830453188898814</v>
      </c>
      <c r="P485">
        <f t="shared" si="181"/>
        <v>0.68185875371111815</v>
      </c>
      <c r="Q485">
        <f t="shared" si="167"/>
        <v>0.34907937529508987</v>
      </c>
      <c r="R485">
        <f t="shared" si="182"/>
        <v>5.5557708109644402E-2</v>
      </c>
      <c r="S485">
        <f t="shared" si="183"/>
        <v>0.76642749247693198</v>
      </c>
      <c r="T485" s="29">
        <f t="shared" si="168"/>
        <v>0.94785203232157378</v>
      </c>
      <c r="U485">
        <v>0</v>
      </c>
      <c r="V485" s="29">
        <f t="shared" si="184"/>
        <v>0</v>
      </c>
      <c r="W485" s="29">
        <f t="shared" si="169"/>
        <v>4.400339346138419</v>
      </c>
      <c r="X485" s="29">
        <f t="shared" si="185"/>
        <v>0.2680747639849661</v>
      </c>
      <c r="Y485" s="29">
        <f t="shared" si="170"/>
        <v>7.7014034657252379</v>
      </c>
      <c r="Z485">
        <f t="shared" si="171"/>
        <v>0.80888898429027301</v>
      </c>
      <c r="AA485">
        <f t="shared" si="172"/>
        <v>0.18106425247368804</v>
      </c>
      <c r="AB485">
        <f t="shared" si="173"/>
        <v>1.1728890272208958</v>
      </c>
      <c r="AC485">
        <f t="shared" si="174"/>
        <v>0.22729342331803393</v>
      </c>
    </row>
    <row r="487" spans="7:32" x14ac:dyDescent="0.25">
      <c r="G487" s="99" t="s">
        <v>181</v>
      </c>
      <c r="H487" s="254">
        <v>40000</v>
      </c>
    </row>
    <row r="488" spans="7:32" x14ac:dyDescent="0.25">
      <c r="G488" s="221" t="s">
        <v>428</v>
      </c>
      <c r="H488">
        <v>1.3</v>
      </c>
    </row>
    <row r="489" spans="7:32" x14ac:dyDescent="0.25">
      <c r="G489" t="s">
        <v>142</v>
      </c>
      <c r="H489">
        <v>968.1</v>
      </c>
      <c r="U489" t="s">
        <v>706</v>
      </c>
      <c r="Y489" t="s">
        <v>1158</v>
      </c>
      <c r="Z489" t="s">
        <v>560</v>
      </c>
      <c r="AB489" t="s">
        <v>360</v>
      </c>
    </row>
    <row r="490" spans="7:32" ht="15.75" x14ac:dyDescent="0.25">
      <c r="G490" t="s">
        <v>348</v>
      </c>
      <c r="H490" s="223" t="s">
        <v>712</v>
      </c>
      <c r="I490" t="s">
        <v>1085</v>
      </c>
      <c r="J490" s="223" t="s">
        <v>356</v>
      </c>
      <c r="K490" s="231" t="s">
        <v>779</v>
      </c>
      <c r="L490" s="5" t="s">
        <v>785</v>
      </c>
      <c r="M490" s="11" t="s">
        <v>1153</v>
      </c>
      <c r="N490" s="11" t="s">
        <v>1152</v>
      </c>
      <c r="O490" t="s">
        <v>1059</v>
      </c>
      <c r="P490" t="s">
        <v>1060</v>
      </c>
      <c r="Q490" s="11" t="s">
        <v>1154</v>
      </c>
      <c r="R490" s="11" t="s">
        <v>788</v>
      </c>
      <c r="S490" t="s">
        <v>1061</v>
      </c>
      <c r="T490" t="s">
        <v>1156</v>
      </c>
      <c r="U490" s="223" t="s">
        <v>1157</v>
      </c>
      <c r="V490" s="221" t="s">
        <v>758</v>
      </c>
      <c r="W490" s="223" t="s">
        <v>786</v>
      </c>
      <c r="X490" s="226" t="s">
        <v>535</v>
      </c>
      <c r="Y490" s="226" t="s">
        <v>94</v>
      </c>
      <c r="Z490" s="226" t="s">
        <v>750</v>
      </c>
      <c r="AA490" s="227" t="s">
        <v>476</v>
      </c>
      <c r="AB490" s="226" t="s">
        <v>750</v>
      </c>
      <c r="AC490" s="227" t="s">
        <v>476</v>
      </c>
      <c r="AE490" s="227" t="s">
        <v>1195</v>
      </c>
    </row>
    <row r="491" spans="7:32" x14ac:dyDescent="0.25">
      <c r="G491" s="5">
        <v>0</v>
      </c>
      <c r="H491">
        <f>SQRT(1-G491^2)</f>
        <v>1</v>
      </c>
      <c r="I491">
        <f>G491*$H$489</f>
        <v>0</v>
      </c>
      <c r="J491" t="e">
        <v>#NUM!</v>
      </c>
      <c r="K491" t="e">
        <f>0.68*$H$271*(J491*(($Q$262/$H$271)+0.15))^0.5</f>
        <v>#NUM!</v>
      </c>
      <c r="L491" t="e">
        <f>1-(COS((PI()*$Q$263)/2*K491)^2)*(2.42*SQRT(J491))/(($Q$262/$H$270)+0.3)</f>
        <v>#NUM!</v>
      </c>
      <c r="M491">
        <f t="shared" ref="M491:M510" si="186">$Q$267/(1-G491^2)^0.5</f>
        <v>0.108</v>
      </c>
      <c r="N491">
        <f>M491/(2*PI())</f>
        <v>1.7188733853924696E-2</v>
      </c>
      <c r="O491">
        <f>(2*PI()*$H$265)/(2+($H$265^2*H491^2/N491^2*(1+TAN(RADIANS($H$275))^2/H491^2)+4)^0.5)</f>
        <v>0.10073378060434053</v>
      </c>
      <c r="P491">
        <f>O491*$N$262</f>
        <v>0.10055878899970652</v>
      </c>
      <c r="Q491">
        <f t="shared" ref="Q491:Q510" si="187">$Q$271/(1-G491^2)^0.5</f>
        <v>0.109</v>
      </c>
      <c r="R491">
        <f>Q491/(2*PI())</f>
        <v>1.7347888797016594E-2</v>
      </c>
      <c r="S491">
        <f>(2*PI()*$K$265)/(2+($K$265^2*H491^2/R491^2*(1+TAN(RADIANS($K$275))^2/H491^2)+4)^0.5)</f>
        <v>0.10381027215104761</v>
      </c>
      <c r="T491" s="29">
        <f t="shared" ref="T491:T510" si="188">G491*COS($H$273)</f>
        <v>0</v>
      </c>
      <c r="U491">
        <v>1</v>
      </c>
      <c r="V491" s="29">
        <f>($Q$273+($Q$272*$Q$274))*U491</f>
        <v>-1</v>
      </c>
      <c r="W491" s="29">
        <f t="shared" ref="W491:W510" si="189">4.44*(($N$265*$N$266*$N$267*SQRT(COS($H$273)))^1.19)*(O491/$O$441)</f>
        <v>0.6489508177860982</v>
      </c>
      <c r="X491" s="29" t="e">
        <f>P491+S491*L491*($K$263/$H$263)*(1-W491)</f>
        <v>#NUM!</v>
      </c>
      <c r="Y491" s="29">
        <f t="shared" ref="Y491:Y510" si="190">$H$438-S491*($K$263/$H$263)*$N$272*(1-W491-$N$271)+$N$270</f>
        <v>1.2104861657449768</v>
      </c>
      <c r="Z491">
        <f t="shared" ref="Z491:Z510" si="191">$U$302*$W$299*(O491/M491)*$U$301</f>
        <v>0.38204298311929219</v>
      </c>
      <c r="AA491">
        <f t="shared" ref="AA491:AA510" si="192">$W$300*$U$305*$U$303</f>
        <v>0.18106425247368804</v>
      </c>
      <c r="AB491">
        <f t="shared" ref="AB491:AB510" si="193">$U$302*$Y$299*(O491/M491)*$U$301</f>
        <v>0.55396232552297364</v>
      </c>
      <c r="AC491">
        <f t="shared" ref="AC491:AC510" si="194">$Y$300*$U$305*$U$303</f>
        <v>0.22729342331803393</v>
      </c>
      <c r="AE491" t="s">
        <v>1194</v>
      </c>
      <c r="AF491" t="s">
        <v>244</v>
      </c>
    </row>
    <row r="492" spans="7:32" x14ac:dyDescent="0.25">
      <c r="G492" s="5">
        <v>0.05</v>
      </c>
      <c r="H492">
        <f t="shared" ref="H492:H510" si="195">SQRT(1-G492^2)</f>
        <v>0.99874921777190895</v>
      </c>
      <c r="I492">
        <f t="shared" ref="I492:I510" si="196">G492*$H$489</f>
        <v>48.405000000000001</v>
      </c>
      <c r="J492">
        <v>5.56378021913725E-3</v>
      </c>
      <c r="K492">
        <f t="shared" ref="K492:K510" si="197">0.68*$H$271*(J492*(($Q$262/$H$271)+0.15))^0.5</f>
        <v>0.5366572118352555</v>
      </c>
      <c r="L492">
        <f t="shared" ref="L492:L510" si="198">1-(COS((PI()*$Q$263)/2*K492)^2)*(2.42*SQRT(J492))/(($Q$262/$H$270)+0.3)</f>
        <v>0.860324699912421</v>
      </c>
      <c r="M492">
        <f t="shared" si="186"/>
        <v>0.10813525365349991</v>
      </c>
      <c r="N492">
        <f t="shared" ref="N492:N509" si="199">M492/(2*PI())</f>
        <v>1.7210260141450447E-2</v>
      </c>
      <c r="O492">
        <f t="shared" ref="O492:O510" si="200">(2*PI()*$H$265)/(2+($H$265^2*H492^2/N492^2*(1+TAN(RADIANS($H$275))^2/H492^2)+4)^0.5)</f>
        <v>0.10096966142983717</v>
      </c>
      <c r="P492">
        <f t="shared" ref="P492:P510" si="201">O492*$N$262</f>
        <v>0.10079426006033672</v>
      </c>
      <c r="Q492">
        <f t="shared" si="187"/>
        <v>0.10913650600214343</v>
      </c>
      <c r="R492">
        <f t="shared" ref="R492:R510" si="202">Q492/(2*PI())</f>
        <v>1.7369614402019434E-2</v>
      </c>
      <c r="S492">
        <f t="shared" ref="S492:S510" si="203">(2*PI()*$K$265)/(2+($K$265^2*H492^2/R492^2*(1+TAN(RADIANS($K$275))^2/H492^2)+4)^0.5)</f>
        <v>0.1040582208604917</v>
      </c>
      <c r="T492" s="29">
        <f t="shared" si="188"/>
        <v>4.988694906955652E-2</v>
      </c>
      <c r="U492">
        <v>1</v>
      </c>
      <c r="V492" s="29">
        <f t="shared" ref="V492:V510" si="204">($Q$273+($Q$272*$Q$274))*U492</f>
        <v>-1</v>
      </c>
      <c r="W492" s="29">
        <f t="shared" si="189"/>
        <v>0.65047041780197912</v>
      </c>
      <c r="X492" s="29">
        <f t="shared" ref="X492:X510" si="205">P492+S492*L492*($K$263/$H$263)*(1-W492)</f>
        <v>0.10628431328737685</v>
      </c>
      <c r="Y492" s="29">
        <f t="shared" si="190"/>
        <v>1.210660771233947</v>
      </c>
      <c r="Z492">
        <f t="shared" si="191"/>
        <v>0.3824586133220616</v>
      </c>
      <c r="AA492">
        <f t="shared" si="192"/>
        <v>0.18106425247368804</v>
      </c>
      <c r="AB492">
        <f t="shared" si="193"/>
        <v>0.55456498931698928</v>
      </c>
      <c r="AC492">
        <f t="shared" si="194"/>
        <v>0.22729342331803393</v>
      </c>
      <c r="AE492">
        <v>-1</v>
      </c>
      <c r="AF492">
        <v>0</v>
      </c>
    </row>
    <row r="493" spans="7:32" x14ac:dyDescent="0.25">
      <c r="G493" s="5">
        <v>0.1</v>
      </c>
      <c r="H493">
        <f t="shared" si="195"/>
        <v>0.99498743710661997</v>
      </c>
      <c r="I493">
        <f t="shared" si="196"/>
        <v>96.81</v>
      </c>
      <c r="J493">
        <v>4.9747166867767324E-3</v>
      </c>
      <c r="K493">
        <f t="shared" si="197"/>
        <v>0.50745339585790916</v>
      </c>
      <c r="L493">
        <f t="shared" si="198"/>
        <v>0.8871028146837826</v>
      </c>
      <c r="M493">
        <f t="shared" si="186"/>
        <v>0.1085440840479949</v>
      </c>
      <c r="N493">
        <f t="shared" si="199"/>
        <v>1.7275327519620534E-2</v>
      </c>
      <c r="O493">
        <f t="shared" si="200"/>
        <v>0.10168399167415836</v>
      </c>
      <c r="P493">
        <f t="shared" si="201"/>
        <v>0.10150734939227536</v>
      </c>
      <c r="Q493">
        <f t="shared" si="187"/>
        <v>0.10954912186325412</v>
      </c>
      <c r="R493">
        <f t="shared" si="202"/>
        <v>1.7435284255913317E-2</v>
      </c>
      <c r="S493">
        <f t="shared" si="203"/>
        <v>0.10480923052652887</v>
      </c>
      <c r="T493" s="29">
        <f t="shared" si="188"/>
        <v>9.977389813911304E-2</v>
      </c>
      <c r="U493">
        <v>1</v>
      </c>
      <c r="V493" s="29">
        <f t="shared" si="204"/>
        <v>-1</v>
      </c>
      <c r="W493" s="29">
        <f t="shared" si="189"/>
        <v>0.65507230203029343</v>
      </c>
      <c r="X493" s="29">
        <f t="shared" si="205"/>
        <v>0.10713407049224531</v>
      </c>
      <c r="Y493" s="29">
        <f t="shared" si="190"/>
        <v>1.2112007152996589</v>
      </c>
      <c r="Z493">
        <f t="shared" si="191"/>
        <v>0.38371367545476148</v>
      </c>
      <c r="AA493">
        <f t="shared" si="192"/>
        <v>0.18106425247368804</v>
      </c>
      <c r="AB493">
        <f t="shared" si="193"/>
        <v>0.55638482940940404</v>
      </c>
      <c r="AC493">
        <f t="shared" si="194"/>
        <v>0.22729342331803393</v>
      </c>
      <c r="AE493">
        <v>11</v>
      </c>
      <c r="AF493">
        <f>(AE493+1)*X503</f>
        <v>1.8259931370361251</v>
      </c>
    </row>
    <row r="494" spans="7:32" x14ac:dyDescent="0.25">
      <c r="G494" s="11">
        <v>0.15</v>
      </c>
      <c r="H494" s="29">
        <f t="shared" si="195"/>
        <v>0.98868599666425949</v>
      </c>
      <c r="I494" s="29">
        <f t="shared" si="196"/>
        <v>145.215</v>
      </c>
      <c r="J494" s="29">
        <v>4.6696659241699636E-3</v>
      </c>
      <c r="K494" s="29">
        <f t="shared" si="197"/>
        <v>0.49164869718739684</v>
      </c>
      <c r="L494" s="29">
        <f t="shared" si="198"/>
        <v>0.90200824961031334</v>
      </c>
      <c r="M494" s="29">
        <f t="shared" si="186"/>
        <v>0.10923589528362149</v>
      </c>
      <c r="N494" s="29">
        <f t="shared" si="199"/>
        <v>1.7385432697457015E-2</v>
      </c>
      <c r="O494">
        <f t="shared" si="200"/>
        <v>0.10289731528202789</v>
      </c>
      <c r="P494" s="29">
        <f t="shared" si="201"/>
        <v>0.10271856525194158</v>
      </c>
      <c r="Q494" s="29">
        <f t="shared" si="187"/>
        <v>0.11024733875846984</v>
      </c>
      <c r="R494" s="29">
        <f t="shared" si="202"/>
        <v>1.7546408926137177E-2</v>
      </c>
      <c r="S494">
        <f t="shared" si="203"/>
        <v>0.10608531589764157</v>
      </c>
      <c r="T494" s="29">
        <f t="shared" si="188"/>
        <v>0.14966084720866954</v>
      </c>
      <c r="U494" s="29">
        <v>1</v>
      </c>
      <c r="V494" s="29">
        <f t="shared" si="204"/>
        <v>-1</v>
      </c>
      <c r="W494" s="29">
        <f t="shared" si="189"/>
        <v>0.66288881941743272</v>
      </c>
      <c r="X494" s="29">
        <f t="shared" si="205"/>
        <v>0.10837825688305214</v>
      </c>
      <c r="Y494" s="29">
        <f t="shared" si="190"/>
        <v>1.2121563656765011</v>
      </c>
      <c r="Z494">
        <f t="shared" si="191"/>
        <v>0.38583313397868807</v>
      </c>
      <c r="AA494">
        <f t="shared" si="192"/>
        <v>0.18106425247368804</v>
      </c>
      <c r="AB494">
        <f t="shared" si="193"/>
        <v>0.55945804426909762</v>
      </c>
      <c r="AC494">
        <f t="shared" si="194"/>
        <v>0.22729342331803393</v>
      </c>
      <c r="AE494">
        <v>14</v>
      </c>
      <c r="AF494">
        <f>(AE494+1)*X504</f>
        <v>2.4638138418489888</v>
      </c>
    </row>
    <row r="495" spans="7:32" x14ac:dyDescent="0.25">
      <c r="G495" s="5">
        <v>0.2</v>
      </c>
      <c r="H495">
        <f t="shared" si="195"/>
        <v>0.9797958971132712</v>
      </c>
      <c r="I495">
        <f t="shared" si="196"/>
        <v>193.62</v>
      </c>
      <c r="J495">
        <v>4.4687650260707189E-3</v>
      </c>
      <c r="K495">
        <f t="shared" si="197"/>
        <v>0.4809564425804928</v>
      </c>
      <c r="L495">
        <f t="shared" si="198"/>
        <v>0.91200892018377511</v>
      </c>
      <c r="M495">
        <f t="shared" si="186"/>
        <v>0.11022703842524302</v>
      </c>
      <c r="N495">
        <f t="shared" si="199"/>
        <v>1.7543178027757716E-2</v>
      </c>
      <c r="O495">
        <f t="shared" si="200"/>
        <v>0.10464554001175856</v>
      </c>
      <c r="P495">
        <f t="shared" si="201"/>
        <v>0.10446375301980225</v>
      </c>
      <c r="Q495">
        <f t="shared" si="187"/>
        <v>0.11124765915140268</v>
      </c>
      <c r="R495">
        <f t="shared" si="202"/>
        <v>1.7705614861348064E-2</v>
      </c>
      <c r="S495">
        <f t="shared" si="203"/>
        <v>0.10792498822942134</v>
      </c>
      <c r="T495" s="29">
        <f t="shared" si="188"/>
        <v>0.19954779627822608</v>
      </c>
      <c r="U495">
        <v>1</v>
      </c>
      <c r="V495" s="29">
        <f t="shared" si="204"/>
        <v>-1</v>
      </c>
      <c r="W495" s="29">
        <f t="shared" si="189"/>
        <v>0.67415129622735914</v>
      </c>
      <c r="X495" s="29">
        <f t="shared" si="205"/>
        <v>0.11009093451775737</v>
      </c>
      <c r="Y495" s="29">
        <f t="shared" si="190"/>
        <v>1.2136186727696732</v>
      </c>
      <c r="Z495">
        <f t="shared" si="191"/>
        <v>0.38886014509871991</v>
      </c>
      <c r="AA495">
        <f t="shared" si="192"/>
        <v>0.18106425247368804</v>
      </c>
      <c r="AB495">
        <f t="shared" si="193"/>
        <v>0.56384721039314389</v>
      </c>
      <c r="AC495">
        <f t="shared" si="194"/>
        <v>0.22729342331803393</v>
      </c>
    </row>
    <row r="496" spans="7:32" x14ac:dyDescent="0.25">
      <c r="G496" s="5">
        <v>0.25</v>
      </c>
      <c r="H496">
        <f t="shared" si="195"/>
        <v>0.96824583655185426</v>
      </c>
      <c r="I496">
        <f t="shared" si="196"/>
        <v>242.02500000000001</v>
      </c>
      <c r="J496">
        <v>4.3211038886443696E-3</v>
      </c>
      <c r="K496">
        <f t="shared" si="197"/>
        <v>0.47294358689388488</v>
      </c>
      <c r="L496">
        <f t="shared" si="198"/>
        <v>0.91938263257379882</v>
      </c>
      <c r="M496">
        <f t="shared" si="186"/>
        <v>0.1115419203707736</v>
      </c>
      <c r="N496">
        <f t="shared" si="199"/>
        <v>1.7752447988971194E-2</v>
      </c>
      <c r="O496">
        <f t="shared" si="200"/>
        <v>0.10698268400095574</v>
      </c>
      <c r="P496">
        <f t="shared" si="201"/>
        <v>0.10679683699482667</v>
      </c>
      <c r="Q496">
        <f t="shared" si="187"/>
        <v>0.11257471592976225</v>
      </c>
      <c r="R496">
        <f t="shared" si="202"/>
        <v>1.7916822507387593E-2</v>
      </c>
      <c r="S496">
        <f t="shared" si="203"/>
        <v>0.11038625709076041</v>
      </c>
      <c r="T496" s="29">
        <f t="shared" si="188"/>
        <v>0.24943474534778259</v>
      </c>
      <c r="U496">
        <v>1</v>
      </c>
      <c r="V496" s="29">
        <f>($Q$273+($Q$272*$Q$274))*U496</f>
        <v>-1</v>
      </c>
      <c r="W496" s="29">
        <f t="shared" si="189"/>
        <v>0.68920773006687319</v>
      </c>
      <c r="X496" s="29">
        <f t="shared" si="205"/>
        <v>0.11233078839786849</v>
      </c>
      <c r="Y496" s="29">
        <f t="shared" si="190"/>
        <v>1.2157311472964261</v>
      </c>
      <c r="Z496">
        <f t="shared" si="191"/>
        <v>0.39285856093509275</v>
      </c>
      <c r="AA496">
        <f t="shared" si="192"/>
        <v>0.18106425247368804</v>
      </c>
      <c r="AB496">
        <f t="shared" si="193"/>
        <v>0.56964491335588441</v>
      </c>
      <c r="AC496">
        <f t="shared" si="194"/>
        <v>0.22729342331803393</v>
      </c>
    </row>
    <row r="497" spans="7:29" x14ac:dyDescent="0.25">
      <c r="G497" s="5">
        <v>0.3</v>
      </c>
      <c r="H497">
        <f t="shared" si="195"/>
        <v>0.95393920141694566</v>
      </c>
      <c r="I497">
        <f t="shared" si="196"/>
        <v>290.43</v>
      </c>
      <c r="J497">
        <v>4.5625010168762574E-3</v>
      </c>
      <c r="K497">
        <f t="shared" si="197"/>
        <v>0.48597449153350469</v>
      </c>
      <c r="L497">
        <f t="shared" si="198"/>
        <v>0.90733303399168641</v>
      </c>
      <c r="M497">
        <f t="shared" si="186"/>
        <v>0.11321476236596717</v>
      </c>
      <c r="N497">
        <f t="shared" si="199"/>
        <v>1.8018689061517958E-2</v>
      </c>
      <c r="O497">
        <f t="shared" si="200"/>
        <v>0.10998526883345291</v>
      </c>
      <c r="P497">
        <f t="shared" si="201"/>
        <v>0.10979420582992221</v>
      </c>
      <c r="Q497">
        <f t="shared" si="187"/>
        <v>0.11426304720268909</v>
      </c>
      <c r="R497">
        <f t="shared" si="202"/>
        <v>1.8185528775050534E-2</v>
      </c>
      <c r="S497">
        <f t="shared" si="203"/>
        <v>0.11355144228561578</v>
      </c>
      <c r="T497" s="29">
        <f t="shared" si="188"/>
        <v>0.29932169441733908</v>
      </c>
      <c r="U497">
        <v>1</v>
      </c>
      <c r="V497" s="29">
        <f t="shared" si="204"/>
        <v>-1</v>
      </c>
      <c r="W497" s="29">
        <f t="shared" si="189"/>
        <v>0.70855109106088332</v>
      </c>
      <c r="X497" s="29">
        <f t="shared" si="205"/>
        <v>0.11506256822064728</v>
      </c>
      <c r="Y497" s="29">
        <f t="shared" si="190"/>
        <v>1.2187100318108479</v>
      </c>
      <c r="Z497">
        <f t="shared" si="191"/>
        <v>0.39791683239406395</v>
      </c>
      <c r="AA497">
        <f t="shared" si="192"/>
        <v>0.18106425247368804</v>
      </c>
      <c r="AB497">
        <f t="shared" si="193"/>
        <v>0.57697940697139272</v>
      </c>
      <c r="AC497">
        <f t="shared" si="194"/>
        <v>0.22729342331803393</v>
      </c>
    </row>
    <row r="498" spans="7:29" x14ac:dyDescent="0.25">
      <c r="G498" s="5">
        <v>0.35</v>
      </c>
      <c r="H498">
        <f t="shared" si="195"/>
        <v>0.93674969975975975</v>
      </c>
      <c r="I498">
        <f t="shared" si="196"/>
        <v>338.83499999999998</v>
      </c>
      <c r="J498">
        <v>4.4600093617936576E-3</v>
      </c>
      <c r="K498">
        <f t="shared" si="197"/>
        <v>0.48048504188662045</v>
      </c>
      <c r="L498">
        <f t="shared" si="198"/>
        <v>0.91244615655132821</v>
      </c>
      <c r="M498">
        <f t="shared" si="186"/>
        <v>0.11529227073966274</v>
      </c>
      <c r="N498">
        <f t="shared" si="199"/>
        <v>1.8349334788506415E-2</v>
      </c>
      <c r="O498">
        <f t="shared" si="200"/>
        <v>0.11375906391372086</v>
      </c>
      <c r="P498">
        <f t="shared" si="201"/>
        <v>0.11356144519022517</v>
      </c>
      <c r="Q498">
        <f t="shared" si="187"/>
        <v>0.11635979176502999</v>
      </c>
      <c r="R498">
        <f t="shared" si="202"/>
        <v>1.8519236036548141E-2</v>
      </c>
      <c r="S498">
        <f t="shared" si="203"/>
        <v>0.11753458280720043</v>
      </c>
      <c r="T498" s="29">
        <f t="shared" si="188"/>
        <v>0.34920864348689562</v>
      </c>
      <c r="U498">
        <v>1</v>
      </c>
      <c r="V498" s="29">
        <f t="shared" si="204"/>
        <v>-1</v>
      </c>
      <c r="W498" s="29">
        <f t="shared" si="189"/>
        <v>0.73286277070602823</v>
      </c>
      <c r="X498" s="29">
        <f t="shared" si="205"/>
        <v>0.1185878928284851</v>
      </c>
      <c r="Y498" s="29">
        <f t="shared" si="190"/>
        <v>1.2228773485094071</v>
      </c>
      <c r="Z498">
        <f t="shared" si="191"/>
        <v>0.40415379968872978</v>
      </c>
      <c r="AA498">
        <f t="shared" si="192"/>
        <v>0.18106425247368804</v>
      </c>
      <c r="AB498">
        <f t="shared" si="193"/>
        <v>0.58602300954865816</v>
      </c>
      <c r="AC498">
        <f t="shared" si="194"/>
        <v>0.22729342331803393</v>
      </c>
    </row>
    <row r="499" spans="7:29" x14ac:dyDescent="0.25">
      <c r="G499" s="5">
        <v>0.4</v>
      </c>
      <c r="H499">
        <f t="shared" si="195"/>
        <v>0.91651513899116799</v>
      </c>
      <c r="I499">
        <f t="shared" si="196"/>
        <v>387.24</v>
      </c>
      <c r="J499">
        <v>4.3737916072708639E-3</v>
      </c>
      <c r="K499">
        <f t="shared" si="197"/>
        <v>0.4758181787657435</v>
      </c>
      <c r="L499">
        <f t="shared" si="198"/>
        <v>0.91675257821074596</v>
      </c>
      <c r="M499">
        <f t="shared" si="186"/>
        <v>0.11783766072743589</v>
      </c>
      <c r="N499">
        <f t="shared" si="199"/>
        <v>1.8754446187157128E-2</v>
      </c>
      <c r="O499">
        <f t="shared" si="200"/>
        <v>0.11844937702562958</v>
      </c>
      <c r="P499">
        <f t="shared" si="201"/>
        <v>0.1182436104354226</v>
      </c>
      <c r="Q499">
        <f t="shared" si="187"/>
        <v>0.11892875017861584</v>
      </c>
      <c r="R499">
        <f t="shared" si="202"/>
        <v>1.8928098466667844E-2</v>
      </c>
      <c r="S499">
        <f t="shared" si="203"/>
        <v>0.12249278234294751</v>
      </c>
      <c r="T499" s="29">
        <f t="shared" si="188"/>
        <v>0.39909559255645216</v>
      </c>
      <c r="U499">
        <v>1</v>
      </c>
      <c r="V499" s="29">
        <f t="shared" si="204"/>
        <v>-1</v>
      </c>
      <c r="W499" s="29">
        <f t="shared" si="189"/>
        <v>0.76307887608185354</v>
      </c>
      <c r="X499" s="29">
        <f t="shared" si="205"/>
        <v>0.1229114965628397</v>
      </c>
      <c r="Y499" s="29">
        <f t="shared" si="190"/>
        <v>1.2287153291552386</v>
      </c>
      <c r="Z499">
        <f t="shared" si="191"/>
        <v>0.41172716118850533</v>
      </c>
      <c r="AA499">
        <f t="shared" si="192"/>
        <v>0.18106425247368804</v>
      </c>
      <c r="AB499">
        <f t="shared" si="193"/>
        <v>0.59700438372333264</v>
      </c>
      <c r="AC499">
        <f t="shared" si="194"/>
        <v>0.22729342331803393</v>
      </c>
    </row>
    <row r="500" spans="7:29" x14ac:dyDescent="0.25">
      <c r="G500" s="5">
        <v>0.45</v>
      </c>
      <c r="H500">
        <f t="shared" si="195"/>
        <v>0.89302855497458755</v>
      </c>
      <c r="I500">
        <f t="shared" si="196"/>
        <v>435.64500000000004</v>
      </c>
      <c r="J500">
        <v>4.2996500900041373E-3</v>
      </c>
      <c r="K500">
        <f t="shared" si="197"/>
        <v>0.47176806993274989</v>
      </c>
      <c r="L500">
        <f t="shared" si="198"/>
        <v>0.92045263026782553</v>
      </c>
      <c r="M500">
        <f t="shared" si="186"/>
        <v>0.12093678236646453</v>
      </c>
      <c r="N500">
        <f t="shared" si="199"/>
        <v>1.9247686715251594E-2</v>
      </c>
      <c r="O500">
        <f t="shared" si="200"/>
        <v>0.12425694261102585</v>
      </c>
      <c r="P500">
        <f t="shared" si="201"/>
        <v>0.12404108729770424</v>
      </c>
      <c r="Q500">
        <f t="shared" si="187"/>
        <v>0.12205656738837624</v>
      </c>
      <c r="R500">
        <f t="shared" si="202"/>
        <v>1.942590603668911E-2</v>
      </c>
      <c r="S500">
        <f t="shared" si="203"/>
        <v>0.12864380245837007</v>
      </c>
      <c r="T500" s="29">
        <f t="shared" si="188"/>
        <v>0.4489825416260087</v>
      </c>
      <c r="U500">
        <v>1</v>
      </c>
      <c r="V500" s="29">
        <f t="shared" si="204"/>
        <v>-1</v>
      </c>
      <c r="W500" s="29">
        <f t="shared" si="189"/>
        <v>0.80049258589576777</v>
      </c>
      <c r="X500" s="29">
        <f t="shared" si="205"/>
        <v>0.12818588349115431</v>
      </c>
      <c r="Y500" s="29">
        <f t="shared" si="190"/>
        <v>1.2369580304296415</v>
      </c>
      <c r="Z500">
        <f t="shared" si="191"/>
        <v>0.42084590260886801</v>
      </c>
      <c r="AA500">
        <f t="shared" si="192"/>
        <v>0.18106425247368804</v>
      </c>
      <c r="AB500">
        <f t="shared" si="193"/>
        <v>0.61022655878285847</v>
      </c>
      <c r="AC500">
        <f t="shared" si="194"/>
        <v>0.22729342331803393</v>
      </c>
    </row>
    <row r="501" spans="7:29" x14ac:dyDescent="0.25">
      <c r="G501" s="5">
        <v>0.5</v>
      </c>
      <c r="H501">
        <f t="shared" si="195"/>
        <v>0.8660254037844386</v>
      </c>
      <c r="I501">
        <f t="shared" si="196"/>
        <v>484.05</v>
      </c>
      <c r="J501">
        <v>4.2347978667519213E-3</v>
      </c>
      <c r="K501">
        <f t="shared" si="197"/>
        <v>0.46819667995367747</v>
      </c>
      <c r="L501">
        <f t="shared" si="198"/>
        <v>0.92368203359269796</v>
      </c>
      <c r="M501">
        <f t="shared" si="186"/>
        <v>0.12470765814495917</v>
      </c>
      <c r="N501">
        <f t="shared" si="199"/>
        <v>1.9847840235184516E-2</v>
      </c>
      <c r="O501">
        <f t="shared" si="200"/>
        <v>0.13146303448299143</v>
      </c>
      <c r="P501">
        <f t="shared" si="201"/>
        <v>0.13123466096999292</v>
      </c>
      <c r="Q501">
        <f t="shared" si="187"/>
        <v>0.12586235868333842</v>
      </c>
      <c r="R501">
        <f t="shared" si="202"/>
        <v>2.0031616533658446E-2</v>
      </c>
      <c r="S501">
        <f t="shared" si="203"/>
        <v>0.136294012347947</v>
      </c>
      <c r="T501" s="29">
        <f t="shared" si="188"/>
        <v>0.49886949069556519</v>
      </c>
      <c r="U501">
        <v>1</v>
      </c>
      <c r="V501" s="29">
        <f t="shared" si="204"/>
        <v>-1</v>
      </c>
      <c r="W501" s="29">
        <f t="shared" si="189"/>
        <v>0.84691593251592157</v>
      </c>
      <c r="X501" s="29">
        <f t="shared" si="205"/>
        <v>0.13461595622817585</v>
      </c>
      <c r="Y501" s="29">
        <f t="shared" si="190"/>
        <v>1.2487506177526941</v>
      </c>
      <c r="Z501">
        <f t="shared" si="191"/>
        <v>0.43178880504861844</v>
      </c>
      <c r="AA501">
        <f t="shared" si="192"/>
        <v>0.18106425247368804</v>
      </c>
      <c r="AB501">
        <f t="shared" si="193"/>
        <v>0.6260937673204966</v>
      </c>
      <c r="AC501">
        <f t="shared" si="194"/>
        <v>0.22729342331803393</v>
      </c>
    </row>
    <row r="502" spans="7:29" x14ac:dyDescent="0.25">
      <c r="G502" s="5">
        <v>0.55000000000000004</v>
      </c>
      <c r="H502">
        <f t="shared" si="195"/>
        <v>0.83516465442450327</v>
      </c>
      <c r="I502">
        <f t="shared" si="196"/>
        <v>532.45500000000004</v>
      </c>
      <c r="J502">
        <v>4.1772953575464873E-3</v>
      </c>
      <c r="K502">
        <f t="shared" si="197"/>
        <v>0.46500709419572528</v>
      </c>
      <c r="L502">
        <f t="shared" si="198"/>
        <v>0.92653669533221994</v>
      </c>
      <c r="M502">
        <f t="shared" si="186"/>
        <v>0.12931581745927792</v>
      </c>
      <c r="N502">
        <f t="shared" si="199"/>
        <v>2.0581251568613304E-2</v>
      </c>
      <c r="O502">
        <f t="shared" si="200"/>
        <v>0.14047047884093974</v>
      </c>
      <c r="P502">
        <f t="shared" si="201"/>
        <v>0.14022645787450116</v>
      </c>
      <c r="Q502">
        <f t="shared" si="187"/>
        <v>0.13051318613945642</v>
      </c>
      <c r="R502">
        <f t="shared" si="202"/>
        <v>2.0771818712767131E-2</v>
      </c>
      <c r="S502">
        <f t="shared" si="203"/>
        <v>0.14588430801061572</v>
      </c>
      <c r="T502" s="29">
        <f t="shared" si="188"/>
        <v>0.54875643976512178</v>
      </c>
      <c r="U502">
        <v>1</v>
      </c>
      <c r="V502" s="29">
        <f t="shared" si="204"/>
        <v>-1</v>
      </c>
      <c r="W502" s="29">
        <f t="shared" si="189"/>
        <v>0.9049440175057295</v>
      </c>
      <c r="X502" s="29">
        <f t="shared" si="205"/>
        <v>0.1424807203828512</v>
      </c>
      <c r="Y502" s="29">
        <f t="shared" si="190"/>
        <v>1.2659380192107941</v>
      </c>
      <c r="Z502">
        <f t="shared" si="191"/>
        <v>0.44493263614763967</v>
      </c>
      <c r="AA502">
        <f t="shared" si="192"/>
        <v>0.18106425247368804</v>
      </c>
      <c r="AB502">
        <f t="shared" si="193"/>
        <v>0.64515232241407749</v>
      </c>
      <c r="AC502">
        <f t="shared" si="194"/>
        <v>0.22729342331803393</v>
      </c>
    </row>
    <row r="503" spans="7:29" x14ac:dyDescent="0.25">
      <c r="G503" s="5">
        <v>0.6</v>
      </c>
      <c r="H503">
        <f t="shared" si="195"/>
        <v>0.8</v>
      </c>
      <c r="I503">
        <f t="shared" si="196"/>
        <v>580.86</v>
      </c>
      <c r="J503">
        <v>4.1257414204167609E-3</v>
      </c>
      <c r="K503">
        <f t="shared" si="197"/>
        <v>0.46212875190464564</v>
      </c>
      <c r="L503">
        <f t="shared" si="198"/>
        <v>0.92908671698205592</v>
      </c>
      <c r="M503">
        <f t="shared" si="186"/>
        <v>0.13499999999999998</v>
      </c>
      <c r="N503">
        <f t="shared" si="199"/>
        <v>2.1485917317405869E-2</v>
      </c>
      <c r="O503">
        <f t="shared" si="200"/>
        <v>0.15187349429154923</v>
      </c>
      <c r="P503">
        <f t="shared" si="201"/>
        <v>0.15160966435974274</v>
      </c>
      <c r="Q503">
        <f t="shared" si="187"/>
        <v>0.13624999999999998</v>
      </c>
      <c r="R503">
        <f t="shared" si="202"/>
        <v>2.1684860996270736E-2</v>
      </c>
      <c r="S503">
        <f t="shared" si="203"/>
        <v>0.15806885198995582</v>
      </c>
      <c r="T503" s="29">
        <f t="shared" si="188"/>
        <v>0.59864338883467816</v>
      </c>
      <c r="U503">
        <v>1</v>
      </c>
      <c r="V503" s="29">
        <f t="shared" si="204"/>
        <v>-1</v>
      </c>
      <c r="W503" s="29">
        <f t="shared" si="189"/>
        <v>0.97840493754174052</v>
      </c>
      <c r="X503" s="29">
        <f t="shared" si="205"/>
        <v>0.15216609475301043</v>
      </c>
      <c r="Y503" s="29">
        <f t="shared" si="190"/>
        <v>1.2916153945984163</v>
      </c>
      <c r="Z503">
        <f t="shared" si="191"/>
        <v>0.46079638800646094</v>
      </c>
      <c r="AA503">
        <f t="shared" si="192"/>
        <v>0.18106425247368804</v>
      </c>
      <c r="AB503">
        <f t="shared" si="193"/>
        <v>0.66815476260936835</v>
      </c>
      <c r="AC503">
        <f t="shared" si="194"/>
        <v>0.22729342331803393</v>
      </c>
    </row>
    <row r="504" spans="7:29" x14ac:dyDescent="0.25">
      <c r="G504" s="5">
        <v>0.65</v>
      </c>
      <c r="H504">
        <f t="shared" si="195"/>
        <v>0.75993420767853315</v>
      </c>
      <c r="I504">
        <f t="shared" si="196"/>
        <v>629.26499999999999</v>
      </c>
      <c r="J504">
        <v>4.4337964831076054E-3</v>
      </c>
      <c r="K504">
        <f t="shared" si="197"/>
        <v>0.47907098019797389</v>
      </c>
      <c r="L504">
        <f t="shared" si="198"/>
        <v>0.9137553883340277</v>
      </c>
      <c r="M504">
        <f t="shared" si="186"/>
        <v>0.1421175661113101</v>
      </c>
      <c r="N504">
        <f t="shared" si="199"/>
        <v>2.2618713146804234E-2</v>
      </c>
      <c r="O504">
        <f t="shared" si="200"/>
        <v>0.16658299205178798</v>
      </c>
      <c r="P504">
        <f t="shared" si="201"/>
        <v>0.16629360923592432</v>
      </c>
      <c r="Q504">
        <f t="shared" si="187"/>
        <v>0.14343346950122965</v>
      </c>
      <c r="R504">
        <f t="shared" si="202"/>
        <v>2.2828145675941311E-2</v>
      </c>
      <c r="S504">
        <f t="shared" si="203"/>
        <v>0.17385749335052486</v>
      </c>
      <c r="T504" s="29">
        <f t="shared" si="188"/>
        <v>0.64853033790423475</v>
      </c>
      <c r="U504">
        <v>1</v>
      </c>
      <c r="V504" s="29">
        <f t="shared" si="204"/>
        <v>-1</v>
      </c>
      <c r="W504" s="29">
        <f t="shared" si="189"/>
        <v>1.0731669979296379</v>
      </c>
      <c r="X504" s="29">
        <f t="shared" si="205"/>
        <v>0.16425425612326591</v>
      </c>
      <c r="Y504" s="29">
        <f t="shared" si="190"/>
        <v>1.3312457184293842</v>
      </c>
      <c r="Z504">
        <f t="shared" si="191"/>
        <v>0.48011331066331625</v>
      </c>
      <c r="AA504">
        <f t="shared" si="192"/>
        <v>0.18106425247368804</v>
      </c>
      <c r="AB504">
        <f t="shared" si="193"/>
        <v>0.69616430046180855</v>
      </c>
      <c r="AC504">
        <f t="shared" si="194"/>
        <v>0.22729342331803393</v>
      </c>
    </row>
    <row r="505" spans="7:29" x14ac:dyDescent="0.25">
      <c r="G505" s="58">
        <v>0.7</v>
      </c>
      <c r="H505" s="99">
        <f t="shared" si="195"/>
        <v>0.71414284285428498</v>
      </c>
      <c r="I505" s="99">
        <f t="shared" si="196"/>
        <v>677.67</v>
      </c>
      <c r="J505" s="99">
        <v>4.387557414936025E-3</v>
      </c>
      <c r="K505" s="99">
        <f t="shared" si="197"/>
        <v>0.47656637122997125</v>
      </c>
      <c r="L505" s="99">
        <f t="shared" si="198"/>
        <v>0.91606506959231171</v>
      </c>
      <c r="M505" s="99">
        <f t="shared" si="186"/>
        <v>0.15123024907502505</v>
      </c>
      <c r="N505" s="99">
        <f t="shared" si="199"/>
        <v>2.4069041685308771E-2</v>
      </c>
      <c r="O505" s="99">
        <f t="shared" si="200"/>
        <v>0.18606658153192498</v>
      </c>
      <c r="P505" s="99">
        <f t="shared" si="201"/>
        <v>0.18574335242768911</v>
      </c>
      <c r="Q505" s="99">
        <f t="shared" si="187"/>
        <v>0.15263052915905306</v>
      </c>
      <c r="R505" s="99">
        <f t="shared" si="202"/>
        <v>2.4291903182394964E-2</v>
      </c>
      <c r="S505" s="99">
        <f t="shared" si="203"/>
        <v>0.19489118882148326</v>
      </c>
      <c r="T505" s="99">
        <f t="shared" si="188"/>
        <v>0.69841728697379124</v>
      </c>
      <c r="U505" s="99">
        <v>1</v>
      </c>
      <c r="V505" s="99">
        <f t="shared" si="204"/>
        <v>-1</v>
      </c>
      <c r="W505" s="99">
        <f t="shared" si="189"/>
        <v>1.1986848852826983</v>
      </c>
      <c r="X505" s="99">
        <f t="shared" si="205"/>
        <v>0.17951981669565989</v>
      </c>
      <c r="Y505" s="99">
        <f t="shared" si="190"/>
        <v>1.3951127852600966</v>
      </c>
      <c r="Z505" s="99">
        <f t="shared" si="191"/>
        <v>0.50395361014601125</v>
      </c>
      <c r="AA505" s="99">
        <f t="shared" si="192"/>
        <v>0.18106425247368804</v>
      </c>
      <c r="AB505" s="99">
        <f t="shared" si="193"/>
        <v>0.73073273471171618</v>
      </c>
      <c r="AC505" s="99">
        <f t="shared" si="194"/>
        <v>0.22729342331803393</v>
      </c>
    </row>
    <row r="506" spans="7:29" x14ac:dyDescent="0.25">
      <c r="G506" s="5">
        <v>0.75</v>
      </c>
      <c r="H506">
        <f t="shared" si="195"/>
        <v>0.66143782776614768</v>
      </c>
      <c r="I506">
        <f t="shared" si="196"/>
        <v>726.07500000000005</v>
      </c>
      <c r="J506">
        <v>4.3451091443035134E-3</v>
      </c>
      <c r="K506">
        <f t="shared" si="197"/>
        <v>0.4742554516385753</v>
      </c>
      <c r="L506">
        <f t="shared" si="198"/>
        <v>0.91818467334573861</v>
      </c>
      <c r="M506">
        <f t="shared" si="186"/>
        <v>0.16328065233998615</v>
      </c>
      <c r="N506">
        <f t="shared" si="199"/>
        <v>2.5986922931178043E-2</v>
      </c>
      <c r="O506">
        <f t="shared" si="200"/>
        <v>0.21284847584675293</v>
      </c>
      <c r="P506">
        <f t="shared" si="201"/>
        <v>0.21247872206496424</v>
      </c>
      <c r="Q506">
        <f t="shared" si="187"/>
        <v>0.16479251023202307</v>
      </c>
      <c r="R506">
        <f t="shared" si="202"/>
        <v>2.6227542587948214E-2</v>
      </c>
      <c r="S506">
        <f t="shared" si="203"/>
        <v>0.22402223560332959</v>
      </c>
      <c r="T506" s="29">
        <f t="shared" si="188"/>
        <v>0.74830423604334784</v>
      </c>
      <c r="U506">
        <v>0.8</v>
      </c>
      <c r="V506" s="29">
        <f t="shared" si="204"/>
        <v>-0.8</v>
      </c>
      <c r="W506" s="29">
        <f t="shared" si="189"/>
        <v>1.3712201769514749</v>
      </c>
      <c r="X506" s="29">
        <f t="shared" si="205"/>
        <v>0.19908175256385252</v>
      </c>
      <c r="Y506" s="29">
        <f t="shared" si="190"/>
        <v>1.5042699888815725</v>
      </c>
      <c r="Z506">
        <f t="shared" si="191"/>
        <v>0.53394517608710246</v>
      </c>
      <c r="AA506">
        <f t="shared" si="192"/>
        <v>0.18106425247368804</v>
      </c>
      <c r="AB506">
        <f t="shared" si="193"/>
        <v>0.7742205053262986</v>
      </c>
      <c r="AC506">
        <f t="shared" si="194"/>
        <v>0.22729342331803393</v>
      </c>
    </row>
    <row r="507" spans="7:29" x14ac:dyDescent="0.25">
      <c r="G507" s="58">
        <v>0.8</v>
      </c>
      <c r="H507" s="99">
        <f t="shared" si="195"/>
        <v>0.59999999999999987</v>
      </c>
      <c r="I507" s="99">
        <f t="shared" si="196"/>
        <v>774.48</v>
      </c>
      <c r="J507" s="99">
        <v>4.3059155516709264E-3</v>
      </c>
      <c r="K507" s="99">
        <f t="shared" si="197"/>
        <v>0.47211167565223305</v>
      </c>
      <c r="L507" s="99">
        <f t="shared" si="198"/>
        <v>0.92014021386541955</v>
      </c>
      <c r="M507" s="99">
        <f t="shared" si="186"/>
        <v>0.18000000000000005</v>
      </c>
      <c r="N507" s="99">
        <f t="shared" si="199"/>
        <v>2.8647889756541169E-2</v>
      </c>
      <c r="O507" s="99">
        <f t="shared" si="200"/>
        <v>0.25167326542920682</v>
      </c>
      <c r="P507" s="99">
        <f t="shared" si="201"/>
        <v>0.251236066425092</v>
      </c>
      <c r="Q507" s="99">
        <f t="shared" si="187"/>
        <v>0.1816666666666667</v>
      </c>
      <c r="R507" s="99">
        <f t="shared" si="202"/>
        <v>2.8913147995027658E-2</v>
      </c>
      <c r="S507">
        <f t="shared" si="203"/>
        <v>0.266683574276255</v>
      </c>
      <c r="T507" s="99">
        <f t="shared" si="188"/>
        <v>0.79819118511290432</v>
      </c>
      <c r="U507" s="99">
        <v>0</v>
      </c>
      <c r="V507" s="99">
        <f t="shared" si="204"/>
        <v>0</v>
      </c>
      <c r="W507" s="99">
        <f t="shared" si="189"/>
        <v>1.6213386456394356</v>
      </c>
      <c r="X507" s="99">
        <f t="shared" si="205"/>
        <v>0.22448553128454779</v>
      </c>
      <c r="Y507" s="99">
        <f t="shared" si="190"/>
        <v>1.7070113297128373</v>
      </c>
      <c r="Z507" s="99">
        <f t="shared" si="191"/>
        <v>0.57269768603406035</v>
      </c>
      <c r="AA507" s="99">
        <f t="shared" si="192"/>
        <v>0.18106425247368804</v>
      </c>
      <c r="AB507" s="99">
        <f t="shared" si="193"/>
        <v>0.83041164474938745</v>
      </c>
      <c r="AC507" s="99">
        <f t="shared" si="194"/>
        <v>0.22729342331803393</v>
      </c>
    </row>
    <row r="508" spans="7:29" x14ac:dyDescent="0.25">
      <c r="G508" s="5">
        <v>0.85</v>
      </c>
      <c r="H508">
        <f t="shared" si="195"/>
        <v>0.52678268764263703</v>
      </c>
      <c r="I508">
        <f t="shared" si="196"/>
        <v>822.88499999999999</v>
      </c>
      <c r="J508">
        <v>4.6111077955583437E-3</v>
      </c>
      <c r="K508">
        <f t="shared" si="197"/>
        <v>0.48855630727770488</v>
      </c>
      <c r="L508">
        <f t="shared" si="198"/>
        <v>0.90491424410805277</v>
      </c>
      <c r="M508">
        <f t="shared" si="186"/>
        <v>0.20501812708253975</v>
      </c>
      <c r="N508">
        <f t="shared" si="199"/>
        <v>3.2629648348628582E-2</v>
      </c>
      <c r="O508">
        <f t="shared" si="200"/>
        <v>0.31267319102286617</v>
      </c>
      <c r="P508">
        <f t="shared" si="201"/>
        <v>0.31213002483675789</v>
      </c>
      <c r="Q508">
        <f t="shared" si="187"/>
        <v>0.20691644307404475</v>
      </c>
      <c r="R508">
        <f t="shared" si="202"/>
        <v>3.293177472222699E-2</v>
      </c>
      <c r="S508">
        <f t="shared" si="203"/>
        <v>0.33467687582814859</v>
      </c>
      <c r="T508" s="29">
        <f t="shared" si="188"/>
        <v>0.84807813418246081</v>
      </c>
      <c r="U508">
        <v>0</v>
      </c>
      <c r="V508" s="29">
        <f t="shared" si="204"/>
        <v>0</v>
      </c>
      <c r="W508" s="29">
        <f t="shared" si="189"/>
        <v>2.0143145804391134</v>
      </c>
      <c r="X508" s="29">
        <f t="shared" si="205"/>
        <v>0.25823364087638484</v>
      </c>
      <c r="Y508" s="29">
        <f t="shared" si="190"/>
        <v>2.1338352284298052</v>
      </c>
      <c r="Z508">
        <f t="shared" si="191"/>
        <v>0.62468234732408157</v>
      </c>
      <c r="AA508">
        <f t="shared" si="192"/>
        <v>0.18106425247368804</v>
      </c>
      <c r="AB508">
        <f t="shared" si="193"/>
        <v>0.90578940361991822</v>
      </c>
      <c r="AC508">
        <f t="shared" si="194"/>
        <v>0.22729342331803393</v>
      </c>
    </row>
    <row r="509" spans="7:29" x14ac:dyDescent="0.25">
      <c r="G509" s="5">
        <v>0.9</v>
      </c>
      <c r="H509">
        <f t="shared" si="195"/>
        <v>0.43588989435406728</v>
      </c>
      <c r="I509">
        <f t="shared" si="196"/>
        <v>871.29000000000008</v>
      </c>
      <c r="J509">
        <v>4.5744930979144255E-3</v>
      </c>
      <c r="K509">
        <f t="shared" si="197"/>
        <v>0.48661274027136975</v>
      </c>
      <c r="L509">
        <f t="shared" si="198"/>
        <v>0.90673580678418908</v>
      </c>
      <c r="M509">
        <f t="shared" si="186"/>
        <v>0.24776899258020674</v>
      </c>
      <c r="N509">
        <f t="shared" si="199"/>
        <v>3.9433659914039042E-2</v>
      </c>
      <c r="O509">
        <f t="shared" si="200"/>
        <v>0.42233542912549932</v>
      </c>
      <c r="P509">
        <f t="shared" si="201"/>
        <v>0.42160176109484387</v>
      </c>
      <c r="Q509">
        <f t="shared" si="187"/>
        <v>0.25006314991891238</v>
      </c>
      <c r="R509">
        <f t="shared" si="202"/>
        <v>3.9798786394724589E-2</v>
      </c>
      <c r="S509">
        <f t="shared" si="203"/>
        <v>0.45954225107850494</v>
      </c>
      <c r="T509" s="29">
        <f t="shared" si="188"/>
        <v>0.8979650832520174</v>
      </c>
      <c r="U509">
        <v>0</v>
      </c>
      <c r="V509" s="29">
        <f t="shared" si="204"/>
        <v>0</v>
      </c>
      <c r="W509" s="29">
        <f t="shared" si="189"/>
        <v>2.720784631200726</v>
      </c>
      <c r="X509" s="29">
        <f t="shared" si="205"/>
        <v>0.29580004617636996</v>
      </c>
      <c r="Y509" s="29">
        <f t="shared" si="190"/>
        <v>3.2423783594749129</v>
      </c>
      <c r="Z509">
        <f t="shared" si="191"/>
        <v>0.69818643982597794</v>
      </c>
      <c r="AA509">
        <f t="shared" si="192"/>
        <v>0.18106425247368804</v>
      </c>
      <c r="AB509">
        <f t="shared" si="193"/>
        <v>1.012370337747668</v>
      </c>
      <c r="AC509">
        <f t="shared" si="194"/>
        <v>0.22729342331803393</v>
      </c>
    </row>
    <row r="510" spans="7:29" x14ac:dyDescent="0.25">
      <c r="G510" s="5">
        <v>0.95</v>
      </c>
      <c r="H510">
        <f t="shared" si="195"/>
        <v>0.31224989991991997</v>
      </c>
      <c r="I510">
        <f t="shared" si="196"/>
        <v>919.69499999999994</v>
      </c>
      <c r="J510">
        <v>4.5402288130053144E-3</v>
      </c>
      <c r="K510">
        <f t="shared" si="197"/>
        <v>0.48478687924996078</v>
      </c>
      <c r="L510">
        <f t="shared" si="198"/>
        <v>0.90844293678365884</v>
      </c>
      <c r="M510">
        <f t="shared" si="186"/>
        <v>0.34587681221898814</v>
      </c>
      <c r="N510">
        <f>M510/(2*PI())</f>
        <v>5.5048004365519231E-2</v>
      </c>
      <c r="O510">
        <f t="shared" si="200"/>
        <v>0.6830453188898814</v>
      </c>
      <c r="P510">
        <f t="shared" si="201"/>
        <v>0.68185875371111815</v>
      </c>
      <c r="Q510">
        <f t="shared" si="187"/>
        <v>0.34907937529508987</v>
      </c>
      <c r="R510">
        <f t="shared" si="202"/>
        <v>5.5557708109644402E-2</v>
      </c>
      <c r="S510">
        <f t="shared" si="203"/>
        <v>0.76642749247693198</v>
      </c>
      <c r="T510" s="29">
        <f t="shared" si="188"/>
        <v>0.94785203232157378</v>
      </c>
      <c r="U510">
        <v>0</v>
      </c>
      <c r="V510" s="29">
        <f t="shared" si="204"/>
        <v>0</v>
      </c>
      <c r="W510" s="29">
        <f t="shared" si="189"/>
        <v>4.400339346138419</v>
      </c>
      <c r="X510" s="29">
        <f t="shared" si="205"/>
        <v>0.26647948485822331</v>
      </c>
      <c r="Y510" s="29">
        <f t="shared" si="190"/>
        <v>7.7014034657252379</v>
      </c>
      <c r="Z510">
        <f t="shared" si="191"/>
        <v>0.80888898429027301</v>
      </c>
      <c r="AA510">
        <f t="shared" si="192"/>
        <v>0.18106425247368804</v>
      </c>
      <c r="AB510">
        <f t="shared" si="193"/>
        <v>1.1728890272208958</v>
      </c>
      <c r="AC510">
        <f t="shared" si="194"/>
        <v>0.22729342331803393</v>
      </c>
    </row>
    <row r="512" spans="7:29" x14ac:dyDescent="0.25">
      <c r="G512" s="99" t="s">
        <v>181</v>
      </c>
      <c r="H512" s="254">
        <v>45000</v>
      </c>
    </row>
    <row r="513" spans="7:29" x14ac:dyDescent="0.25">
      <c r="G513" s="221" t="s">
        <v>428</v>
      </c>
      <c r="H513">
        <v>1.3</v>
      </c>
    </row>
    <row r="514" spans="7:29" x14ac:dyDescent="0.25">
      <c r="G514" t="s">
        <v>142</v>
      </c>
      <c r="H514">
        <v>968.1</v>
      </c>
      <c r="U514" t="s">
        <v>706</v>
      </c>
      <c r="Y514" t="s">
        <v>1158</v>
      </c>
      <c r="Z514" t="s">
        <v>560</v>
      </c>
      <c r="AB514" t="s">
        <v>360</v>
      </c>
    </row>
    <row r="515" spans="7:29" ht="15.75" x14ac:dyDescent="0.25">
      <c r="G515" t="s">
        <v>348</v>
      </c>
      <c r="H515" s="223" t="s">
        <v>712</v>
      </c>
      <c r="I515" t="s">
        <v>1085</v>
      </c>
      <c r="J515" s="223" t="s">
        <v>356</v>
      </c>
      <c r="K515" s="231" t="s">
        <v>779</v>
      </c>
      <c r="L515" s="5" t="s">
        <v>785</v>
      </c>
      <c r="M515" s="11" t="s">
        <v>1153</v>
      </c>
      <c r="N515" s="11" t="s">
        <v>1152</v>
      </c>
      <c r="O515" t="s">
        <v>1059</v>
      </c>
      <c r="P515" t="s">
        <v>1060</v>
      </c>
      <c r="Q515" s="11" t="s">
        <v>1154</v>
      </c>
      <c r="R515" s="11" t="s">
        <v>788</v>
      </c>
      <c r="S515" t="s">
        <v>1061</v>
      </c>
      <c r="T515" t="s">
        <v>1156</v>
      </c>
      <c r="U515" s="223" t="s">
        <v>1157</v>
      </c>
      <c r="V515" s="221" t="s">
        <v>758</v>
      </c>
      <c r="W515" s="223" t="s">
        <v>786</v>
      </c>
      <c r="X515" s="226" t="s">
        <v>535</v>
      </c>
      <c r="Y515" s="226" t="s">
        <v>94</v>
      </c>
      <c r="Z515" s="226" t="s">
        <v>750</v>
      </c>
      <c r="AA515" s="227" t="s">
        <v>476</v>
      </c>
      <c r="AB515" s="226" t="s">
        <v>750</v>
      </c>
      <c r="AC515" s="227" t="s">
        <v>476</v>
      </c>
    </row>
    <row r="516" spans="7:29" x14ac:dyDescent="0.25">
      <c r="G516" s="5">
        <v>0</v>
      </c>
      <c r="H516">
        <f>SQRT(1-G516^2)</f>
        <v>1</v>
      </c>
      <c r="I516">
        <f>G516*$H$514</f>
        <v>0</v>
      </c>
      <c r="J516" t="e">
        <v>#NUM!</v>
      </c>
      <c r="K516" t="e">
        <f>0.68*$H$271*(J516*(($Q$262/$H$271)+0.15))^0.5</f>
        <v>#NUM!</v>
      </c>
      <c r="L516" t="e">
        <f>1-(COS((PI()*$Q$263)/2*K516)^2)*(2.42*SQRT(J516))/(($Q$262/$H$270)+0.3)</f>
        <v>#NUM!</v>
      </c>
      <c r="M516">
        <f t="shared" ref="M516:M535" si="206">$Q$267/(1-G516^2)^0.5</f>
        <v>0.108</v>
      </c>
      <c r="N516">
        <f>M516/(2*PI())</f>
        <v>1.7188733853924696E-2</v>
      </c>
      <c r="O516">
        <f>(2*PI()*$H$265)/(2+($H$265^2*H516^2/N516^2*(1+TAN(RADIANS($H$275))^2/H516^2)+4)^0.5)</f>
        <v>0.10073378060434053</v>
      </c>
      <c r="P516">
        <f>O516*$N$262</f>
        <v>0.10055878899970652</v>
      </c>
      <c r="Q516">
        <f t="shared" ref="Q516:Q535" si="207">$Q$271/(1-G516^2)^0.5</f>
        <v>0.109</v>
      </c>
      <c r="R516">
        <f>Q516/(2*PI())</f>
        <v>1.7347888797016594E-2</v>
      </c>
      <c r="S516">
        <f>(2*PI()*$K$265)/(2+($K$265^2*H516^2/R516^2*(1+TAN(RADIANS($K$275))^2/H516^2)+4)^0.5)</f>
        <v>0.10381027215104761</v>
      </c>
      <c r="T516" s="29">
        <f t="shared" ref="T516:T535" si="208">G516*COS($H$273)</f>
        <v>0</v>
      </c>
      <c r="U516">
        <v>1</v>
      </c>
      <c r="V516" s="29">
        <f>($Q$273+($Q$272*$Q$274))*U516</f>
        <v>-1</v>
      </c>
      <c r="W516" s="29">
        <f t="shared" ref="W516:W535" si="209">4.44*(($N$265*$N$266*$N$267*SQRT(COS($H$273)))^1.19)*(O516/$O$441)</f>
        <v>0.6489508177860982</v>
      </c>
      <c r="X516" s="29" t="e">
        <f>P516+S516*L516*($K$263/$H$263)*(1-W516)</f>
        <v>#NUM!</v>
      </c>
      <c r="Y516" s="29">
        <f t="shared" ref="Y516:Y535" si="210">$H$438-S516*($K$263/$H$263)*$N$272*(1-W516-$N$271)+$N$270</f>
        <v>1.2104861657449768</v>
      </c>
      <c r="Z516">
        <f t="shared" ref="Z516:Z535" si="211">$U$302*$W$299*(O516/M516)*$U$301</f>
        <v>0.38204298311929219</v>
      </c>
      <c r="AA516">
        <f t="shared" ref="AA516:AA535" si="212">$W$300*$U$305*$U$303</f>
        <v>0.18106425247368804</v>
      </c>
      <c r="AB516">
        <f t="shared" ref="AB516:AB535" si="213">$U$302*$Y$299*(O516/M516)*$U$301</f>
        <v>0.55396232552297364</v>
      </c>
      <c r="AC516">
        <f t="shared" ref="AC516:AC535" si="214">$Y$300*$U$305*$U$303</f>
        <v>0.22729342331803393</v>
      </c>
    </row>
    <row r="517" spans="7:29" x14ac:dyDescent="0.25">
      <c r="G517" s="5">
        <v>0.05</v>
      </c>
      <c r="H517">
        <f t="shared" ref="H517:H535" si="215">SQRT(1-G517^2)</f>
        <v>0.99874921777190895</v>
      </c>
      <c r="I517">
        <f t="shared" ref="I517:I535" si="216">G517*$H$514</f>
        <v>48.405000000000001</v>
      </c>
      <c r="J517">
        <v>5.3906053397230827E-3</v>
      </c>
      <c r="K517">
        <f t="shared" ref="K517:K535" si="217">0.68*$H$271*(J517*(($Q$262/$H$271)+0.15))^0.5</f>
        <v>0.52823935684597934</v>
      </c>
      <c r="L517">
        <f t="shared" ref="L517:L535" si="218">1-(COS((PI()*$Q$263)/2*K517)^2)*(2.42*SQRT(J517))/(($Q$262/$H$270)+0.3)</f>
        <v>0.86783856926734448</v>
      </c>
      <c r="M517">
        <f t="shared" si="206"/>
        <v>0.10813525365349991</v>
      </c>
      <c r="N517">
        <f t="shared" ref="N517:N534" si="219">M517/(2*PI())</f>
        <v>1.7210260141450447E-2</v>
      </c>
      <c r="O517">
        <f t="shared" ref="O517:O535" si="220">(2*PI()*$H$265)/(2+($H$265^2*H517^2/N517^2*(1+TAN(RADIANS($H$275))^2/H517^2)+4)^0.5)</f>
        <v>0.10096966142983717</v>
      </c>
      <c r="P517">
        <f t="shared" ref="P517:P535" si="221">O517*$N$262</f>
        <v>0.10079426006033672</v>
      </c>
      <c r="Q517">
        <f t="shared" si="207"/>
        <v>0.10913650600214343</v>
      </c>
      <c r="R517">
        <f t="shared" ref="R517:R535" si="222">Q517/(2*PI())</f>
        <v>1.7369614402019434E-2</v>
      </c>
      <c r="S517">
        <f t="shared" ref="S517:S535" si="223">(2*PI()*$K$265)/(2+($K$265^2*H517^2/R517^2*(1+TAN(RADIANS($K$275))^2/H517^2)+4)^0.5)</f>
        <v>0.1040582208604917</v>
      </c>
      <c r="T517" s="29">
        <f t="shared" si="208"/>
        <v>4.988694906955652E-2</v>
      </c>
      <c r="U517">
        <v>1</v>
      </c>
      <c r="V517" s="29">
        <f t="shared" ref="V517:V535" si="224">($Q$273+($Q$272*$Q$274))*U517</f>
        <v>-1</v>
      </c>
      <c r="W517" s="29">
        <f t="shared" si="209"/>
        <v>0.65047041780197912</v>
      </c>
      <c r="X517" s="29">
        <f t="shared" ref="X517:X535" si="225">P517+S517*L517*($K$263/$H$263)*(1-W517)</f>
        <v>0.10633226209403525</v>
      </c>
      <c r="Y517" s="29">
        <f t="shared" si="210"/>
        <v>1.210660771233947</v>
      </c>
      <c r="Z517">
        <f t="shared" si="211"/>
        <v>0.3824586133220616</v>
      </c>
      <c r="AA517">
        <f t="shared" si="212"/>
        <v>0.18106425247368804</v>
      </c>
      <c r="AB517">
        <f t="shared" si="213"/>
        <v>0.55456498931698928</v>
      </c>
      <c r="AC517">
        <f t="shared" si="214"/>
        <v>0.22729342331803393</v>
      </c>
    </row>
    <row r="518" spans="7:29" x14ac:dyDescent="0.25">
      <c r="G518" s="5">
        <v>0.1</v>
      </c>
      <c r="H518">
        <f t="shared" si="215"/>
        <v>0.99498743710661997</v>
      </c>
      <c r="I518">
        <f t="shared" si="216"/>
        <v>96.81</v>
      </c>
      <c r="J518">
        <v>4.8263124703587434E-3</v>
      </c>
      <c r="K518">
        <f t="shared" si="217"/>
        <v>0.49982699136058573</v>
      </c>
      <c r="L518">
        <f t="shared" si="218"/>
        <v>0.89429559334766329</v>
      </c>
      <c r="M518">
        <f t="shared" si="206"/>
        <v>0.1085440840479949</v>
      </c>
      <c r="N518">
        <f t="shared" si="219"/>
        <v>1.7275327519620534E-2</v>
      </c>
      <c r="O518">
        <f t="shared" si="220"/>
        <v>0.10168399167415836</v>
      </c>
      <c r="P518">
        <f t="shared" si="221"/>
        <v>0.10150734939227536</v>
      </c>
      <c r="Q518">
        <f t="shared" si="207"/>
        <v>0.10954912186325412</v>
      </c>
      <c r="R518">
        <f t="shared" si="222"/>
        <v>1.7435284255913317E-2</v>
      </c>
      <c r="S518">
        <f t="shared" si="223"/>
        <v>0.10480923052652887</v>
      </c>
      <c r="T518" s="29">
        <f t="shared" si="208"/>
        <v>9.977389813911304E-2</v>
      </c>
      <c r="U518">
        <v>1</v>
      </c>
      <c r="V518" s="29">
        <f t="shared" si="224"/>
        <v>-1</v>
      </c>
      <c r="W518" s="29">
        <f t="shared" si="209"/>
        <v>0.65507230203029343</v>
      </c>
      <c r="X518" s="29">
        <f t="shared" si="225"/>
        <v>0.10717969289227106</v>
      </c>
      <c r="Y518" s="29">
        <f t="shared" si="210"/>
        <v>1.2112007152996589</v>
      </c>
      <c r="Z518">
        <f t="shared" si="211"/>
        <v>0.38371367545476148</v>
      </c>
      <c r="AA518">
        <f t="shared" si="212"/>
        <v>0.18106425247368804</v>
      </c>
      <c r="AB518">
        <f t="shared" si="213"/>
        <v>0.55638482940940404</v>
      </c>
      <c r="AC518">
        <f t="shared" si="214"/>
        <v>0.22729342331803393</v>
      </c>
    </row>
    <row r="519" spans="7:29" x14ac:dyDescent="0.25">
      <c r="G519" s="11">
        <v>0.15</v>
      </c>
      <c r="H519" s="29">
        <f t="shared" si="215"/>
        <v>0.98868599666425949</v>
      </c>
      <c r="I519" s="29">
        <f t="shared" si="216"/>
        <v>145.215</v>
      </c>
      <c r="J519" s="29">
        <v>4.53366848808233E-3</v>
      </c>
      <c r="K519" s="29">
        <f t="shared" si="217"/>
        <v>0.48443651044043778</v>
      </c>
      <c r="L519" s="29">
        <f t="shared" si="218"/>
        <v>0.90877001980866168</v>
      </c>
      <c r="M519" s="29">
        <f t="shared" si="206"/>
        <v>0.10923589528362149</v>
      </c>
      <c r="N519" s="29">
        <f t="shared" si="219"/>
        <v>1.7385432697457015E-2</v>
      </c>
      <c r="O519">
        <f t="shared" si="220"/>
        <v>0.10289731528202789</v>
      </c>
      <c r="P519" s="29">
        <f t="shared" si="221"/>
        <v>0.10271856525194158</v>
      </c>
      <c r="Q519" s="29">
        <f t="shared" si="207"/>
        <v>0.11024733875846984</v>
      </c>
      <c r="R519" s="29">
        <f t="shared" si="222"/>
        <v>1.7546408926137177E-2</v>
      </c>
      <c r="S519">
        <f t="shared" si="223"/>
        <v>0.10608531589764157</v>
      </c>
      <c r="T519" s="29">
        <f t="shared" si="208"/>
        <v>0.14966084720866954</v>
      </c>
      <c r="U519" s="29">
        <v>1</v>
      </c>
      <c r="V519" s="29">
        <f t="shared" si="224"/>
        <v>-1</v>
      </c>
      <c r="W519" s="29">
        <f t="shared" si="209"/>
        <v>0.66288881941743272</v>
      </c>
      <c r="X519" s="29">
        <f t="shared" si="225"/>
        <v>0.10842068391652951</v>
      </c>
      <c r="Y519" s="29">
        <f t="shared" si="210"/>
        <v>1.2121563656765011</v>
      </c>
      <c r="Z519">
        <f t="shared" si="211"/>
        <v>0.38583313397868807</v>
      </c>
      <c r="AA519">
        <f t="shared" si="212"/>
        <v>0.18106425247368804</v>
      </c>
      <c r="AB519">
        <f t="shared" si="213"/>
        <v>0.55945804426909762</v>
      </c>
      <c r="AC519">
        <f t="shared" si="214"/>
        <v>0.22729342331803393</v>
      </c>
    </row>
    <row r="520" spans="7:29" x14ac:dyDescent="0.25">
      <c r="G520" s="5">
        <v>0.2</v>
      </c>
      <c r="H520">
        <f t="shared" si="215"/>
        <v>0.9797958971132712</v>
      </c>
      <c r="I520">
        <f t="shared" si="216"/>
        <v>193.62</v>
      </c>
      <c r="J520">
        <v>4.3407740928053567E-3</v>
      </c>
      <c r="K520">
        <f t="shared" si="217"/>
        <v>0.4740188137562415</v>
      </c>
      <c r="L520">
        <f t="shared" si="218"/>
        <v>0.91840105724400023</v>
      </c>
      <c r="M520">
        <f t="shared" si="206"/>
        <v>0.11022703842524302</v>
      </c>
      <c r="N520">
        <f t="shared" si="219"/>
        <v>1.7543178027757716E-2</v>
      </c>
      <c r="O520">
        <f t="shared" si="220"/>
        <v>0.10464554001175856</v>
      </c>
      <c r="P520">
        <f t="shared" si="221"/>
        <v>0.10446375301980225</v>
      </c>
      <c r="Q520">
        <f t="shared" si="207"/>
        <v>0.11124765915140268</v>
      </c>
      <c r="R520">
        <f t="shared" si="222"/>
        <v>1.7705614861348064E-2</v>
      </c>
      <c r="S520">
        <f t="shared" si="223"/>
        <v>0.10792498822942134</v>
      </c>
      <c r="T520" s="29">
        <f t="shared" si="208"/>
        <v>0.19954779627822608</v>
      </c>
      <c r="U520">
        <v>1</v>
      </c>
      <c r="V520" s="29">
        <f t="shared" si="224"/>
        <v>-1</v>
      </c>
      <c r="W520" s="29">
        <f t="shared" si="209"/>
        <v>0.67415129622735914</v>
      </c>
      <c r="X520" s="29">
        <f t="shared" si="225"/>
        <v>0.1101303746094074</v>
      </c>
      <c r="Y520" s="29">
        <f t="shared" si="210"/>
        <v>1.2136186727696732</v>
      </c>
      <c r="Z520">
        <f t="shared" si="211"/>
        <v>0.38886014509871991</v>
      </c>
      <c r="AA520">
        <f t="shared" si="212"/>
        <v>0.18106425247368804</v>
      </c>
      <c r="AB520">
        <f t="shared" si="213"/>
        <v>0.56384721039314389</v>
      </c>
      <c r="AC520">
        <f t="shared" si="214"/>
        <v>0.22729342331803393</v>
      </c>
    </row>
    <row r="521" spans="7:29" x14ac:dyDescent="0.25">
      <c r="G521" s="5">
        <v>0.25</v>
      </c>
      <c r="H521">
        <f t="shared" si="215"/>
        <v>0.96824583655185426</v>
      </c>
      <c r="I521">
        <f t="shared" si="216"/>
        <v>242.02500000000001</v>
      </c>
      <c r="J521">
        <v>4.1989119368272916E-3</v>
      </c>
      <c r="K521">
        <f t="shared" si="217"/>
        <v>0.46620869611218496</v>
      </c>
      <c r="L521">
        <f t="shared" si="218"/>
        <v>0.92546470976179784</v>
      </c>
      <c r="M521">
        <f t="shared" si="206"/>
        <v>0.1115419203707736</v>
      </c>
      <c r="N521">
        <f t="shared" si="219"/>
        <v>1.7752447988971194E-2</v>
      </c>
      <c r="O521">
        <f t="shared" si="220"/>
        <v>0.10698268400095574</v>
      </c>
      <c r="P521">
        <f t="shared" si="221"/>
        <v>0.10679683699482667</v>
      </c>
      <c r="Q521">
        <f t="shared" si="207"/>
        <v>0.11257471592976225</v>
      </c>
      <c r="R521">
        <f t="shared" si="222"/>
        <v>1.7916822507387593E-2</v>
      </c>
      <c r="S521">
        <f t="shared" si="223"/>
        <v>0.11038625709076041</v>
      </c>
      <c r="T521" s="29">
        <f t="shared" si="208"/>
        <v>0.24943474534778259</v>
      </c>
      <c r="U521">
        <v>1</v>
      </c>
      <c r="V521" s="29">
        <f>($Q$273+($Q$272*$Q$274))*U521</f>
        <v>-1</v>
      </c>
      <c r="W521" s="29">
        <f t="shared" si="209"/>
        <v>0.68920773006687319</v>
      </c>
      <c r="X521" s="29">
        <f t="shared" si="225"/>
        <v>0.11236739765977473</v>
      </c>
      <c r="Y521" s="29">
        <f t="shared" si="210"/>
        <v>1.2157311472964261</v>
      </c>
      <c r="Z521">
        <f t="shared" si="211"/>
        <v>0.39285856093509275</v>
      </c>
      <c r="AA521">
        <f t="shared" si="212"/>
        <v>0.18106425247368804</v>
      </c>
      <c r="AB521">
        <f t="shared" si="213"/>
        <v>0.56964491335588441</v>
      </c>
      <c r="AC521">
        <f t="shared" si="214"/>
        <v>0.22729342331803393</v>
      </c>
    </row>
    <row r="522" spans="7:29" x14ac:dyDescent="0.25">
      <c r="G522" s="5">
        <v>0.3</v>
      </c>
      <c r="H522">
        <f t="shared" si="215"/>
        <v>0.95393920141694566</v>
      </c>
      <c r="I522">
        <f t="shared" si="216"/>
        <v>290.43</v>
      </c>
      <c r="J522">
        <v>4.4348062191916669E-3</v>
      </c>
      <c r="K522">
        <f t="shared" si="217"/>
        <v>0.47912552800136321</v>
      </c>
      <c r="L522">
        <f t="shared" si="218"/>
        <v>0.91370495158898513</v>
      </c>
      <c r="M522">
        <f t="shared" si="206"/>
        <v>0.11321476236596717</v>
      </c>
      <c r="N522">
        <f t="shared" si="219"/>
        <v>1.8018689061517958E-2</v>
      </c>
      <c r="O522">
        <f t="shared" si="220"/>
        <v>0.10998526883345291</v>
      </c>
      <c r="P522">
        <f t="shared" si="221"/>
        <v>0.10979420582992221</v>
      </c>
      <c r="Q522">
        <f t="shared" si="207"/>
        <v>0.11426304720268909</v>
      </c>
      <c r="R522">
        <f t="shared" si="222"/>
        <v>1.8185528775050534E-2</v>
      </c>
      <c r="S522">
        <f t="shared" si="223"/>
        <v>0.11355144228561578</v>
      </c>
      <c r="T522" s="29">
        <f t="shared" si="208"/>
        <v>0.29932169441733908</v>
      </c>
      <c r="U522">
        <v>1</v>
      </c>
      <c r="V522" s="29">
        <f t="shared" si="224"/>
        <v>-1</v>
      </c>
      <c r="W522" s="29">
        <f t="shared" si="209"/>
        <v>0.70855109106088332</v>
      </c>
      <c r="X522" s="29">
        <f t="shared" si="225"/>
        <v>0.11509956629056074</v>
      </c>
      <c r="Y522" s="29">
        <f t="shared" si="210"/>
        <v>1.2187100318108479</v>
      </c>
      <c r="Z522">
        <f t="shared" si="211"/>
        <v>0.39791683239406395</v>
      </c>
      <c r="AA522">
        <f t="shared" si="212"/>
        <v>0.18106425247368804</v>
      </c>
      <c r="AB522">
        <f t="shared" si="213"/>
        <v>0.57697940697139272</v>
      </c>
      <c r="AC522">
        <f t="shared" si="214"/>
        <v>0.22729342331803393</v>
      </c>
    </row>
    <row r="523" spans="7:29" x14ac:dyDescent="0.25">
      <c r="G523" s="5">
        <v>0.35</v>
      </c>
      <c r="H523">
        <f t="shared" si="215"/>
        <v>0.93674969975975975</v>
      </c>
      <c r="I523">
        <f t="shared" si="216"/>
        <v>338.83499999999998</v>
      </c>
      <c r="J523">
        <v>4.3362563228627454E-3</v>
      </c>
      <c r="K523">
        <f t="shared" si="217"/>
        <v>0.47377207603153432</v>
      </c>
      <c r="L523">
        <f t="shared" si="218"/>
        <v>0.91862654072326566</v>
      </c>
      <c r="M523">
        <f t="shared" si="206"/>
        <v>0.11529227073966274</v>
      </c>
      <c r="N523">
        <f t="shared" si="219"/>
        <v>1.8349334788506415E-2</v>
      </c>
      <c r="O523">
        <f t="shared" si="220"/>
        <v>0.11375906391372086</v>
      </c>
      <c r="P523">
        <f t="shared" si="221"/>
        <v>0.11356144519022517</v>
      </c>
      <c r="Q523">
        <f t="shared" si="207"/>
        <v>0.11635979176502999</v>
      </c>
      <c r="R523">
        <f t="shared" si="222"/>
        <v>1.8519236036548141E-2</v>
      </c>
      <c r="S523">
        <f t="shared" si="223"/>
        <v>0.11753458280720043</v>
      </c>
      <c r="T523" s="29">
        <f t="shared" si="208"/>
        <v>0.34920864348689562</v>
      </c>
      <c r="U523">
        <v>1</v>
      </c>
      <c r="V523" s="29">
        <f t="shared" si="224"/>
        <v>-1</v>
      </c>
      <c r="W523" s="29">
        <f t="shared" si="209"/>
        <v>0.73286277070602823</v>
      </c>
      <c r="X523" s="29">
        <f t="shared" si="225"/>
        <v>0.1186219390866687</v>
      </c>
      <c r="Y523" s="29">
        <f t="shared" si="210"/>
        <v>1.2228773485094071</v>
      </c>
      <c r="Z523">
        <f t="shared" si="211"/>
        <v>0.40415379968872978</v>
      </c>
      <c r="AA523">
        <f t="shared" si="212"/>
        <v>0.18106425247368804</v>
      </c>
      <c r="AB523">
        <f t="shared" si="213"/>
        <v>0.58602300954865816</v>
      </c>
      <c r="AC523">
        <f t="shared" si="214"/>
        <v>0.22729342331803393</v>
      </c>
    </row>
    <row r="524" spans="7:29" x14ac:dyDescent="0.25">
      <c r="G524" s="5">
        <v>0.4</v>
      </c>
      <c r="H524">
        <f t="shared" si="215"/>
        <v>0.91651513899116799</v>
      </c>
      <c r="I524">
        <f t="shared" si="216"/>
        <v>387.24</v>
      </c>
      <c r="J524">
        <v>4.253328059860389E-3</v>
      </c>
      <c r="K524">
        <f t="shared" si="217"/>
        <v>0.46921990529187524</v>
      </c>
      <c r="L524">
        <f t="shared" si="218"/>
        <v>0.92276021131349395</v>
      </c>
      <c r="M524">
        <f t="shared" si="206"/>
        <v>0.11783766072743589</v>
      </c>
      <c r="N524">
        <f t="shared" si="219"/>
        <v>1.8754446187157128E-2</v>
      </c>
      <c r="O524">
        <f t="shared" si="220"/>
        <v>0.11844937702562958</v>
      </c>
      <c r="P524">
        <f t="shared" si="221"/>
        <v>0.1182436104354226</v>
      </c>
      <c r="Q524">
        <f t="shared" si="207"/>
        <v>0.11892875017861584</v>
      </c>
      <c r="R524">
        <f t="shared" si="222"/>
        <v>1.8928098466667844E-2</v>
      </c>
      <c r="S524">
        <f t="shared" si="223"/>
        <v>0.12249278234294751</v>
      </c>
      <c r="T524" s="29">
        <f t="shared" si="208"/>
        <v>0.39909559255645216</v>
      </c>
      <c r="U524">
        <v>1</v>
      </c>
      <c r="V524" s="29">
        <f t="shared" si="224"/>
        <v>-1</v>
      </c>
      <c r="W524" s="29">
        <f t="shared" si="209"/>
        <v>0.76307887608185354</v>
      </c>
      <c r="X524" s="29">
        <f t="shared" si="225"/>
        <v>0.12294208600200296</v>
      </c>
      <c r="Y524" s="29">
        <f t="shared" si="210"/>
        <v>1.2287153291552386</v>
      </c>
      <c r="Z524">
        <f t="shared" si="211"/>
        <v>0.41172716118850533</v>
      </c>
      <c r="AA524">
        <f t="shared" si="212"/>
        <v>0.18106425247368804</v>
      </c>
      <c r="AB524">
        <f t="shared" si="213"/>
        <v>0.59700438372333264</v>
      </c>
      <c r="AC524">
        <f t="shared" si="214"/>
        <v>0.22729342331803393</v>
      </c>
    </row>
    <row r="525" spans="7:29" x14ac:dyDescent="0.25">
      <c r="G525" s="5">
        <v>0.45</v>
      </c>
      <c r="H525">
        <f t="shared" si="215"/>
        <v>0.89302855497458755</v>
      </c>
      <c r="I525">
        <f t="shared" si="216"/>
        <v>435.64500000000004</v>
      </c>
      <c r="J525">
        <v>4.1819957631384743E-3</v>
      </c>
      <c r="K525">
        <f t="shared" si="217"/>
        <v>0.46526863991444756</v>
      </c>
      <c r="L525">
        <f t="shared" si="218"/>
        <v>0.92630372599104127</v>
      </c>
      <c r="M525">
        <f t="shared" si="206"/>
        <v>0.12093678236646453</v>
      </c>
      <c r="N525">
        <f t="shared" si="219"/>
        <v>1.9247686715251594E-2</v>
      </c>
      <c r="O525">
        <f t="shared" si="220"/>
        <v>0.12425694261102585</v>
      </c>
      <c r="P525">
        <f t="shared" si="221"/>
        <v>0.12404108729770424</v>
      </c>
      <c r="Q525">
        <f t="shared" si="207"/>
        <v>0.12205656738837624</v>
      </c>
      <c r="R525">
        <f t="shared" si="222"/>
        <v>1.942590603668911E-2</v>
      </c>
      <c r="S525">
        <f t="shared" si="223"/>
        <v>0.12864380245837007</v>
      </c>
      <c r="T525" s="29">
        <f t="shared" si="208"/>
        <v>0.4489825416260087</v>
      </c>
      <c r="U525">
        <v>1</v>
      </c>
      <c r="V525" s="29">
        <f t="shared" si="224"/>
        <v>-1</v>
      </c>
      <c r="W525" s="29">
        <f t="shared" si="209"/>
        <v>0.80049258589576777</v>
      </c>
      <c r="X525" s="29">
        <f t="shared" si="225"/>
        <v>0.12821223096247833</v>
      </c>
      <c r="Y525" s="29">
        <f t="shared" si="210"/>
        <v>1.2369580304296415</v>
      </c>
      <c r="Z525">
        <f t="shared" si="211"/>
        <v>0.42084590260886801</v>
      </c>
      <c r="AA525">
        <f t="shared" si="212"/>
        <v>0.18106425247368804</v>
      </c>
      <c r="AB525">
        <f t="shared" si="213"/>
        <v>0.61022655878285847</v>
      </c>
      <c r="AC525">
        <f t="shared" si="214"/>
        <v>0.22729342331803393</v>
      </c>
    </row>
    <row r="526" spans="7:29" x14ac:dyDescent="0.25">
      <c r="G526" s="5">
        <v>0.5</v>
      </c>
      <c r="H526">
        <f t="shared" si="215"/>
        <v>0.8660254037844386</v>
      </c>
      <c r="I526">
        <f t="shared" si="216"/>
        <v>484.05</v>
      </c>
      <c r="J526">
        <v>4.1195858253490264E-3</v>
      </c>
      <c r="K526">
        <f t="shared" si="217"/>
        <v>0.46178387579257696</v>
      </c>
      <c r="L526">
        <f t="shared" si="218"/>
        <v>0.92939050390444433</v>
      </c>
      <c r="M526">
        <f t="shared" si="206"/>
        <v>0.12470765814495917</v>
      </c>
      <c r="N526">
        <f t="shared" si="219"/>
        <v>1.9847840235184516E-2</v>
      </c>
      <c r="O526">
        <f t="shared" si="220"/>
        <v>0.13146303448299143</v>
      </c>
      <c r="P526">
        <f t="shared" si="221"/>
        <v>0.13123466096999292</v>
      </c>
      <c r="Q526">
        <f t="shared" si="207"/>
        <v>0.12586235868333842</v>
      </c>
      <c r="R526">
        <f t="shared" si="222"/>
        <v>2.0031616533658446E-2</v>
      </c>
      <c r="S526">
        <f t="shared" si="223"/>
        <v>0.136294012347947</v>
      </c>
      <c r="T526" s="29">
        <f t="shared" si="208"/>
        <v>0.49886949069556519</v>
      </c>
      <c r="U526">
        <v>1</v>
      </c>
      <c r="V526" s="29">
        <f t="shared" si="224"/>
        <v>-1</v>
      </c>
      <c r="W526" s="29">
        <f t="shared" si="209"/>
        <v>0.84691593251592157</v>
      </c>
      <c r="X526" s="29">
        <f t="shared" si="225"/>
        <v>0.13463685305510828</v>
      </c>
      <c r="Y526" s="29">
        <f t="shared" si="210"/>
        <v>1.2487506177526941</v>
      </c>
      <c r="Z526">
        <f t="shared" si="211"/>
        <v>0.43178880504861844</v>
      </c>
      <c r="AA526">
        <f t="shared" si="212"/>
        <v>0.18106425247368804</v>
      </c>
      <c r="AB526">
        <f t="shared" si="213"/>
        <v>0.6260937673204966</v>
      </c>
      <c r="AC526">
        <f t="shared" si="214"/>
        <v>0.22729342331803393</v>
      </c>
    </row>
    <row r="527" spans="7:29" x14ac:dyDescent="0.25">
      <c r="G527" s="5">
        <v>0.55000000000000004</v>
      </c>
      <c r="H527">
        <f t="shared" si="215"/>
        <v>0.83516465442450327</v>
      </c>
      <c r="I527">
        <f t="shared" si="216"/>
        <v>532.45500000000004</v>
      </c>
      <c r="J527">
        <v>4.0642370236144004E-3</v>
      </c>
      <c r="K527">
        <f t="shared" si="217"/>
        <v>0.45867123083830924</v>
      </c>
      <c r="L527">
        <f t="shared" si="218"/>
        <v>0.9321145034352416</v>
      </c>
      <c r="M527">
        <f t="shared" si="206"/>
        <v>0.12931581745927792</v>
      </c>
      <c r="N527">
        <f t="shared" si="219"/>
        <v>2.0581251568613304E-2</v>
      </c>
      <c r="O527">
        <f t="shared" si="220"/>
        <v>0.14047047884093974</v>
      </c>
      <c r="P527">
        <f t="shared" si="221"/>
        <v>0.14022645787450116</v>
      </c>
      <c r="Q527">
        <f t="shared" si="207"/>
        <v>0.13051318613945642</v>
      </c>
      <c r="R527">
        <f t="shared" si="222"/>
        <v>2.0771818712767131E-2</v>
      </c>
      <c r="S527">
        <f t="shared" si="223"/>
        <v>0.14588430801061572</v>
      </c>
      <c r="T527" s="29">
        <f t="shared" si="208"/>
        <v>0.54875643976512178</v>
      </c>
      <c r="U527">
        <v>1</v>
      </c>
      <c r="V527" s="29">
        <f t="shared" si="224"/>
        <v>-1</v>
      </c>
      <c r="W527" s="29">
        <f t="shared" si="209"/>
        <v>0.9049440175057295</v>
      </c>
      <c r="X527" s="29">
        <f t="shared" si="225"/>
        <v>0.14249429118231199</v>
      </c>
      <c r="Y527" s="29">
        <f t="shared" si="210"/>
        <v>1.2659380192107941</v>
      </c>
      <c r="Z527">
        <f t="shared" si="211"/>
        <v>0.44493263614763967</v>
      </c>
      <c r="AA527">
        <f t="shared" si="212"/>
        <v>0.18106425247368804</v>
      </c>
      <c r="AB527">
        <f t="shared" si="213"/>
        <v>0.64515232241407749</v>
      </c>
      <c r="AC527">
        <f t="shared" si="214"/>
        <v>0.22729342331803393</v>
      </c>
    </row>
    <row r="528" spans="7:29" x14ac:dyDescent="0.25">
      <c r="G528" s="5">
        <v>0.6</v>
      </c>
      <c r="H528">
        <f t="shared" si="215"/>
        <v>0.8</v>
      </c>
      <c r="I528">
        <f t="shared" si="216"/>
        <v>580.86</v>
      </c>
      <c r="J528">
        <v>4.0146044888258623E-3</v>
      </c>
      <c r="K528">
        <f t="shared" si="217"/>
        <v>0.45586197721605876</v>
      </c>
      <c r="L528">
        <f t="shared" si="218"/>
        <v>0.9345442050299565</v>
      </c>
      <c r="M528">
        <f t="shared" si="206"/>
        <v>0.13499999999999998</v>
      </c>
      <c r="N528">
        <f t="shared" si="219"/>
        <v>2.1485917317405869E-2</v>
      </c>
      <c r="O528">
        <f t="shared" si="220"/>
        <v>0.15187349429154923</v>
      </c>
      <c r="P528">
        <f t="shared" si="221"/>
        <v>0.15160966435974274</v>
      </c>
      <c r="Q528">
        <f t="shared" si="207"/>
        <v>0.13624999999999998</v>
      </c>
      <c r="R528">
        <f t="shared" si="222"/>
        <v>2.1684860996270736E-2</v>
      </c>
      <c r="S528">
        <f t="shared" si="223"/>
        <v>0.15806885198995582</v>
      </c>
      <c r="T528" s="29">
        <f t="shared" si="208"/>
        <v>0.59864338883467816</v>
      </c>
      <c r="U528">
        <v>1</v>
      </c>
      <c r="V528" s="29">
        <f t="shared" si="224"/>
        <v>-1</v>
      </c>
      <c r="W528" s="29">
        <f t="shared" si="209"/>
        <v>0.97840493754174052</v>
      </c>
      <c r="X528" s="29">
        <f t="shared" si="225"/>
        <v>0.15216936324470795</v>
      </c>
      <c r="Y528" s="29">
        <f t="shared" si="210"/>
        <v>1.2916153945984163</v>
      </c>
      <c r="Z528">
        <f t="shared" si="211"/>
        <v>0.46079638800646094</v>
      </c>
      <c r="AA528">
        <f t="shared" si="212"/>
        <v>0.18106425247368804</v>
      </c>
      <c r="AB528">
        <f t="shared" si="213"/>
        <v>0.66815476260936835</v>
      </c>
      <c r="AC528">
        <f t="shared" si="214"/>
        <v>0.22729342331803393</v>
      </c>
    </row>
    <row r="529" spans="7:29" x14ac:dyDescent="0.25">
      <c r="G529" s="5">
        <v>0.65</v>
      </c>
      <c r="H529">
        <f t="shared" si="215"/>
        <v>0.75993420767853315</v>
      </c>
      <c r="I529">
        <f t="shared" si="216"/>
        <v>629.26499999999999</v>
      </c>
      <c r="J529">
        <v>4.3148767494444957E-3</v>
      </c>
      <c r="K529">
        <f t="shared" si="217"/>
        <v>0.47260268472738987</v>
      </c>
      <c r="L529">
        <f t="shared" si="218"/>
        <v>0.91969327629694142</v>
      </c>
      <c r="M529">
        <f t="shared" si="206"/>
        <v>0.1421175661113101</v>
      </c>
      <c r="N529">
        <f t="shared" si="219"/>
        <v>2.2618713146804234E-2</v>
      </c>
      <c r="O529">
        <f t="shared" si="220"/>
        <v>0.16658299205178798</v>
      </c>
      <c r="P529">
        <f t="shared" si="221"/>
        <v>0.16629360923592432</v>
      </c>
      <c r="Q529">
        <f t="shared" si="207"/>
        <v>0.14343346950122965</v>
      </c>
      <c r="R529">
        <f t="shared" si="222"/>
        <v>2.2828145675941311E-2</v>
      </c>
      <c r="S529">
        <f t="shared" si="223"/>
        <v>0.17385749335052486</v>
      </c>
      <c r="T529" s="29">
        <f t="shared" si="208"/>
        <v>0.64853033790423475</v>
      </c>
      <c r="U529">
        <v>1</v>
      </c>
      <c r="V529" s="29">
        <f t="shared" si="224"/>
        <v>-1</v>
      </c>
      <c r="W529" s="29">
        <f t="shared" si="209"/>
        <v>1.0731669979296379</v>
      </c>
      <c r="X529" s="29">
        <f t="shared" si="225"/>
        <v>0.16424100372502631</v>
      </c>
      <c r="Y529" s="29">
        <f t="shared" si="210"/>
        <v>1.3312457184293842</v>
      </c>
      <c r="Z529">
        <f t="shared" si="211"/>
        <v>0.48011331066331625</v>
      </c>
      <c r="AA529">
        <f t="shared" si="212"/>
        <v>0.18106425247368804</v>
      </c>
      <c r="AB529">
        <f t="shared" si="213"/>
        <v>0.69616430046180855</v>
      </c>
      <c r="AC529">
        <f t="shared" si="214"/>
        <v>0.22729342331803393</v>
      </c>
    </row>
    <row r="530" spans="7:29" x14ac:dyDescent="0.25">
      <c r="G530" s="5">
        <v>0.7</v>
      </c>
      <c r="H530">
        <f t="shared" si="215"/>
        <v>0.71414284285428498</v>
      </c>
      <c r="I530">
        <f t="shared" si="216"/>
        <v>677.67</v>
      </c>
      <c r="J530">
        <v>4.2703461820882702E-3</v>
      </c>
      <c r="K530">
        <f t="shared" si="217"/>
        <v>0.47015767332059627</v>
      </c>
      <c r="L530">
        <f t="shared" si="218"/>
        <v>0.92191292462508734</v>
      </c>
      <c r="M530">
        <f t="shared" si="206"/>
        <v>0.15123024907502505</v>
      </c>
      <c r="N530">
        <f t="shared" si="219"/>
        <v>2.4069041685308771E-2</v>
      </c>
      <c r="O530">
        <f t="shared" si="220"/>
        <v>0.18606658153192498</v>
      </c>
      <c r="P530">
        <f t="shared" si="221"/>
        <v>0.18574335242768911</v>
      </c>
      <c r="Q530">
        <f t="shared" si="207"/>
        <v>0.15263052915905306</v>
      </c>
      <c r="R530">
        <f t="shared" si="222"/>
        <v>2.4291903182394964E-2</v>
      </c>
      <c r="S530">
        <f t="shared" si="223"/>
        <v>0.19489118882148326</v>
      </c>
      <c r="T530" s="29">
        <f t="shared" si="208"/>
        <v>0.69841728697379124</v>
      </c>
      <c r="U530">
        <v>1</v>
      </c>
      <c r="V530" s="29">
        <f t="shared" si="224"/>
        <v>-1</v>
      </c>
      <c r="W530" s="29">
        <f t="shared" si="209"/>
        <v>1.1986848852826983</v>
      </c>
      <c r="X530" s="29">
        <f t="shared" si="225"/>
        <v>0.17948008771137672</v>
      </c>
      <c r="Y530" s="29">
        <f t="shared" si="210"/>
        <v>1.3951127852600966</v>
      </c>
      <c r="Z530">
        <f t="shared" si="211"/>
        <v>0.50395361014601125</v>
      </c>
      <c r="AA530">
        <f t="shared" si="212"/>
        <v>0.18106425247368804</v>
      </c>
      <c r="AB530">
        <f t="shared" si="213"/>
        <v>0.73073273471171618</v>
      </c>
      <c r="AC530">
        <f t="shared" si="214"/>
        <v>0.22729342331803393</v>
      </c>
    </row>
    <row r="531" spans="7:29" x14ac:dyDescent="0.25">
      <c r="G531" s="5">
        <v>0.75</v>
      </c>
      <c r="H531">
        <f t="shared" si="215"/>
        <v>0.66143782776614768</v>
      </c>
      <c r="I531">
        <f t="shared" si="216"/>
        <v>726.07500000000005</v>
      </c>
      <c r="J531">
        <v>4.2294603601060491E-3</v>
      </c>
      <c r="K531">
        <f t="shared" si="217"/>
        <v>0.46790153117714617</v>
      </c>
      <c r="L531">
        <f t="shared" si="218"/>
        <v>0.92394740211487703</v>
      </c>
      <c r="M531">
        <f t="shared" si="206"/>
        <v>0.16328065233998615</v>
      </c>
      <c r="N531">
        <f t="shared" si="219"/>
        <v>2.5986922931178043E-2</v>
      </c>
      <c r="O531">
        <f t="shared" si="220"/>
        <v>0.21284847584675293</v>
      </c>
      <c r="P531">
        <f t="shared" si="221"/>
        <v>0.21247872206496424</v>
      </c>
      <c r="Q531">
        <f t="shared" si="207"/>
        <v>0.16479251023202307</v>
      </c>
      <c r="R531">
        <f t="shared" si="222"/>
        <v>2.6227542587948214E-2</v>
      </c>
      <c r="S531">
        <f t="shared" si="223"/>
        <v>0.22402223560332959</v>
      </c>
      <c r="T531" s="29">
        <f t="shared" si="208"/>
        <v>0.74830423604334784</v>
      </c>
      <c r="U531">
        <v>0.8</v>
      </c>
      <c r="V531" s="29">
        <f t="shared" si="224"/>
        <v>-0.8</v>
      </c>
      <c r="W531" s="29">
        <f t="shared" si="209"/>
        <v>1.3712201769514749</v>
      </c>
      <c r="X531" s="29">
        <f t="shared" si="225"/>
        <v>0.19899767023945256</v>
      </c>
      <c r="Y531" s="29">
        <f t="shared" si="210"/>
        <v>1.5042699888815725</v>
      </c>
      <c r="Z531">
        <f t="shared" si="211"/>
        <v>0.53394517608710246</v>
      </c>
      <c r="AA531">
        <f t="shared" si="212"/>
        <v>0.18106425247368804</v>
      </c>
      <c r="AB531">
        <f t="shared" si="213"/>
        <v>0.7742205053262986</v>
      </c>
      <c r="AC531">
        <f t="shared" si="214"/>
        <v>0.22729342331803393</v>
      </c>
    </row>
    <row r="532" spans="7:29" x14ac:dyDescent="0.25">
      <c r="G532" s="5">
        <v>0.8</v>
      </c>
      <c r="H532">
        <f t="shared" si="215"/>
        <v>0.59999999999999987</v>
      </c>
      <c r="I532">
        <f t="shared" si="216"/>
        <v>774.48</v>
      </c>
      <c r="J532">
        <v>4.191704298545219E-3</v>
      </c>
      <c r="K532">
        <f t="shared" si="217"/>
        <v>0.46580838920536921</v>
      </c>
      <c r="L532">
        <f t="shared" si="218"/>
        <v>0.92582230776548646</v>
      </c>
      <c r="M532">
        <f t="shared" si="206"/>
        <v>0.18000000000000005</v>
      </c>
      <c r="N532">
        <f t="shared" si="219"/>
        <v>2.8647889756541169E-2</v>
      </c>
      <c r="O532">
        <f t="shared" si="220"/>
        <v>0.25167326542920682</v>
      </c>
      <c r="P532">
        <f t="shared" si="221"/>
        <v>0.251236066425092</v>
      </c>
      <c r="Q532">
        <f t="shared" si="207"/>
        <v>0.1816666666666667</v>
      </c>
      <c r="R532">
        <f t="shared" si="222"/>
        <v>2.8913147995027658E-2</v>
      </c>
      <c r="S532">
        <f t="shared" si="223"/>
        <v>0.266683574276255</v>
      </c>
      <c r="T532" s="29">
        <f t="shared" si="208"/>
        <v>0.79819118511290432</v>
      </c>
      <c r="U532">
        <v>0</v>
      </c>
      <c r="V532" s="29">
        <f t="shared" si="224"/>
        <v>0</v>
      </c>
      <c r="W532" s="29">
        <f t="shared" si="209"/>
        <v>1.6213386456394356</v>
      </c>
      <c r="X532" s="29">
        <f t="shared" si="225"/>
        <v>0.22432034009927498</v>
      </c>
      <c r="Y532" s="29">
        <f t="shared" si="210"/>
        <v>1.7070113297128373</v>
      </c>
      <c r="Z532">
        <f t="shared" si="211"/>
        <v>0.57269768603406035</v>
      </c>
      <c r="AA532">
        <f t="shared" si="212"/>
        <v>0.18106425247368804</v>
      </c>
      <c r="AB532">
        <f t="shared" si="213"/>
        <v>0.83041164474938745</v>
      </c>
      <c r="AC532">
        <f t="shared" si="214"/>
        <v>0.22729342331803393</v>
      </c>
    </row>
    <row r="533" spans="7:29" x14ac:dyDescent="0.25">
      <c r="G533" s="5">
        <v>0.85</v>
      </c>
      <c r="H533">
        <f t="shared" si="215"/>
        <v>0.52678268764263703</v>
      </c>
      <c r="I533">
        <f t="shared" si="216"/>
        <v>822.88499999999999</v>
      </c>
      <c r="J533">
        <v>4.4891956038633149E-3</v>
      </c>
      <c r="K533">
        <f t="shared" si="217"/>
        <v>0.48205462211436229</v>
      </c>
      <c r="L533">
        <f t="shared" si="218"/>
        <v>0.91098888631304509</v>
      </c>
      <c r="M533">
        <f t="shared" si="206"/>
        <v>0.20501812708253975</v>
      </c>
      <c r="N533">
        <f t="shared" si="219"/>
        <v>3.2629648348628582E-2</v>
      </c>
      <c r="O533">
        <f t="shared" si="220"/>
        <v>0.31267319102286617</v>
      </c>
      <c r="P533">
        <f t="shared" si="221"/>
        <v>0.31213002483675789</v>
      </c>
      <c r="Q533">
        <f t="shared" si="207"/>
        <v>0.20691644307404475</v>
      </c>
      <c r="R533">
        <f t="shared" si="222"/>
        <v>3.293177472222699E-2</v>
      </c>
      <c r="S533">
        <f t="shared" si="223"/>
        <v>0.33467687582814859</v>
      </c>
      <c r="T533" s="29">
        <f t="shared" si="208"/>
        <v>0.84807813418246081</v>
      </c>
      <c r="U533">
        <v>0</v>
      </c>
      <c r="V533" s="29">
        <f t="shared" si="224"/>
        <v>0</v>
      </c>
      <c r="W533" s="29">
        <f t="shared" si="209"/>
        <v>2.0143145804391134</v>
      </c>
      <c r="X533" s="29">
        <f t="shared" si="225"/>
        <v>0.2578718372570542</v>
      </c>
      <c r="Y533" s="29">
        <f t="shared" si="210"/>
        <v>2.1338352284298052</v>
      </c>
      <c r="Z533">
        <f t="shared" si="211"/>
        <v>0.62468234732408157</v>
      </c>
      <c r="AA533">
        <f t="shared" si="212"/>
        <v>0.18106425247368804</v>
      </c>
      <c r="AB533">
        <f t="shared" si="213"/>
        <v>0.90578940361991822</v>
      </c>
      <c r="AC533">
        <f t="shared" si="214"/>
        <v>0.22729342331803393</v>
      </c>
    </row>
    <row r="534" spans="7:29" x14ac:dyDescent="0.25">
      <c r="G534" s="5">
        <v>0.9</v>
      </c>
      <c r="H534">
        <f t="shared" si="215"/>
        <v>0.43588989435406728</v>
      </c>
      <c r="I534">
        <f t="shared" si="216"/>
        <v>871.29000000000008</v>
      </c>
      <c r="J534">
        <v>4.4539152364081068E-3</v>
      </c>
      <c r="K534">
        <f t="shared" si="217"/>
        <v>0.48015666398608137</v>
      </c>
      <c r="L534">
        <f t="shared" si="218"/>
        <v>0.9127505084340386</v>
      </c>
      <c r="M534">
        <f t="shared" si="206"/>
        <v>0.24776899258020674</v>
      </c>
      <c r="N534">
        <f t="shared" si="219"/>
        <v>3.9433659914039042E-2</v>
      </c>
      <c r="O534">
        <f t="shared" si="220"/>
        <v>0.42233542912549932</v>
      </c>
      <c r="P534">
        <f t="shared" si="221"/>
        <v>0.42160176109484387</v>
      </c>
      <c r="Q534">
        <f t="shared" si="207"/>
        <v>0.25006314991891238</v>
      </c>
      <c r="R534">
        <f t="shared" si="222"/>
        <v>3.9798786394724589E-2</v>
      </c>
      <c r="S534">
        <f t="shared" si="223"/>
        <v>0.45954225107850494</v>
      </c>
      <c r="T534" s="29">
        <f t="shared" si="208"/>
        <v>0.8979650832520174</v>
      </c>
      <c r="U534">
        <v>0</v>
      </c>
      <c r="V534" s="29">
        <f t="shared" si="224"/>
        <v>0</v>
      </c>
      <c r="W534" s="29">
        <f t="shared" si="209"/>
        <v>2.720784631200726</v>
      </c>
      <c r="X534" s="29">
        <f t="shared" si="225"/>
        <v>0.29496555858184381</v>
      </c>
      <c r="Y534" s="29">
        <f t="shared" si="210"/>
        <v>3.2423783594749129</v>
      </c>
      <c r="Z534">
        <f t="shared" si="211"/>
        <v>0.69818643982597794</v>
      </c>
      <c r="AA534">
        <f t="shared" si="212"/>
        <v>0.18106425247368804</v>
      </c>
      <c r="AB534">
        <f t="shared" si="213"/>
        <v>1.012370337747668</v>
      </c>
      <c r="AC534">
        <f t="shared" si="214"/>
        <v>0.22729342331803393</v>
      </c>
    </row>
    <row r="535" spans="7:29" x14ac:dyDescent="0.25">
      <c r="G535" s="5">
        <v>0.95</v>
      </c>
      <c r="H535">
        <f t="shared" si="215"/>
        <v>0.31224989991991997</v>
      </c>
      <c r="I535">
        <f t="shared" si="216"/>
        <v>919.69499999999994</v>
      </c>
      <c r="J535">
        <v>4.4208959712754231E-3</v>
      </c>
      <c r="K535">
        <f t="shared" si="217"/>
        <v>0.47837352341077211</v>
      </c>
      <c r="L535">
        <f t="shared" si="218"/>
        <v>0.9143997893803083</v>
      </c>
      <c r="M535">
        <f t="shared" si="206"/>
        <v>0.34587681221898814</v>
      </c>
      <c r="N535">
        <f>M535/(2*PI())</f>
        <v>5.5048004365519231E-2</v>
      </c>
      <c r="O535">
        <f t="shared" si="220"/>
        <v>0.6830453188898814</v>
      </c>
      <c r="P535">
        <f t="shared" si="221"/>
        <v>0.68185875371111815</v>
      </c>
      <c r="Q535">
        <f t="shared" si="207"/>
        <v>0.34907937529508987</v>
      </c>
      <c r="R535">
        <f t="shared" si="222"/>
        <v>5.5557708109644402E-2</v>
      </c>
      <c r="S535">
        <f t="shared" si="223"/>
        <v>0.76642749247693198</v>
      </c>
      <c r="T535" s="29">
        <f t="shared" si="208"/>
        <v>0.94785203232157378</v>
      </c>
      <c r="U535">
        <v>0</v>
      </c>
      <c r="V535" s="29">
        <f t="shared" si="224"/>
        <v>0</v>
      </c>
      <c r="W535" s="29">
        <f t="shared" si="209"/>
        <v>4.400339346138419</v>
      </c>
      <c r="X535" s="29">
        <f t="shared" si="225"/>
        <v>0.26375575508272281</v>
      </c>
      <c r="Y535" s="29">
        <f t="shared" si="210"/>
        <v>7.7014034657252379</v>
      </c>
      <c r="Z535">
        <f t="shared" si="211"/>
        <v>0.80888898429027301</v>
      </c>
      <c r="AA535">
        <f t="shared" si="212"/>
        <v>0.18106425247368804</v>
      </c>
      <c r="AB535">
        <f t="shared" si="213"/>
        <v>1.1728890272208958</v>
      </c>
      <c r="AC535">
        <f t="shared" si="214"/>
        <v>0.22729342331803393</v>
      </c>
    </row>
  </sheetData>
  <mergeCells count="29">
    <mergeCell ref="A3:D3"/>
    <mergeCell ref="A4:E4"/>
    <mergeCell ref="A19:E19"/>
    <mergeCell ref="A33:E33"/>
    <mergeCell ref="A236:E236"/>
    <mergeCell ref="A128:D128"/>
    <mergeCell ref="A98:E98"/>
    <mergeCell ref="A113:E113"/>
    <mergeCell ref="A341:E341"/>
    <mergeCell ref="A316:D316"/>
    <mergeCell ref="A47:E47"/>
    <mergeCell ref="F5:G5"/>
    <mergeCell ref="A62:D62"/>
    <mergeCell ref="A276:E276"/>
    <mergeCell ref="G262:I262"/>
    <mergeCell ref="G47:H47"/>
    <mergeCell ref="Y61:AD61"/>
    <mergeCell ref="S262:T262"/>
    <mergeCell ref="V262:W262"/>
    <mergeCell ref="J262:L262"/>
    <mergeCell ref="A317:E317"/>
    <mergeCell ref="G299:H299"/>
    <mergeCell ref="I299:J299"/>
    <mergeCell ref="K299:L299"/>
    <mergeCell ref="T299:U299"/>
    <mergeCell ref="T306:U306"/>
    <mergeCell ref="V302:W302"/>
    <mergeCell ref="X302:Y302"/>
    <mergeCell ref="Z302:AA302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F6726-1916-4D24-9242-74D40D53B838}">
  <dimension ref="A1"/>
  <sheetViews>
    <sheetView topLeftCell="A84" zoomScale="60" zoomScaleNormal="60" workbookViewId="0">
      <selection activeCell="BJ165" sqref="BJ16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E2EB9-85B1-46E5-B6C6-D8B770E12196}">
  <dimension ref="A1:CL413"/>
  <sheetViews>
    <sheetView topLeftCell="A157" zoomScaleNormal="100" workbookViewId="0">
      <selection activeCell="S215" sqref="S215"/>
    </sheetView>
  </sheetViews>
  <sheetFormatPr defaultRowHeight="15" x14ac:dyDescent="0.25"/>
  <cols>
    <col min="1" max="1" width="23.5703125" bestFit="1" customWidth="1"/>
    <col min="3" max="3" width="13.28515625" bestFit="1" customWidth="1"/>
    <col min="4" max="4" width="46.5703125" bestFit="1" customWidth="1"/>
    <col min="5" max="5" width="10" bestFit="1" customWidth="1"/>
    <col min="7" max="7" width="9.140625" customWidth="1"/>
    <col min="8" max="8" width="24.5703125" customWidth="1"/>
    <col min="9" max="9" width="16.140625" customWidth="1"/>
    <col min="11" max="11" width="12" customWidth="1"/>
    <col min="13" max="13" width="12.85546875" customWidth="1"/>
    <col min="14" max="14" width="11.42578125" bestFit="1" customWidth="1"/>
    <col min="15" max="15" width="11.85546875" bestFit="1" customWidth="1"/>
    <col min="16" max="16" width="12.42578125" customWidth="1"/>
    <col min="17" max="17" width="12.5703125" customWidth="1"/>
    <col min="18" max="18" width="11.7109375" customWidth="1"/>
    <col min="20" max="20" width="11.7109375" customWidth="1"/>
    <col min="21" max="21" width="10.7109375" customWidth="1"/>
    <col min="23" max="23" width="10.42578125" customWidth="1"/>
    <col min="27" max="27" width="13" bestFit="1" customWidth="1"/>
  </cols>
  <sheetData>
    <row r="1" spans="1:9" x14ac:dyDescent="0.25">
      <c r="A1" t="s">
        <v>898</v>
      </c>
      <c r="C1" t="s">
        <v>899</v>
      </c>
    </row>
    <row r="2" spans="1:9" x14ac:dyDescent="0.25">
      <c r="A2" t="s">
        <v>511</v>
      </c>
    </row>
    <row r="3" spans="1:9" x14ac:dyDescent="0.25">
      <c r="A3" s="319" t="s">
        <v>687</v>
      </c>
      <c r="B3" s="319"/>
      <c r="C3" s="319"/>
      <c r="D3" s="319"/>
      <c r="E3" s="187" t="s">
        <v>900</v>
      </c>
      <c r="G3" s="295" t="s">
        <v>927</v>
      </c>
      <c r="H3" s="296"/>
      <c r="I3" s="297"/>
    </row>
    <row r="4" spans="1:9" x14ac:dyDescent="0.25">
      <c r="A4" s="295" t="s">
        <v>641</v>
      </c>
      <c r="B4" s="296"/>
      <c r="C4" s="296"/>
      <c r="D4" s="296"/>
      <c r="E4" s="297"/>
      <c r="G4" s="14" t="s">
        <v>153</v>
      </c>
      <c r="H4" s="5">
        <f>'Wing Sizing'!AV3</f>
        <v>542</v>
      </c>
      <c r="I4" s="6" t="s">
        <v>150</v>
      </c>
    </row>
    <row r="5" spans="1:9" x14ac:dyDescent="0.25">
      <c r="A5" s="177" t="s">
        <v>489</v>
      </c>
      <c r="B5" s="5">
        <v>-1</v>
      </c>
      <c r="C5" s="5" t="s">
        <v>490</v>
      </c>
      <c r="D5" s="5"/>
      <c r="E5" s="6" t="s">
        <v>1167</v>
      </c>
      <c r="G5" s="14" t="s">
        <v>143</v>
      </c>
      <c r="H5" s="5">
        <f>'Wing Sizing'!AV4</f>
        <v>46.5</v>
      </c>
      <c r="I5" s="6" t="s">
        <v>124</v>
      </c>
    </row>
    <row r="6" spans="1:9" x14ac:dyDescent="0.25">
      <c r="A6" s="180" t="s">
        <v>643</v>
      </c>
      <c r="B6" s="170">
        <v>-0.02</v>
      </c>
      <c r="C6" s="5"/>
      <c r="D6" s="5"/>
      <c r="E6" s="6"/>
      <c r="G6" s="14" t="s">
        <v>268</v>
      </c>
      <c r="H6" s="5">
        <f>'Wing Sizing'!AV5</f>
        <v>4</v>
      </c>
      <c r="I6" s="6"/>
    </row>
    <row r="7" spans="1:9" x14ac:dyDescent="0.25">
      <c r="A7" s="177" t="s">
        <v>642</v>
      </c>
      <c r="B7" s="5">
        <v>0.108</v>
      </c>
      <c r="C7" s="5" t="s">
        <v>493</v>
      </c>
      <c r="D7" s="5" t="s">
        <v>662</v>
      </c>
      <c r="E7" s="6"/>
      <c r="G7" s="14" t="s">
        <v>550</v>
      </c>
      <c r="H7" s="11">
        <f>'Wing Sizing'!AV6</f>
        <v>30</v>
      </c>
      <c r="I7" s="6" t="s">
        <v>490</v>
      </c>
    </row>
    <row r="8" spans="1:9" x14ac:dyDescent="0.25">
      <c r="A8" s="177" t="s">
        <v>904</v>
      </c>
      <c r="B8" s="5">
        <v>0.247</v>
      </c>
      <c r="C8" s="5" t="s">
        <v>498</v>
      </c>
      <c r="D8" s="5"/>
      <c r="E8" s="6"/>
      <c r="G8" s="14" t="s">
        <v>449</v>
      </c>
      <c r="H8" s="5">
        <f>'Wing Sizing'!AV7</f>
        <v>16.666666666666668</v>
      </c>
      <c r="I8" s="6" t="s">
        <v>124</v>
      </c>
    </row>
    <row r="9" spans="1:9" x14ac:dyDescent="0.25">
      <c r="A9" s="14" t="s">
        <v>644</v>
      </c>
      <c r="B9" s="5">
        <v>14.3</v>
      </c>
      <c r="C9" s="5" t="s">
        <v>490</v>
      </c>
      <c r="D9" s="5"/>
      <c r="E9" s="6"/>
      <c r="G9" s="14" t="s">
        <v>450</v>
      </c>
      <c r="H9" s="5">
        <f>'Wing Sizing'!AV8</f>
        <v>6.6666666666666679</v>
      </c>
      <c r="I9" s="6" t="s">
        <v>124</v>
      </c>
    </row>
    <row r="10" spans="1:9" x14ac:dyDescent="0.25">
      <c r="A10" s="14" t="s">
        <v>645</v>
      </c>
      <c r="B10" s="5">
        <v>1.5</v>
      </c>
      <c r="C10" s="5"/>
      <c r="D10" s="5" t="s">
        <v>663</v>
      </c>
      <c r="E10" s="6"/>
      <c r="G10" s="14" t="s">
        <v>484</v>
      </c>
      <c r="H10" s="5">
        <f>'Wing Sizing'!AV9</f>
        <v>0.4</v>
      </c>
      <c r="I10" s="6"/>
    </row>
    <row r="11" spans="1:9" x14ac:dyDescent="0.25">
      <c r="A11" s="14" t="s">
        <v>708</v>
      </c>
      <c r="B11" s="5">
        <v>11</v>
      </c>
      <c r="C11" s="5" t="s">
        <v>490</v>
      </c>
      <c r="D11" s="5" t="s">
        <v>664</v>
      </c>
      <c r="E11" s="6"/>
      <c r="G11" s="14" t="s">
        <v>941</v>
      </c>
      <c r="H11" s="5">
        <f>'Wing Sizing'!AV10</f>
        <v>12.381</v>
      </c>
      <c r="I11" s="6" t="s">
        <v>124</v>
      </c>
    </row>
    <row r="12" spans="1:9" x14ac:dyDescent="0.25">
      <c r="A12" s="14" t="s">
        <v>646</v>
      </c>
      <c r="B12" s="5">
        <v>30</v>
      </c>
      <c r="C12" s="5" t="s">
        <v>647</v>
      </c>
      <c r="D12" s="5"/>
      <c r="E12" s="6"/>
      <c r="G12" s="18" t="s">
        <v>942</v>
      </c>
      <c r="H12" s="5">
        <f>'Wing Sizing'!AV11</f>
        <v>9.9642999999999997</v>
      </c>
      <c r="I12" s="124" t="s">
        <v>124</v>
      </c>
    </row>
    <row r="13" spans="1:9" x14ac:dyDescent="0.25">
      <c r="A13" s="14" t="s">
        <v>403</v>
      </c>
      <c r="B13" s="5">
        <v>1</v>
      </c>
      <c r="C13" s="5" t="s">
        <v>647</v>
      </c>
      <c r="D13" s="5"/>
      <c r="E13" s="6"/>
      <c r="G13" s="18" t="s">
        <v>752</v>
      </c>
      <c r="H13" s="5">
        <f>'Wing Sizing'!AV12</f>
        <v>0.25</v>
      </c>
      <c r="I13" s="6"/>
    </row>
    <row r="14" spans="1:9" x14ac:dyDescent="0.25">
      <c r="A14" s="14" t="s">
        <v>648</v>
      </c>
      <c r="B14" s="5">
        <v>40</v>
      </c>
      <c r="C14" s="5" t="s">
        <v>647</v>
      </c>
      <c r="D14" s="5"/>
      <c r="E14" s="6"/>
      <c r="G14" s="209" t="s">
        <v>791</v>
      </c>
      <c r="H14" s="5">
        <f>'Wing Sizing'!AV13</f>
        <v>25.2</v>
      </c>
      <c r="I14" s="124" t="s">
        <v>490</v>
      </c>
    </row>
    <row r="15" spans="1:9" x14ac:dyDescent="0.25">
      <c r="A15" s="76" t="s">
        <v>649</v>
      </c>
      <c r="B15" s="5">
        <v>2.6</v>
      </c>
      <c r="C15" s="5" t="s">
        <v>647</v>
      </c>
      <c r="D15" s="5"/>
      <c r="E15" s="6"/>
      <c r="G15" s="210" t="s">
        <v>410</v>
      </c>
      <c r="H15" s="8">
        <f>'Wing Sizing'!AV14</f>
        <v>24.1</v>
      </c>
      <c r="I15" s="150" t="s">
        <v>490</v>
      </c>
    </row>
    <row r="16" spans="1:9" x14ac:dyDescent="0.25">
      <c r="A16" s="76" t="s">
        <v>567</v>
      </c>
      <c r="B16" s="5">
        <v>0.25</v>
      </c>
      <c r="C16" s="5"/>
      <c r="D16" s="5" t="s">
        <v>661</v>
      </c>
      <c r="E16" s="6"/>
    </row>
    <row r="17" spans="1:17" x14ac:dyDescent="0.25">
      <c r="A17" s="111" t="s">
        <v>219</v>
      </c>
      <c r="B17" s="8">
        <v>10</v>
      </c>
      <c r="C17" s="8" t="s">
        <v>665</v>
      </c>
      <c r="D17" s="8"/>
      <c r="E17" s="9"/>
    </row>
    <row r="18" spans="1:17" x14ac:dyDescent="0.25">
      <c r="A18" s="76"/>
      <c r="B18" s="5"/>
      <c r="C18" s="5"/>
      <c r="D18" s="5"/>
      <c r="E18" s="6"/>
    </row>
    <row r="19" spans="1:17" x14ac:dyDescent="0.25">
      <c r="A19" s="295" t="s">
        <v>767</v>
      </c>
      <c r="B19" s="296"/>
      <c r="C19" s="296"/>
      <c r="D19" s="296"/>
      <c r="E19" s="297"/>
      <c r="G19" s="29"/>
      <c r="H19" s="29"/>
    </row>
    <row r="20" spans="1:17" x14ac:dyDescent="0.25">
      <c r="A20" s="177" t="s">
        <v>489</v>
      </c>
      <c r="B20" s="5">
        <v>0</v>
      </c>
      <c r="C20" s="5" t="s">
        <v>490</v>
      </c>
      <c r="D20" s="5"/>
      <c r="E20" s="6" t="s">
        <v>1167</v>
      </c>
      <c r="G20" s="29" t="s">
        <v>641</v>
      </c>
      <c r="H20" s="277"/>
      <c r="L20" t="s">
        <v>1164</v>
      </c>
    </row>
    <row r="21" spans="1:17" x14ac:dyDescent="0.25">
      <c r="A21" s="180" t="s">
        <v>643</v>
      </c>
      <c r="B21" s="170">
        <v>0</v>
      </c>
      <c r="C21" s="5"/>
      <c r="D21" s="5"/>
      <c r="E21" s="6"/>
      <c r="G21" s="223" t="s">
        <v>421</v>
      </c>
      <c r="H21" t="s">
        <v>651</v>
      </c>
      <c r="I21" t="s">
        <v>903</v>
      </c>
      <c r="J21" t="s">
        <v>905</v>
      </c>
      <c r="K21" t="s">
        <v>910</v>
      </c>
      <c r="L21" t="s">
        <v>160</v>
      </c>
      <c r="N21" t="s">
        <v>560</v>
      </c>
      <c r="P21" t="s">
        <v>360</v>
      </c>
    </row>
    <row r="22" spans="1:17" x14ac:dyDescent="0.25">
      <c r="A22" s="177" t="s">
        <v>642</v>
      </c>
      <c r="B22" s="5">
        <v>0.109</v>
      </c>
      <c r="C22" s="5" t="s">
        <v>493</v>
      </c>
      <c r="D22" s="5" t="s">
        <v>662</v>
      </c>
      <c r="E22" s="6"/>
      <c r="G22">
        <v>-6</v>
      </c>
      <c r="H22">
        <f>(G22-$B$5)*$B$7</f>
        <v>-0.54</v>
      </c>
      <c r="I22">
        <f>$B$8-($B$6*$H$11)/H22</f>
        <v>-0.21155555555555555</v>
      </c>
      <c r="J22">
        <f>0.86-0.1*H22-($B$17/100)</f>
        <v>0.81400000000000006</v>
      </c>
      <c r="K22">
        <f>I22-$B$8</f>
        <v>-0.45855555555555555</v>
      </c>
      <c r="L22" t="s">
        <v>1168</v>
      </c>
      <c r="M22" t="s">
        <v>651</v>
      </c>
      <c r="N22" t="s">
        <v>1168</v>
      </c>
      <c r="O22" t="s">
        <v>651</v>
      </c>
      <c r="P22" t="s">
        <v>1168</v>
      </c>
      <c r="Q22" t="s">
        <v>651</v>
      </c>
    </row>
    <row r="23" spans="1:17" x14ac:dyDescent="0.25">
      <c r="A23" s="177" t="s">
        <v>904</v>
      </c>
      <c r="B23" s="5">
        <v>0.25</v>
      </c>
      <c r="C23" s="5" t="s">
        <v>498</v>
      </c>
      <c r="D23" s="5"/>
      <c r="E23" s="6"/>
      <c r="G23">
        <v>-4</v>
      </c>
      <c r="H23">
        <f t="shared" ref="H23:H32" si="0">(G23-$B$5)*$B$7</f>
        <v>-0.32400000000000001</v>
      </c>
      <c r="I23">
        <f t="shared" ref="I23:I32" si="1">$B$8-($B$6*$H$11)/H23</f>
        <v>-0.51725925925925931</v>
      </c>
      <c r="J23">
        <f t="shared" ref="J23:J32" si="2">0.86-0.1*H23-($B$17/100)</f>
        <v>0.79239999999999999</v>
      </c>
      <c r="K23">
        <f t="shared" ref="K23:K32" si="3">I23-$B$8</f>
        <v>-0.7642592592592593</v>
      </c>
      <c r="L23">
        <f>B6</f>
        <v>-0.02</v>
      </c>
      <c r="M23">
        <v>0</v>
      </c>
      <c r="N23">
        <f>L23+$B$60</f>
        <v>-0.18</v>
      </c>
      <c r="O23">
        <v>0</v>
      </c>
      <c r="P23">
        <f>L23+$B$64</f>
        <v>-0.22</v>
      </c>
      <c r="Q23">
        <v>0</v>
      </c>
    </row>
    <row r="24" spans="1:17" x14ac:dyDescent="0.25">
      <c r="A24" s="14" t="s">
        <v>644</v>
      </c>
      <c r="B24" s="5">
        <v>13.4</v>
      </c>
      <c r="C24" s="5" t="s">
        <v>490</v>
      </c>
      <c r="D24" s="5"/>
      <c r="E24" s="6"/>
      <c r="G24">
        <v>-2</v>
      </c>
      <c r="H24">
        <f t="shared" si="0"/>
        <v>-0.108</v>
      </c>
      <c r="I24">
        <f t="shared" si="1"/>
        <v>-2.0457777777777779</v>
      </c>
      <c r="J24">
        <f t="shared" si="2"/>
        <v>0.77080000000000004</v>
      </c>
      <c r="K24">
        <f t="shared" si="3"/>
        <v>-2.2927777777777778</v>
      </c>
      <c r="L24">
        <f>-M24*$K$25</f>
        <v>-2.9714400000000003</v>
      </c>
      <c r="M24">
        <f>B54</f>
        <v>1.296</v>
      </c>
      <c r="N24">
        <f>-$K$25*O24+B60</f>
        <v>-3.1314400000000004</v>
      </c>
      <c r="O24">
        <f>B54</f>
        <v>1.296</v>
      </c>
      <c r="P24">
        <f>-Q24*$K$25+B64</f>
        <v>-3.1714400000000005</v>
      </c>
      <c r="Q24">
        <f>B54</f>
        <v>1.296</v>
      </c>
    </row>
    <row r="25" spans="1:17" x14ac:dyDescent="0.25">
      <c r="A25" s="14" t="s">
        <v>645</v>
      </c>
      <c r="B25" s="5">
        <v>1.32</v>
      </c>
      <c r="C25" s="5"/>
      <c r="D25" s="5" t="s">
        <v>663</v>
      </c>
      <c r="E25" s="6"/>
      <c r="G25">
        <v>0</v>
      </c>
      <c r="H25">
        <f t="shared" si="0"/>
        <v>0.108</v>
      </c>
      <c r="I25">
        <f t="shared" si="1"/>
        <v>2.5397777777777777</v>
      </c>
      <c r="J25">
        <f t="shared" si="2"/>
        <v>0.74919999999999998</v>
      </c>
      <c r="K25">
        <f t="shared" si="3"/>
        <v>2.2927777777777778</v>
      </c>
      <c r="L25">
        <f>-M25*$K$25</f>
        <v>-3.4391666666666669</v>
      </c>
      <c r="M25">
        <f>B10</f>
        <v>1.5</v>
      </c>
      <c r="N25">
        <f>-$K$25*O25</f>
        <v>-4.3228032222222224</v>
      </c>
      <c r="O25">
        <f>B10+B61</f>
        <v>1.8854</v>
      </c>
      <c r="P25">
        <f>-Q25*$K$25+B64</f>
        <v>-4.7484125555555554</v>
      </c>
      <c r="Q25">
        <f>M25+B65</f>
        <v>1.9838</v>
      </c>
    </row>
    <row r="26" spans="1:17" x14ac:dyDescent="0.25">
      <c r="A26" s="14" t="s">
        <v>708</v>
      </c>
      <c r="B26" s="5">
        <v>11.4</v>
      </c>
      <c r="C26" s="5" t="s">
        <v>490</v>
      </c>
      <c r="D26" s="5" t="s">
        <v>664</v>
      </c>
      <c r="E26" s="6"/>
      <c r="G26">
        <v>2</v>
      </c>
      <c r="H26">
        <f t="shared" si="0"/>
        <v>0.32400000000000001</v>
      </c>
      <c r="I26">
        <f t="shared" si="1"/>
        <v>1.0112592592592593</v>
      </c>
      <c r="J26">
        <f t="shared" si="2"/>
        <v>0.72760000000000002</v>
      </c>
      <c r="K26">
        <f t="shared" si="3"/>
        <v>0.7642592592592593</v>
      </c>
      <c r="L26">
        <v>-3.7</v>
      </c>
      <c r="M26">
        <v>1.4</v>
      </c>
      <c r="N26">
        <v>-4.7</v>
      </c>
      <c r="O26">
        <v>1.7</v>
      </c>
      <c r="P26">
        <v>-4.9000000000000004</v>
      </c>
      <c r="Q26">
        <v>1.8</v>
      </c>
    </row>
    <row r="27" spans="1:17" x14ac:dyDescent="0.25">
      <c r="A27" s="14" t="s">
        <v>646</v>
      </c>
      <c r="B27" s="5">
        <v>30</v>
      </c>
      <c r="C27" s="5" t="s">
        <v>647</v>
      </c>
      <c r="D27" s="5"/>
      <c r="E27" s="6"/>
      <c r="G27">
        <v>4</v>
      </c>
      <c r="H27">
        <f t="shared" si="0"/>
        <v>0.54</v>
      </c>
      <c r="I27">
        <f t="shared" si="1"/>
        <v>0.70555555555555549</v>
      </c>
      <c r="J27">
        <f t="shared" si="2"/>
        <v>0.70599999999999996</v>
      </c>
      <c r="K27">
        <f t="shared" si="3"/>
        <v>0.45855555555555549</v>
      </c>
    </row>
    <row r="28" spans="1:17" x14ac:dyDescent="0.25">
      <c r="A28" s="14" t="s">
        <v>403</v>
      </c>
      <c r="B28" s="5">
        <v>0</v>
      </c>
      <c r="C28" s="5" t="s">
        <v>647</v>
      </c>
      <c r="D28" s="5"/>
      <c r="E28" s="6"/>
      <c r="G28">
        <v>6</v>
      </c>
      <c r="H28">
        <f t="shared" si="0"/>
        <v>0.75600000000000001</v>
      </c>
      <c r="I28">
        <f t="shared" si="1"/>
        <v>0.57453968253968246</v>
      </c>
      <c r="J28">
        <f t="shared" si="2"/>
        <v>0.68440000000000001</v>
      </c>
      <c r="K28">
        <f t="shared" si="3"/>
        <v>0.32753968253968246</v>
      </c>
    </row>
    <row r="29" spans="1:17" x14ac:dyDescent="0.25">
      <c r="A29" s="14" t="s">
        <v>648</v>
      </c>
      <c r="B29" s="5">
        <v>0</v>
      </c>
      <c r="C29" s="5" t="s">
        <v>647</v>
      </c>
      <c r="D29" s="5"/>
      <c r="E29" s="6"/>
      <c r="G29">
        <v>8</v>
      </c>
      <c r="H29">
        <f t="shared" si="0"/>
        <v>0.97199999999999998</v>
      </c>
      <c r="I29">
        <f t="shared" si="1"/>
        <v>0.50175308641975302</v>
      </c>
      <c r="J29">
        <f t="shared" si="2"/>
        <v>0.66279999999999994</v>
      </c>
      <c r="K29">
        <f t="shared" si="3"/>
        <v>0.25475308641975303</v>
      </c>
    </row>
    <row r="30" spans="1:17" x14ac:dyDescent="0.25">
      <c r="A30" s="76" t="s">
        <v>649</v>
      </c>
      <c r="B30" s="5" t="s">
        <v>1165</v>
      </c>
      <c r="C30" s="5" t="s">
        <v>647</v>
      </c>
      <c r="D30" s="5"/>
      <c r="E30" s="6"/>
      <c r="G30">
        <v>10</v>
      </c>
      <c r="H30">
        <f t="shared" si="0"/>
        <v>1.1879999999999999</v>
      </c>
      <c r="I30">
        <f t="shared" si="1"/>
        <v>0.45543434343434341</v>
      </c>
      <c r="J30">
        <f t="shared" si="2"/>
        <v>0.64119999999999999</v>
      </c>
      <c r="K30">
        <f t="shared" si="3"/>
        <v>0.20843434343434342</v>
      </c>
    </row>
    <row r="31" spans="1:17" x14ac:dyDescent="0.25">
      <c r="A31" s="76" t="s">
        <v>567</v>
      </c>
      <c r="B31" s="5">
        <v>1</v>
      </c>
      <c r="C31" s="5"/>
      <c r="D31" s="5" t="s">
        <v>661</v>
      </c>
      <c r="E31" s="6"/>
      <c r="G31">
        <v>12</v>
      </c>
      <c r="H31">
        <f t="shared" si="0"/>
        <v>1.4039999999999999</v>
      </c>
      <c r="I31">
        <f t="shared" si="1"/>
        <v>0.42336752136752137</v>
      </c>
      <c r="J31">
        <f t="shared" si="2"/>
        <v>0.61960000000000004</v>
      </c>
      <c r="K31">
        <f t="shared" si="3"/>
        <v>0.17636752136752137</v>
      </c>
    </row>
    <row r="32" spans="1:17" x14ac:dyDescent="0.25">
      <c r="A32" s="111" t="s">
        <v>219</v>
      </c>
      <c r="B32" s="8">
        <v>9</v>
      </c>
      <c r="C32" s="8" t="s">
        <v>665</v>
      </c>
      <c r="D32" s="8"/>
      <c r="E32" s="9"/>
      <c r="G32">
        <v>14</v>
      </c>
      <c r="H32">
        <f t="shared" si="0"/>
        <v>1.6199999999999999</v>
      </c>
      <c r="I32">
        <f t="shared" si="1"/>
        <v>0.3998518518518519</v>
      </c>
      <c r="J32">
        <f t="shared" si="2"/>
        <v>0.59799999999999998</v>
      </c>
      <c r="K32">
        <f t="shared" si="3"/>
        <v>0.15285185185185191</v>
      </c>
    </row>
    <row r="33" spans="1:5" x14ac:dyDescent="0.25">
      <c r="A33" s="168"/>
      <c r="B33" s="5"/>
      <c r="C33" s="5"/>
      <c r="D33" s="5"/>
      <c r="E33" s="5"/>
    </row>
    <row r="34" spans="1:5" x14ac:dyDescent="0.25">
      <c r="A34" s="325" t="s">
        <v>920</v>
      </c>
      <c r="B34" s="326"/>
      <c r="C34" s="326"/>
      <c r="D34" s="326"/>
      <c r="E34" s="327"/>
    </row>
    <row r="35" spans="1:5" x14ac:dyDescent="0.25">
      <c r="A35" s="204" t="s">
        <v>903</v>
      </c>
      <c r="B35" s="179" t="e">
        <f>B36-(B37*B38)/B39</f>
        <v>#DIV/0!</v>
      </c>
      <c r="C35" s="2"/>
      <c r="D35" s="2"/>
      <c r="E35" s="3"/>
    </row>
    <row r="36" spans="1:5" x14ac:dyDescent="0.25">
      <c r="A36" s="4" t="s">
        <v>904</v>
      </c>
      <c r="B36" s="5">
        <f>B8</f>
        <v>0.247</v>
      </c>
      <c r="C36" s="5"/>
      <c r="D36" s="5"/>
      <c r="E36" s="6"/>
    </row>
    <row r="37" spans="1:5" x14ac:dyDescent="0.25">
      <c r="A37" s="4" t="s">
        <v>1166</v>
      </c>
      <c r="B37" s="5">
        <f>B6</f>
        <v>-0.02</v>
      </c>
      <c r="C37" s="5"/>
      <c r="D37" s="5"/>
      <c r="E37" s="6"/>
    </row>
    <row r="38" spans="1:5" x14ac:dyDescent="0.25">
      <c r="A38" s="4" t="s">
        <v>145</v>
      </c>
      <c r="B38" s="5">
        <f>H11</f>
        <v>12.381</v>
      </c>
      <c r="C38" s="5"/>
      <c r="D38" s="5"/>
      <c r="E38" s="6"/>
    </row>
    <row r="39" spans="1:5" x14ac:dyDescent="0.25">
      <c r="A39" s="7" t="s">
        <v>651</v>
      </c>
      <c r="B39" s="8"/>
      <c r="C39" s="8"/>
      <c r="D39" s="8"/>
      <c r="E39" s="9"/>
    </row>
    <row r="40" spans="1:5" x14ac:dyDescent="0.25">
      <c r="A40" s="35" t="s">
        <v>905</v>
      </c>
      <c r="B40" s="2">
        <f>0.86-0.1*B41-B42</f>
        <v>0.76</v>
      </c>
      <c r="C40" s="2"/>
      <c r="D40" s="2" t="s">
        <v>933</v>
      </c>
      <c r="E40" s="3" t="s">
        <v>906</v>
      </c>
    </row>
    <row r="41" spans="1:5" x14ac:dyDescent="0.25">
      <c r="A41" s="36" t="s">
        <v>651</v>
      </c>
      <c r="B41" s="5"/>
      <c r="C41" s="5"/>
      <c r="D41" s="11" t="s">
        <v>908</v>
      </c>
      <c r="E41" s="6"/>
    </row>
    <row r="42" spans="1:5" x14ac:dyDescent="0.25">
      <c r="A42" s="36" t="s">
        <v>219</v>
      </c>
      <c r="B42" s="5">
        <v>0.1</v>
      </c>
      <c r="C42" s="5"/>
      <c r="D42" s="5" t="s">
        <v>909</v>
      </c>
      <c r="E42" s="6"/>
    </row>
    <row r="43" spans="1:5" x14ac:dyDescent="0.25">
      <c r="A43" s="14"/>
      <c r="B43" s="5" t="s">
        <v>651</v>
      </c>
      <c r="C43" s="5" t="s">
        <v>905</v>
      </c>
      <c r="D43" s="5"/>
      <c r="E43" s="6"/>
    </row>
    <row r="44" spans="1:5" x14ac:dyDescent="0.25">
      <c r="A44" s="14"/>
      <c r="B44" s="5"/>
      <c r="C44" s="5">
        <f t="shared" ref="C44:C49" si="4">0.86-0.1*B44-$B$42</f>
        <v>0.76</v>
      </c>
      <c r="D44" s="5"/>
      <c r="E44" s="6"/>
    </row>
    <row r="45" spans="1:5" x14ac:dyDescent="0.25">
      <c r="A45" s="14"/>
      <c r="B45" s="5"/>
      <c r="C45" s="5">
        <f t="shared" si="4"/>
        <v>0.76</v>
      </c>
      <c r="D45" s="5"/>
      <c r="E45" s="6"/>
    </row>
    <row r="46" spans="1:5" x14ac:dyDescent="0.25">
      <c r="A46" s="14"/>
      <c r="B46" s="5"/>
      <c r="C46" s="5">
        <f t="shared" si="4"/>
        <v>0.76</v>
      </c>
      <c r="D46" s="5"/>
      <c r="E46" s="6"/>
    </row>
    <row r="47" spans="1:5" x14ac:dyDescent="0.25">
      <c r="A47" s="14"/>
      <c r="B47" s="5"/>
      <c r="C47" s="5">
        <f t="shared" si="4"/>
        <v>0.76</v>
      </c>
      <c r="D47" s="5"/>
      <c r="E47" s="6"/>
    </row>
    <row r="48" spans="1:5" x14ac:dyDescent="0.25">
      <c r="A48" s="14"/>
      <c r="B48" s="5"/>
      <c r="C48" s="5">
        <f t="shared" si="4"/>
        <v>0.76</v>
      </c>
      <c r="D48" s="5"/>
      <c r="E48" s="6"/>
    </row>
    <row r="49" spans="1:12" x14ac:dyDescent="0.25">
      <c r="A49" s="10"/>
      <c r="B49" s="8"/>
      <c r="C49" s="8">
        <f t="shared" si="4"/>
        <v>0.76</v>
      </c>
      <c r="D49" s="8"/>
      <c r="E49" s="9"/>
    </row>
    <row r="50" spans="1:12" x14ac:dyDescent="0.25">
      <c r="A50" s="199" t="s">
        <v>910</v>
      </c>
      <c r="B50" s="179" t="e">
        <f>(B51-B52)/B53</f>
        <v>#DIV/0!</v>
      </c>
      <c r="C50" s="2"/>
      <c r="D50" s="159" t="s">
        <v>912</v>
      </c>
      <c r="E50" s="3" t="s">
        <v>913</v>
      </c>
    </row>
    <row r="51" spans="1:12" x14ac:dyDescent="0.25">
      <c r="A51" s="36" t="s">
        <v>911</v>
      </c>
      <c r="B51" s="5"/>
      <c r="C51" s="5"/>
      <c r="D51" s="11" t="s">
        <v>932</v>
      </c>
      <c r="E51" s="6"/>
    </row>
    <row r="52" spans="1:12" x14ac:dyDescent="0.25">
      <c r="A52" s="36" t="s">
        <v>904</v>
      </c>
      <c r="B52" s="5">
        <f>B39/4</f>
        <v>0</v>
      </c>
      <c r="C52" s="5"/>
      <c r="D52" s="11" t="s">
        <v>931</v>
      </c>
      <c r="E52" s="6"/>
    </row>
    <row r="53" spans="1:12" x14ac:dyDescent="0.25">
      <c r="A53" s="37" t="s">
        <v>145</v>
      </c>
      <c r="B53" s="8">
        <f>B39</f>
        <v>0</v>
      </c>
      <c r="C53" s="8"/>
      <c r="D53" s="20" t="s">
        <v>907</v>
      </c>
      <c r="E53" s="9"/>
    </row>
    <row r="54" spans="1:12" x14ac:dyDescent="0.25">
      <c r="A54" s="199" t="s">
        <v>914</v>
      </c>
      <c r="B54" s="179">
        <f>B55*(B56-B57)</f>
        <v>1.296</v>
      </c>
      <c r="C54" s="2"/>
      <c r="D54" s="2" t="s">
        <v>917</v>
      </c>
      <c r="E54" s="3" t="s">
        <v>916</v>
      </c>
    </row>
    <row r="55" spans="1:12" x14ac:dyDescent="0.25">
      <c r="A55" s="36" t="s">
        <v>915</v>
      </c>
      <c r="B55" s="5">
        <f>B7</f>
        <v>0.108</v>
      </c>
      <c r="C55" s="5"/>
      <c r="D55" s="11" t="s">
        <v>727</v>
      </c>
      <c r="E55" s="6"/>
    </row>
    <row r="56" spans="1:12" x14ac:dyDescent="0.25">
      <c r="A56" s="56" t="s">
        <v>708</v>
      </c>
      <c r="B56" s="5">
        <f>B11</f>
        <v>11</v>
      </c>
      <c r="C56" s="5"/>
      <c r="D56" s="11" t="s">
        <v>918</v>
      </c>
      <c r="E56" s="6"/>
    </row>
    <row r="57" spans="1:12" x14ac:dyDescent="0.25">
      <c r="A57" s="197" t="s">
        <v>489</v>
      </c>
      <c r="B57" s="8">
        <f>B5</f>
        <v>-1</v>
      </c>
      <c r="C57" s="8"/>
      <c r="D57" s="8" t="s">
        <v>919</v>
      </c>
      <c r="E57" s="9"/>
    </row>
    <row r="59" spans="1:12" x14ac:dyDescent="0.25">
      <c r="A59" s="322" t="s">
        <v>161</v>
      </c>
      <c r="B59" s="323"/>
      <c r="C59" s="323"/>
      <c r="D59" s="323"/>
      <c r="E59" s="324"/>
      <c r="G59" t="s">
        <v>1164</v>
      </c>
    </row>
    <row r="60" spans="1:12" x14ac:dyDescent="0.25">
      <c r="A60" s="201" t="s">
        <v>921</v>
      </c>
      <c r="B60" s="170">
        <v>-0.16</v>
      </c>
      <c r="C60" s="5"/>
      <c r="D60" s="5" t="s">
        <v>924</v>
      </c>
      <c r="E60" s="6" t="s">
        <v>923</v>
      </c>
      <c r="G60" t="s">
        <v>652</v>
      </c>
      <c r="I60" t="s">
        <v>560</v>
      </c>
      <c r="K60" t="s">
        <v>360</v>
      </c>
    </row>
    <row r="61" spans="1:12" x14ac:dyDescent="0.25">
      <c r="A61" s="202" t="s">
        <v>922</v>
      </c>
      <c r="B61" s="203">
        <f>'C_L vs. α'!B27</f>
        <v>0.38539999999999996</v>
      </c>
      <c r="C61" s="8"/>
      <c r="D61" s="8" t="s">
        <v>925</v>
      </c>
      <c r="E61" s="9" t="s">
        <v>742</v>
      </c>
      <c r="G61" t="s">
        <v>1170</v>
      </c>
      <c r="H61" t="s">
        <v>244</v>
      </c>
      <c r="I61" t="s">
        <v>1170</v>
      </c>
      <c r="J61" t="s">
        <v>244</v>
      </c>
      <c r="K61" t="s">
        <v>1170</v>
      </c>
      <c r="L61" t="s">
        <v>244</v>
      </c>
    </row>
    <row r="62" spans="1:12" x14ac:dyDescent="0.25">
      <c r="G62">
        <f>B68</f>
        <v>-1.328311879275689E-2</v>
      </c>
      <c r="H62">
        <v>0</v>
      </c>
      <c r="I62">
        <f>G62-$V$118</f>
        <v>-3.1929379703713869</v>
      </c>
      <c r="J62">
        <v>0</v>
      </c>
      <c r="K62">
        <f>G62-$Z$118</f>
        <v>-4.3438544870945792</v>
      </c>
      <c r="L62">
        <v>0</v>
      </c>
    </row>
    <row r="63" spans="1:12" x14ac:dyDescent="0.25">
      <c r="A63" s="322" t="s">
        <v>749</v>
      </c>
      <c r="B63" s="323"/>
      <c r="C63" s="323"/>
      <c r="D63" s="323"/>
      <c r="E63" s="324"/>
      <c r="G63">
        <f>B78*H63</f>
        <v>-0.17903684070200776</v>
      </c>
      <c r="H63">
        <f>J72*(11--1)</f>
        <v>1.2347677833843347</v>
      </c>
      <c r="I63">
        <f t="shared" ref="I63:I64" si="5">G63-$V$118</f>
        <v>-3.3586916922806376</v>
      </c>
      <c r="J63">
        <f>H63+M72</f>
        <v>1.6206009173630227</v>
      </c>
      <c r="K63">
        <f t="shared" ref="K63:K64" si="6">G63-$Z$118</f>
        <v>-4.5096082090038303</v>
      </c>
      <c r="L63">
        <f>H63+O72</f>
        <v>1.7942258276534324</v>
      </c>
    </row>
    <row r="64" spans="1:12" x14ac:dyDescent="0.25">
      <c r="A64" s="201" t="s">
        <v>921</v>
      </c>
      <c r="B64" s="170">
        <v>-0.2</v>
      </c>
      <c r="C64" s="5"/>
      <c r="D64" s="5" t="s">
        <v>924</v>
      </c>
      <c r="E64" s="6" t="s">
        <v>923</v>
      </c>
      <c r="G64" s="95">
        <v>-0.22</v>
      </c>
      <c r="H64">
        <f>J72*(14--1)</f>
        <v>1.5434597292304184</v>
      </c>
      <c r="I64">
        <f t="shared" si="5"/>
        <v>-3.3996548515786302</v>
      </c>
      <c r="J64">
        <f>H64+N72</f>
        <v>1.7245239817041065</v>
      </c>
      <c r="K64">
        <f t="shared" si="6"/>
        <v>-4.5505713683018225</v>
      </c>
      <c r="L64">
        <f>H64+P72</f>
        <v>1.7707531525484523</v>
      </c>
    </row>
    <row r="65" spans="1:47" x14ac:dyDescent="0.25">
      <c r="A65" s="202" t="s">
        <v>922</v>
      </c>
      <c r="B65" s="203">
        <f>'C_L vs. α'!B41</f>
        <v>0.48379999999999995</v>
      </c>
      <c r="C65" s="8"/>
      <c r="D65" s="8" t="s">
        <v>925</v>
      </c>
      <c r="E65" s="9" t="s">
        <v>742</v>
      </c>
      <c r="R65" t="s">
        <v>1177</v>
      </c>
    </row>
    <row r="66" spans="1:47" ht="15.75" x14ac:dyDescent="0.25">
      <c r="G66" t="s">
        <v>1150</v>
      </c>
      <c r="R66" s="223" t="s">
        <v>1171</v>
      </c>
      <c r="S66">
        <v>-1</v>
      </c>
    </row>
    <row r="67" spans="1:47" x14ac:dyDescent="0.25">
      <c r="A67" s="319" t="s">
        <v>688</v>
      </c>
      <c r="B67" s="319"/>
      <c r="C67" s="319"/>
      <c r="D67" s="319"/>
      <c r="E67" s="187" t="s">
        <v>926</v>
      </c>
      <c r="H67" s="302" t="s">
        <v>1169</v>
      </c>
      <c r="I67" s="302"/>
      <c r="K67" t="s">
        <v>160</v>
      </c>
      <c r="M67" t="s">
        <v>560</v>
      </c>
      <c r="O67" t="s">
        <v>360</v>
      </c>
      <c r="R67" t="s">
        <v>182</v>
      </c>
      <c r="S67">
        <v>0.05</v>
      </c>
      <c r="W67" t="s">
        <v>182</v>
      </c>
      <c r="X67">
        <v>0.1</v>
      </c>
      <c r="AB67" t="s">
        <v>182</v>
      </c>
      <c r="AC67">
        <v>0.15</v>
      </c>
      <c r="AG67" t="s">
        <v>182</v>
      </c>
      <c r="AH67">
        <v>0.2</v>
      </c>
      <c r="AL67" t="s">
        <v>182</v>
      </c>
      <c r="AM67">
        <v>0.25</v>
      </c>
      <c r="AQ67" t="s">
        <v>182</v>
      </c>
      <c r="AR67">
        <v>0.3</v>
      </c>
    </row>
    <row r="68" spans="1:47" x14ac:dyDescent="0.25">
      <c r="A68" s="204" t="s">
        <v>947</v>
      </c>
      <c r="B68" s="179">
        <f>B71*(COS(B72))^2/(B71+2*COS(B72))*(B69+B70)/2+B73*B74</f>
        <v>-1.328311879275689E-2</v>
      </c>
      <c r="C68" s="2"/>
      <c r="D68" s="2" t="s">
        <v>950</v>
      </c>
      <c r="E68" s="3" t="s">
        <v>952</v>
      </c>
      <c r="G68" t="s">
        <v>182</v>
      </c>
      <c r="H68" s="59" t="s">
        <v>955</v>
      </c>
      <c r="I68" t="s">
        <v>951</v>
      </c>
      <c r="J68" t="s">
        <v>719</v>
      </c>
      <c r="K68" t="s">
        <v>535</v>
      </c>
      <c r="L68" t="s">
        <v>94</v>
      </c>
      <c r="M68" t="s">
        <v>750</v>
      </c>
      <c r="N68" t="s">
        <v>737</v>
      </c>
      <c r="O68" t="s">
        <v>750</v>
      </c>
      <c r="P68" t="s">
        <v>737</v>
      </c>
      <c r="R68" t="s">
        <v>1150</v>
      </c>
      <c r="S68" t="s">
        <v>160</v>
      </c>
      <c r="U68" t="s">
        <v>560</v>
      </c>
      <c r="V68" t="s">
        <v>360</v>
      </c>
      <c r="W68" t="s">
        <v>1150</v>
      </c>
      <c r="X68" t="s">
        <v>160</v>
      </c>
      <c r="Z68" t="s">
        <v>560</v>
      </c>
      <c r="AA68" t="s">
        <v>360</v>
      </c>
      <c r="AB68" t="s">
        <v>1150</v>
      </c>
      <c r="AC68" t="s">
        <v>160</v>
      </c>
      <c r="AE68" t="s">
        <v>560</v>
      </c>
      <c r="AF68" t="s">
        <v>360</v>
      </c>
      <c r="AG68" t="s">
        <v>1150</v>
      </c>
      <c r="AH68" t="s">
        <v>160</v>
      </c>
      <c r="AJ68" t="s">
        <v>560</v>
      </c>
      <c r="AK68" t="s">
        <v>360</v>
      </c>
      <c r="AL68" t="s">
        <v>1150</v>
      </c>
      <c r="AM68" t="s">
        <v>160</v>
      </c>
      <c r="AO68" t="s">
        <v>560</v>
      </c>
      <c r="AP68" t="s">
        <v>360</v>
      </c>
      <c r="AQ68" t="s">
        <v>1150</v>
      </c>
      <c r="AR68" t="s">
        <v>160</v>
      </c>
      <c r="AT68" t="s">
        <v>560</v>
      </c>
      <c r="AU68" t="s">
        <v>360</v>
      </c>
    </row>
    <row r="69" spans="1:47" x14ac:dyDescent="0.25">
      <c r="A69" s="4" t="s">
        <v>943</v>
      </c>
      <c r="B69" s="5">
        <f>B6</f>
        <v>-0.02</v>
      </c>
      <c r="C69" s="5"/>
      <c r="D69" s="5" t="s">
        <v>945</v>
      </c>
      <c r="E69" s="6"/>
      <c r="G69">
        <v>0</v>
      </c>
      <c r="H69">
        <v>1</v>
      </c>
      <c r="I69">
        <f>H69*$B$68</f>
        <v>-1.328311879275689E-2</v>
      </c>
      <c r="J69">
        <f>'C_L vs. α'!O316</f>
        <v>0.10073378060434053</v>
      </c>
      <c r="K69" t="e">
        <f>'C_L vs. α'!Y316</f>
        <v>#NUM!</v>
      </c>
      <c r="L69">
        <f>'C_L vs. α'!Z316</f>
        <v>1.3895138342550233</v>
      </c>
      <c r="M69">
        <f>'C_L vs. α'!AA316</f>
        <v>0.38204298311929219</v>
      </c>
      <c r="N69">
        <f>'C_L vs. α'!AB316</f>
        <v>0.18106425247368804</v>
      </c>
      <c r="O69">
        <f>'C_L vs. α'!AC316</f>
        <v>0.55396232552297364</v>
      </c>
      <c r="P69">
        <f>'C_L vs. α'!AD316</f>
        <v>0.22729342331803393</v>
      </c>
      <c r="R69" s="223" t="s">
        <v>421</v>
      </c>
      <c r="S69" s="223" t="s">
        <v>244</v>
      </c>
      <c r="T69" t="s">
        <v>1170</v>
      </c>
      <c r="U69" s="223" t="s">
        <v>244</v>
      </c>
      <c r="V69" s="223" t="s">
        <v>244</v>
      </c>
      <c r="W69" s="223" t="s">
        <v>421</v>
      </c>
      <c r="X69" s="223" t="s">
        <v>244</v>
      </c>
      <c r="Y69" t="s">
        <v>1170</v>
      </c>
      <c r="Z69" s="223" t="s">
        <v>244</v>
      </c>
      <c r="AA69" s="223" t="s">
        <v>244</v>
      </c>
      <c r="AB69" s="223" t="s">
        <v>421</v>
      </c>
      <c r="AC69" s="223" t="s">
        <v>244</v>
      </c>
      <c r="AD69" t="s">
        <v>1170</v>
      </c>
      <c r="AE69" s="223" t="s">
        <v>244</v>
      </c>
      <c r="AF69" s="223" t="s">
        <v>244</v>
      </c>
      <c r="AG69" s="223" t="s">
        <v>421</v>
      </c>
      <c r="AH69" s="223" t="s">
        <v>244</v>
      </c>
      <c r="AI69" t="s">
        <v>1170</v>
      </c>
      <c r="AJ69" s="223" t="s">
        <v>244</v>
      </c>
      <c r="AK69" s="223" t="s">
        <v>244</v>
      </c>
      <c r="AL69" s="223" t="s">
        <v>421</v>
      </c>
      <c r="AM69" s="223" t="s">
        <v>244</v>
      </c>
      <c r="AN69" t="s">
        <v>1170</v>
      </c>
      <c r="AO69" s="223" t="s">
        <v>244</v>
      </c>
      <c r="AP69" s="223" t="s">
        <v>244</v>
      </c>
      <c r="AQ69" s="223" t="s">
        <v>421</v>
      </c>
      <c r="AR69" s="223" t="s">
        <v>244</v>
      </c>
      <c r="AS69" t="s">
        <v>1170</v>
      </c>
      <c r="AT69" s="223" t="s">
        <v>244</v>
      </c>
      <c r="AU69" s="223" t="s">
        <v>244</v>
      </c>
    </row>
    <row r="70" spans="1:47" x14ac:dyDescent="0.25">
      <c r="A70" s="4" t="s">
        <v>944</v>
      </c>
      <c r="B70" s="5">
        <f>B6</f>
        <v>-0.02</v>
      </c>
      <c r="C70" s="5"/>
      <c r="D70" s="5" t="s">
        <v>946</v>
      </c>
      <c r="E70" s="6"/>
      <c r="G70">
        <v>0.05</v>
      </c>
      <c r="H70">
        <v>1</v>
      </c>
      <c r="I70">
        <f t="shared" ref="I70:I86" si="7">H70*$B$68</f>
        <v>-1.328311879275689E-2</v>
      </c>
      <c r="J70">
        <f>'C_L vs. α'!O317</f>
        <v>0.10096966142983717</v>
      </c>
      <c r="K70">
        <f>'C_L vs. α'!Y317</f>
        <v>0.10617629882976769</v>
      </c>
      <c r="L70">
        <f>'C_L vs. α'!Z317</f>
        <v>1.3893392287660531</v>
      </c>
      <c r="M70">
        <f>'C_L vs. α'!AA317</f>
        <v>0.3824586133220616</v>
      </c>
      <c r="N70">
        <f>'C_L vs. α'!AB317</f>
        <v>0.18106425247368804</v>
      </c>
      <c r="O70">
        <f>'C_L vs. α'!AC317</f>
        <v>0.55456498931698928</v>
      </c>
      <c r="P70">
        <f>'C_L vs. α'!AD317</f>
        <v>0.22729342331803393</v>
      </c>
      <c r="R70">
        <v>-6</v>
      </c>
      <c r="S70">
        <f>(R70-$S$66)*$J$70</f>
        <v>-0.50484830714918583</v>
      </c>
      <c r="T70">
        <f>$B$68+$B$78*S70</f>
        <v>5.9918050821508397E-2</v>
      </c>
      <c r="U70">
        <f t="shared" ref="U70:U80" si="8">S70+M69</f>
        <v>-0.12280532402989364</v>
      </c>
      <c r="V70">
        <f t="shared" ref="V70:V80" si="9">S70+O69</f>
        <v>4.9114018373787816E-2</v>
      </c>
      <c r="W70">
        <v>-6</v>
      </c>
      <c r="X70">
        <f>(W70-$S$66)*$J$71</f>
        <v>-0.50841995837079179</v>
      </c>
      <c r="Y70">
        <f>$B$68+$B$78*X70</f>
        <v>6.0435927267112714E-2</v>
      </c>
      <c r="Z70">
        <f t="shared" ref="Z70:Z80" si="10">X70+$M69</f>
        <v>-0.1263769752514996</v>
      </c>
      <c r="AA70">
        <f t="shared" ref="AA70:AA80" si="11">X70+$O69</f>
        <v>4.5542367152181851E-2</v>
      </c>
      <c r="AB70">
        <v>-6</v>
      </c>
      <c r="AC70">
        <f>(AB70-$S$66)*$J$72</f>
        <v>-0.5144865764101394</v>
      </c>
      <c r="AD70">
        <f>$B$68+$B$78*AC70</f>
        <v>6.1315564833079671E-2</v>
      </c>
      <c r="AE70">
        <f t="shared" ref="AE70:AE80" si="12">AC70+$M69</f>
        <v>-0.13244359329084721</v>
      </c>
      <c r="AF70">
        <f t="shared" ref="AF70:AF80" si="13">AC70+$O69</f>
        <v>3.9475749112834246E-2</v>
      </c>
      <c r="AG70">
        <v>-6</v>
      </c>
      <c r="AH70">
        <f>(AG70-$S$66)*$J$73</f>
        <v>-0.52322770005879282</v>
      </c>
      <c r="AI70">
        <f>$B$68+$B$78*AH70</f>
        <v>6.2582995991634124E-2</v>
      </c>
      <c r="AJ70">
        <f t="shared" ref="AJ70:AJ80" si="14">AH70+$M69</f>
        <v>-0.14118471693950063</v>
      </c>
      <c r="AK70">
        <f t="shared" ref="AK70:AK80" si="15">AH70+$O69</f>
        <v>3.073462546418082E-2</v>
      </c>
      <c r="AL70">
        <v>-6</v>
      </c>
      <c r="AM70">
        <f>(AL70-$S$66)*$J$74</f>
        <v>-0.53491342000477871</v>
      </c>
      <c r="AN70">
        <f>$B$68+$B$78*AM70</f>
        <v>6.4277382910867931E-2</v>
      </c>
      <c r="AO70">
        <f t="shared" ref="AO70:AO80" si="16">AM70+$M69</f>
        <v>-0.15287043688548652</v>
      </c>
      <c r="AP70">
        <f t="shared" ref="AP70:AP80" si="17">AM70+$O69</f>
        <v>1.9048905518194936E-2</v>
      </c>
      <c r="AQ70">
        <v>-6</v>
      </c>
      <c r="AR70">
        <f>(AQ70-$S$66)*$J$75</f>
        <v>-0.5499263441672646</v>
      </c>
      <c r="AS70">
        <f>$B$68+$B$78*AR70</f>
        <v>6.6454202348433133E-2</v>
      </c>
      <c r="AT70">
        <f t="shared" ref="AT70:AT80" si="18">AR70+$M69</f>
        <v>-0.16788336104797241</v>
      </c>
      <c r="AU70">
        <f t="shared" ref="AU70:AU80" si="19">AR70+$O69</f>
        <v>4.0359813557090396E-3</v>
      </c>
    </row>
    <row r="71" spans="1:47" s="95" customFormat="1" x14ac:dyDescent="0.25">
      <c r="A71" s="4" t="s">
        <v>87</v>
      </c>
      <c r="B71" s="5">
        <f>H6</f>
        <v>4</v>
      </c>
      <c r="C71" s="5"/>
      <c r="D71" s="5" t="s">
        <v>894</v>
      </c>
      <c r="E71" s="6"/>
      <c r="G71" s="95">
        <v>0.1</v>
      </c>
      <c r="H71" s="95">
        <v>1</v>
      </c>
      <c r="I71">
        <f t="shared" si="7"/>
        <v>-1.328311879275689E-2</v>
      </c>
      <c r="J71">
        <f>'C_L vs. α'!O318</f>
        <v>0.10168399167415836</v>
      </c>
      <c r="K71">
        <f>'C_L vs. α'!Y318</f>
        <v>0.10702619135747343</v>
      </c>
      <c r="L71">
        <f>'C_L vs. α'!Z318</f>
        <v>1.3887992847003412</v>
      </c>
      <c r="M71">
        <f>'C_L vs. α'!AA318</f>
        <v>0.38371367545476148</v>
      </c>
      <c r="N71">
        <f>'C_L vs. α'!AB318</f>
        <v>0.18106425247368804</v>
      </c>
      <c r="O71">
        <f>'C_L vs. α'!AC318</f>
        <v>0.55638482940940404</v>
      </c>
      <c r="P71">
        <f>'C_L vs. α'!AD318</f>
        <v>0.22729342331803393</v>
      </c>
      <c r="R71">
        <v>-4</v>
      </c>
      <c r="S71">
        <f t="shared" ref="S71:S80" si="20">(R71-$S$66)*$J$70</f>
        <v>-0.30290898428951152</v>
      </c>
      <c r="T71">
        <f t="shared" ref="T71:T80" si="21">$B$68+$B$78*S71</f>
        <v>3.0637582975802283E-2</v>
      </c>
      <c r="U71">
        <f t="shared" si="8"/>
        <v>7.9549629032550084E-2</v>
      </c>
      <c r="V71">
        <f t="shared" si="9"/>
        <v>0.25165600502747776</v>
      </c>
      <c r="W71">
        <v>-4</v>
      </c>
      <c r="X71">
        <f t="shared" ref="X71:X80" si="22">(W71-$S$66)*$J$71</f>
        <v>-0.30505197502247505</v>
      </c>
      <c r="Y71">
        <f t="shared" ref="Y71:Y80" si="23">$B$68+$B$78*X71</f>
        <v>3.0948308843164865E-2</v>
      </c>
      <c r="Z71">
        <f t="shared" si="10"/>
        <v>7.740663829958655E-2</v>
      </c>
      <c r="AA71">
        <f t="shared" si="11"/>
        <v>0.24951301429451422</v>
      </c>
      <c r="AB71">
        <v>-4</v>
      </c>
      <c r="AC71">
        <f t="shared" ref="AC71:AC80" si="24">(AB71-$S$66)*$J$72</f>
        <v>-0.30869194584608367</v>
      </c>
      <c r="AD71">
        <f t="shared" ref="AD71:AD80" si="25">$B$68+$B$78*AC71</f>
        <v>3.1476091382745049E-2</v>
      </c>
      <c r="AE71">
        <f t="shared" si="12"/>
        <v>7.3766667475977932E-2</v>
      </c>
      <c r="AF71">
        <f t="shared" si="13"/>
        <v>0.24587304347090561</v>
      </c>
      <c r="AG71">
        <v>-4</v>
      </c>
      <c r="AH71">
        <f t="shared" ref="AH71:AH80" si="26">(AG71-$S$66)*$J$73</f>
        <v>-0.31393662003527567</v>
      </c>
      <c r="AI71">
        <f t="shared" ref="AI71:AI80" si="27">$B$68+$B$78*AH71</f>
        <v>3.2236550077877707E-2</v>
      </c>
      <c r="AJ71">
        <f t="shared" si="14"/>
        <v>6.8521993286785932E-2</v>
      </c>
      <c r="AK71">
        <f t="shared" si="15"/>
        <v>0.24062836928171361</v>
      </c>
      <c r="AL71">
        <v>-4</v>
      </c>
      <c r="AM71">
        <f t="shared" ref="AM71:AM80" si="28">(AL71-$S$66)*$J$74</f>
        <v>-0.32094805200286725</v>
      </c>
      <c r="AN71">
        <f t="shared" ref="AN71:AN80" si="29">$B$68+$B$78*AM71</f>
        <v>3.3253182229418005E-2</v>
      </c>
      <c r="AO71">
        <f t="shared" si="16"/>
        <v>6.1510561319194357E-2</v>
      </c>
      <c r="AP71">
        <f t="shared" si="17"/>
        <v>0.23361693731412203</v>
      </c>
      <c r="AQ71">
        <v>-4</v>
      </c>
      <c r="AR71">
        <f t="shared" ref="AR71:AR80" si="30">(AQ71-$S$66)*$J$75</f>
        <v>-0.32995580650035872</v>
      </c>
      <c r="AS71">
        <f t="shared" ref="AS71:AS80" si="31">$B$68+$B$78*AR71</f>
        <v>3.4559273891957114E-2</v>
      </c>
      <c r="AT71">
        <f t="shared" si="18"/>
        <v>5.2502806821702885E-2</v>
      </c>
      <c r="AU71">
        <f t="shared" si="19"/>
        <v>0.22460918281663056</v>
      </c>
    </row>
    <row r="72" spans="1:47" x14ac:dyDescent="0.25">
      <c r="A72" s="183" t="s">
        <v>791</v>
      </c>
      <c r="B72" s="5">
        <f>H14</f>
        <v>25.2</v>
      </c>
      <c r="C72" s="5" t="s">
        <v>490</v>
      </c>
      <c r="D72" s="5" t="s">
        <v>863</v>
      </c>
      <c r="E72" s="6"/>
      <c r="G72" s="99">
        <v>0.15</v>
      </c>
      <c r="H72" s="279">
        <v>1</v>
      </c>
      <c r="I72" s="99">
        <f t="shared" si="7"/>
        <v>-1.328311879275689E-2</v>
      </c>
      <c r="J72" s="99">
        <f>'C_L vs. α'!O319</f>
        <v>0.10289731528202789</v>
      </c>
      <c r="K72">
        <f>'C_L vs. α'!Y319</f>
        <v>0.10827596603248536</v>
      </c>
      <c r="L72">
        <f>'C_L vs. α'!Z319</f>
        <v>1.387843634323499</v>
      </c>
      <c r="M72">
        <f>'C_L vs. α'!AA319</f>
        <v>0.38583313397868807</v>
      </c>
      <c r="N72">
        <f>'C_L vs. α'!AB319</f>
        <v>0.18106425247368804</v>
      </c>
      <c r="O72">
        <f>'C_L vs. α'!AC319</f>
        <v>0.55945804426909762</v>
      </c>
      <c r="P72">
        <f>'C_L vs. α'!AD319</f>
        <v>0.22729342331803393</v>
      </c>
      <c r="R72">
        <v>-2</v>
      </c>
      <c r="S72">
        <f t="shared" si="20"/>
        <v>-0.10096966142983717</v>
      </c>
      <c r="T72">
        <f t="shared" si="21"/>
        <v>1.357115130096169E-3</v>
      </c>
      <c r="U72">
        <f t="shared" si="8"/>
        <v>0.28274401402492433</v>
      </c>
      <c r="V72">
        <f t="shared" si="9"/>
        <v>0.45541516797956688</v>
      </c>
      <c r="W72">
        <v>-2</v>
      </c>
      <c r="X72">
        <f t="shared" si="22"/>
        <v>-0.10168399167415836</v>
      </c>
      <c r="Y72">
        <f t="shared" si="23"/>
        <v>1.4606904192170315E-3</v>
      </c>
      <c r="Z72">
        <f t="shared" si="10"/>
        <v>0.28202968378060311</v>
      </c>
      <c r="AA72">
        <f t="shared" si="11"/>
        <v>0.45470083773524567</v>
      </c>
      <c r="AB72">
        <v>-2</v>
      </c>
      <c r="AC72">
        <f t="shared" si="24"/>
        <v>-0.10289731528202789</v>
      </c>
      <c r="AD72">
        <f t="shared" si="25"/>
        <v>1.6366179324104231E-3</v>
      </c>
      <c r="AE72">
        <f t="shared" si="12"/>
        <v>0.28081636017273359</v>
      </c>
      <c r="AF72">
        <f t="shared" si="13"/>
        <v>0.45348751412737615</v>
      </c>
      <c r="AG72">
        <v>-2</v>
      </c>
      <c r="AH72">
        <f t="shared" si="26"/>
        <v>-0.10464554001175856</v>
      </c>
      <c r="AI72">
        <f t="shared" si="27"/>
        <v>1.8901041641213104E-3</v>
      </c>
      <c r="AJ72">
        <f t="shared" si="14"/>
        <v>0.27906813544300291</v>
      </c>
      <c r="AK72">
        <f t="shared" si="15"/>
        <v>0.45173928939764546</v>
      </c>
      <c r="AL72">
        <v>-2</v>
      </c>
      <c r="AM72">
        <f t="shared" si="28"/>
        <v>-0.10698268400095574</v>
      </c>
      <c r="AN72">
        <f t="shared" si="29"/>
        <v>2.2289815479680751E-3</v>
      </c>
      <c r="AO72">
        <f t="shared" si="16"/>
        <v>0.27673099145380575</v>
      </c>
      <c r="AP72">
        <f t="shared" si="17"/>
        <v>0.44940214540844831</v>
      </c>
      <c r="AQ72">
        <v>-2</v>
      </c>
      <c r="AR72">
        <f t="shared" si="30"/>
        <v>-0.10998526883345291</v>
      </c>
      <c r="AS72">
        <f t="shared" si="31"/>
        <v>2.6643454354811132E-3</v>
      </c>
      <c r="AT72">
        <f t="shared" si="18"/>
        <v>0.2737284066213086</v>
      </c>
      <c r="AU72">
        <f t="shared" si="19"/>
        <v>0.44639956057595109</v>
      </c>
    </row>
    <row r="73" spans="1:47" x14ac:dyDescent="0.25">
      <c r="A73" s="56" t="s">
        <v>948</v>
      </c>
      <c r="B73" s="5">
        <v>-2E-3</v>
      </c>
      <c r="C73" s="5"/>
      <c r="D73" s="5"/>
      <c r="E73" s="6" t="s">
        <v>949</v>
      </c>
      <c r="G73">
        <v>0.2</v>
      </c>
      <c r="H73" s="278">
        <v>1</v>
      </c>
      <c r="I73">
        <f t="shared" si="7"/>
        <v>-1.328311879275689E-2</v>
      </c>
      <c r="J73">
        <f>'C_L vs. α'!O320</f>
        <v>0.10464554001175856</v>
      </c>
      <c r="K73">
        <f>'C_L vs. α'!Y320</f>
        <v>0.10999475471990849</v>
      </c>
      <c r="L73">
        <f>'C_L vs. α'!Z320</f>
        <v>1.3863813272303269</v>
      </c>
      <c r="M73">
        <f>'C_L vs. α'!AA320</f>
        <v>0.38886014509871991</v>
      </c>
      <c r="N73">
        <f>'C_L vs. α'!AB320</f>
        <v>0.18106425247368804</v>
      </c>
      <c r="O73">
        <f>'C_L vs. α'!AC320</f>
        <v>0.56384721039314389</v>
      </c>
      <c r="P73">
        <f>'C_L vs. α'!AD320</f>
        <v>0.22729342331803393</v>
      </c>
      <c r="R73">
        <v>0</v>
      </c>
      <c r="S73">
        <f t="shared" si="20"/>
        <v>0.10096966142983717</v>
      </c>
      <c r="T73">
        <f t="shared" si="21"/>
        <v>-2.7923352715609948E-2</v>
      </c>
      <c r="U73">
        <f t="shared" si="8"/>
        <v>0.48680279540852522</v>
      </c>
      <c r="V73">
        <f t="shared" si="9"/>
        <v>0.66042770569893483</v>
      </c>
      <c r="W73">
        <v>0</v>
      </c>
      <c r="X73">
        <f t="shared" si="22"/>
        <v>0.10168399167415836</v>
      </c>
      <c r="Y73">
        <f t="shared" si="23"/>
        <v>-2.8026928004730813E-2</v>
      </c>
      <c r="Z73">
        <f t="shared" si="10"/>
        <v>0.48751712565284644</v>
      </c>
      <c r="AA73">
        <f t="shared" si="11"/>
        <v>0.66114203594325593</v>
      </c>
      <c r="AB73">
        <v>0</v>
      </c>
      <c r="AC73">
        <f t="shared" si="24"/>
        <v>0.10289731528202789</v>
      </c>
      <c r="AD73">
        <f t="shared" si="25"/>
        <v>-2.8202855517924202E-2</v>
      </c>
      <c r="AE73">
        <f t="shared" si="12"/>
        <v>0.48873044926071596</v>
      </c>
      <c r="AF73">
        <f t="shared" si="13"/>
        <v>0.66235535955112557</v>
      </c>
      <c r="AG73">
        <v>0</v>
      </c>
      <c r="AH73">
        <f t="shared" si="26"/>
        <v>0.10464554001175856</v>
      </c>
      <c r="AI73">
        <f t="shared" si="27"/>
        <v>-2.845634174963509E-2</v>
      </c>
      <c r="AJ73">
        <f t="shared" si="14"/>
        <v>0.49047867399044665</v>
      </c>
      <c r="AK73">
        <f t="shared" si="15"/>
        <v>0.66410358428085614</v>
      </c>
      <c r="AL73">
        <v>0</v>
      </c>
      <c r="AM73">
        <f t="shared" si="28"/>
        <v>0.10698268400095574</v>
      </c>
      <c r="AN73">
        <f t="shared" si="29"/>
        <v>-2.8795219133481854E-2</v>
      </c>
      <c r="AO73">
        <f t="shared" si="16"/>
        <v>0.4928158179796438</v>
      </c>
      <c r="AP73">
        <f t="shared" si="17"/>
        <v>0.66644072827005341</v>
      </c>
      <c r="AQ73">
        <v>0</v>
      </c>
      <c r="AR73">
        <f t="shared" si="30"/>
        <v>0.10998526883345291</v>
      </c>
      <c r="AS73">
        <f t="shared" si="31"/>
        <v>-2.9230583020994891E-2</v>
      </c>
      <c r="AT73">
        <f t="shared" si="18"/>
        <v>0.49581840281214096</v>
      </c>
      <c r="AU73">
        <f t="shared" si="19"/>
        <v>0.66944331310255056</v>
      </c>
    </row>
    <row r="74" spans="1:47" x14ac:dyDescent="0.25">
      <c r="A74" s="192" t="s">
        <v>703</v>
      </c>
      <c r="B74" s="8">
        <v>0</v>
      </c>
      <c r="C74" s="8"/>
      <c r="D74" s="8"/>
      <c r="E74" s="9"/>
      <c r="G74">
        <v>0.25</v>
      </c>
      <c r="H74" s="278">
        <v>1</v>
      </c>
      <c r="I74">
        <f t="shared" si="7"/>
        <v>-1.328311879275689E-2</v>
      </c>
      <c r="J74">
        <f>'C_L vs. α'!O321</f>
        <v>0.10698268400095574</v>
      </c>
      <c r="K74">
        <f>'C_L vs. α'!Y321</f>
        <v>0.11224080908914616</v>
      </c>
      <c r="L74">
        <f>'C_L vs. α'!Z321</f>
        <v>1.384268852703574</v>
      </c>
      <c r="M74">
        <f>'C_L vs. α'!AA321</f>
        <v>0.39285856093509275</v>
      </c>
      <c r="N74">
        <f>'C_L vs. α'!AB321</f>
        <v>0.18106425247368804</v>
      </c>
      <c r="O74">
        <f>'C_L vs. α'!AC321</f>
        <v>0.56964491335588441</v>
      </c>
      <c r="P74">
        <f>'C_L vs. α'!AD321</f>
        <v>0.22729342331803393</v>
      </c>
      <c r="R74">
        <v>2</v>
      </c>
      <c r="S74">
        <f t="shared" si="20"/>
        <v>0.30290898428951152</v>
      </c>
      <c r="T74">
        <f t="shared" si="21"/>
        <v>-5.7203820561316066E-2</v>
      </c>
      <c r="U74">
        <f t="shared" si="8"/>
        <v>0.69176912938823143</v>
      </c>
      <c r="V74">
        <f t="shared" si="9"/>
        <v>0.86675619468265541</v>
      </c>
      <c r="W74">
        <v>2</v>
      </c>
      <c r="X74">
        <f t="shared" si="22"/>
        <v>0.30505197502247505</v>
      </c>
      <c r="Y74">
        <f t="shared" si="23"/>
        <v>-5.7514546428678648E-2</v>
      </c>
      <c r="Z74">
        <f t="shared" si="10"/>
        <v>0.69391212012119496</v>
      </c>
      <c r="AA74">
        <f t="shared" si="11"/>
        <v>0.86889918541561895</v>
      </c>
      <c r="AB74">
        <v>2</v>
      </c>
      <c r="AC74">
        <f t="shared" si="24"/>
        <v>0.30869194584608367</v>
      </c>
      <c r="AD74">
        <f t="shared" si="25"/>
        <v>-5.8042328968258831E-2</v>
      </c>
      <c r="AE74">
        <f t="shared" si="12"/>
        <v>0.69755209094480364</v>
      </c>
      <c r="AF74">
        <f t="shared" si="13"/>
        <v>0.87253915623922751</v>
      </c>
      <c r="AG74">
        <v>2</v>
      </c>
      <c r="AH74">
        <f t="shared" si="26"/>
        <v>0.31393662003527567</v>
      </c>
      <c r="AI74">
        <f t="shared" si="27"/>
        <v>-5.880278766339149E-2</v>
      </c>
      <c r="AJ74">
        <f t="shared" si="14"/>
        <v>0.70279676513399558</v>
      </c>
      <c r="AK74">
        <f t="shared" si="15"/>
        <v>0.87778383042841956</v>
      </c>
      <c r="AL74">
        <v>2</v>
      </c>
      <c r="AM74">
        <f t="shared" si="28"/>
        <v>0.32094805200286725</v>
      </c>
      <c r="AN74">
        <f t="shared" si="29"/>
        <v>-5.9819419814931787E-2</v>
      </c>
      <c r="AO74">
        <f t="shared" si="16"/>
        <v>0.70980819710158716</v>
      </c>
      <c r="AP74">
        <f t="shared" si="17"/>
        <v>0.88479526239601114</v>
      </c>
      <c r="AQ74">
        <v>2</v>
      </c>
      <c r="AR74">
        <f t="shared" si="30"/>
        <v>0.32995580650035872</v>
      </c>
      <c r="AS74">
        <f t="shared" si="31"/>
        <v>-6.1125511477470897E-2</v>
      </c>
      <c r="AT74">
        <f t="shared" si="18"/>
        <v>0.71881595159907863</v>
      </c>
      <c r="AU74">
        <f t="shared" si="19"/>
        <v>0.89380301689350261</v>
      </c>
    </row>
    <row r="75" spans="1:47" x14ac:dyDescent="0.25">
      <c r="A75" s="193" t="s">
        <v>951</v>
      </c>
      <c r="B75" s="179">
        <f>B77*B76</f>
        <v>-1.7932210370221802E-2</v>
      </c>
      <c r="C75" s="2"/>
      <c r="D75" s="2" t="s">
        <v>954</v>
      </c>
      <c r="E75" s="3" t="s">
        <v>953</v>
      </c>
      <c r="G75">
        <v>0.3</v>
      </c>
      <c r="H75" s="278">
        <v>1</v>
      </c>
      <c r="I75">
        <f t="shared" si="7"/>
        <v>-1.328311879275689E-2</v>
      </c>
      <c r="J75">
        <f>'C_L vs. α'!O322</f>
        <v>0.10998526883345291</v>
      </c>
      <c r="K75">
        <f>'C_L vs. α'!Y322</f>
        <v>0.11497295764335308</v>
      </c>
      <c r="L75">
        <f>'C_L vs. α'!Z322</f>
        <v>1.3812899681891522</v>
      </c>
      <c r="M75">
        <f>'C_L vs. α'!AA322</f>
        <v>0.39791683239406395</v>
      </c>
      <c r="N75">
        <f>'C_L vs. α'!AB322</f>
        <v>0.18106425247368804</v>
      </c>
      <c r="O75">
        <f>'C_L vs. α'!AC322</f>
        <v>0.57697940697139272</v>
      </c>
      <c r="P75">
        <f>'C_L vs. α'!AD322</f>
        <v>0.22729342331803393</v>
      </c>
      <c r="R75">
        <v>4</v>
      </c>
      <c r="S75">
        <f t="shared" si="20"/>
        <v>0.50484830714918583</v>
      </c>
      <c r="T75">
        <f t="shared" si="21"/>
        <v>-8.6484288407022172E-2</v>
      </c>
      <c r="U75">
        <f t="shared" si="8"/>
        <v>0.89770686808427858</v>
      </c>
      <c r="V75">
        <f t="shared" si="9"/>
        <v>1.0744932205050701</v>
      </c>
      <c r="W75">
        <v>4</v>
      </c>
      <c r="X75">
        <f t="shared" si="22"/>
        <v>0.50841995837079179</v>
      </c>
      <c r="Y75">
        <f t="shared" si="23"/>
        <v>-8.700216485262649E-2</v>
      </c>
      <c r="Z75">
        <f t="shared" si="10"/>
        <v>0.90127851930588454</v>
      </c>
      <c r="AA75">
        <f t="shared" si="11"/>
        <v>1.0780648717266761</v>
      </c>
      <c r="AB75">
        <v>4</v>
      </c>
      <c r="AC75">
        <f t="shared" si="24"/>
        <v>0.5144865764101394</v>
      </c>
      <c r="AD75">
        <f t="shared" si="25"/>
        <v>-8.7881802418593447E-2</v>
      </c>
      <c r="AE75">
        <f t="shared" si="12"/>
        <v>0.90734513734523214</v>
      </c>
      <c r="AF75">
        <f t="shared" si="13"/>
        <v>1.0841314897660239</v>
      </c>
      <c r="AG75">
        <v>4</v>
      </c>
      <c r="AH75">
        <f t="shared" si="26"/>
        <v>0.52322770005879282</v>
      </c>
      <c r="AI75">
        <f t="shared" si="27"/>
        <v>-8.9149233577147893E-2</v>
      </c>
      <c r="AJ75">
        <f t="shared" si="14"/>
        <v>0.91608626099388557</v>
      </c>
      <c r="AK75">
        <f t="shared" si="15"/>
        <v>1.0928726134146771</v>
      </c>
      <c r="AL75">
        <v>4</v>
      </c>
      <c r="AM75">
        <f t="shared" si="28"/>
        <v>0.53491342000477871</v>
      </c>
      <c r="AN75">
        <f t="shared" si="29"/>
        <v>-9.08436204963817E-2</v>
      </c>
      <c r="AO75">
        <f t="shared" si="16"/>
        <v>0.92777198093987145</v>
      </c>
      <c r="AP75">
        <f t="shared" si="17"/>
        <v>1.104558333360663</v>
      </c>
      <c r="AQ75">
        <v>4</v>
      </c>
      <c r="AR75">
        <f t="shared" si="30"/>
        <v>0.5499263441672646</v>
      </c>
      <c r="AS75">
        <f t="shared" si="31"/>
        <v>-9.3020439933946902E-2</v>
      </c>
      <c r="AT75">
        <f t="shared" si="18"/>
        <v>0.94278490510235735</v>
      </c>
      <c r="AU75">
        <f t="shared" si="19"/>
        <v>1.1195712575231491</v>
      </c>
    </row>
    <row r="76" spans="1:47" x14ac:dyDescent="0.25">
      <c r="A76" s="59" t="s">
        <v>955</v>
      </c>
      <c r="B76" s="5">
        <v>1.35</v>
      </c>
      <c r="C76" s="5"/>
      <c r="D76" s="5"/>
      <c r="E76" s="6" t="s">
        <v>956</v>
      </c>
      <c r="G76">
        <v>0.35</v>
      </c>
      <c r="H76" s="278">
        <v>1.01</v>
      </c>
      <c r="I76">
        <f t="shared" si="7"/>
        <v>-1.3415949980684459E-2</v>
      </c>
      <c r="J76">
        <f>'C_L vs. α'!O323</f>
        <v>0.11375906391372086</v>
      </c>
      <c r="K76">
        <f>'C_L vs. α'!Y323</f>
        <v>0.11850497732934001</v>
      </c>
      <c r="L76">
        <f>'C_L vs. α'!Z323</f>
        <v>1.377122651490593</v>
      </c>
      <c r="M76">
        <f>'C_L vs. α'!AA323</f>
        <v>0.40415379968872978</v>
      </c>
      <c r="N76">
        <f>'C_L vs. α'!AB323</f>
        <v>0.18106425247368804</v>
      </c>
      <c r="O76">
        <f>'C_L vs. α'!AC323</f>
        <v>0.58602300954865816</v>
      </c>
      <c r="P76">
        <f>'C_L vs. α'!AD323</f>
        <v>0.22729342331803393</v>
      </c>
      <c r="R76">
        <v>6</v>
      </c>
      <c r="S76">
        <f t="shared" si="20"/>
        <v>0.70678763000886013</v>
      </c>
      <c r="T76">
        <f t="shared" si="21"/>
        <v>-0.11576475625272829</v>
      </c>
      <c r="U76">
        <f t="shared" si="8"/>
        <v>1.1047044624029241</v>
      </c>
      <c r="V76">
        <f t="shared" si="9"/>
        <v>1.2837670369802527</v>
      </c>
      <c r="W76">
        <v>6</v>
      </c>
      <c r="X76">
        <f t="shared" si="22"/>
        <v>0.71178794171910853</v>
      </c>
      <c r="Y76">
        <f t="shared" si="23"/>
        <v>-0.11648978327657433</v>
      </c>
      <c r="Z76">
        <f t="shared" si="10"/>
        <v>1.1097047741131725</v>
      </c>
      <c r="AA76">
        <f t="shared" si="11"/>
        <v>1.2887673486905014</v>
      </c>
      <c r="AB76">
        <v>6</v>
      </c>
      <c r="AC76">
        <f t="shared" si="24"/>
        <v>0.72028120697419529</v>
      </c>
      <c r="AD76">
        <f t="shared" si="25"/>
        <v>-0.11772127586892808</v>
      </c>
      <c r="AE76">
        <f t="shared" si="12"/>
        <v>1.1181980393682593</v>
      </c>
      <c r="AF76">
        <f t="shared" si="13"/>
        <v>1.297260613945588</v>
      </c>
      <c r="AG76">
        <v>6</v>
      </c>
      <c r="AH76">
        <f t="shared" si="26"/>
        <v>0.73251878008230997</v>
      </c>
      <c r="AI76">
        <f t="shared" si="27"/>
        <v>-0.1194956794909043</v>
      </c>
      <c r="AJ76">
        <f t="shared" si="14"/>
        <v>1.1304356124763739</v>
      </c>
      <c r="AK76">
        <f t="shared" si="15"/>
        <v>1.3094981870537028</v>
      </c>
      <c r="AL76">
        <v>6</v>
      </c>
      <c r="AM76">
        <f t="shared" si="28"/>
        <v>0.74887878800669017</v>
      </c>
      <c r="AN76">
        <f t="shared" si="29"/>
        <v>-0.12186782117783163</v>
      </c>
      <c r="AO76">
        <f t="shared" si="16"/>
        <v>1.1467956204007541</v>
      </c>
      <c r="AP76">
        <f t="shared" si="17"/>
        <v>1.3258581949780828</v>
      </c>
      <c r="AQ76">
        <v>6</v>
      </c>
      <c r="AR76">
        <f t="shared" si="30"/>
        <v>0.76989688183417038</v>
      </c>
      <c r="AS76">
        <f t="shared" si="31"/>
        <v>-0.1249153683904229</v>
      </c>
      <c r="AT76">
        <f t="shared" si="18"/>
        <v>1.1678137142282343</v>
      </c>
      <c r="AU76">
        <f t="shared" si="19"/>
        <v>1.346876288805563</v>
      </c>
    </row>
    <row r="77" spans="1:47" x14ac:dyDescent="0.25">
      <c r="A77" s="195" t="s">
        <v>957</v>
      </c>
      <c r="B77" s="8">
        <f>B68</f>
        <v>-1.328311879275689E-2</v>
      </c>
      <c r="C77" s="8"/>
      <c r="D77" s="8"/>
      <c r="E77" s="9" t="s">
        <v>952</v>
      </c>
      <c r="G77">
        <v>0.4</v>
      </c>
      <c r="H77">
        <v>1.03</v>
      </c>
      <c r="I77">
        <f t="shared" si="7"/>
        <v>-1.3681612356539597E-2</v>
      </c>
      <c r="J77">
        <f>'C_L vs. α'!O324</f>
        <v>0.11844937702562958</v>
      </c>
      <c r="K77">
        <f>'C_L vs. α'!Y324</f>
        <v>0.1228366665574135</v>
      </c>
      <c r="L77">
        <f>'C_L vs. α'!Z324</f>
        <v>1.3712846708447615</v>
      </c>
      <c r="M77">
        <f>'C_L vs. α'!AA324</f>
        <v>0.41172716118850533</v>
      </c>
      <c r="N77">
        <f>'C_L vs. α'!AB324</f>
        <v>0.18106425247368804</v>
      </c>
      <c r="O77">
        <f>'C_L vs. α'!AC324</f>
        <v>0.59700438372333264</v>
      </c>
      <c r="P77">
        <f>'C_L vs. α'!AD324</f>
        <v>0.22729342331803393</v>
      </c>
      <c r="R77">
        <v>8</v>
      </c>
      <c r="S77">
        <f t="shared" si="20"/>
        <v>0.90872695286853455</v>
      </c>
      <c r="T77">
        <f t="shared" si="21"/>
        <v>-0.14504522409843443</v>
      </c>
      <c r="U77">
        <f t="shared" si="8"/>
        <v>1.3128807525572643</v>
      </c>
      <c r="V77">
        <f t="shared" si="9"/>
        <v>1.4947499624171927</v>
      </c>
      <c r="W77">
        <v>8</v>
      </c>
      <c r="X77">
        <f t="shared" si="22"/>
        <v>0.91515592506742516</v>
      </c>
      <c r="Y77">
        <f t="shared" si="23"/>
        <v>-0.14597740170052217</v>
      </c>
      <c r="Z77">
        <f t="shared" si="10"/>
        <v>1.3193097247561549</v>
      </c>
      <c r="AA77">
        <f t="shared" si="11"/>
        <v>1.5011789346160833</v>
      </c>
      <c r="AB77">
        <v>8</v>
      </c>
      <c r="AC77">
        <f t="shared" si="24"/>
        <v>0.92607583753825096</v>
      </c>
      <c r="AD77">
        <f t="shared" si="25"/>
        <v>-0.14756074931926272</v>
      </c>
      <c r="AE77">
        <f t="shared" si="12"/>
        <v>1.3302296372269806</v>
      </c>
      <c r="AF77">
        <f t="shared" si="13"/>
        <v>1.512098847086909</v>
      </c>
      <c r="AG77">
        <v>8</v>
      </c>
      <c r="AH77">
        <f t="shared" si="26"/>
        <v>0.94180986010582701</v>
      </c>
      <c r="AI77">
        <f t="shared" si="27"/>
        <v>-0.14984212540466069</v>
      </c>
      <c r="AJ77">
        <f t="shared" si="14"/>
        <v>1.3459636597945568</v>
      </c>
      <c r="AK77">
        <f t="shared" si="15"/>
        <v>1.5278328696544852</v>
      </c>
      <c r="AL77">
        <v>8</v>
      </c>
      <c r="AM77">
        <f t="shared" si="28"/>
        <v>0.96284415600860174</v>
      </c>
      <c r="AN77">
        <f t="shared" si="29"/>
        <v>-0.15289202185928158</v>
      </c>
      <c r="AO77">
        <f t="shared" si="16"/>
        <v>1.3669979556973315</v>
      </c>
      <c r="AP77">
        <f t="shared" si="17"/>
        <v>1.5488671655572599</v>
      </c>
      <c r="AQ77">
        <v>8</v>
      </c>
      <c r="AR77">
        <f t="shared" si="30"/>
        <v>0.98986741950107626</v>
      </c>
      <c r="AS77">
        <f t="shared" si="31"/>
        <v>-0.15681029684689893</v>
      </c>
      <c r="AT77">
        <f t="shared" si="18"/>
        <v>1.394021219189806</v>
      </c>
      <c r="AU77">
        <f t="shared" si="19"/>
        <v>1.5758904290497344</v>
      </c>
    </row>
    <row r="78" spans="1:47" x14ac:dyDescent="0.25">
      <c r="A78" s="193" t="s">
        <v>958</v>
      </c>
      <c r="B78" s="179">
        <f>((B79-B80)/B81)*(B81/B82)</f>
        <v>-0.14499636539859465</v>
      </c>
      <c r="C78" s="2"/>
      <c r="D78" s="2" t="s">
        <v>961</v>
      </c>
      <c r="E78" s="13" t="s">
        <v>966</v>
      </c>
      <c r="G78">
        <v>0.45</v>
      </c>
      <c r="H78">
        <v>1.05</v>
      </c>
      <c r="I78">
        <f t="shared" si="7"/>
        <v>-1.3947274732394734E-2</v>
      </c>
      <c r="J78">
        <f>'C_L vs. α'!O325</f>
        <v>0.12425694261102585</v>
      </c>
      <c r="K78">
        <f>'C_L vs. α'!Y325</f>
        <v>0.12812118936324013</v>
      </c>
      <c r="L78">
        <f>'C_L vs. α'!Z325</f>
        <v>1.3630419695703586</v>
      </c>
      <c r="M78">
        <f>'C_L vs. α'!AA325</f>
        <v>0.42084590260886801</v>
      </c>
      <c r="N78">
        <f>'C_L vs. α'!AB325</f>
        <v>0.18106425247368804</v>
      </c>
      <c r="O78">
        <f>'C_L vs. α'!AC325</f>
        <v>0.61022655878285847</v>
      </c>
      <c r="P78">
        <f>'C_L vs. α'!AD325</f>
        <v>0.22729342331803393</v>
      </c>
      <c r="R78">
        <v>10</v>
      </c>
      <c r="S78">
        <f t="shared" si="20"/>
        <v>1.1106662757282089</v>
      </c>
      <c r="T78">
        <f t="shared" si="21"/>
        <v>-0.17432569194414055</v>
      </c>
      <c r="U78">
        <f t="shared" si="8"/>
        <v>1.5223934369167142</v>
      </c>
      <c r="V78">
        <f t="shared" si="9"/>
        <v>1.7076706594515416</v>
      </c>
      <c r="W78">
        <v>10</v>
      </c>
      <c r="X78">
        <f t="shared" si="22"/>
        <v>1.1185239084157419</v>
      </c>
      <c r="Y78">
        <f t="shared" si="23"/>
        <v>-0.17546502012447002</v>
      </c>
      <c r="Z78">
        <f t="shared" si="10"/>
        <v>1.5302510696042473</v>
      </c>
      <c r="AA78">
        <f t="shared" si="11"/>
        <v>1.7155282921390747</v>
      </c>
      <c r="AB78">
        <v>10</v>
      </c>
      <c r="AC78">
        <f t="shared" si="24"/>
        <v>1.1318704681023068</v>
      </c>
      <c r="AD78">
        <f t="shared" si="25"/>
        <v>-0.17740022276959735</v>
      </c>
      <c r="AE78">
        <f t="shared" si="12"/>
        <v>1.5435976292908122</v>
      </c>
      <c r="AF78">
        <f t="shared" si="13"/>
        <v>1.7288748518256396</v>
      </c>
      <c r="AG78">
        <v>10</v>
      </c>
      <c r="AH78">
        <f t="shared" si="26"/>
        <v>1.1511009401293442</v>
      </c>
      <c r="AI78">
        <f t="shared" si="27"/>
        <v>-0.18018857131841709</v>
      </c>
      <c r="AJ78">
        <f t="shared" si="14"/>
        <v>1.5628281013178495</v>
      </c>
      <c r="AK78">
        <f t="shared" si="15"/>
        <v>1.7481053238526769</v>
      </c>
      <c r="AL78">
        <v>10</v>
      </c>
      <c r="AM78">
        <f t="shared" si="28"/>
        <v>1.1768095240105132</v>
      </c>
      <c r="AN78">
        <f t="shared" si="29"/>
        <v>-0.18391622254073151</v>
      </c>
      <c r="AO78">
        <f t="shared" si="16"/>
        <v>1.5885366851990186</v>
      </c>
      <c r="AP78">
        <f t="shared" si="17"/>
        <v>1.773813907733846</v>
      </c>
      <c r="AQ78">
        <v>10</v>
      </c>
      <c r="AR78">
        <f t="shared" si="30"/>
        <v>1.209837957167982</v>
      </c>
      <c r="AS78">
        <f t="shared" si="31"/>
        <v>-0.18870522530337491</v>
      </c>
      <c r="AT78">
        <f t="shared" si="18"/>
        <v>1.6215651183564874</v>
      </c>
      <c r="AU78">
        <f t="shared" si="19"/>
        <v>1.8068423408913148</v>
      </c>
    </row>
    <row r="79" spans="1:47" x14ac:dyDescent="0.25">
      <c r="A79" s="59" t="s">
        <v>959</v>
      </c>
      <c r="B79" s="233">
        <v>7.0529000000000002</v>
      </c>
      <c r="C79" s="5"/>
      <c r="D79" s="5" t="s">
        <v>962</v>
      </c>
      <c r="E79" s="124" t="s">
        <v>967</v>
      </c>
      <c r="G79">
        <v>0.5</v>
      </c>
      <c r="H79">
        <v>1.08</v>
      </c>
      <c r="I79">
        <f t="shared" si="7"/>
        <v>-1.4345768296177442E-2</v>
      </c>
      <c r="J79">
        <f>'C_L vs. α'!O326</f>
        <v>0.13146303448299143</v>
      </c>
      <c r="K79">
        <f>'C_L vs. α'!Y326</f>
        <v>0.13456448145166092</v>
      </c>
      <c r="L79">
        <f>'C_L vs. α'!Z326</f>
        <v>1.351249382247306</v>
      </c>
      <c r="M79">
        <f>'C_L vs. α'!AA326</f>
        <v>0.43178880504861844</v>
      </c>
      <c r="N79">
        <f>'C_L vs. α'!AB326</f>
        <v>0.18106425247368804</v>
      </c>
      <c r="O79">
        <f>'C_L vs. α'!AC326</f>
        <v>0.6260937673204966</v>
      </c>
      <c r="P79">
        <f>'C_L vs. α'!AD326</f>
        <v>0.22729342331803393</v>
      </c>
      <c r="R79">
        <v>12</v>
      </c>
      <c r="S79">
        <f t="shared" si="20"/>
        <v>1.3126055985878833</v>
      </c>
      <c r="T79">
        <f t="shared" si="21"/>
        <v>-0.20360615978984667</v>
      </c>
      <c r="U79">
        <f t="shared" si="8"/>
        <v>1.7334515011967513</v>
      </c>
      <c r="V79">
        <f t="shared" si="9"/>
        <v>1.9228321573707419</v>
      </c>
      <c r="W79">
        <v>12</v>
      </c>
      <c r="X79">
        <f t="shared" si="22"/>
        <v>1.3218918917640585</v>
      </c>
      <c r="Y79">
        <f t="shared" si="23"/>
        <v>-0.20495263854841786</v>
      </c>
      <c r="Z79">
        <f t="shared" si="10"/>
        <v>1.7427377943729265</v>
      </c>
      <c r="AA79">
        <f t="shared" si="11"/>
        <v>1.9321184505469171</v>
      </c>
      <c r="AB79">
        <v>12</v>
      </c>
      <c r="AC79">
        <f t="shared" si="24"/>
        <v>1.3376650986663625</v>
      </c>
      <c r="AD79">
        <f t="shared" si="25"/>
        <v>-0.20723969621993196</v>
      </c>
      <c r="AE79">
        <f t="shared" si="12"/>
        <v>1.7585110012752305</v>
      </c>
      <c r="AF79">
        <f t="shared" si="13"/>
        <v>1.9478916574492211</v>
      </c>
      <c r="AG79">
        <v>12</v>
      </c>
      <c r="AH79">
        <f t="shared" si="26"/>
        <v>1.3603920201528612</v>
      </c>
      <c r="AI79">
        <f t="shared" si="27"/>
        <v>-0.21053501723217349</v>
      </c>
      <c r="AJ79">
        <f t="shared" si="14"/>
        <v>1.7812379227617292</v>
      </c>
      <c r="AK79">
        <f t="shared" si="15"/>
        <v>1.9706185789357198</v>
      </c>
      <c r="AL79">
        <v>12</v>
      </c>
      <c r="AM79">
        <f t="shared" si="28"/>
        <v>1.3907748920124248</v>
      </c>
      <c r="AN79">
        <f t="shared" si="29"/>
        <v>-0.21494042322218146</v>
      </c>
      <c r="AO79">
        <f t="shared" si="16"/>
        <v>1.8116207946212928</v>
      </c>
      <c r="AP79">
        <f t="shared" si="17"/>
        <v>2.0010014507952834</v>
      </c>
      <c r="AQ79">
        <v>12</v>
      </c>
      <c r="AR79">
        <f t="shared" si="30"/>
        <v>1.4298084948348879</v>
      </c>
      <c r="AS79">
        <f t="shared" si="31"/>
        <v>-0.22060015375985093</v>
      </c>
      <c r="AT79">
        <f t="shared" si="18"/>
        <v>1.8506543974437559</v>
      </c>
      <c r="AU79">
        <f t="shared" si="19"/>
        <v>2.0400350536177463</v>
      </c>
    </row>
    <row r="80" spans="1:47" x14ac:dyDescent="0.25">
      <c r="A80" s="59" t="s">
        <v>960</v>
      </c>
      <c r="B80" s="5">
        <v>8.8481000000000005</v>
      </c>
      <c r="C80" s="5"/>
      <c r="D80" s="5" t="s">
        <v>963</v>
      </c>
      <c r="E80" s="124" t="s">
        <v>967</v>
      </c>
      <c r="G80">
        <v>0.55000000000000004</v>
      </c>
      <c r="H80">
        <v>1.1000000000000001</v>
      </c>
      <c r="I80">
        <f t="shared" si="7"/>
        <v>-1.4611430672032581E-2</v>
      </c>
      <c r="J80">
        <f>'C_L vs. α'!O327</f>
        <v>0.14047047884093974</v>
      </c>
      <c r="K80">
        <f>'C_L vs. α'!Y327</f>
        <v>0.14244719842978948</v>
      </c>
      <c r="L80">
        <f>'C_L vs. α'!Z327</f>
        <v>1.334061980789206</v>
      </c>
      <c r="M80">
        <f>'C_L vs. α'!AA327</f>
        <v>0.44493263614763967</v>
      </c>
      <c r="N80">
        <f>'C_L vs. α'!AB327</f>
        <v>0.18106425247368804</v>
      </c>
      <c r="O80">
        <f>'C_L vs. α'!AC327</f>
        <v>0.64515232241407749</v>
      </c>
      <c r="P80">
        <f>'C_L vs. α'!AD327</f>
        <v>0.22729342331803393</v>
      </c>
      <c r="R80">
        <v>14</v>
      </c>
      <c r="S80">
        <f t="shared" si="20"/>
        <v>1.5145449214475575</v>
      </c>
      <c r="T80">
        <f t="shared" si="21"/>
        <v>-0.23288662763555276</v>
      </c>
      <c r="U80">
        <f t="shared" si="8"/>
        <v>1.946333726496176</v>
      </c>
      <c r="V80">
        <f t="shared" si="9"/>
        <v>2.1406386887680542</v>
      </c>
      <c r="W80">
        <v>14</v>
      </c>
      <c r="X80">
        <f t="shared" si="22"/>
        <v>1.5252598751123754</v>
      </c>
      <c r="Y80">
        <f t="shared" si="23"/>
        <v>-0.2344402569723657</v>
      </c>
      <c r="Z80">
        <f t="shared" si="10"/>
        <v>1.9570486801609939</v>
      </c>
      <c r="AA80">
        <f t="shared" si="11"/>
        <v>2.1513536424328721</v>
      </c>
      <c r="AB80">
        <v>14</v>
      </c>
      <c r="AC80">
        <f t="shared" si="24"/>
        <v>1.5434597292304184</v>
      </c>
      <c r="AD80">
        <f t="shared" si="25"/>
        <v>-0.2370791696702666</v>
      </c>
      <c r="AE80">
        <f t="shared" si="12"/>
        <v>1.9752485342790369</v>
      </c>
      <c r="AF80">
        <f t="shared" si="13"/>
        <v>2.1695534965509151</v>
      </c>
      <c r="AG80">
        <v>14</v>
      </c>
      <c r="AH80">
        <f t="shared" si="26"/>
        <v>1.5696831001763785</v>
      </c>
      <c r="AI80">
        <f t="shared" si="27"/>
        <v>-0.24088146314592992</v>
      </c>
      <c r="AJ80">
        <f t="shared" si="14"/>
        <v>2.0014719052249967</v>
      </c>
      <c r="AK80">
        <f t="shared" si="15"/>
        <v>2.1957768674968752</v>
      </c>
      <c r="AL80">
        <v>14</v>
      </c>
      <c r="AM80">
        <f t="shared" si="28"/>
        <v>1.6047402600143361</v>
      </c>
      <c r="AN80">
        <f t="shared" si="29"/>
        <v>-0.24596462390363136</v>
      </c>
      <c r="AO80">
        <f t="shared" si="16"/>
        <v>2.0365290650629544</v>
      </c>
      <c r="AP80">
        <f t="shared" si="17"/>
        <v>2.2308340273348328</v>
      </c>
      <c r="AQ80">
        <v>14</v>
      </c>
      <c r="AR80">
        <f t="shared" si="30"/>
        <v>1.6497790325017938</v>
      </c>
      <c r="AS80">
        <f t="shared" si="31"/>
        <v>-0.25249508221632694</v>
      </c>
      <c r="AT80">
        <f t="shared" si="18"/>
        <v>2.0815678375504123</v>
      </c>
      <c r="AU80">
        <f t="shared" si="19"/>
        <v>2.2758727998222903</v>
      </c>
    </row>
    <row r="81" spans="1:41" x14ac:dyDescent="0.25">
      <c r="A81" s="59" t="s">
        <v>449</v>
      </c>
      <c r="B81" s="5">
        <f>H8</f>
        <v>16.666666666666668</v>
      </c>
      <c r="C81" s="5" t="s">
        <v>124</v>
      </c>
      <c r="D81" s="5" t="s">
        <v>964</v>
      </c>
      <c r="E81" s="6"/>
      <c r="G81">
        <v>0.6</v>
      </c>
      <c r="H81">
        <v>1.1200000000000001</v>
      </c>
      <c r="I81">
        <f t="shared" si="7"/>
        <v>-1.4877093047887717E-2</v>
      </c>
      <c r="J81">
        <f>'C_L vs. α'!O328</f>
        <v>0.15187349429154923</v>
      </c>
      <c r="K81">
        <f>'C_L vs. α'!Y328</f>
        <v>0.15215800117074355</v>
      </c>
      <c r="L81">
        <f>'C_L vs. α'!Z328</f>
        <v>1.3083846054015837</v>
      </c>
      <c r="M81">
        <f>'C_L vs. α'!AA328</f>
        <v>0.46079638800646094</v>
      </c>
      <c r="N81">
        <f>'C_L vs. α'!AB328</f>
        <v>0.18106425247368804</v>
      </c>
      <c r="O81">
        <f>'C_L vs. α'!AC328</f>
        <v>0.66815476260936835</v>
      </c>
      <c r="P81">
        <f>'C_L vs. α'!AD328</f>
        <v>0.22729342331803393</v>
      </c>
    </row>
    <row r="82" spans="1:41" x14ac:dyDescent="0.25">
      <c r="A82" s="195" t="s">
        <v>469</v>
      </c>
      <c r="B82" s="8">
        <f>H11</f>
        <v>12.381</v>
      </c>
      <c r="C82" s="8" t="s">
        <v>124</v>
      </c>
      <c r="D82" s="8" t="s">
        <v>965</v>
      </c>
      <c r="E82" s="9"/>
      <c r="G82">
        <v>0.65</v>
      </c>
      <c r="H82">
        <v>1.17</v>
      </c>
      <c r="I82">
        <f t="shared" si="7"/>
        <v>-1.554124898752556E-2</v>
      </c>
      <c r="J82">
        <f>'C_L vs. α'!O329</f>
        <v>0.16658299205178798</v>
      </c>
      <c r="K82">
        <f>'C_L vs. α'!Y329</f>
        <v>0.16428651535437214</v>
      </c>
      <c r="L82">
        <f>'C_L vs. α'!Z329</f>
        <v>1.2687542815706159</v>
      </c>
      <c r="M82">
        <f>'C_L vs. α'!AA329</f>
        <v>0.48011331066331625</v>
      </c>
      <c r="N82">
        <f>'C_L vs. α'!AB329</f>
        <v>0.18106425247368804</v>
      </c>
      <c r="O82">
        <f>'C_L vs. α'!AC329</f>
        <v>0.69616430046180855</v>
      </c>
      <c r="P82">
        <f>'C_L vs. α'!AD329</f>
        <v>0.22729342331803393</v>
      </c>
    </row>
    <row r="83" spans="1:41" x14ac:dyDescent="0.25">
      <c r="G83">
        <v>0.7</v>
      </c>
      <c r="H83">
        <v>1.2</v>
      </c>
      <c r="I83">
        <f t="shared" si="7"/>
        <v>-1.5939742551308266E-2</v>
      </c>
      <c r="J83">
        <f>'C_L vs. α'!O330</f>
        <v>0.18606658153192498</v>
      </c>
      <c r="K83">
        <f>'C_L vs. α'!Y330</f>
        <v>0.17961674917801942</v>
      </c>
      <c r="L83">
        <f>'C_L vs. α'!Z330</f>
        <v>1.2048872147399035</v>
      </c>
      <c r="M83">
        <f>'C_L vs. α'!AA330</f>
        <v>0.50395361014601125</v>
      </c>
      <c r="N83">
        <f>'C_L vs. α'!AB330</f>
        <v>0.18106425247368804</v>
      </c>
      <c r="O83">
        <f>'C_L vs. α'!AC330</f>
        <v>0.73073273471171618</v>
      </c>
      <c r="P83">
        <f>'C_L vs. α'!AD330</f>
        <v>0.22729342331803393</v>
      </c>
    </row>
    <row r="84" spans="1:41" x14ac:dyDescent="0.25">
      <c r="A84" s="316" t="s">
        <v>161</v>
      </c>
      <c r="B84" s="317"/>
      <c r="C84" s="317"/>
      <c r="D84" s="317"/>
      <c r="E84" s="280" t="s">
        <v>1173</v>
      </c>
      <c r="G84">
        <v>0.75</v>
      </c>
      <c r="H84">
        <v>1.23</v>
      </c>
      <c r="I84">
        <f t="shared" si="7"/>
        <v>-1.6338236115090974E-2</v>
      </c>
      <c r="J84">
        <f>'C_L vs. α'!O331</f>
        <v>0.21284847584675293</v>
      </c>
      <c r="K84">
        <f>'C_L vs. α'!Y331</f>
        <v>0.19928732876558536</v>
      </c>
      <c r="L84">
        <f>'C_L vs. α'!Z331</f>
        <v>1.0957300111184276</v>
      </c>
      <c r="M84">
        <f>'C_L vs. α'!AA331</f>
        <v>0.53394517608710246</v>
      </c>
      <c r="N84">
        <f>'C_L vs. α'!AB331</f>
        <v>0.18106425247368804</v>
      </c>
      <c r="O84">
        <f>'C_L vs. α'!AC331</f>
        <v>0.7742205053262986</v>
      </c>
      <c r="P84">
        <f>'C_L vs. α'!AD331</f>
        <v>0.22729342331803393</v>
      </c>
    </row>
    <row r="85" spans="1:41" x14ac:dyDescent="0.25">
      <c r="A85" s="212" t="s">
        <v>975</v>
      </c>
      <c r="B85" s="211">
        <f>(B86-0.25)*B87+B93*(B94/1.5)*B89*TAN(B95)+B90*(B92*B89*B91^2)-B90*(0.25*B88*(B91^2-B91)+B90*B96*(B91^2-1))</f>
        <v>0</v>
      </c>
      <c r="C85" s="211"/>
      <c r="D85" s="211"/>
      <c r="E85" s="213" t="s">
        <v>977</v>
      </c>
      <c r="G85">
        <v>0.8</v>
      </c>
      <c r="H85">
        <v>1.29</v>
      </c>
      <c r="I85">
        <f t="shared" si="7"/>
        <v>-1.713522324265639E-2</v>
      </c>
      <c r="J85">
        <f>'C_L vs. α'!O332</f>
        <v>0.25167326542920682</v>
      </c>
      <c r="K85">
        <f>'C_L vs. α'!Y332</f>
        <v>0.22489018233336303</v>
      </c>
      <c r="L85">
        <f>'C_L vs. α'!Z332</f>
        <v>0.89298867028716278</v>
      </c>
      <c r="M85">
        <f>'C_L vs. α'!AA332</f>
        <v>0.57269768603406035</v>
      </c>
      <c r="N85">
        <f>'C_L vs. α'!AB332</f>
        <v>0.18106425247368804</v>
      </c>
      <c r="O85">
        <f>'C_L vs. α'!AC332</f>
        <v>0.83041164474938745</v>
      </c>
      <c r="P85">
        <f>'C_L vs. α'!AD332</f>
        <v>0.22729342331803393</v>
      </c>
    </row>
    <row r="86" spans="1:41" x14ac:dyDescent="0.25">
      <c r="A86" s="59" t="s">
        <v>911</v>
      </c>
      <c r="B86" s="5">
        <f>B79</f>
        <v>7.0529000000000002</v>
      </c>
      <c r="C86" s="5"/>
      <c r="D86" s="5"/>
      <c r="E86" s="214" t="s">
        <v>976</v>
      </c>
      <c r="G86">
        <v>0.85</v>
      </c>
      <c r="H86">
        <v>1.36</v>
      </c>
      <c r="I86">
        <f t="shared" si="7"/>
        <v>-1.8065041558149371E-2</v>
      </c>
      <c r="J86">
        <f>'C_L vs. α'!O333</f>
        <v>0.31267319102286617</v>
      </c>
      <c r="K86">
        <f>'C_L vs. α'!Y333</f>
        <v>0.25910505921571858</v>
      </c>
      <c r="L86">
        <f>'C_L vs. α'!Z333</f>
        <v>0.46616477157019487</v>
      </c>
      <c r="M86">
        <f>'C_L vs. α'!AA333</f>
        <v>0.62468234732408157</v>
      </c>
      <c r="N86">
        <f>'C_L vs. α'!AB333</f>
        <v>0.18106425247368804</v>
      </c>
      <c r="O86">
        <f>'C_L vs. α'!AC333</f>
        <v>0.90578940361991822</v>
      </c>
      <c r="P86">
        <f>'C_L vs. α'!AD333</f>
        <v>0.22729342331803393</v>
      </c>
    </row>
    <row r="87" spans="1:41" x14ac:dyDescent="0.25">
      <c r="A87" s="59" t="s">
        <v>968</v>
      </c>
      <c r="B87" s="5"/>
      <c r="C87" s="5"/>
      <c r="D87" s="5" t="s">
        <v>978</v>
      </c>
      <c r="E87" s="6" t="s">
        <v>979</v>
      </c>
    </row>
    <row r="88" spans="1:41" x14ac:dyDescent="0.25">
      <c r="A88" s="59" t="s">
        <v>221</v>
      </c>
      <c r="B88" s="5"/>
      <c r="C88" s="5"/>
      <c r="D88" s="5" t="s">
        <v>980</v>
      </c>
      <c r="E88" s="6" t="s">
        <v>981</v>
      </c>
      <c r="G88" t="s">
        <v>1172</v>
      </c>
      <c r="H88" t="s">
        <v>1150</v>
      </c>
      <c r="R88" t="s">
        <v>1176</v>
      </c>
    </row>
    <row r="89" spans="1:41" ht="15.75" x14ac:dyDescent="0.25">
      <c r="A89" s="59" t="s">
        <v>969</v>
      </c>
      <c r="B89" s="5"/>
      <c r="C89" s="5"/>
      <c r="D89" s="5" t="s">
        <v>982</v>
      </c>
      <c r="E89" s="6" t="s">
        <v>979</v>
      </c>
      <c r="G89" t="s">
        <v>1094</v>
      </c>
      <c r="H89">
        <v>46.5</v>
      </c>
      <c r="I89" t="s">
        <v>804</v>
      </c>
      <c r="J89">
        <v>1</v>
      </c>
      <c r="R89" s="223" t="s">
        <v>1171</v>
      </c>
      <c r="S89">
        <v>-1</v>
      </c>
    </row>
    <row r="90" spans="1:41" ht="15.75" x14ac:dyDescent="0.25">
      <c r="A90" s="59" t="s">
        <v>970</v>
      </c>
      <c r="B90" s="5"/>
      <c r="C90" s="5"/>
      <c r="D90" s="5" t="s">
        <v>983</v>
      </c>
      <c r="E90" s="6" t="s">
        <v>984</v>
      </c>
      <c r="G90" t="s">
        <v>87</v>
      </c>
      <c r="H90">
        <v>6</v>
      </c>
      <c r="I90" s="244" t="s">
        <v>720</v>
      </c>
      <c r="J90">
        <v>1.06</v>
      </c>
      <c r="L90" t="s">
        <v>1159</v>
      </c>
      <c r="M90">
        <v>0.515221195188726</v>
      </c>
      <c r="N90" t="s">
        <v>1159</v>
      </c>
      <c r="O90">
        <v>0.74707073302365268</v>
      </c>
      <c r="R90" t="s">
        <v>182</v>
      </c>
      <c r="S90">
        <v>0.05</v>
      </c>
      <c r="T90" s="320" t="s">
        <v>1175</v>
      </c>
      <c r="U90" s="320"/>
      <c r="V90" t="s">
        <v>182</v>
      </c>
      <c r="W90">
        <v>0.1</v>
      </c>
      <c r="X90" s="320" t="s">
        <v>1175</v>
      </c>
      <c r="Y90" s="320"/>
      <c r="Z90" t="s">
        <v>182</v>
      </c>
      <c r="AA90">
        <v>0.15</v>
      </c>
      <c r="AB90" s="320" t="s">
        <v>1175</v>
      </c>
      <c r="AC90" s="320"/>
      <c r="AD90" t="s">
        <v>182</v>
      </c>
      <c r="AE90">
        <v>0.2</v>
      </c>
      <c r="AF90" s="320" t="s">
        <v>1175</v>
      </c>
      <c r="AG90" s="320"/>
      <c r="AH90" t="s">
        <v>182</v>
      </c>
      <c r="AI90">
        <v>0.25</v>
      </c>
      <c r="AJ90" s="320" t="s">
        <v>1175</v>
      </c>
      <c r="AK90" s="320"/>
      <c r="AL90" t="s">
        <v>182</v>
      </c>
      <c r="AM90">
        <v>0.3</v>
      </c>
      <c r="AN90" s="320" t="s">
        <v>1175</v>
      </c>
      <c r="AO90" s="320"/>
    </row>
    <row r="91" spans="1:41" ht="15.75" x14ac:dyDescent="0.25">
      <c r="A91" s="59" t="s">
        <v>971</v>
      </c>
      <c r="B91" s="5">
        <v>1</v>
      </c>
      <c r="C91" s="5"/>
      <c r="D91" s="5" t="s">
        <v>985</v>
      </c>
      <c r="E91" s="6" t="s">
        <v>986</v>
      </c>
      <c r="G91" s="86" t="s">
        <v>1174</v>
      </c>
      <c r="H91">
        <v>0</v>
      </c>
      <c r="L91" t="s">
        <v>560</v>
      </c>
      <c r="N91" t="s">
        <v>360</v>
      </c>
      <c r="R91" t="s">
        <v>1150</v>
      </c>
      <c r="S91" t="s">
        <v>160</v>
      </c>
      <c r="T91" t="s">
        <v>560</v>
      </c>
      <c r="U91" t="s">
        <v>360</v>
      </c>
      <c r="V91" t="s">
        <v>1150</v>
      </c>
      <c r="W91" t="s">
        <v>160</v>
      </c>
      <c r="X91" t="s">
        <v>560</v>
      </c>
      <c r="Y91" t="s">
        <v>360</v>
      </c>
      <c r="Z91" t="s">
        <v>1150</v>
      </c>
      <c r="AA91" t="s">
        <v>160</v>
      </c>
      <c r="AB91" t="s">
        <v>560</v>
      </c>
      <c r="AC91" t="s">
        <v>360</v>
      </c>
      <c r="AD91" t="s">
        <v>1150</v>
      </c>
      <c r="AE91" t="s">
        <v>160</v>
      </c>
      <c r="AF91" t="s">
        <v>560</v>
      </c>
      <c r="AG91" t="s">
        <v>360</v>
      </c>
      <c r="AH91" t="s">
        <v>1150</v>
      </c>
      <c r="AI91" t="s">
        <v>160</v>
      </c>
      <c r="AJ91" t="s">
        <v>560</v>
      </c>
      <c r="AK91" t="s">
        <v>360</v>
      </c>
      <c r="AL91" t="s">
        <v>1150</v>
      </c>
      <c r="AM91" t="s">
        <v>160</v>
      </c>
      <c r="AN91" t="s">
        <v>560</v>
      </c>
      <c r="AO91" t="s">
        <v>360</v>
      </c>
    </row>
    <row r="92" spans="1:41" x14ac:dyDescent="0.25">
      <c r="A92" s="59" t="s">
        <v>972</v>
      </c>
      <c r="B92" s="5">
        <v>-0.28000000000000003</v>
      </c>
      <c r="C92" s="5"/>
      <c r="D92" s="5"/>
      <c r="E92" s="6" t="s">
        <v>986</v>
      </c>
      <c r="G92" t="s">
        <v>182</v>
      </c>
      <c r="H92" s="223" t="s">
        <v>712</v>
      </c>
      <c r="I92" s="11" t="s">
        <v>1153</v>
      </c>
      <c r="J92" s="11" t="s">
        <v>1152</v>
      </c>
      <c r="K92" t="s">
        <v>719</v>
      </c>
      <c r="L92" t="s">
        <v>750</v>
      </c>
      <c r="N92" t="s">
        <v>750</v>
      </c>
      <c r="R92" s="223" t="s">
        <v>421</v>
      </c>
      <c r="S92" s="223" t="s">
        <v>244</v>
      </c>
      <c r="T92" s="223" t="s">
        <v>244</v>
      </c>
      <c r="U92" s="223" t="s">
        <v>244</v>
      </c>
      <c r="V92" s="223" t="s">
        <v>421</v>
      </c>
      <c r="W92" s="223" t="s">
        <v>244</v>
      </c>
      <c r="X92" s="223" t="s">
        <v>244</v>
      </c>
      <c r="Y92" s="223" t="s">
        <v>244</v>
      </c>
      <c r="Z92" s="223" t="s">
        <v>421</v>
      </c>
      <c r="AA92" s="223" t="s">
        <v>244</v>
      </c>
      <c r="AB92" s="223" t="s">
        <v>244</v>
      </c>
      <c r="AC92" s="223" t="s">
        <v>244</v>
      </c>
      <c r="AD92" s="223" t="s">
        <v>421</v>
      </c>
      <c r="AE92" s="223" t="s">
        <v>244</v>
      </c>
      <c r="AF92" s="223" t="s">
        <v>244</v>
      </c>
      <c r="AG92" s="223" t="s">
        <v>244</v>
      </c>
      <c r="AH92" s="223" t="s">
        <v>421</v>
      </c>
      <c r="AI92" s="223" t="s">
        <v>244</v>
      </c>
      <c r="AJ92" s="223" t="s">
        <v>244</v>
      </c>
      <c r="AK92" s="223" t="s">
        <v>244</v>
      </c>
      <c r="AL92" s="223" t="s">
        <v>421</v>
      </c>
      <c r="AM92" s="223" t="s">
        <v>244</v>
      </c>
      <c r="AN92" s="223" t="s">
        <v>244</v>
      </c>
      <c r="AO92" s="223" t="s">
        <v>244</v>
      </c>
    </row>
    <row r="93" spans="1:41" x14ac:dyDescent="0.25">
      <c r="A93" s="59" t="s">
        <v>973</v>
      </c>
      <c r="B93" s="5"/>
      <c r="C93" s="5"/>
      <c r="D93" s="5" t="s">
        <v>987</v>
      </c>
      <c r="E93" s="6" t="s">
        <v>988</v>
      </c>
      <c r="G93">
        <v>0</v>
      </c>
      <c r="H93">
        <f t="shared" ref="H93:H110" si="32">SQRT(1-G69^2)</f>
        <v>1</v>
      </c>
      <c r="I93">
        <f>'C_L vs. α'!M316</f>
        <v>0.108</v>
      </c>
      <c r="J93">
        <f>I93/(2*PI())</f>
        <v>1.7188733853924696E-2</v>
      </c>
      <c r="K93">
        <f>(2*PI()*$H$90)/(2+SQRT(($H$90^2*$H$93^2)/J93^2+4))</f>
        <v>0.10738297828213926</v>
      </c>
      <c r="L93">
        <f>$J$89*$M$90*(K93/I93)*$J$90</f>
        <v>0.54301431109496046</v>
      </c>
      <c r="N93">
        <f>$J$89*$O$90*(K93/I93)*$J$90</f>
        <v>0.78737075108769261</v>
      </c>
      <c r="R93">
        <v>-6</v>
      </c>
      <c r="S93">
        <f t="shared" ref="S93:S103" si="33">(R93-$S$66)*$K$94</f>
        <v>-0.53758343870430303</v>
      </c>
      <c r="T93">
        <f>S93+$L$94</f>
        <v>5.4269761079389633E-3</v>
      </c>
      <c r="U93">
        <f>S93+$N$94</f>
        <v>0.24978166277344793</v>
      </c>
      <c r="V93">
        <v>-6</v>
      </c>
      <c r="W93">
        <f t="shared" ref="W93:W103" si="34">(V93-$S$66)*$I$95</f>
        <v>-0.54272042023997447</v>
      </c>
      <c r="X93">
        <f>W93+$L$93</f>
        <v>2.9389085498598977E-4</v>
      </c>
      <c r="Y93">
        <f>W93+$N$93</f>
        <v>0.24465033084771814</v>
      </c>
      <c r="Z93">
        <v>-6</v>
      </c>
      <c r="AA93">
        <f t="shared" ref="AA93:AA103" si="35">(Z93-$S$66)*$K$96</f>
        <v>-0.54302345886137326</v>
      </c>
      <c r="AB93">
        <f>AA93+$L$96</f>
        <v>-4.4749437195457098E-5</v>
      </c>
      <c r="AC93">
        <f>AA93+$N$96</f>
        <v>0.24429566980368445</v>
      </c>
      <c r="AD93">
        <v>-6</v>
      </c>
      <c r="AE93">
        <f t="shared" ref="AE93:AE103" si="36">(AD93-$S$66)*$I$97</f>
        <v>-0.55113519212621509</v>
      </c>
      <c r="AF93">
        <f>AE93+$L$97</f>
        <v>-8.1850322529670727E-3</v>
      </c>
      <c r="AG93">
        <f>AE93+$N$97</f>
        <v>0.23614253968999444</v>
      </c>
      <c r="AH93">
        <v>-6</v>
      </c>
      <c r="AI93">
        <f t="shared" ref="AI93:AI103" si="37">(AH93-$S$66)*$K$98</f>
        <v>-0.55441912941575533</v>
      </c>
      <c r="AJ93">
        <f>AI93+$L$98</f>
        <v>-1.1506841952574898E-2</v>
      </c>
      <c r="AK93">
        <f>AI93+$N$98</f>
        <v>0.23280368740585633</v>
      </c>
      <c r="AL93">
        <v>-6</v>
      </c>
      <c r="AM93">
        <f t="shared" ref="AM93:AM103" si="38">(AL93-$S$66)*$K$99</f>
        <v>-0.56268405290238266</v>
      </c>
      <c r="AN93">
        <f>AM93+$L$99</f>
        <v>-1.981994429497369E-2</v>
      </c>
      <c r="AO93">
        <f>AM93+$N$99</f>
        <v>0.22446890457836044</v>
      </c>
    </row>
    <row r="94" spans="1:41" x14ac:dyDescent="0.25">
      <c r="A94" s="59" t="s">
        <v>87</v>
      </c>
      <c r="B94" s="5">
        <f>H6</f>
        <v>4</v>
      </c>
      <c r="C94" s="5"/>
      <c r="D94" s="5" t="s">
        <v>894</v>
      </c>
      <c r="E94" s="6"/>
      <c r="G94">
        <v>0.05</v>
      </c>
      <c r="H94">
        <f t="shared" si="32"/>
        <v>0.99874921777190895</v>
      </c>
      <c r="I94">
        <f>'C_L vs. α'!M317</f>
        <v>0.10813525365349991</v>
      </c>
      <c r="J94">
        <f t="shared" ref="J94:J110" si="39">I94/(2*PI())</f>
        <v>1.7210260141450447E-2</v>
      </c>
      <c r="K94">
        <f t="shared" ref="K94:K110" si="40">(2*PI()*$H$90)/(2+SQRT(($H$90^2*$H$93^2)/J94^2+4))</f>
        <v>0.10751668774086059</v>
      </c>
      <c r="L94">
        <f t="shared" ref="L94:L110" si="41">$J$89*$M$90*(K94/I94)*$J$90</f>
        <v>0.54301041481224199</v>
      </c>
      <c r="N94">
        <f t="shared" ref="N94:N110" si="42">$J$89*$O$90*(K94/I94)*$J$90</f>
        <v>0.78736510147775096</v>
      </c>
      <c r="R94">
        <v>-4</v>
      </c>
      <c r="S94">
        <f t="shared" si="33"/>
        <v>-0.32255006322258178</v>
      </c>
      <c r="T94">
        <f t="shared" ref="T94:T103" si="43">S94+$L$94</f>
        <v>0.22046035158966021</v>
      </c>
      <c r="U94">
        <f t="shared" ref="U94:U103" si="44">S94+$N$94</f>
        <v>0.46481503825516918</v>
      </c>
      <c r="V94">
        <v>-4</v>
      </c>
      <c r="W94">
        <f t="shared" si="34"/>
        <v>-0.32563225214398472</v>
      </c>
      <c r="X94">
        <f t="shared" ref="X94:X103" si="45">W94+$L$93</f>
        <v>0.21738205895097573</v>
      </c>
      <c r="Y94">
        <f t="shared" ref="Y94:Y103" si="46">W94+$N$93</f>
        <v>0.46173849894370789</v>
      </c>
      <c r="Z94">
        <v>-4</v>
      </c>
      <c r="AA94">
        <f t="shared" si="35"/>
        <v>-0.32581407531682394</v>
      </c>
      <c r="AB94">
        <f t="shared" ref="AB94:AB103" si="47">AA94+$L$96</f>
        <v>0.21716463410735387</v>
      </c>
      <c r="AC94">
        <f t="shared" ref="AC94:AC103" si="48">AA94+$N$96</f>
        <v>0.46150505334823377</v>
      </c>
      <c r="AD94">
        <v>-4</v>
      </c>
      <c r="AE94">
        <f t="shared" si="36"/>
        <v>-0.33068111527572908</v>
      </c>
      <c r="AF94">
        <f t="shared" ref="AF94:AF103" si="49">AE94+$L$97</f>
        <v>0.21226904459751894</v>
      </c>
      <c r="AG94">
        <f t="shared" ref="AG94:AG103" si="50">AE94+$N$97</f>
        <v>0.45659661654048045</v>
      </c>
      <c r="AH94">
        <v>-4</v>
      </c>
      <c r="AI94">
        <f t="shared" si="37"/>
        <v>-0.33265147764945319</v>
      </c>
      <c r="AJ94">
        <f t="shared" ref="AJ94:AJ103" si="51">AI94+$L$98</f>
        <v>0.21026080981372725</v>
      </c>
      <c r="AK94">
        <f t="shared" ref="AK94:AK103" si="52">AI94+$N$98</f>
        <v>0.45457133917215847</v>
      </c>
      <c r="AL94">
        <v>-4</v>
      </c>
      <c r="AM94">
        <f t="shared" si="38"/>
        <v>-0.33761043174142957</v>
      </c>
      <c r="AN94">
        <f t="shared" ref="AN94:AN103" si="53">AM94+$L$99</f>
        <v>0.2052536768659794</v>
      </c>
      <c r="AO94">
        <f t="shared" ref="AO94:AO103" si="54">AM94+$N$99</f>
        <v>0.44954252573931353</v>
      </c>
    </row>
    <row r="95" spans="1:41" x14ac:dyDescent="0.25">
      <c r="A95" s="59" t="s">
        <v>791</v>
      </c>
      <c r="B95" s="5">
        <f>H14</f>
        <v>25.2</v>
      </c>
      <c r="C95" s="5" t="s">
        <v>490</v>
      </c>
      <c r="D95" s="5" t="s">
        <v>863</v>
      </c>
      <c r="E95" s="6"/>
      <c r="G95" s="95">
        <v>0.1</v>
      </c>
      <c r="H95">
        <f t="shared" si="32"/>
        <v>0.99498743710661997</v>
      </c>
      <c r="I95">
        <f>'C_L vs. α'!M318</f>
        <v>0.1085440840479949</v>
      </c>
      <c r="J95">
        <f t="shared" si="39"/>
        <v>1.7275327519620534E-2</v>
      </c>
      <c r="K95">
        <f t="shared" si="40"/>
        <v>0.10792083880812733</v>
      </c>
      <c r="L95">
        <f t="shared" si="41"/>
        <v>0.54299863771314927</v>
      </c>
      <c r="N95">
        <f t="shared" si="42"/>
        <v>0.78734802468406651</v>
      </c>
      <c r="R95">
        <v>-2</v>
      </c>
      <c r="S95">
        <f t="shared" si="33"/>
        <v>-0.10751668774086059</v>
      </c>
      <c r="T95">
        <f t="shared" si="43"/>
        <v>0.4354937270713814</v>
      </c>
      <c r="U95">
        <f t="shared" si="44"/>
        <v>0.67984841373689031</v>
      </c>
      <c r="V95">
        <v>-2</v>
      </c>
      <c r="W95">
        <f t="shared" si="34"/>
        <v>-0.1085440840479949</v>
      </c>
      <c r="X95">
        <f t="shared" si="45"/>
        <v>0.43447022704696558</v>
      </c>
      <c r="Y95">
        <f t="shared" si="46"/>
        <v>0.67882666703969774</v>
      </c>
      <c r="Z95">
        <v>-2</v>
      </c>
      <c r="AA95">
        <f t="shared" si="35"/>
        <v>-0.10860469177227465</v>
      </c>
      <c r="AB95">
        <f t="shared" si="47"/>
        <v>0.43437401765190314</v>
      </c>
      <c r="AC95">
        <f t="shared" si="48"/>
        <v>0.6787144368927831</v>
      </c>
      <c r="AD95">
        <v>-2</v>
      </c>
      <c r="AE95">
        <f t="shared" si="36"/>
        <v>-0.11022703842524302</v>
      </c>
      <c r="AF95">
        <f t="shared" si="49"/>
        <v>0.43272312144800501</v>
      </c>
      <c r="AG95">
        <f t="shared" si="50"/>
        <v>0.67705069339096646</v>
      </c>
      <c r="AH95">
        <v>-2</v>
      </c>
      <c r="AI95">
        <f t="shared" si="37"/>
        <v>-0.11088382588315106</v>
      </c>
      <c r="AJ95">
        <f t="shared" si="51"/>
        <v>0.43202846158002939</v>
      </c>
      <c r="AK95">
        <f t="shared" si="52"/>
        <v>0.67633899093846062</v>
      </c>
      <c r="AL95">
        <v>-2</v>
      </c>
      <c r="AM95">
        <f t="shared" si="38"/>
        <v>-0.11253681058047653</v>
      </c>
      <c r="AN95">
        <f t="shared" si="53"/>
        <v>0.43032729802693243</v>
      </c>
      <c r="AO95">
        <f t="shared" si="54"/>
        <v>0.67461614690026661</v>
      </c>
    </row>
    <row r="96" spans="1:41" x14ac:dyDescent="0.25">
      <c r="A96" s="195" t="s">
        <v>974</v>
      </c>
      <c r="B96" s="8">
        <f>B68</f>
        <v>-1.328311879275689E-2</v>
      </c>
      <c r="C96" s="8"/>
      <c r="D96" s="8" t="s">
        <v>989</v>
      </c>
      <c r="E96" s="9" t="s">
        <v>990</v>
      </c>
      <c r="G96" s="99">
        <v>0.15</v>
      </c>
      <c r="H96">
        <f t="shared" si="32"/>
        <v>0.98868599666425949</v>
      </c>
      <c r="I96">
        <f>'C_L vs. α'!M319</f>
        <v>0.10923589528362149</v>
      </c>
      <c r="J96">
        <f t="shared" si="39"/>
        <v>1.7385432697457015E-2</v>
      </c>
      <c r="K96">
        <f t="shared" si="40"/>
        <v>0.10860469177227465</v>
      </c>
      <c r="L96">
        <f t="shared" si="41"/>
        <v>0.54297870942417781</v>
      </c>
      <c r="N96">
        <f t="shared" si="42"/>
        <v>0.78731912866505771</v>
      </c>
      <c r="R96">
        <v>0</v>
      </c>
      <c r="S96">
        <f t="shared" si="33"/>
        <v>0.10751668774086059</v>
      </c>
      <c r="T96">
        <f t="shared" si="43"/>
        <v>0.65052710255310253</v>
      </c>
      <c r="U96">
        <f t="shared" si="44"/>
        <v>0.89488178921861161</v>
      </c>
      <c r="V96">
        <v>0</v>
      </c>
      <c r="W96">
        <f t="shared" si="34"/>
        <v>0.1085440840479949</v>
      </c>
      <c r="X96">
        <f t="shared" si="45"/>
        <v>0.65155839514295533</v>
      </c>
      <c r="Y96">
        <f t="shared" si="46"/>
        <v>0.89591483513568748</v>
      </c>
      <c r="Z96">
        <v>0</v>
      </c>
      <c r="AA96">
        <f t="shared" si="35"/>
        <v>0.10860469177227465</v>
      </c>
      <c r="AB96">
        <f t="shared" si="47"/>
        <v>0.65158340119645242</v>
      </c>
      <c r="AC96">
        <f t="shared" si="48"/>
        <v>0.89592382043733232</v>
      </c>
      <c r="AD96">
        <v>0</v>
      </c>
      <c r="AE96">
        <f t="shared" si="36"/>
        <v>0.11022703842524302</v>
      </c>
      <c r="AF96">
        <f t="shared" si="49"/>
        <v>0.65317719829849108</v>
      </c>
      <c r="AG96">
        <f t="shared" si="50"/>
        <v>0.89750477024145259</v>
      </c>
      <c r="AH96">
        <v>0</v>
      </c>
      <c r="AI96">
        <f t="shared" si="37"/>
        <v>0.11088382588315106</v>
      </c>
      <c r="AJ96">
        <f t="shared" si="51"/>
        <v>0.65379611334633148</v>
      </c>
      <c r="AK96">
        <f t="shared" si="52"/>
        <v>0.8981066427047627</v>
      </c>
      <c r="AL96">
        <v>0</v>
      </c>
      <c r="AM96">
        <f t="shared" si="38"/>
        <v>0.11253681058047653</v>
      </c>
      <c r="AN96">
        <f t="shared" si="53"/>
        <v>0.65540091918788546</v>
      </c>
      <c r="AO96">
        <f t="shared" si="54"/>
        <v>0.89968976806121959</v>
      </c>
    </row>
    <row r="97" spans="1:41" x14ac:dyDescent="0.25">
      <c r="G97">
        <v>0.2</v>
      </c>
      <c r="H97">
        <f t="shared" si="32"/>
        <v>0.9797958971132712</v>
      </c>
      <c r="I97">
        <f>'C_L vs. α'!M320</f>
        <v>0.11022703842524302</v>
      </c>
      <c r="J97">
        <f t="shared" si="39"/>
        <v>1.7543178027757716E-2</v>
      </c>
      <c r="K97">
        <f t="shared" si="40"/>
        <v>0.1095843455459722</v>
      </c>
      <c r="L97">
        <f t="shared" si="41"/>
        <v>0.54295015987324802</v>
      </c>
      <c r="N97">
        <f t="shared" si="42"/>
        <v>0.78727773181620953</v>
      </c>
      <c r="R97">
        <v>2</v>
      </c>
      <c r="S97">
        <f t="shared" si="33"/>
        <v>0.32255006322258178</v>
      </c>
      <c r="T97">
        <f t="shared" si="43"/>
        <v>0.86556047803482383</v>
      </c>
      <c r="U97">
        <f t="shared" si="44"/>
        <v>1.1099151647003327</v>
      </c>
      <c r="V97">
        <v>2</v>
      </c>
      <c r="W97">
        <f t="shared" si="34"/>
        <v>0.32563225214398472</v>
      </c>
      <c r="X97">
        <f t="shared" si="45"/>
        <v>0.86864656323894518</v>
      </c>
      <c r="Y97">
        <f t="shared" si="46"/>
        <v>1.1130030032316773</v>
      </c>
      <c r="Z97">
        <v>2</v>
      </c>
      <c r="AA97">
        <f t="shared" si="35"/>
        <v>0.32581407531682394</v>
      </c>
      <c r="AB97">
        <f t="shared" si="47"/>
        <v>0.86879278474100174</v>
      </c>
      <c r="AC97">
        <f t="shared" si="48"/>
        <v>1.1131332039818815</v>
      </c>
      <c r="AD97">
        <v>2</v>
      </c>
      <c r="AE97">
        <f t="shared" si="36"/>
        <v>0.33068111527572908</v>
      </c>
      <c r="AF97">
        <f t="shared" si="49"/>
        <v>0.87363127514897709</v>
      </c>
      <c r="AG97">
        <f t="shared" si="50"/>
        <v>1.1179588470919386</v>
      </c>
      <c r="AH97">
        <v>2</v>
      </c>
      <c r="AI97">
        <f t="shared" si="37"/>
        <v>0.33265147764945319</v>
      </c>
      <c r="AJ97">
        <f t="shared" si="51"/>
        <v>0.87556376511263356</v>
      </c>
      <c r="AK97">
        <f t="shared" si="52"/>
        <v>1.1198742944710649</v>
      </c>
      <c r="AL97">
        <v>2</v>
      </c>
      <c r="AM97">
        <f t="shared" si="38"/>
        <v>0.33761043174142957</v>
      </c>
      <c r="AN97">
        <f t="shared" si="53"/>
        <v>0.88047454034883854</v>
      </c>
      <c r="AO97">
        <f t="shared" si="54"/>
        <v>1.1247633892221727</v>
      </c>
    </row>
    <row r="98" spans="1:41" x14ac:dyDescent="0.25">
      <c r="A98" s="316" t="s">
        <v>749</v>
      </c>
      <c r="B98" s="317"/>
      <c r="C98" s="317"/>
      <c r="D98" s="317"/>
      <c r="E98" s="280" t="s">
        <v>1173</v>
      </c>
      <c r="G98">
        <v>0.25</v>
      </c>
      <c r="H98">
        <f t="shared" si="32"/>
        <v>0.96824583655185426</v>
      </c>
      <c r="I98">
        <f>'C_L vs. α'!M321</f>
        <v>0.1115419203707736</v>
      </c>
      <c r="J98">
        <f t="shared" si="39"/>
        <v>1.7752447988971194E-2</v>
      </c>
      <c r="K98">
        <f t="shared" si="40"/>
        <v>0.11088382588315106</v>
      </c>
      <c r="L98">
        <f t="shared" si="41"/>
        <v>0.54291228746318043</v>
      </c>
      <c r="N98">
        <f t="shared" si="42"/>
        <v>0.78722281682161166</v>
      </c>
      <c r="R98">
        <v>4</v>
      </c>
      <c r="S98">
        <f t="shared" si="33"/>
        <v>0.53758343870430303</v>
      </c>
      <c r="T98">
        <f t="shared" si="43"/>
        <v>1.0805938535165449</v>
      </c>
      <c r="U98">
        <f t="shared" si="44"/>
        <v>1.324948540182054</v>
      </c>
      <c r="V98">
        <v>4</v>
      </c>
      <c r="W98">
        <f t="shared" si="34"/>
        <v>0.54272042023997447</v>
      </c>
      <c r="X98">
        <f t="shared" si="45"/>
        <v>1.0857347313349348</v>
      </c>
      <c r="Y98">
        <f t="shared" si="46"/>
        <v>1.3300911713276671</v>
      </c>
      <c r="Z98">
        <v>4</v>
      </c>
      <c r="AA98">
        <f t="shared" si="35"/>
        <v>0.54302345886137326</v>
      </c>
      <c r="AB98">
        <f t="shared" si="47"/>
        <v>1.086002168285551</v>
      </c>
      <c r="AC98">
        <f t="shared" si="48"/>
        <v>1.330342587526431</v>
      </c>
      <c r="AD98">
        <v>4</v>
      </c>
      <c r="AE98">
        <f t="shared" si="36"/>
        <v>0.55113519212621509</v>
      </c>
      <c r="AF98">
        <f t="shared" si="49"/>
        <v>1.0940853519994631</v>
      </c>
      <c r="AG98">
        <f t="shared" si="50"/>
        <v>1.3384129239424247</v>
      </c>
      <c r="AH98">
        <v>4</v>
      </c>
      <c r="AI98">
        <f t="shared" si="37"/>
        <v>0.55441912941575533</v>
      </c>
      <c r="AJ98">
        <f t="shared" si="51"/>
        <v>1.0973314168789359</v>
      </c>
      <c r="AK98">
        <f t="shared" si="52"/>
        <v>1.341641946237367</v>
      </c>
      <c r="AL98">
        <v>4</v>
      </c>
      <c r="AM98">
        <f t="shared" si="38"/>
        <v>0.56268405290238266</v>
      </c>
      <c r="AN98">
        <f t="shared" si="53"/>
        <v>1.1055481615097915</v>
      </c>
      <c r="AO98">
        <f t="shared" si="54"/>
        <v>1.3498370103831259</v>
      </c>
    </row>
    <row r="99" spans="1:41" x14ac:dyDescent="0.25">
      <c r="A99" s="212" t="s">
        <v>975</v>
      </c>
      <c r="B99" s="211">
        <f>(B100-0.25)*B101+B107*(B108/1.5)*B103*TAN(B109)+B104*(B106*B103*B105^2)-B104*(0.25*B102*(B105^2-B105)+B104*B110*(B105^2-1))</f>
        <v>0</v>
      </c>
      <c r="C99" s="211"/>
      <c r="D99" s="211"/>
      <c r="E99" s="213" t="s">
        <v>977</v>
      </c>
      <c r="G99">
        <v>0.3</v>
      </c>
      <c r="H99">
        <f t="shared" si="32"/>
        <v>0.95393920141694566</v>
      </c>
      <c r="I99">
        <f>'C_L vs. α'!M322</f>
        <v>0.11321476236596717</v>
      </c>
      <c r="J99">
        <f t="shared" si="39"/>
        <v>1.8018689061517958E-2</v>
      </c>
      <c r="K99">
        <f t="shared" si="40"/>
        <v>0.11253681058047653</v>
      </c>
      <c r="L99">
        <f t="shared" si="41"/>
        <v>0.54286410860740897</v>
      </c>
      <c r="N99">
        <f t="shared" si="42"/>
        <v>0.7871529574807431</v>
      </c>
      <c r="R99">
        <v>6</v>
      </c>
      <c r="S99">
        <f t="shared" si="33"/>
        <v>0.75261681418602411</v>
      </c>
      <c r="T99">
        <f t="shared" si="43"/>
        <v>1.2956272289982662</v>
      </c>
      <c r="U99">
        <f t="shared" si="44"/>
        <v>1.5399819156637751</v>
      </c>
      <c r="V99">
        <v>6</v>
      </c>
      <c r="W99">
        <f t="shared" si="34"/>
        <v>0.75980858833596432</v>
      </c>
      <c r="X99">
        <f t="shared" si="45"/>
        <v>1.3028228994309248</v>
      </c>
      <c r="Y99">
        <f t="shared" si="46"/>
        <v>1.547179339423657</v>
      </c>
      <c r="Z99">
        <v>6</v>
      </c>
      <c r="AA99">
        <f t="shared" si="35"/>
        <v>0.76023284240592259</v>
      </c>
      <c r="AB99">
        <f t="shared" si="47"/>
        <v>1.3032115518301004</v>
      </c>
      <c r="AC99">
        <f t="shared" si="48"/>
        <v>1.5475519710709804</v>
      </c>
      <c r="AD99">
        <v>6</v>
      </c>
      <c r="AE99">
        <f t="shared" si="36"/>
        <v>0.7715892689767011</v>
      </c>
      <c r="AF99">
        <f t="shared" si="49"/>
        <v>1.3145394288499492</v>
      </c>
      <c r="AG99">
        <f t="shared" si="50"/>
        <v>1.5588670007929106</v>
      </c>
      <c r="AH99">
        <v>6</v>
      </c>
      <c r="AI99">
        <f t="shared" si="37"/>
        <v>0.77618678118205742</v>
      </c>
      <c r="AJ99">
        <f t="shared" si="51"/>
        <v>1.319099068645238</v>
      </c>
      <c r="AK99">
        <f t="shared" si="52"/>
        <v>1.5634095980036691</v>
      </c>
      <c r="AL99">
        <v>6</v>
      </c>
      <c r="AM99">
        <f t="shared" si="38"/>
        <v>0.78775767406333574</v>
      </c>
      <c r="AN99">
        <f t="shared" si="53"/>
        <v>1.3306217826707447</v>
      </c>
      <c r="AO99">
        <f t="shared" si="54"/>
        <v>1.5749106315440788</v>
      </c>
    </row>
    <row r="100" spans="1:41" x14ac:dyDescent="0.25">
      <c r="A100" s="59" t="s">
        <v>911</v>
      </c>
      <c r="B100" s="5"/>
      <c r="C100" s="5"/>
      <c r="D100" s="5"/>
      <c r="E100" s="214" t="s">
        <v>976</v>
      </c>
      <c r="G100">
        <v>0.35</v>
      </c>
      <c r="H100">
        <f t="shared" si="32"/>
        <v>0.93674969975975975</v>
      </c>
      <c r="I100">
        <f>'C_L vs. α'!M323</f>
        <v>0.11529227073966274</v>
      </c>
      <c r="J100">
        <f t="shared" si="39"/>
        <v>1.8349334788506415E-2</v>
      </c>
      <c r="K100">
        <f t="shared" si="40"/>
        <v>0.11458924848844031</v>
      </c>
      <c r="L100">
        <f t="shared" si="41"/>
        <v>0.54280428110418466</v>
      </c>
      <c r="N100">
        <f t="shared" si="42"/>
        <v>0.78706620760106782</v>
      </c>
      <c r="R100">
        <v>8</v>
      </c>
      <c r="S100">
        <f t="shared" si="33"/>
        <v>0.96765018966774541</v>
      </c>
      <c r="T100">
        <f t="shared" si="43"/>
        <v>1.5106606044799875</v>
      </c>
      <c r="U100">
        <f t="shared" si="44"/>
        <v>1.7550152911454964</v>
      </c>
      <c r="V100">
        <v>8</v>
      </c>
      <c r="W100">
        <f t="shared" si="34"/>
        <v>0.97689675643195406</v>
      </c>
      <c r="X100">
        <f t="shared" si="45"/>
        <v>1.5199110675269145</v>
      </c>
      <c r="Y100">
        <f t="shared" si="46"/>
        <v>1.7642675075196466</v>
      </c>
      <c r="Z100">
        <v>8</v>
      </c>
      <c r="AA100">
        <f t="shared" si="35"/>
        <v>0.97744222595047181</v>
      </c>
      <c r="AB100">
        <f t="shared" si="47"/>
        <v>1.5204209353746496</v>
      </c>
      <c r="AC100">
        <f t="shared" si="48"/>
        <v>1.7647613546155294</v>
      </c>
      <c r="AD100">
        <v>8</v>
      </c>
      <c r="AE100">
        <f t="shared" si="36"/>
        <v>0.99204334582718723</v>
      </c>
      <c r="AF100">
        <f t="shared" si="49"/>
        <v>1.5349935057004354</v>
      </c>
      <c r="AG100">
        <f t="shared" si="50"/>
        <v>1.7793210776433968</v>
      </c>
      <c r="AH100">
        <v>8</v>
      </c>
      <c r="AI100">
        <f t="shared" si="37"/>
        <v>0.9979544329483595</v>
      </c>
      <c r="AJ100">
        <f t="shared" si="51"/>
        <v>1.54086672041154</v>
      </c>
      <c r="AK100">
        <f t="shared" si="52"/>
        <v>1.7851772497699712</v>
      </c>
      <c r="AL100">
        <v>8</v>
      </c>
      <c r="AM100">
        <f t="shared" si="38"/>
        <v>1.0128312952242888</v>
      </c>
      <c r="AN100">
        <f t="shared" si="53"/>
        <v>1.5556954038316979</v>
      </c>
      <c r="AO100">
        <f t="shared" si="54"/>
        <v>1.7999842527050318</v>
      </c>
    </row>
    <row r="101" spans="1:41" x14ac:dyDescent="0.25">
      <c r="A101" s="59" t="s">
        <v>968</v>
      </c>
      <c r="B101" s="5"/>
      <c r="C101" s="5"/>
      <c r="D101" s="5" t="s">
        <v>978</v>
      </c>
      <c r="E101" s="6" t="s">
        <v>979</v>
      </c>
      <c r="G101">
        <v>0.4</v>
      </c>
      <c r="H101">
        <f t="shared" si="32"/>
        <v>0.91651513899116799</v>
      </c>
      <c r="I101">
        <f>'C_L vs. α'!M324</f>
        <v>0.11783766072743589</v>
      </c>
      <c r="J101">
        <f t="shared" si="39"/>
        <v>1.8754446187157128E-2</v>
      </c>
      <c r="K101">
        <f t="shared" si="40"/>
        <v>0.11710330329108595</v>
      </c>
      <c r="L101">
        <f t="shared" si="41"/>
        <v>0.54273098872049952</v>
      </c>
      <c r="N101">
        <f t="shared" si="42"/>
        <v>0.78695993364472427</v>
      </c>
      <c r="R101">
        <v>10</v>
      </c>
      <c r="S101">
        <f t="shared" si="33"/>
        <v>1.1826835651494665</v>
      </c>
      <c r="T101">
        <f t="shared" si="43"/>
        <v>1.7256939799617084</v>
      </c>
      <c r="U101">
        <f t="shared" si="44"/>
        <v>1.9700486666272174</v>
      </c>
      <c r="V101">
        <v>10</v>
      </c>
      <c r="W101">
        <f t="shared" si="34"/>
        <v>1.1939849245279439</v>
      </c>
      <c r="X101">
        <f t="shared" si="45"/>
        <v>1.7369992356229043</v>
      </c>
      <c r="Y101">
        <f t="shared" si="46"/>
        <v>1.9813556756156365</v>
      </c>
      <c r="Z101">
        <v>10</v>
      </c>
      <c r="AA101">
        <f t="shared" si="35"/>
        <v>1.1946516094950212</v>
      </c>
      <c r="AB101">
        <f t="shared" si="47"/>
        <v>1.7376303189191991</v>
      </c>
      <c r="AC101">
        <f t="shared" si="48"/>
        <v>1.9819707381600788</v>
      </c>
      <c r="AD101">
        <v>10</v>
      </c>
      <c r="AE101">
        <f t="shared" si="36"/>
        <v>1.2124974226776732</v>
      </c>
      <c r="AF101">
        <f t="shared" si="49"/>
        <v>1.7554475825509213</v>
      </c>
      <c r="AG101">
        <f t="shared" si="50"/>
        <v>1.9997751544938827</v>
      </c>
      <c r="AH101">
        <v>10</v>
      </c>
      <c r="AI101">
        <f t="shared" si="37"/>
        <v>1.2197220847146617</v>
      </c>
      <c r="AJ101">
        <f t="shared" si="51"/>
        <v>1.7626343721778421</v>
      </c>
      <c r="AK101">
        <f t="shared" si="52"/>
        <v>2.0069449015362735</v>
      </c>
      <c r="AL101">
        <v>10</v>
      </c>
      <c r="AM101">
        <f t="shared" si="38"/>
        <v>1.2379049163852418</v>
      </c>
      <c r="AN101">
        <f t="shared" si="53"/>
        <v>1.7807690249926509</v>
      </c>
      <c r="AO101">
        <f t="shared" si="54"/>
        <v>2.0250578738659848</v>
      </c>
    </row>
    <row r="102" spans="1:41" x14ac:dyDescent="0.25">
      <c r="A102" s="59" t="s">
        <v>221</v>
      </c>
      <c r="B102" s="5"/>
      <c r="C102" s="5"/>
      <c r="D102" s="5" t="s">
        <v>980</v>
      </c>
      <c r="E102" s="6" t="s">
        <v>981</v>
      </c>
      <c r="G102">
        <v>0.45</v>
      </c>
      <c r="H102">
        <f t="shared" si="32"/>
        <v>0.89302855497458755</v>
      </c>
      <c r="I102">
        <f>'C_L vs. α'!M325</f>
        <v>0.12093678236646453</v>
      </c>
      <c r="J102">
        <f t="shared" si="39"/>
        <v>1.9247686715251594E-2</v>
      </c>
      <c r="K102">
        <f t="shared" si="40"/>
        <v>0.12016335367808399</v>
      </c>
      <c r="L102">
        <f t="shared" si="41"/>
        <v>0.54264176553865595</v>
      </c>
      <c r="N102">
        <f t="shared" si="42"/>
        <v>0.78683056003105112</v>
      </c>
      <c r="R102">
        <v>12</v>
      </c>
      <c r="S102">
        <f t="shared" si="33"/>
        <v>1.3977169406311878</v>
      </c>
      <c r="T102">
        <f t="shared" si="43"/>
        <v>1.9407273554434297</v>
      </c>
      <c r="U102">
        <f t="shared" si="44"/>
        <v>2.185082042108939</v>
      </c>
      <c r="V102">
        <v>12</v>
      </c>
      <c r="W102">
        <f t="shared" si="34"/>
        <v>1.4110730926239337</v>
      </c>
      <c r="X102">
        <f t="shared" si="45"/>
        <v>1.9540874037188942</v>
      </c>
      <c r="Y102">
        <f t="shared" si="46"/>
        <v>2.198443843711626</v>
      </c>
      <c r="Z102">
        <v>12</v>
      </c>
      <c r="AA102">
        <f t="shared" si="35"/>
        <v>1.4118609930395705</v>
      </c>
      <c r="AB102">
        <f t="shared" si="47"/>
        <v>1.9548397024637483</v>
      </c>
      <c r="AC102">
        <f t="shared" si="48"/>
        <v>2.1991801217046283</v>
      </c>
      <c r="AD102">
        <v>12</v>
      </c>
      <c r="AE102">
        <f t="shared" si="36"/>
        <v>1.4329514995281594</v>
      </c>
      <c r="AF102">
        <f t="shared" si="49"/>
        <v>1.9759016594014074</v>
      </c>
      <c r="AG102">
        <f t="shared" si="50"/>
        <v>2.2202292313443688</v>
      </c>
      <c r="AH102">
        <v>12</v>
      </c>
      <c r="AI102">
        <f t="shared" si="37"/>
        <v>1.4414897364809638</v>
      </c>
      <c r="AJ102">
        <f t="shared" si="51"/>
        <v>1.9844020239441442</v>
      </c>
      <c r="AK102">
        <f t="shared" si="52"/>
        <v>2.2287125533025756</v>
      </c>
      <c r="AL102">
        <v>12</v>
      </c>
      <c r="AM102">
        <f t="shared" si="38"/>
        <v>1.4629785375461948</v>
      </c>
      <c r="AN102">
        <f t="shared" si="53"/>
        <v>2.0058426461536039</v>
      </c>
      <c r="AO102">
        <f t="shared" si="54"/>
        <v>2.2501314950269378</v>
      </c>
    </row>
    <row r="103" spans="1:41" x14ac:dyDescent="0.25">
      <c r="A103" s="59" t="s">
        <v>969</v>
      </c>
      <c r="B103" s="5"/>
      <c r="C103" s="5"/>
      <c r="D103" s="5" t="s">
        <v>982</v>
      </c>
      <c r="E103" s="6" t="s">
        <v>979</v>
      </c>
      <c r="G103">
        <v>0.5</v>
      </c>
      <c r="H103">
        <f t="shared" si="32"/>
        <v>0.8660254037844386</v>
      </c>
      <c r="I103">
        <f>'C_L vs. α'!M326</f>
        <v>0.12470765814495917</v>
      </c>
      <c r="J103">
        <f t="shared" si="39"/>
        <v>1.9847840235184516E-2</v>
      </c>
      <c r="K103">
        <f t="shared" si="40"/>
        <v>0.12388532816405289</v>
      </c>
      <c r="L103">
        <f t="shared" si="41"/>
        <v>0.54253322257858094</v>
      </c>
      <c r="N103">
        <f t="shared" si="42"/>
        <v>0.78667317273894233</v>
      </c>
      <c r="R103">
        <v>14</v>
      </c>
      <c r="S103">
        <f t="shared" si="33"/>
        <v>1.6127503161129089</v>
      </c>
      <c r="T103">
        <f t="shared" si="43"/>
        <v>2.155760730925151</v>
      </c>
      <c r="U103">
        <f t="shared" si="44"/>
        <v>2.4001154175906598</v>
      </c>
      <c r="V103">
        <v>14</v>
      </c>
      <c r="W103">
        <f t="shared" si="34"/>
        <v>1.6281612607199234</v>
      </c>
      <c r="X103">
        <f t="shared" si="45"/>
        <v>2.1711755718148837</v>
      </c>
      <c r="Y103">
        <f t="shared" si="46"/>
        <v>2.415532011807616</v>
      </c>
      <c r="Z103">
        <v>14</v>
      </c>
      <c r="AA103">
        <f t="shared" si="35"/>
        <v>1.6290703765841197</v>
      </c>
      <c r="AB103">
        <f t="shared" si="47"/>
        <v>2.1720490860082977</v>
      </c>
      <c r="AC103">
        <f t="shared" si="48"/>
        <v>2.4163895052491773</v>
      </c>
      <c r="AD103">
        <v>14</v>
      </c>
      <c r="AE103">
        <f t="shared" si="36"/>
        <v>1.6534055763786453</v>
      </c>
      <c r="AF103">
        <f t="shared" si="49"/>
        <v>2.1963557362518933</v>
      </c>
      <c r="AG103">
        <f t="shared" si="50"/>
        <v>2.4406833081948549</v>
      </c>
      <c r="AH103">
        <v>14</v>
      </c>
      <c r="AI103">
        <f t="shared" si="37"/>
        <v>1.6632573882472659</v>
      </c>
      <c r="AJ103">
        <f t="shared" si="51"/>
        <v>2.2061696757104463</v>
      </c>
      <c r="AK103">
        <f t="shared" si="52"/>
        <v>2.4504802050688776</v>
      </c>
      <c r="AL103">
        <v>14</v>
      </c>
      <c r="AM103">
        <f t="shared" si="38"/>
        <v>1.688052158707148</v>
      </c>
      <c r="AN103">
        <f t="shared" si="53"/>
        <v>2.2309162673145568</v>
      </c>
      <c r="AO103">
        <f t="shared" si="54"/>
        <v>2.4752051161878912</v>
      </c>
    </row>
    <row r="104" spans="1:41" x14ac:dyDescent="0.25">
      <c r="A104" s="59" t="s">
        <v>970</v>
      </c>
      <c r="B104" s="5"/>
      <c r="C104" s="5"/>
      <c r="D104" s="5" t="s">
        <v>983</v>
      </c>
      <c r="E104" s="6" t="s">
        <v>984</v>
      </c>
      <c r="G104">
        <v>0.55000000000000004</v>
      </c>
      <c r="H104">
        <f t="shared" si="32"/>
        <v>0.83516465442450327</v>
      </c>
      <c r="I104">
        <f>'C_L vs. α'!M327</f>
        <v>0.12931581745927792</v>
      </c>
      <c r="J104">
        <f t="shared" si="39"/>
        <v>2.0581251568613304E-2</v>
      </c>
      <c r="K104">
        <f t="shared" si="40"/>
        <v>0.12843170011191982</v>
      </c>
      <c r="L104">
        <f t="shared" si="41"/>
        <v>0.54240060846213223</v>
      </c>
      <c r="N104">
        <f t="shared" si="42"/>
        <v>0.78648088227009172</v>
      </c>
    </row>
    <row r="105" spans="1:41" x14ac:dyDescent="0.25">
      <c r="A105" s="59" t="s">
        <v>971</v>
      </c>
      <c r="B105" s="5">
        <v>1</v>
      </c>
      <c r="C105" s="5"/>
      <c r="D105" s="5" t="s">
        <v>985</v>
      </c>
      <c r="E105" s="6" t="s">
        <v>986</v>
      </c>
      <c r="G105">
        <v>0.6</v>
      </c>
      <c r="H105">
        <f t="shared" si="32"/>
        <v>0.8</v>
      </c>
      <c r="I105">
        <f>'C_L vs. α'!M328</f>
        <v>0.13499999999999998</v>
      </c>
      <c r="J105">
        <f t="shared" si="39"/>
        <v>2.1485917317405869E-2</v>
      </c>
      <c r="K105">
        <f t="shared" si="40"/>
        <v>0.13403659601114101</v>
      </c>
      <c r="L105">
        <f t="shared" si="41"/>
        <v>0.54223707338993943</v>
      </c>
      <c r="N105">
        <f t="shared" si="42"/>
        <v>0.78624375641541222</v>
      </c>
      <c r="R105" t="s">
        <v>911</v>
      </c>
      <c r="S105">
        <v>7.0529000000000002</v>
      </c>
      <c r="T105" t="s">
        <v>791</v>
      </c>
      <c r="U105">
        <v>25.2</v>
      </c>
    </row>
    <row r="106" spans="1:41" x14ac:dyDescent="0.25">
      <c r="A106" s="59" t="s">
        <v>972</v>
      </c>
      <c r="B106" s="5">
        <f>B92</f>
        <v>-0.28000000000000003</v>
      </c>
      <c r="C106" s="5"/>
      <c r="D106" s="5"/>
      <c r="E106" s="6" t="s">
        <v>986</v>
      </c>
      <c r="G106">
        <v>0.65</v>
      </c>
      <c r="H106">
        <f t="shared" si="32"/>
        <v>0.75993420767853315</v>
      </c>
      <c r="I106">
        <f>'C_L vs. α'!M329</f>
        <v>0.1421175661113101</v>
      </c>
      <c r="J106">
        <f t="shared" si="39"/>
        <v>2.2618713146804234E-2</v>
      </c>
      <c r="K106">
        <f t="shared" si="40"/>
        <v>0.14105009991278383</v>
      </c>
      <c r="L106">
        <f t="shared" si="41"/>
        <v>0.54203236960681733</v>
      </c>
      <c r="N106">
        <f t="shared" si="42"/>
        <v>0.78594693592988507</v>
      </c>
      <c r="R106" t="s">
        <v>970</v>
      </c>
      <c r="S106">
        <v>0.56000000000000005</v>
      </c>
      <c r="T106" s="5" t="s">
        <v>268</v>
      </c>
      <c r="U106" s="5">
        <v>4</v>
      </c>
    </row>
    <row r="107" spans="1:41" x14ac:dyDescent="0.25">
      <c r="A107" s="59" t="s">
        <v>973</v>
      </c>
      <c r="B107" s="5"/>
      <c r="C107" s="5"/>
      <c r="D107" s="5" t="s">
        <v>987</v>
      </c>
      <c r="E107" s="6" t="s">
        <v>988</v>
      </c>
      <c r="G107">
        <v>0.7</v>
      </c>
      <c r="H107">
        <f t="shared" si="32"/>
        <v>0.71414284285428498</v>
      </c>
      <c r="I107">
        <f>'C_L vs. α'!M330</f>
        <v>0.15123024907502505</v>
      </c>
      <c r="J107">
        <f t="shared" si="39"/>
        <v>2.4069041685308771E-2</v>
      </c>
      <c r="K107">
        <f t="shared" si="40"/>
        <v>0.15002179385820991</v>
      </c>
      <c r="L107">
        <f t="shared" si="41"/>
        <v>0.54177039919769121</v>
      </c>
      <c r="N107">
        <f t="shared" si="42"/>
        <v>0.78556707883665233</v>
      </c>
      <c r="R107" s="109" t="s">
        <v>971</v>
      </c>
      <c r="S107">
        <v>1.1000000000000001</v>
      </c>
    </row>
    <row r="108" spans="1:41" x14ac:dyDescent="0.25">
      <c r="A108" s="59" t="s">
        <v>87</v>
      </c>
      <c r="B108" s="5">
        <f>H20</f>
        <v>0</v>
      </c>
      <c r="C108" s="5"/>
      <c r="D108" s="5" t="s">
        <v>894</v>
      </c>
      <c r="E108" s="6"/>
      <c r="G108">
        <v>0.75</v>
      </c>
      <c r="H108">
        <f t="shared" si="32"/>
        <v>0.66143782776614768</v>
      </c>
      <c r="I108">
        <f>'C_L vs. α'!M331</f>
        <v>0.16328065233998615</v>
      </c>
      <c r="J108">
        <f t="shared" si="39"/>
        <v>2.5986922931178043E-2</v>
      </c>
      <c r="K108">
        <f t="shared" si="40"/>
        <v>0.16187239091094999</v>
      </c>
      <c r="L108">
        <f t="shared" si="41"/>
        <v>0.54142417150509281</v>
      </c>
      <c r="N108">
        <f t="shared" si="42"/>
        <v>0.78506504868238458</v>
      </c>
      <c r="R108" s="109" t="s">
        <v>972</v>
      </c>
      <c r="S108">
        <v>-0.28000000000000003</v>
      </c>
      <c r="U108" s="223"/>
    </row>
    <row r="109" spans="1:41" x14ac:dyDescent="0.25">
      <c r="A109" s="59" t="s">
        <v>791</v>
      </c>
      <c r="B109" s="5">
        <f>H28</f>
        <v>0.75600000000000001</v>
      </c>
      <c r="C109" s="5" t="s">
        <v>490</v>
      </c>
      <c r="D109" s="5" t="s">
        <v>863</v>
      </c>
      <c r="E109" s="6"/>
      <c r="G109">
        <v>0.8</v>
      </c>
      <c r="H109">
        <f t="shared" si="32"/>
        <v>0.59999999999999987</v>
      </c>
      <c r="I109">
        <f>'C_L vs. α'!M332</f>
        <v>0.18000000000000005</v>
      </c>
      <c r="J109">
        <f t="shared" si="39"/>
        <v>2.8647889756541169E-2</v>
      </c>
      <c r="K109">
        <f t="shared" si="40"/>
        <v>0.17828933344339359</v>
      </c>
      <c r="L109">
        <f t="shared" si="41"/>
        <v>0.54094416707818282</v>
      </c>
      <c r="N109">
        <f t="shared" si="42"/>
        <v>0.78436904226336512</v>
      </c>
      <c r="R109" s="109" t="s">
        <v>973</v>
      </c>
      <c r="S109">
        <v>-3.0000000000000001E-3</v>
      </c>
    </row>
    <row r="110" spans="1:41" x14ac:dyDescent="0.25">
      <c r="A110" s="195" t="s">
        <v>974</v>
      </c>
      <c r="B110" s="8">
        <f>B82</f>
        <v>12.381</v>
      </c>
      <c r="C110" s="8"/>
      <c r="D110" s="8" t="s">
        <v>989</v>
      </c>
      <c r="E110" s="9" t="s">
        <v>990</v>
      </c>
      <c r="G110">
        <v>0.85</v>
      </c>
      <c r="H110">
        <f t="shared" si="32"/>
        <v>0.52678268764263703</v>
      </c>
      <c r="I110">
        <f>'C_L vs. α'!M333</f>
        <v>0.20501812708253975</v>
      </c>
      <c r="J110">
        <f t="shared" si="39"/>
        <v>3.2629648348628582E-2</v>
      </c>
      <c r="K110">
        <f t="shared" si="40"/>
        <v>0.20280036367997184</v>
      </c>
      <c r="L110">
        <f t="shared" si="41"/>
        <v>0.54022671107958864</v>
      </c>
      <c r="N110">
        <f t="shared" si="42"/>
        <v>0.78332873106540357</v>
      </c>
    </row>
    <row r="111" spans="1:41" ht="15.75" x14ac:dyDescent="0.25">
      <c r="R111" s="223" t="s">
        <v>1171</v>
      </c>
      <c r="S111">
        <v>-1</v>
      </c>
      <c r="U111" s="223" t="s">
        <v>1171</v>
      </c>
      <c r="V111">
        <v>-1</v>
      </c>
      <c r="X111" s="223" t="s">
        <v>1171</v>
      </c>
      <c r="Y111">
        <v>-1</v>
      </c>
    </row>
    <row r="112" spans="1:41" x14ac:dyDescent="0.25">
      <c r="A112" s="314" t="s">
        <v>754</v>
      </c>
      <c r="B112" s="314"/>
      <c r="C112" s="314"/>
      <c r="D112" s="314"/>
      <c r="E112" s="187" t="s">
        <v>993</v>
      </c>
      <c r="R112" t="s">
        <v>182</v>
      </c>
      <c r="S112">
        <v>0.05</v>
      </c>
      <c r="U112" t="s">
        <v>182</v>
      </c>
      <c r="V112">
        <v>0.1</v>
      </c>
      <c r="X112" t="s">
        <v>182</v>
      </c>
      <c r="Y112">
        <v>0.15</v>
      </c>
    </row>
    <row r="113" spans="1:26" x14ac:dyDescent="0.25">
      <c r="A113" s="115" t="s">
        <v>995</v>
      </c>
      <c r="B113" s="2">
        <f>(B116/(36.5*B114*B115))*B122</f>
        <v>-1.0557030579170318E-2</v>
      </c>
      <c r="C113" s="2"/>
      <c r="D113" s="2" t="s">
        <v>1011</v>
      </c>
      <c r="E113" s="3" t="s">
        <v>1009</v>
      </c>
      <c r="R113" t="s">
        <v>1150</v>
      </c>
      <c r="S113" t="s">
        <v>560</v>
      </c>
      <c r="T113" t="s">
        <v>360</v>
      </c>
      <c r="U113" t="s">
        <v>1150</v>
      </c>
      <c r="V113" t="s">
        <v>560</v>
      </c>
      <c r="W113" t="s">
        <v>360</v>
      </c>
      <c r="X113" t="s">
        <v>1150</v>
      </c>
      <c r="Y113" t="s">
        <v>560</v>
      </c>
      <c r="Z113" t="s">
        <v>360</v>
      </c>
    </row>
    <row r="114" spans="1:26" ht="15.75" x14ac:dyDescent="0.25">
      <c r="A114" s="59" t="s">
        <v>153</v>
      </c>
      <c r="B114" s="5">
        <f>H4</f>
        <v>542</v>
      </c>
      <c r="C114" s="5"/>
      <c r="D114" s="11" t="s">
        <v>233</v>
      </c>
      <c r="E114" s="6"/>
      <c r="G114" t="s">
        <v>182</v>
      </c>
      <c r="H114" s="59" t="s">
        <v>955</v>
      </c>
      <c r="I114" t="s">
        <v>994</v>
      </c>
      <c r="R114" s="223" t="s">
        <v>421</v>
      </c>
      <c r="S114" s="86" t="s">
        <v>1178</v>
      </c>
      <c r="T114" s="86" t="s">
        <v>1178</v>
      </c>
      <c r="U114" s="223" t="s">
        <v>421</v>
      </c>
      <c r="V114" s="86" t="s">
        <v>1178</v>
      </c>
      <c r="W114" s="86" t="s">
        <v>1178</v>
      </c>
      <c r="X114" s="223" t="s">
        <v>421</v>
      </c>
      <c r="Y114" s="86" t="s">
        <v>1178</v>
      </c>
      <c r="Z114" s="86" t="s">
        <v>1178</v>
      </c>
    </row>
    <row r="115" spans="1:26" x14ac:dyDescent="0.25">
      <c r="A115" s="59" t="s">
        <v>469</v>
      </c>
      <c r="B115" s="5">
        <f>H11</f>
        <v>12.381</v>
      </c>
      <c r="C115" s="5"/>
      <c r="D115" s="11" t="s">
        <v>965</v>
      </c>
      <c r="E115" s="6"/>
      <c r="G115">
        <v>0</v>
      </c>
      <c r="H115">
        <v>1</v>
      </c>
      <c r="I115">
        <f>($B$68+$B$113)*H115</f>
        <v>-2.3840149371927209E-2</v>
      </c>
      <c r="R115">
        <v>-6</v>
      </c>
      <c r="S115">
        <f>($S$105-0.25)*U70+$S$109*($U$106/1.5)*T93*TAN($U$105)+$S$106*($S$108*T93*$S$107^2)-$S$106*(0.25*S70*($S$107^2-$S$107))+$S$106*T70*($S$107^2-1)</f>
        <v>-0.82164388596445503</v>
      </c>
      <c r="T115">
        <f>($S$105-0.25)*V70+$S$109*($U$106/1.5)*U93*TAN($U$105)+$S$106*($S$108*U93*$S$107^2)-$S$106*(0.25*S70*($S$107^2-$S$107))+$S$106*T70*($S$107^2-1)</f>
        <v>0.30141360389411165</v>
      </c>
      <c r="U115">
        <v>-6</v>
      </c>
      <c r="V115">
        <f>($S$105-0.25)*Z70+$S$109*($U$106/1.5)*X93*TAN(RADIANS($U$105))+$S$106*($S$108*X93*$S$107^2)-$S$106*(0.25*Z70*($S$107^2-$S$107))+$S$106*Y70*($S$107^2-1)</f>
        <v>-0.85073332015338743</v>
      </c>
      <c r="W115">
        <f>($S$105-0.25)*AA70+$S$109*($U$106/1.5)*Y93*TAN($U$105)+$S$106*($S$108*Y93*$S$107^2)-$S$106*(0.25*X70*($S$107^2-$S$107))+$S$106*Y70*($S$107^2-1)</f>
        <v>0.27820824602863531</v>
      </c>
      <c r="X115">
        <v>-6</v>
      </c>
      <c r="Y115">
        <f>($S$105-0.25)*AE70+$S$109*($U$106/1.5)*AB93*TAN(RADIANS($U$105))+$S$106*($S$108*AB93*$S$107^2)-$S$106*(0.25*AC70*($S$107^2-$S$107))+$S$106*AD70*($S$107^2-1)</f>
        <v>-0.88585805841610399</v>
      </c>
      <c r="Z115">
        <f>($S$105-0.25)*AF70+$S$109*($U$106/1.5)*AC93*TAN($U$105)+$S$106*($S$108*AC93*$S$107^2)-$S$106*(0.25*AC70*($S$107^2-$S$107))+$S$106*AD70*($S$107^2-1)</f>
        <v>0.23720200171569264</v>
      </c>
    </row>
    <row r="116" spans="1:26" x14ac:dyDescent="0.25">
      <c r="A116" s="4" t="s">
        <v>996</v>
      </c>
      <c r="B116" s="218">
        <v>0.89</v>
      </c>
      <c r="C116" s="5"/>
      <c r="D116" s="5"/>
      <c r="E116" s="6" t="s">
        <v>997</v>
      </c>
      <c r="G116">
        <v>0.05</v>
      </c>
      <c r="H116">
        <v>1</v>
      </c>
      <c r="I116">
        <f t="shared" ref="I116:I132" si="55">($B$68+$B$113)*H116</f>
        <v>-2.3840149371927209E-2</v>
      </c>
      <c r="R116">
        <v>-4</v>
      </c>
      <c r="S116">
        <f t="shared" ref="S116:S125" si="56">($S$105-0.25)*U71+$S$109*($U$106/1.5)*T94*TAN($U$105)+$S$106*($S$108*T94*$S$107^2)-$S$106*(0.25*S71*($S$107^2-$S$107))+$S$106*T71*($S$107^2-1)</f>
        <v>0.50748964553846165</v>
      </c>
      <c r="T116">
        <f t="shared" ref="T116:T125" si="57">($S$105-0.25)*V71+$S$109*($U$106/1.5)*U94*TAN($U$105)+$S$106*($S$108*U94*$S$107^2)-$S$106*(0.25*S71*($S$107^2-$S$107))+$S$106*T71*($S$107^2-1)</f>
        <v>1.6318195062149174</v>
      </c>
      <c r="U116">
        <v>-4</v>
      </c>
      <c r="V116">
        <f t="shared" ref="V116:V125" si="58">($S$105-0.25)*Z71+$S$109*($U$106/1.5)*X94*TAN(RADIANS($U$105))+$S$106*($S$108*X94*$S$107^2)-$S$106*(0.25*Z71*($S$107^2-$S$107))+$S$106*Y71*($S$107^2-1)</f>
        <v>0.48697527743919949</v>
      </c>
      <c r="W116">
        <f t="shared" ref="W116:W125" si="59">($S$105-0.25)*AA71+$S$109*($U$106/1.5)*Y94*TAN($U$105)+$S$106*($S$108*Y94*$S$107^2)-$S$106*(0.25*X71*($S$107^2-$S$107))+$S$106*Y71*($S$107^2-1)</f>
        <v>1.6178958615221624</v>
      </c>
      <c r="X116">
        <v>-4</v>
      </c>
      <c r="Y116">
        <f t="shared" ref="Y116:Y125" si="60">($S$105-0.25)*AE71+$S$109*($U$106/1.5)*AB94*TAN(RADIANS($U$105))+$S$106*($S$108*AB94*$S$107^2)-$S$106*(0.25*AC71*($S$107^2-$S$107))+$S$106*AD71*($S$107^2-1)</f>
        <v>0.46826297542542317</v>
      </c>
      <c r="Z116">
        <f t="shared" ref="Z116:Z125" si="61">($S$105-0.25)*AF71+$S$109*($U$106/1.5)*AC94*TAN($U$105)+$S$106*($S$108*AC94*$S$107^2)-$S$106*(0.25*AC71*($S$107^2-$S$107))+$S$106*AD71*($S$107^2-1)</f>
        <v>1.5932960437493753</v>
      </c>
    </row>
    <row r="117" spans="1:26" x14ac:dyDescent="0.25">
      <c r="A117" s="4" t="s">
        <v>998</v>
      </c>
      <c r="B117" s="5"/>
      <c r="C117" s="5"/>
      <c r="D117" s="11" t="s">
        <v>1038</v>
      </c>
      <c r="E117" s="6"/>
      <c r="G117" s="95">
        <v>0.1</v>
      </c>
      <c r="H117" s="95">
        <v>1</v>
      </c>
      <c r="I117">
        <f t="shared" si="55"/>
        <v>-2.3840149371927209E-2</v>
      </c>
      <c r="R117">
        <v>-2</v>
      </c>
      <c r="S117">
        <f t="shared" si="56"/>
        <v>1.8423337485175031</v>
      </c>
      <c r="T117">
        <f t="shared" si="57"/>
        <v>2.970505737176103</v>
      </c>
      <c r="U117">
        <v>-2</v>
      </c>
      <c r="V117">
        <f t="shared" si="58"/>
        <v>1.830381519256189</v>
      </c>
      <c r="W117">
        <f t="shared" si="59"/>
        <v>2.9658638056560682</v>
      </c>
      <c r="X117">
        <v>-2</v>
      </c>
      <c r="Y117">
        <f t="shared" si="60"/>
        <v>1.8280945807430746</v>
      </c>
      <c r="Z117">
        <f t="shared" si="61"/>
        <v>2.957670414423438</v>
      </c>
    </row>
    <row r="118" spans="1:26" x14ac:dyDescent="0.25">
      <c r="A118" s="183" t="s">
        <v>999</v>
      </c>
      <c r="B118" s="5">
        <f>50/13</f>
        <v>3.8461538461538463</v>
      </c>
      <c r="C118" s="5"/>
      <c r="D118" s="11" t="s">
        <v>1039</v>
      </c>
      <c r="E118" s="6"/>
      <c r="G118" s="99">
        <v>0.15</v>
      </c>
      <c r="H118" s="279">
        <v>1</v>
      </c>
      <c r="I118">
        <f t="shared" si="55"/>
        <v>-2.3840149371927209E-2</v>
      </c>
      <c r="R118">
        <v>0</v>
      </c>
      <c r="S118">
        <f t="shared" si="56"/>
        <v>3.1830582537064198</v>
      </c>
      <c r="T118">
        <f t="shared" si="57"/>
        <v>4.317718551341609</v>
      </c>
      <c r="U118">
        <v>0</v>
      </c>
      <c r="V118">
        <f>($S$105-0.25)*Z73+$S$109*($U$106/1.5)*X96*TAN(RADIANS($U$105))+$S$106*($S$108*X96*$S$107^2)-$S$106*(0.25*Z73*($S$107^2-$S$107))+$S$106*Y73*($S$107^2-1)</f>
        <v>3.17965485157863</v>
      </c>
      <c r="W118">
        <f t="shared" si="59"/>
        <v>4.3223583329942965</v>
      </c>
      <c r="X118">
        <v>0</v>
      </c>
      <c r="Y118">
        <f t="shared" si="60"/>
        <v>3.1938065882706024</v>
      </c>
      <c r="Z118">
        <f t="shared" si="61"/>
        <v>4.3305713683018228</v>
      </c>
    </row>
    <row r="119" spans="1:26" x14ac:dyDescent="0.25">
      <c r="A119" s="4" t="s">
        <v>692</v>
      </c>
      <c r="B119" s="5">
        <v>0</v>
      </c>
      <c r="C119" s="5"/>
      <c r="D119" s="11" t="s">
        <v>761</v>
      </c>
      <c r="E119" s="6"/>
      <c r="G119">
        <v>0.2</v>
      </c>
      <c r="H119" s="278">
        <v>1</v>
      </c>
      <c r="I119">
        <f t="shared" si="55"/>
        <v>-2.3840149371927209E-2</v>
      </c>
      <c r="R119">
        <v>2</v>
      </c>
      <c r="S119">
        <f t="shared" si="56"/>
        <v>4.5299567484513821</v>
      </c>
      <c r="T119">
        <f t="shared" si="57"/>
        <v>5.6738836503633809</v>
      </c>
      <c r="U119">
        <v>2</v>
      </c>
      <c r="V119">
        <f t="shared" si="58"/>
        <v>4.5350881971471351</v>
      </c>
      <c r="W119">
        <f t="shared" si="59"/>
        <v>5.6878051451887881</v>
      </c>
      <c r="X119">
        <v>2</v>
      </c>
      <c r="Y119">
        <f t="shared" si="60"/>
        <v>4.5656925853541743</v>
      </c>
      <c r="Z119">
        <f t="shared" si="61"/>
        <v>5.7124246070364704</v>
      </c>
    </row>
    <row r="120" spans="1:26" x14ac:dyDescent="0.25">
      <c r="A120" s="64" t="s">
        <v>695</v>
      </c>
      <c r="B120" s="5">
        <v>-1</v>
      </c>
      <c r="C120" s="5" t="s">
        <v>490</v>
      </c>
      <c r="D120" s="11" t="s">
        <v>1040</v>
      </c>
      <c r="E120" s="6"/>
      <c r="G120">
        <v>0.25</v>
      </c>
      <c r="H120" s="278">
        <v>1</v>
      </c>
      <c r="I120">
        <f t="shared" si="55"/>
        <v>-2.3840149371927209E-2</v>
      </c>
      <c r="R120">
        <v>4</v>
      </c>
      <c r="S120">
        <f t="shared" si="56"/>
        <v>5.8834636123411395</v>
      </c>
      <c r="T120">
        <f t="shared" si="57"/>
        <v>7.0396308846451046</v>
      </c>
      <c r="U120">
        <v>4</v>
      </c>
      <c r="V120">
        <f t="shared" si="58"/>
        <v>5.8971149522278061</v>
      </c>
      <c r="W120">
        <f t="shared" si="59"/>
        <v>7.0628340926432331</v>
      </c>
      <c r="X120">
        <v>4</v>
      </c>
      <c r="Y120">
        <f t="shared" si="60"/>
        <v>5.9441869515825418</v>
      </c>
      <c r="Z120">
        <f t="shared" si="61"/>
        <v>7.1038599810310723</v>
      </c>
    </row>
    <row r="121" spans="1:26" x14ac:dyDescent="0.25">
      <c r="A121" s="64" t="s">
        <v>1000</v>
      </c>
      <c r="B121" s="5">
        <v>0</v>
      </c>
      <c r="C121" s="5"/>
      <c r="D121" s="5"/>
      <c r="E121" s="6"/>
      <c r="G121">
        <v>0.3</v>
      </c>
      <c r="H121" s="278">
        <v>1</v>
      </c>
      <c r="I121">
        <f t="shared" si="55"/>
        <v>-2.3840149371927209E-2</v>
      </c>
      <c r="R121">
        <v>6</v>
      </c>
      <c r="S121">
        <f t="shared" si="56"/>
        <v>7.2441805680458726</v>
      </c>
      <c r="T121">
        <f t="shared" si="57"/>
        <v>8.4158327520585416</v>
      </c>
      <c r="U121">
        <v>6</v>
      </c>
      <c r="V121">
        <f t="shared" si="58"/>
        <v>7.2663354773468631</v>
      </c>
      <c r="W121">
        <f t="shared" si="59"/>
        <v>8.4483176732293952</v>
      </c>
      <c r="X121">
        <v>6</v>
      </c>
      <c r="Y121">
        <f t="shared" si="60"/>
        <v>7.3298914096258869</v>
      </c>
      <c r="Z121">
        <f t="shared" si="61"/>
        <v>8.5057499881573904</v>
      </c>
    </row>
    <row r="122" spans="1:26" x14ac:dyDescent="0.25">
      <c r="A122" s="64" t="s">
        <v>1001</v>
      </c>
      <c r="B122" s="5">
        <f>SUM(E124:E136)</f>
        <v>-2905.3579559200002</v>
      </c>
      <c r="C122" s="5"/>
      <c r="D122" s="5"/>
      <c r="E122" s="6"/>
      <c r="G122">
        <v>0.35</v>
      </c>
      <c r="H122" s="278">
        <v>1.01</v>
      </c>
      <c r="I122">
        <f t="shared" si="55"/>
        <v>-2.4078550865646482E-2</v>
      </c>
      <c r="R122">
        <v>8</v>
      </c>
      <c r="S122">
        <f t="shared" si="56"/>
        <v>8.6129160736512507</v>
      </c>
      <c r="T122">
        <f t="shared" si="57"/>
        <v>9.8036615168279191</v>
      </c>
      <c r="U122">
        <v>8</v>
      </c>
      <c r="V122">
        <f t="shared" si="58"/>
        <v>8.6435564004506951</v>
      </c>
      <c r="W122">
        <f t="shared" si="59"/>
        <v>9.8454281511714878</v>
      </c>
      <c r="X122">
        <v>8</v>
      </c>
      <c r="Y122">
        <f t="shared" si="60"/>
        <v>8.7236144175698733</v>
      </c>
      <c r="Z122">
        <f t="shared" si="61"/>
        <v>9.9192668926396408</v>
      </c>
    </row>
    <row r="123" spans="1:26" x14ac:dyDescent="0.25">
      <c r="A123" s="14"/>
      <c r="B123" s="5" t="s">
        <v>1002</v>
      </c>
      <c r="C123" s="5" t="s">
        <v>1006</v>
      </c>
      <c r="D123" s="232" t="s">
        <v>999</v>
      </c>
      <c r="E123" s="6" t="s">
        <v>1003</v>
      </c>
      <c r="G123">
        <v>0.4</v>
      </c>
      <c r="H123">
        <v>1.03</v>
      </c>
      <c r="I123">
        <f t="shared" si="55"/>
        <v>-2.4555353853085025E-2</v>
      </c>
      <c r="R123">
        <v>10</v>
      </c>
      <c r="S123">
        <f t="shared" si="56"/>
        <v>9.9907429353945716</v>
      </c>
      <c r="T123">
        <f t="shared" si="57"/>
        <v>11.204672747997309</v>
      </c>
      <c r="U123">
        <v>10</v>
      </c>
      <c r="V123">
        <f t="shared" si="58"/>
        <v>10.029848099221713</v>
      </c>
      <c r="W123">
        <f t="shared" si="59"/>
        <v>11.255721095513602</v>
      </c>
      <c r="X123">
        <v>10</v>
      </c>
      <c r="Y123">
        <f t="shared" si="60"/>
        <v>10.126428781651807</v>
      </c>
      <c r="Z123">
        <f t="shared" si="61"/>
        <v>11.345966263521911</v>
      </c>
    </row>
    <row r="124" spans="1:26" x14ac:dyDescent="0.25">
      <c r="A124" s="14">
        <v>1</v>
      </c>
      <c r="B124" s="5">
        <v>2.835</v>
      </c>
      <c r="C124" s="5">
        <f>50/B124</f>
        <v>17.636684303350972</v>
      </c>
      <c r="D124" s="5">
        <v>3.1259999999999999</v>
      </c>
      <c r="E124" s="6">
        <f>B124^2*($B$119+$B$120+$B$121)*D124</f>
        <v>-25.124365349999998</v>
      </c>
      <c r="G124">
        <v>0.45</v>
      </c>
      <c r="H124">
        <v>1.05</v>
      </c>
      <c r="I124">
        <f t="shared" si="55"/>
        <v>-2.5032156840523571E-2</v>
      </c>
      <c r="R124">
        <v>12</v>
      </c>
      <c r="S124">
        <f t="shared" si="56"/>
        <v>11.379082862199656</v>
      </c>
      <c r="T124">
        <f t="shared" si="57"/>
        <v>12.620927923506258</v>
      </c>
      <c r="U124">
        <v>12</v>
      </c>
      <c r="V124">
        <f t="shared" si="58"/>
        <v>11.426629064203711</v>
      </c>
      <c r="W124">
        <f t="shared" si="59"/>
        <v>12.681257984195268</v>
      </c>
      <c r="X124">
        <v>12</v>
      </c>
      <c r="Y124">
        <f t="shared" si="60"/>
        <v>11.539756210795499</v>
      </c>
      <c r="Z124">
        <f t="shared" si="61"/>
        <v>12.787909578743733</v>
      </c>
    </row>
    <row r="125" spans="1:26" x14ac:dyDescent="0.25">
      <c r="A125" s="14">
        <v>2</v>
      </c>
      <c r="B125" s="5">
        <v>4.5110000000000001</v>
      </c>
      <c r="C125" s="5">
        <f t="shared" ref="C125:C136" si="62">50/B125</f>
        <v>11.084016847705609</v>
      </c>
      <c r="D125" s="5">
        <v>3.1259999999999999</v>
      </c>
      <c r="E125" s="6">
        <f t="shared" ref="E125:E136" si="63">B125^2*($B$119+$B$120+$B$121)*D125</f>
        <v>-63.611352245999996</v>
      </c>
      <c r="G125">
        <v>0.5</v>
      </c>
      <c r="H125">
        <v>1.08</v>
      </c>
      <c r="I125">
        <f t="shared" si="55"/>
        <v>-2.5747361321681386E-2</v>
      </c>
      <c r="R125">
        <v>14</v>
      </c>
      <c r="S125">
        <f t="shared" si="56"/>
        <v>12.779832374003528</v>
      </c>
      <c r="T125">
        <f t="shared" si="57"/>
        <v>14.055176997263452</v>
      </c>
      <c r="U125">
        <v>14</v>
      </c>
      <c r="V125">
        <f t="shared" si="58"/>
        <v>12.83579152210481</v>
      </c>
      <c r="W125">
        <f t="shared" si="59"/>
        <v>14.124788771125184</v>
      </c>
      <c r="X125">
        <v>14</v>
      </c>
      <c r="Y125">
        <f t="shared" si="60"/>
        <v>12.965493224937985</v>
      </c>
      <c r="Z125">
        <f t="shared" si="61"/>
        <v>14.247846792213807</v>
      </c>
    </row>
    <row r="126" spans="1:26" x14ac:dyDescent="0.25">
      <c r="A126" s="14">
        <v>3</v>
      </c>
      <c r="B126" s="5">
        <v>5.18</v>
      </c>
      <c r="C126" s="5">
        <f t="shared" si="62"/>
        <v>9.6525096525096536</v>
      </c>
      <c r="D126" s="5">
        <v>3.1259999999999999</v>
      </c>
      <c r="E126" s="6">
        <f t="shared" si="63"/>
        <v>-83.878082399999982</v>
      </c>
      <c r="G126">
        <v>0.55000000000000004</v>
      </c>
      <c r="H126">
        <v>1.1000000000000001</v>
      </c>
      <c r="I126">
        <f t="shared" si="55"/>
        <v>-2.6224164309119932E-2</v>
      </c>
    </row>
    <row r="127" spans="1:26" x14ac:dyDescent="0.25">
      <c r="A127" s="14">
        <v>4</v>
      </c>
      <c r="B127" s="5">
        <v>5.3380000000000001</v>
      </c>
      <c r="C127" s="5">
        <f t="shared" si="62"/>
        <v>9.3668040464593485</v>
      </c>
      <c r="D127" s="5">
        <v>3.1259999999999999</v>
      </c>
      <c r="E127" s="6">
        <f t="shared" si="63"/>
        <v>-89.073006743999997</v>
      </c>
      <c r="G127">
        <v>0.6</v>
      </c>
      <c r="H127">
        <v>1.1200000000000001</v>
      </c>
      <c r="I127">
        <f t="shared" si="55"/>
        <v>-2.6700967296558478E-2</v>
      </c>
    </row>
    <row r="128" spans="1:26" x14ac:dyDescent="0.25">
      <c r="A128" s="14">
        <v>5</v>
      </c>
      <c r="B128" s="5">
        <v>5.6920000000000002</v>
      </c>
      <c r="C128" s="5">
        <f t="shared" si="62"/>
        <v>8.7842586085734364</v>
      </c>
      <c r="D128" s="5">
        <v>3.1259999999999999</v>
      </c>
      <c r="E128" s="6">
        <f t="shared" si="63"/>
        <v>-101.27884886400001</v>
      </c>
      <c r="G128">
        <v>0.65</v>
      </c>
      <c r="H128">
        <v>1.17</v>
      </c>
      <c r="I128">
        <f t="shared" si="55"/>
        <v>-2.7892974765154833E-2</v>
      </c>
    </row>
    <row r="129" spans="1:28" x14ac:dyDescent="0.25">
      <c r="A129" s="14">
        <v>6</v>
      </c>
      <c r="B129" s="5">
        <v>7.2969999999999997</v>
      </c>
      <c r="C129" s="5">
        <f t="shared" si="62"/>
        <v>6.8521310127449642</v>
      </c>
      <c r="D129" s="11">
        <v>7.8049999999999997</v>
      </c>
      <c r="E129" s="6">
        <f t="shared" si="63"/>
        <v>-415.58666124499996</v>
      </c>
      <c r="G129">
        <v>0.7</v>
      </c>
      <c r="H129">
        <v>1.2</v>
      </c>
      <c r="I129">
        <f t="shared" si="55"/>
        <v>-2.8608179246312648E-2</v>
      </c>
    </row>
    <row r="130" spans="1:28" x14ac:dyDescent="0.25">
      <c r="A130" s="14">
        <v>7</v>
      </c>
      <c r="B130" s="5">
        <v>8.6270000000000007</v>
      </c>
      <c r="C130" s="5">
        <f t="shared" si="62"/>
        <v>5.7957575055059696</v>
      </c>
      <c r="D130" s="11">
        <v>7.8049999999999997</v>
      </c>
      <c r="E130" s="6">
        <f t="shared" si="63"/>
        <v>-580.88813184500009</v>
      </c>
      <c r="G130">
        <v>0.75</v>
      </c>
      <c r="H130">
        <v>1.23</v>
      </c>
      <c r="I130">
        <f t="shared" si="55"/>
        <v>-2.9323383727470467E-2</v>
      </c>
    </row>
    <row r="131" spans="1:28" x14ac:dyDescent="0.25">
      <c r="A131" s="14">
        <v>8</v>
      </c>
      <c r="B131" s="5">
        <v>10.013</v>
      </c>
      <c r="C131" s="5">
        <f t="shared" si="62"/>
        <v>4.9935084390292621</v>
      </c>
      <c r="D131" s="11">
        <v>3.1259999999999999</v>
      </c>
      <c r="E131" s="6">
        <f t="shared" si="63"/>
        <v>-313.41328829399998</v>
      </c>
      <c r="G131">
        <v>0.8</v>
      </c>
      <c r="H131">
        <v>1.29</v>
      </c>
      <c r="I131">
        <f t="shared" si="55"/>
        <v>-3.0753792689786102E-2</v>
      </c>
    </row>
    <row r="132" spans="1:28" x14ac:dyDescent="0.25">
      <c r="A132" s="14">
        <v>9</v>
      </c>
      <c r="B132" s="5">
        <v>9.9209999999999994</v>
      </c>
      <c r="C132" s="5">
        <f t="shared" si="62"/>
        <v>5.0398145348251191</v>
      </c>
      <c r="D132" s="11">
        <v>3.1259999999999999</v>
      </c>
      <c r="E132" s="6">
        <f t="shared" si="63"/>
        <v>-307.68042936599994</v>
      </c>
      <c r="G132">
        <v>0.85</v>
      </c>
      <c r="H132">
        <v>1.36</v>
      </c>
      <c r="I132">
        <f t="shared" si="55"/>
        <v>-3.2422603145821009E-2</v>
      </c>
    </row>
    <row r="133" spans="1:28" x14ac:dyDescent="0.25">
      <c r="A133" s="14">
        <v>10</v>
      </c>
      <c r="B133" s="5">
        <v>9.8160000000000007</v>
      </c>
      <c r="C133" s="5">
        <f t="shared" si="62"/>
        <v>5.0937245313773429</v>
      </c>
      <c r="D133" s="11">
        <v>3.1259999999999999</v>
      </c>
      <c r="E133" s="6">
        <f t="shared" si="63"/>
        <v>-301.202153856</v>
      </c>
    </row>
    <row r="134" spans="1:28" x14ac:dyDescent="0.25">
      <c r="A134" s="14">
        <v>11</v>
      </c>
      <c r="B134" s="5">
        <v>9.6129999999999995</v>
      </c>
      <c r="C134" s="5">
        <f t="shared" si="62"/>
        <v>5.2012899199001357</v>
      </c>
      <c r="D134" s="11">
        <v>3.1259999999999999</v>
      </c>
      <c r="E134" s="6">
        <f t="shared" si="63"/>
        <v>-288.87293789399996</v>
      </c>
      <c r="H134" t="s">
        <v>422</v>
      </c>
      <c r="I134">
        <v>-1</v>
      </c>
    </row>
    <row r="135" spans="1:28" x14ac:dyDescent="0.25">
      <c r="A135" s="14">
        <v>12</v>
      </c>
      <c r="B135" s="5">
        <v>9.3040000000000003</v>
      </c>
      <c r="C135" s="5">
        <f t="shared" si="62"/>
        <v>5.3740326741186584</v>
      </c>
      <c r="D135" s="11">
        <v>3.1259999999999999</v>
      </c>
      <c r="E135" s="6">
        <f t="shared" si="63"/>
        <v>-270.60036441599999</v>
      </c>
      <c r="H135" t="s">
        <v>416</v>
      </c>
      <c r="I135">
        <v>0.8</v>
      </c>
    </row>
    <row r="136" spans="1:28" x14ac:dyDescent="0.25">
      <c r="A136" s="14">
        <v>13</v>
      </c>
      <c r="B136" s="5">
        <v>4.53</v>
      </c>
      <c r="C136" s="5">
        <f t="shared" si="62"/>
        <v>11.037527593818984</v>
      </c>
      <c r="D136" s="11">
        <v>3.1259999999999999</v>
      </c>
      <c r="E136" s="6">
        <f t="shared" si="63"/>
        <v>-64.148333399999999</v>
      </c>
      <c r="H136" t="s">
        <v>207</v>
      </c>
      <c r="I136">
        <v>3.686883496394374</v>
      </c>
      <c r="J136">
        <v>3.6891315286141815</v>
      </c>
      <c r="K136">
        <v>3.6959038262228359</v>
      </c>
      <c r="L136">
        <v>3.7072860360538855</v>
      </c>
      <c r="M136">
        <v>3.7234244617082997</v>
      </c>
      <c r="N136">
        <v>3.7445316883202602</v>
      </c>
      <c r="O136">
        <v>3.7708950689153267</v>
      </c>
      <c r="P136">
        <v>3.8028887826160913</v>
      </c>
      <c r="Q136">
        <v>3.8409905418341954</v>
      </c>
      <c r="R136">
        <v>3.8858045635744469</v>
      </c>
      <c r="S136">
        <v>3.9380932393002128</v>
      </c>
      <c r="T136">
        <v>3.9988212278747914</v>
      </c>
      <c r="U136">
        <v>4.0692177947106565</v>
      </c>
      <c r="V136">
        <v>4.1508667538091135</v>
      </c>
      <c r="W136">
        <v>4.2458395503116773</v>
      </c>
      <c r="X136">
        <v>4.3568983142117572</v>
      </c>
      <c r="Y136">
        <v>4.4878174252558365</v>
      </c>
      <c r="Z136">
        <v>4.6439164685704899</v>
      </c>
      <c r="AA136">
        <v>4.8329949522471374</v>
      </c>
      <c r="AB136">
        <v>5.0670942321324155</v>
      </c>
    </row>
    <row r="137" spans="1:28" x14ac:dyDescent="0.25">
      <c r="A137" s="216" t="s">
        <v>1007</v>
      </c>
      <c r="B137" s="5">
        <f>SUM(B124:B136)/13</f>
        <v>7.1290000000000004</v>
      </c>
      <c r="C137" s="217">
        <f>50/B137</f>
        <v>7.0136063964090329</v>
      </c>
      <c r="D137" s="5"/>
      <c r="E137" s="6"/>
      <c r="H137" s="11" t="s">
        <v>182</v>
      </c>
      <c r="I137" s="11">
        <v>0.05</v>
      </c>
      <c r="J137" s="125">
        <v>0.1</v>
      </c>
      <c r="K137" s="11">
        <v>0.15</v>
      </c>
      <c r="L137" s="125">
        <v>0.2</v>
      </c>
      <c r="M137" s="11">
        <v>0.25</v>
      </c>
      <c r="N137" s="125">
        <v>0.3</v>
      </c>
      <c r="O137" s="11">
        <v>0.35</v>
      </c>
      <c r="P137" s="125">
        <v>0.4</v>
      </c>
      <c r="Q137" s="11">
        <v>0.45</v>
      </c>
      <c r="R137" s="125">
        <v>0.5</v>
      </c>
      <c r="S137" s="11">
        <v>0.55000000000000004</v>
      </c>
      <c r="T137" s="125">
        <v>0.6</v>
      </c>
      <c r="U137" s="11">
        <v>0.65</v>
      </c>
      <c r="V137" s="125">
        <v>0.7</v>
      </c>
      <c r="W137" s="11">
        <v>0.75</v>
      </c>
      <c r="X137" s="125">
        <v>0.8</v>
      </c>
      <c r="Y137" s="11">
        <v>0.85</v>
      </c>
      <c r="Z137" s="125">
        <v>0.9</v>
      </c>
      <c r="AA137" s="11">
        <v>0.95</v>
      </c>
    </row>
    <row r="138" spans="1:28" x14ac:dyDescent="0.25">
      <c r="A138" s="115" t="s">
        <v>994</v>
      </c>
      <c r="B138" s="2">
        <f>(B139+B140)*B141</f>
        <v>-3.2184201652101736E-2</v>
      </c>
      <c r="C138" s="2"/>
      <c r="D138" s="2"/>
      <c r="E138" s="3" t="s">
        <v>1008</v>
      </c>
      <c r="H138" s="11" t="s">
        <v>421</v>
      </c>
      <c r="I138" s="11" t="s">
        <v>244</v>
      </c>
      <c r="J138" s="125" t="s">
        <v>244</v>
      </c>
      <c r="K138" s="11" t="s">
        <v>244</v>
      </c>
      <c r="L138" s="125" t="s">
        <v>244</v>
      </c>
      <c r="M138" s="11" t="s">
        <v>244</v>
      </c>
      <c r="N138" s="125" t="s">
        <v>244</v>
      </c>
      <c r="O138" s="11" t="s">
        <v>244</v>
      </c>
      <c r="P138" s="125" t="s">
        <v>244</v>
      </c>
      <c r="Q138" s="11" t="s">
        <v>244</v>
      </c>
      <c r="R138" s="125" t="s">
        <v>244</v>
      </c>
      <c r="S138" s="11" t="s">
        <v>244</v>
      </c>
      <c r="T138" s="125" t="s">
        <v>244</v>
      </c>
      <c r="U138" s="11" t="s">
        <v>244</v>
      </c>
      <c r="V138" s="125" t="s">
        <v>244</v>
      </c>
      <c r="W138" s="11" t="s">
        <v>244</v>
      </c>
      <c r="X138" s="125" t="s">
        <v>244</v>
      </c>
      <c r="Y138" s="11" t="s">
        <v>244</v>
      </c>
      <c r="Z138" s="125" t="s">
        <v>244</v>
      </c>
      <c r="AA138" s="11" t="s">
        <v>244</v>
      </c>
    </row>
    <row r="139" spans="1:28" x14ac:dyDescent="0.25">
      <c r="A139" s="4" t="s">
        <v>947</v>
      </c>
      <c r="B139" s="5">
        <f>B68</f>
        <v>-1.328311879275689E-2</v>
      </c>
      <c r="C139" s="5"/>
      <c r="D139" s="5" t="s">
        <v>1010</v>
      </c>
      <c r="E139" s="6" t="s">
        <v>952</v>
      </c>
      <c r="H139" s="33">
        <v>-6</v>
      </c>
      <c r="I139" s="11">
        <f>I$136*(RADIANS($H139-$I$134))+$I$135*RADIANS($H139)^2</f>
        <v>-0.31296829905775436</v>
      </c>
      <c r="J139" s="125">
        <f t="shared" ref="J139:AA150" si="64">J$136*(RADIANS($H139-$I$134))+$I$135*RADIANS($H139)^2</f>
        <v>-0.31316447687738713</v>
      </c>
      <c r="K139" s="11">
        <f t="shared" si="64"/>
        <v>-0.31375547133336695</v>
      </c>
      <c r="L139" s="125">
        <f t="shared" si="64"/>
        <v>-0.31474875652189038</v>
      </c>
      <c r="M139" s="11">
        <f t="shared" si="64"/>
        <v>-0.31615709984067958</v>
      </c>
      <c r="N139" s="125">
        <f t="shared" si="64"/>
        <v>-0.31799905284239599</v>
      </c>
      <c r="O139" s="11">
        <f t="shared" si="64"/>
        <v>-0.32029969180909745</v>
      </c>
      <c r="P139" s="125">
        <f t="shared" si="64"/>
        <v>-0.32309167002919126</v>
      </c>
      <c r="Q139" s="11">
        <f t="shared" si="64"/>
        <v>-0.32641667577498135</v>
      </c>
      <c r="R139" s="125">
        <f t="shared" si="64"/>
        <v>-0.33032743692711991</v>
      </c>
      <c r="S139" s="11">
        <f t="shared" si="64"/>
        <v>-0.33489048469173116</v>
      </c>
      <c r="T139" s="125">
        <f t="shared" si="64"/>
        <v>-0.3401900014354306</v>
      </c>
      <c r="U139" s="11">
        <f t="shared" si="64"/>
        <v>-0.34633326080236104</v>
      </c>
      <c r="V139" s="125">
        <f t="shared" si="64"/>
        <v>-0.35345847663783236</v>
      </c>
      <c r="W139" s="11">
        <f t="shared" si="64"/>
        <v>-0.36174641663181384</v>
      </c>
      <c r="X139" s="125">
        <f t="shared" si="64"/>
        <v>-0.37143812209807087</v>
      </c>
      <c r="Y139" s="11">
        <f t="shared" si="64"/>
        <v>-0.38286296980558715</v>
      </c>
      <c r="Z139" s="125">
        <f t="shared" si="64"/>
        <v>-0.3964851811308569</v>
      </c>
      <c r="AA139" s="11">
        <f t="shared" si="64"/>
        <v>-0.41298539155503611</v>
      </c>
    </row>
    <row r="140" spans="1:28" x14ac:dyDescent="0.25">
      <c r="A140" s="4" t="s">
        <v>995</v>
      </c>
      <c r="B140" s="5">
        <f>B113</f>
        <v>-1.0557030579170318E-2</v>
      </c>
      <c r="C140" s="5"/>
      <c r="D140" s="5" t="s">
        <v>1011</v>
      </c>
      <c r="E140" s="6"/>
      <c r="H140" s="33">
        <v>-4</v>
      </c>
      <c r="I140" s="11">
        <f t="shared" ref="I140:X150" si="65">I$136*(RADIANS($H140-$I$134))+$I$135*RADIANS($H140)^2</f>
        <v>-0.18914566547529707</v>
      </c>
      <c r="J140" s="125">
        <f t="shared" si="65"/>
        <v>-0.18926337216707675</v>
      </c>
      <c r="K140" s="11">
        <f t="shared" si="65"/>
        <v>-0.18961796884066462</v>
      </c>
      <c r="L140" s="125">
        <f t="shared" si="65"/>
        <v>-0.19021393995377867</v>
      </c>
      <c r="M140" s="11">
        <f t="shared" si="65"/>
        <v>-0.19105894594505221</v>
      </c>
      <c r="N140" s="125">
        <f t="shared" si="65"/>
        <v>-0.19216411774608205</v>
      </c>
      <c r="O140" s="11">
        <f t="shared" si="65"/>
        <v>-0.19354450112610294</v>
      </c>
      <c r="P140" s="125">
        <f t="shared" si="65"/>
        <v>-0.19521968805815923</v>
      </c>
      <c r="Q140" s="11">
        <f t="shared" si="65"/>
        <v>-0.19721469150563328</v>
      </c>
      <c r="R140" s="125">
        <f t="shared" si="65"/>
        <v>-0.19956114819691639</v>
      </c>
      <c r="S140" s="11">
        <f t="shared" si="65"/>
        <v>-0.20229897685568315</v>
      </c>
      <c r="T140" s="125">
        <f t="shared" si="65"/>
        <v>-0.20547868690190282</v>
      </c>
      <c r="U140" s="11">
        <f t="shared" si="65"/>
        <v>-0.2091646425220611</v>
      </c>
      <c r="V140" s="125">
        <f t="shared" si="65"/>
        <v>-0.21343977202334388</v>
      </c>
      <c r="W140" s="11">
        <f t="shared" si="65"/>
        <v>-0.21841253601973276</v>
      </c>
      <c r="X140" s="125">
        <f t="shared" si="65"/>
        <v>-0.22422755929948698</v>
      </c>
      <c r="Y140" s="11">
        <f t="shared" si="64"/>
        <v>-0.23108246792399675</v>
      </c>
      <c r="Z140" s="125">
        <f t="shared" si="64"/>
        <v>-0.23925579471915859</v>
      </c>
      <c r="AA140" s="11">
        <f t="shared" si="64"/>
        <v>-0.24915592097366615</v>
      </c>
    </row>
    <row r="141" spans="1:28" x14ac:dyDescent="0.25">
      <c r="A141" s="195" t="s">
        <v>955</v>
      </c>
      <c r="B141" s="8">
        <f>B76</f>
        <v>1.35</v>
      </c>
      <c r="C141" s="8"/>
      <c r="D141" s="8"/>
      <c r="E141" s="9"/>
      <c r="H141" s="33">
        <v>-2</v>
      </c>
      <c r="I141" s="11">
        <f t="shared" si="65"/>
        <v>-6.3373480406204843E-2</v>
      </c>
      <c r="J141" s="125">
        <f t="shared" si="64"/>
        <v>-6.34127159701314E-2</v>
      </c>
      <c r="K141" s="11">
        <f t="shared" si="64"/>
        <v>-6.3530914861327351E-2</v>
      </c>
      <c r="L141" s="125">
        <f t="shared" si="64"/>
        <v>-6.3729571899032042E-2</v>
      </c>
      <c r="M141" s="11">
        <f t="shared" si="64"/>
        <v>-6.4011240562789881E-2</v>
      </c>
      <c r="N141" s="125">
        <f t="shared" si="64"/>
        <v>-6.4379631163133166E-2</v>
      </c>
      <c r="O141" s="11">
        <f t="shared" si="64"/>
        <v>-6.4839758956473453E-2</v>
      </c>
      <c r="P141" s="125">
        <f t="shared" si="64"/>
        <v>-6.5398154600492212E-2</v>
      </c>
      <c r="Q141" s="11">
        <f t="shared" si="64"/>
        <v>-6.6063155749650229E-2</v>
      </c>
      <c r="R141" s="125">
        <f t="shared" si="64"/>
        <v>-6.6845307980077942E-2</v>
      </c>
      <c r="S141" s="11">
        <f t="shared" si="64"/>
        <v>-6.7757917533000186E-2</v>
      </c>
      <c r="T141" s="125">
        <f t="shared" si="64"/>
        <v>-6.8817820881740085E-2</v>
      </c>
      <c r="U141" s="11">
        <f t="shared" si="64"/>
        <v>-7.0046472755126182E-2</v>
      </c>
      <c r="V141" s="125">
        <f t="shared" si="64"/>
        <v>-7.1471515922220438E-2</v>
      </c>
      <c r="W141" s="11">
        <f t="shared" si="64"/>
        <v>-7.3129103921016722E-2</v>
      </c>
      <c r="X141" s="125">
        <f t="shared" si="64"/>
        <v>-7.5067445014268139E-2</v>
      </c>
      <c r="Y141" s="11">
        <f t="shared" si="64"/>
        <v>-7.7352414555771395E-2</v>
      </c>
      <c r="Z141" s="125">
        <f t="shared" si="64"/>
        <v>-8.007685682082534E-2</v>
      </c>
      <c r="AA141" s="11">
        <f t="shared" si="64"/>
        <v>-8.337689890566119E-2</v>
      </c>
    </row>
    <row r="142" spans="1:28" x14ac:dyDescent="0.25">
      <c r="A142" s="115" t="s">
        <v>1012</v>
      </c>
      <c r="B142" s="2">
        <f>-(B143-B144)*B145</f>
        <v>0</v>
      </c>
      <c r="C142" s="2"/>
      <c r="D142" s="2" t="s">
        <v>1016</v>
      </c>
      <c r="E142" s="3"/>
      <c r="H142" s="33">
        <v>0</v>
      </c>
      <c r="I142" s="11">
        <f t="shared" si="65"/>
        <v>6.4348256149522318E-2</v>
      </c>
      <c r="J142" s="125">
        <f t="shared" si="64"/>
        <v>6.4387491713448874E-2</v>
      </c>
      <c r="K142" s="11">
        <f t="shared" si="64"/>
        <v>6.4505690604644825E-2</v>
      </c>
      <c r="L142" s="125">
        <f t="shared" si="64"/>
        <v>6.4704347642349516E-2</v>
      </c>
      <c r="M142" s="11">
        <f t="shared" si="64"/>
        <v>6.4986016306107355E-2</v>
      </c>
      <c r="N142" s="125">
        <f t="shared" si="64"/>
        <v>6.5354406906450641E-2</v>
      </c>
      <c r="O142" s="11">
        <f t="shared" si="64"/>
        <v>6.5814534699790928E-2</v>
      </c>
      <c r="P142" s="125">
        <f t="shared" si="64"/>
        <v>6.6372930343809686E-2</v>
      </c>
      <c r="Q142" s="11">
        <f t="shared" si="64"/>
        <v>6.7037931492967703E-2</v>
      </c>
      <c r="R142" s="125">
        <f t="shared" si="64"/>
        <v>6.7820083723395416E-2</v>
      </c>
      <c r="S142" s="11">
        <f t="shared" si="64"/>
        <v>6.8732693276317661E-2</v>
      </c>
      <c r="T142" s="125">
        <f t="shared" si="64"/>
        <v>6.979259662505756E-2</v>
      </c>
      <c r="U142" s="11">
        <f t="shared" si="64"/>
        <v>7.1021248498443657E-2</v>
      </c>
      <c r="V142" s="125">
        <f t="shared" si="64"/>
        <v>7.2446291665537912E-2</v>
      </c>
      <c r="W142" s="11">
        <f t="shared" si="64"/>
        <v>7.4103879664334196E-2</v>
      </c>
      <c r="X142" s="125">
        <f t="shared" si="64"/>
        <v>7.6042220757585613E-2</v>
      </c>
      <c r="Y142" s="11">
        <f t="shared" si="64"/>
        <v>7.832719029908887E-2</v>
      </c>
      <c r="Z142" s="125">
        <f t="shared" si="64"/>
        <v>8.1051632564142814E-2</v>
      </c>
      <c r="AA142" s="11">
        <f t="shared" si="64"/>
        <v>8.4351674648978664E-2</v>
      </c>
    </row>
    <row r="143" spans="1:28" x14ac:dyDescent="0.25">
      <c r="A143" s="59" t="s">
        <v>1014</v>
      </c>
      <c r="B143" s="5">
        <v>20.68</v>
      </c>
      <c r="C143" s="5" t="s">
        <v>124</v>
      </c>
      <c r="D143" s="5" t="s">
        <v>1017</v>
      </c>
      <c r="E143" s="6" t="s">
        <v>1018</v>
      </c>
      <c r="H143" s="33">
        <v>2</v>
      </c>
      <c r="I143" s="11">
        <f t="shared" si="65"/>
        <v>0.19401954419188441</v>
      </c>
      <c r="J143" s="125">
        <f t="shared" si="64"/>
        <v>0.1941372508836641</v>
      </c>
      <c r="K143" s="11">
        <f t="shared" si="64"/>
        <v>0.19449184755725196</v>
      </c>
      <c r="L143" s="125">
        <f t="shared" si="64"/>
        <v>0.19508781867036601</v>
      </c>
      <c r="M143" s="11">
        <f t="shared" si="64"/>
        <v>0.19593282466163955</v>
      </c>
      <c r="N143" s="125">
        <f t="shared" si="64"/>
        <v>0.1970379964626694</v>
      </c>
      <c r="O143" s="11">
        <f t="shared" si="64"/>
        <v>0.19841837984269028</v>
      </c>
      <c r="P143" s="125">
        <f t="shared" si="64"/>
        <v>0.20009356677474657</v>
      </c>
      <c r="Q143" s="11">
        <f t="shared" si="64"/>
        <v>0.20208857022222063</v>
      </c>
      <c r="R143" s="125">
        <f t="shared" si="64"/>
        <v>0.20443502691350374</v>
      </c>
      <c r="S143" s="11">
        <f t="shared" si="64"/>
        <v>0.2071728555722705</v>
      </c>
      <c r="T143" s="125">
        <f t="shared" si="64"/>
        <v>0.21035256561849017</v>
      </c>
      <c r="U143" s="11">
        <f t="shared" si="64"/>
        <v>0.21403852123864844</v>
      </c>
      <c r="V143" s="125">
        <f t="shared" si="64"/>
        <v>0.21831365073993123</v>
      </c>
      <c r="W143" s="11">
        <f t="shared" si="64"/>
        <v>0.2232864147363201</v>
      </c>
      <c r="X143" s="125">
        <f t="shared" si="64"/>
        <v>0.22910143801607433</v>
      </c>
      <c r="Y143" s="11">
        <f t="shared" si="64"/>
        <v>0.2359563466405841</v>
      </c>
      <c r="Z143" s="125">
        <f t="shared" si="64"/>
        <v>0.24412967343574593</v>
      </c>
      <c r="AA143" s="11">
        <f t="shared" si="64"/>
        <v>0.25402979969025347</v>
      </c>
    </row>
    <row r="144" spans="1:28" x14ac:dyDescent="0.25">
      <c r="A144" s="59" t="s">
        <v>1015</v>
      </c>
      <c r="B144" s="5">
        <v>24.3</v>
      </c>
      <c r="C144" s="5" t="s">
        <v>124</v>
      </c>
      <c r="D144" s="5" t="s">
        <v>1179</v>
      </c>
      <c r="E144" s="6" t="s">
        <v>1018</v>
      </c>
      <c r="H144" s="33">
        <v>4</v>
      </c>
      <c r="I144" s="11">
        <f t="shared" si="65"/>
        <v>0.32564038372088144</v>
      </c>
      <c r="J144" s="125">
        <f t="shared" si="64"/>
        <v>0.32583656154051421</v>
      </c>
      <c r="K144" s="11">
        <f t="shared" si="64"/>
        <v>0.32642755599649403</v>
      </c>
      <c r="L144" s="125">
        <f t="shared" si="64"/>
        <v>0.32742084118501746</v>
      </c>
      <c r="M144" s="11">
        <f t="shared" si="64"/>
        <v>0.32882918450380666</v>
      </c>
      <c r="N144" s="125">
        <f t="shared" si="64"/>
        <v>0.33067113750552307</v>
      </c>
      <c r="O144" s="11">
        <f t="shared" si="64"/>
        <v>0.33297177647222453</v>
      </c>
      <c r="P144" s="125">
        <f t="shared" si="64"/>
        <v>0.33576375469231834</v>
      </c>
      <c r="Q144" s="11">
        <f t="shared" si="64"/>
        <v>0.33908876043810843</v>
      </c>
      <c r="R144" s="125">
        <f t="shared" si="64"/>
        <v>0.34299952159024699</v>
      </c>
      <c r="S144" s="11">
        <f t="shared" si="64"/>
        <v>0.34756256935485824</v>
      </c>
      <c r="T144" s="125">
        <f t="shared" si="64"/>
        <v>0.35286208609855768</v>
      </c>
      <c r="U144" s="11">
        <f t="shared" si="64"/>
        <v>0.35900534546548812</v>
      </c>
      <c r="V144" s="125">
        <f t="shared" si="64"/>
        <v>0.36613056130095945</v>
      </c>
      <c r="W144" s="11">
        <f t="shared" si="64"/>
        <v>0.37441850129494092</v>
      </c>
      <c r="X144" s="125">
        <f t="shared" si="64"/>
        <v>0.38411020676119795</v>
      </c>
      <c r="Y144" s="11">
        <f t="shared" si="64"/>
        <v>0.39553505446871423</v>
      </c>
      <c r="Z144" s="125">
        <f t="shared" si="64"/>
        <v>0.40915726579398398</v>
      </c>
      <c r="AA144" s="11">
        <f t="shared" si="64"/>
        <v>0.42565747621816319</v>
      </c>
    </row>
    <row r="145" spans="1:32" x14ac:dyDescent="0.25">
      <c r="A145" s="195" t="s">
        <v>1013</v>
      </c>
      <c r="B145" s="8">
        <v>0</v>
      </c>
      <c r="C145" s="8"/>
      <c r="D145" s="8" t="s">
        <v>1019</v>
      </c>
      <c r="E145" s="9"/>
      <c r="H145" s="33">
        <v>6</v>
      </c>
      <c r="I145" s="11">
        <f t="shared" si="65"/>
        <v>0.45921077473651339</v>
      </c>
      <c r="J145" s="125">
        <f t="shared" si="64"/>
        <v>0.45948542368399931</v>
      </c>
      <c r="K145" s="11">
        <f t="shared" si="64"/>
        <v>0.460312815922371</v>
      </c>
      <c r="L145" s="125">
        <f t="shared" si="64"/>
        <v>0.46170341518630376</v>
      </c>
      <c r="M145" s="11">
        <f t="shared" si="64"/>
        <v>0.46367509583260869</v>
      </c>
      <c r="N145" s="125">
        <f t="shared" si="64"/>
        <v>0.46625383003501164</v>
      </c>
      <c r="O145" s="11">
        <f t="shared" si="64"/>
        <v>0.46947472458839368</v>
      </c>
      <c r="P145" s="125">
        <f t="shared" si="64"/>
        <v>0.47338349409652503</v>
      </c>
      <c r="Q145" s="11">
        <f t="shared" si="64"/>
        <v>0.47803850214063115</v>
      </c>
      <c r="R145" s="125">
        <f t="shared" si="64"/>
        <v>0.48351356775362508</v>
      </c>
      <c r="S145" s="11">
        <f t="shared" si="64"/>
        <v>0.48990183462408088</v>
      </c>
      <c r="T145" s="125">
        <f t="shared" si="64"/>
        <v>0.49732115806526012</v>
      </c>
      <c r="U145" s="11">
        <f t="shared" si="64"/>
        <v>0.50592172117896284</v>
      </c>
      <c r="V145" s="125">
        <f t="shared" si="64"/>
        <v>0.51589702334862253</v>
      </c>
      <c r="W145" s="11">
        <f t="shared" si="64"/>
        <v>0.52750013934019657</v>
      </c>
      <c r="X145" s="125">
        <f t="shared" si="64"/>
        <v>0.54106852699295649</v>
      </c>
      <c r="Y145" s="11">
        <f t="shared" si="64"/>
        <v>0.55706331378347929</v>
      </c>
      <c r="Z145" s="125">
        <f t="shared" si="64"/>
        <v>0.57613440963885687</v>
      </c>
      <c r="AA145" s="11">
        <f t="shared" si="64"/>
        <v>0.59923470423270786</v>
      </c>
    </row>
    <row r="146" spans="1:32" x14ac:dyDescent="0.25">
      <c r="A146" s="193" t="s">
        <v>491</v>
      </c>
      <c r="B146" s="179">
        <f>B147+B148</f>
        <v>-3.2184201652101736E-2</v>
      </c>
      <c r="C146" s="2"/>
      <c r="D146" s="2" t="s">
        <v>1020</v>
      </c>
      <c r="E146" s="3" t="s">
        <v>1021</v>
      </c>
      <c r="H146" s="33">
        <v>8</v>
      </c>
      <c r="I146" s="11">
        <f t="shared" si="65"/>
        <v>0.59473071723878024</v>
      </c>
      <c r="J146" s="125">
        <f t="shared" si="64"/>
        <v>0.59508383731411929</v>
      </c>
      <c r="K146" s="11">
        <f t="shared" si="64"/>
        <v>0.59614762733488291</v>
      </c>
      <c r="L146" s="125">
        <f t="shared" si="64"/>
        <v>0.59793554067422505</v>
      </c>
      <c r="M146" s="11">
        <f t="shared" si="64"/>
        <v>0.60047055864804566</v>
      </c>
      <c r="N146" s="125">
        <f t="shared" si="64"/>
        <v>0.60378607405113516</v>
      </c>
      <c r="O146" s="11">
        <f t="shared" si="64"/>
        <v>0.60792722419119782</v>
      </c>
      <c r="P146" s="125">
        <f t="shared" si="64"/>
        <v>0.61295278498736672</v>
      </c>
      <c r="Q146" s="11">
        <f t="shared" si="64"/>
        <v>0.61893779532978888</v>
      </c>
      <c r="R146" s="125">
        <f t="shared" si="64"/>
        <v>0.62597716540363824</v>
      </c>
      <c r="S146" s="11">
        <f t="shared" si="64"/>
        <v>0.63419065137993846</v>
      </c>
      <c r="T146" s="125">
        <f t="shared" si="64"/>
        <v>0.6437297815185975</v>
      </c>
      <c r="U146" s="11">
        <f t="shared" si="64"/>
        <v>0.65478764837907233</v>
      </c>
      <c r="V146" s="125">
        <f t="shared" si="64"/>
        <v>0.66761303688292062</v>
      </c>
      <c r="W146" s="11">
        <f t="shared" si="64"/>
        <v>0.68253132887208723</v>
      </c>
      <c r="X146" s="125">
        <f t="shared" si="64"/>
        <v>0.69997639871134998</v>
      </c>
      <c r="Y146" s="11">
        <f t="shared" si="64"/>
        <v>0.72054112458487929</v>
      </c>
      <c r="Z146" s="125">
        <f t="shared" si="64"/>
        <v>0.74506110497036482</v>
      </c>
      <c r="AA146" s="11">
        <f t="shared" si="64"/>
        <v>0.77476148373388742</v>
      </c>
    </row>
    <row r="147" spans="1:32" x14ac:dyDescent="0.25">
      <c r="A147" s="59" t="s">
        <v>994</v>
      </c>
      <c r="B147" s="5">
        <f>B138</f>
        <v>-3.2184201652101736E-2</v>
      </c>
      <c r="C147" s="5"/>
      <c r="D147" s="5"/>
      <c r="E147" s="6"/>
      <c r="H147" s="33">
        <v>10</v>
      </c>
      <c r="I147" s="11">
        <f t="shared" si="65"/>
        <v>0.73220021122768209</v>
      </c>
      <c r="J147" s="125">
        <f t="shared" si="64"/>
        <v>0.73263180243087422</v>
      </c>
      <c r="K147" s="11">
        <f t="shared" si="64"/>
        <v>0.73393199023402966</v>
      </c>
      <c r="L147" s="125">
        <f t="shared" si="64"/>
        <v>0.73611721764878124</v>
      </c>
      <c r="M147" s="11">
        <f t="shared" si="64"/>
        <v>0.73921557295011753</v>
      </c>
      <c r="N147" s="125">
        <f t="shared" si="64"/>
        <v>0.74326786955389357</v>
      </c>
      <c r="O147" s="11">
        <f t="shared" si="64"/>
        <v>0.74832927528063686</v>
      </c>
      <c r="P147" s="125">
        <f t="shared" si="64"/>
        <v>0.75447162736484319</v>
      </c>
      <c r="Q147" s="11">
        <f t="shared" si="64"/>
        <v>0.76178664000558138</v>
      </c>
      <c r="R147" s="125">
        <f t="shared" si="64"/>
        <v>0.77039031454028617</v>
      </c>
      <c r="S147" s="11">
        <f t="shared" si="64"/>
        <v>0.78042901962243094</v>
      </c>
      <c r="T147" s="125">
        <f t="shared" si="64"/>
        <v>0.79208795645856978</v>
      </c>
      <c r="U147" s="11">
        <f t="shared" si="64"/>
        <v>0.80560312706581683</v>
      </c>
      <c r="V147" s="125">
        <f t="shared" si="64"/>
        <v>0.8212786019038536</v>
      </c>
      <c r="W147" s="11">
        <f t="shared" si="64"/>
        <v>0.83951206989061289</v>
      </c>
      <c r="X147" s="125">
        <f t="shared" si="64"/>
        <v>0.86083382191637836</v>
      </c>
      <c r="Y147" s="11">
        <f t="shared" si="64"/>
        <v>0.88596848687291418</v>
      </c>
      <c r="Z147" s="125">
        <f t="shared" si="64"/>
        <v>0.91593735178850755</v>
      </c>
      <c r="AA147" s="11">
        <f t="shared" si="64"/>
        <v>0.95223781472170199</v>
      </c>
    </row>
    <row r="148" spans="1:32" x14ac:dyDescent="0.25">
      <c r="A148" s="195" t="s">
        <v>1012</v>
      </c>
      <c r="B148" s="8">
        <f>B142</f>
        <v>0</v>
      </c>
      <c r="C148" s="8"/>
      <c r="D148" s="8"/>
      <c r="E148" s="9"/>
      <c r="H148" s="33">
        <v>12</v>
      </c>
      <c r="I148" s="11">
        <f t="shared" si="65"/>
        <v>0.87161925670321894</v>
      </c>
      <c r="J148" s="125">
        <f t="shared" si="64"/>
        <v>0.87212931903426416</v>
      </c>
      <c r="K148" s="11">
        <f t="shared" si="64"/>
        <v>0.87366590461981164</v>
      </c>
      <c r="L148" s="125">
        <f t="shared" si="64"/>
        <v>0.87624844610997255</v>
      </c>
      <c r="M148" s="11">
        <f t="shared" si="64"/>
        <v>0.87991013873882451</v>
      </c>
      <c r="N148" s="125">
        <f t="shared" si="64"/>
        <v>0.8846992165432872</v>
      </c>
      <c r="O148" s="11">
        <f t="shared" si="64"/>
        <v>0.89068087785671091</v>
      </c>
      <c r="P148" s="125">
        <f t="shared" si="64"/>
        <v>0.89794002122895489</v>
      </c>
      <c r="Q148" s="11">
        <f t="shared" si="64"/>
        <v>0.90658503616800912</v>
      </c>
      <c r="R148" s="125">
        <f t="shared" si="64"/>
        <v>0.91675301516356933</v>
      </c>
      <c r="S148" s="11">
        <f t="shared" si="64"/>
        <v>0.92861693935155853</v>
      </c>
      <c r="T148" s="125">
        <f t="shared" si="64"/>
        <v>0.94239568288517717</v>
      </c>
      <c r="U148" s="11">
        <f t="shared" si="64"/>
        <v>0.95836815723919633</v>
      </c>
      <c r="V148" s="125">
        <f t="shared" si="64"/>
        <v>0.9768937184114217</v>
      </c>
      <c r="W148" s="11">
        <f t="shared" si="64"/>
        <v>0.99844236239577355</v>
      </c>
      <c r="X148" s="125">
        <f t="shared" si="64"/>
        <v>1.0236407966080419</v>
      </c>
      <c r="Y148" s="11">
        <f t="shared" si="64"/>
        <v>1.0533454006475842</v>
      </c>
      <c r="Z148" s="125">
        <f t="shared" si="64"/>
        <v>1.0887631500932853</v>
      </c>
      <c r="AA148" s="11">
        <f t="shared" si="64"/>
        <v>1.1316636971961516</v>
      </c>
    </row>
    <row r="149" spans="1:32" x14ac:dyDescent="0.25">
      <c r="A149" s="115" t="s">
        <v>1022</v>
      </c>
      <c r="B149" s="2">
        <f>B150-B151</f>
        <v>3.0952000000000002</v>
      </c>
      <c r="C149" s="2"/>
      <c r="D149" s="2"/>
      <c r="E149" s="3" t="s">
        <v>1032</v>
      </c>
      <c r="H149" s="33">
        <v>14</v>
      </c>
      <c r="I149" s="11">
        <f t="shared" si="65"/>
        <v>1.0129878536653905</v>
      </c>
      <c r="J149" s="125">
        <f t="shared" si="64"/>
        <v>1.0135763871242889</v>
      </c>
      <c r="K149" s="11">
        <f t="shared" si="64"/>
        <v>1.0153493704922283</v>
      </c>
      <c r="L149" s="125">
        <f t="shared" si="64"/>
        <v>1.0183292260577985</v>
      </c>
      <c r="M149" s="11">
        <f t="shared" si="64"/>
        <v>1.0225542560141661</v>
      </c>
      <c r="N149" s="125">
        <f t="shared" si="64"/>
        <v>1.0280801150193153</v>
      </c>
      <c r="O149" s="11">
        <f t="shared" si="64"/>
        <v>1.0349820319194196</v>
      </c>
      <c r="P149" s="125">
        <f t="shared" si="64"/>
        <v>1.0433579665797013</v>
      </c>
      <c r="Q149" s="11">
        <f t="shared" si="64"/>
        <v>1.0533329838170715</v>
      </c>
      <c r="R149" s="125">
        <f t="shared" si="64"/>
        <v>1.065065267273487</v>
      </c>
      <c r="S149" s="11">
        <f t="shared" si="64"/>
        <v>1.0787544105673208</v>
      </c>
      <c r="T149" s="125">
        <f t="shared" si="64"/>
        <v>1.0946529607984192</v>
      </c>
      <c r="U149" s="11">
        <f t="shared" si="64"/>
        <v>1.1130827388992106</v>
      </c>
      <c r="V149" s="125">
        <f t="shared" si="64"/>
        <v>1.1344583864056246</v>
      </c>
      <c r="W149" s="11">
        <f t="shared" si="64"/>
        <v>1.1593222063875688</v>
      </c>
      <c r="X149" s="125">
        <f t="shared" si="64"/>
        <v>1.18839732278634</v>
      </c>
      <c r="Y149" s="11">
        <f t="shared" si="64"/>
        <v>1.2226718659088889</v>
      </c>
      <c r="Z149" s="125">
        <f t="shared" si="64"/>
        <v>1.2635384998846981</v>
      </c>
      <c r="AA149" s="11">
        <f t="shared" si="64"/>
        <v>1.3130391311572358</v>
      </c>
    </row>
    <row r="150" spans="1:32" x14ac:dyDescent="0.25">
      <c r="A150" s="59" t="s">
        <v>960</v>
      </c>
      <c r="B150" s="5">
        <v>8.8481000000000005</v>
      </c>
      <c r="C150" s="5"/>
      <c r="D150" s="5"/>
      <c r="E150" s="6" t="s">
        <v>1033</v>
      </c>
      <c r="H150" s="33">
        <v>16</v>
      </c>
      <c r="I150" s="11">
        <f t="shared" si="65"/>
        <v>1.1563060021141973</v>
      </c>
      <c r="J150" s="125">
        <f t="shared" si="64"/>
        <v>1.1569730067009487</v>
      </c>
      <c r="K150" s="11">
        <f t="shared" si="64"/>
        <v>1.1589823878512799</v>
      </c>
      <c r="L150" s="125">
        <f t="shared" si="64"/>
        <v>1.1623595574922596</v>
      </c>
      <c r="M150" s="11">
        <f t="shared" si="64"/>
        <v>1.1671479247761432</v>
      </c>
      <c r="N150" s="125">
        <f t="shared" si="64"/>
        <v>1.1734105649819788</v>
      </c>
      <c r="O150" s="11">
        <f t="shared" si="64"/>
        <v>1.1812327374687637</v>
      </c>
      <c r="P150" s="125">
        <f t="shared" si="64"/>
        <v>1.1907254634170827</v>
      </c>
      <c r="Q150" s="11">
        <f t="shared" si="64"/>
        <v>1.202030482952769</v>
      </c>
      <c r="R150" s="125">
        <f t="shared" si="64"/>
        <v>1.2153270708700401</v>
      </c>
      <c r="S150" s="11">
        <f t="shared" si="64"/>
        <v>1.2308414332697184</v>
      </c>
      <c r="T150" s="125">
        <f t="shared" si="64"/>
        <v>1.2488597901982965</v>
      </c>
      <c r="U150" s="11">
        <f t="shared" si="64"/>
        <v>1.26974687204586</v>
      </c>
      <c r="V150" s="125">
        <f t="shared" si="64"/>
        <v>1.2939726058864625</v>
      </c>
      <c r="W150" s="11">
        <f t="shared" si="64"/>
        <v>1.3221516018659993</v>
      </c>
      <c r="X150" s="125">
        <f t="shared" si="64"/>
        <v>1.3551034004512734</v>
      </c>
      <c r="Y150" s="11">
        <f t="shared" si="64"/>
        <v>1.3939478826568288</v>
      </c>
      <c r="Z150" s="125">
        <f t="shared" si="64"/>
        <v>1.440263401162746</v>
      </c>
      <c r="AA150" s="11">
        <f t="shared" si="64"/>
        <v>1.4963641166049553</v>
      </c>
    </row>
    <row r="151" spans="1:32" x14ac:dyDescent="0.25">
      <c r="A151" s="195" t="s">
        <v>1023</v>
      </c>
      <c r="B151" s="8">
        <v>5.7529000000000003</v>
      </c>
      <c r="C151" s="8"/>
      <c r="D151" s="8"/>
      <c r="E151" s="9" t="s">
        <v>967</v>
      </c>
      <c r="H151" t="s">
        <v>624</v>
      </c>
    </row>
    <row r="152" spans="1:32" x14ac:dyDescent="0.25">
      <c r="A152" s="115" t="s">
        <v>1024</v>
      </c>
      <c r="B152" s="2" t="e">
        <f>B153+B154</f>
        <v>#DIV/0!</v>
      </c>
      <c r="C152" s="2"/>
      <c r="D152" s="2"/>
      <c r="E152" s="3" t="s">
        <v>1031</v>
      </c>
      <c r="H152" s="11" t="s">
        <v>182</v>
      </c>
      <c r="I152" s="11">
        <v>0.05</v>
      </c>
      <c r="J152" s="125">
        <v>0.1</v>
      </c>
      <c r="K152" s="11">
        <v>0.15</v>
      </c>
      <c r="L152" s="125">
        <v>0.2</v>
      </c>
      <c r="M152" s="11">
        <v>0.25</v>
      </c>
      <c r="N152" s="125">
        <v>0.3</v>
      </c>
      <c r="O152" s="11">
        <v>0.35</v>
      </c>
      <c r="P152" s="125">
        <v>0.4</v>
      </c>
      <c r="Q152" s="11">
        <v>0.45</v>
      </c>
      <c r="R152" s="125">
        <v>0.5</v>
      </c>
      <c r="S152" s="11">
        <v>0.55000000000000004</v>
      </c>
      <c r="T152" s="125">
        <v>0.6</v>
      </c>
      <c r="U152" s="11">
        <v>0.65</v>
      </c>
      <c r="V152" s="125">
        <v>0.7</v>
      </c>
      <c r="W152" s="11">
        <v>0.75</v>
      </c>
      <c r="X152" s="125">
        <v>0.8</v>
      </c>
      <c r="Y152" s="11">
        <v>0.85</v>
      </c>
      <c r="Z152" s="125">
        <v>0.9</v>
      </c>
      <c r="AA152" s="11">
        <v>0.95</v>
      </c>
    </row>
    <row r="153" spans="1:32" x14ac:dyDescent="0.25">
      <c r="A153" s="59" t="s">
        <v>1022</v>
      </c>
      <c r="B153" s="5">
        <f>B149/I176</f>
        <v>0.24999596155399403</v>
      </c>
      <c r="C153" s="5"/>
      <c r="D153" s="5"/>
      <c r="E153" s="6" t="s">
        <v>1032</v>
      </c>
      <c r="H153" s="11" t="s">
        <v>421</v>
      </c>
      <c r="I153" s="11" t="s">
        <v>244</v>
      </c>
      <c r="J153" s="125" t="s">
        <v>244</v>
      </c>
      <c r="K153" s="11" t="s">
        <v>244</v>
      </c>
      <c r="L153" s="125" t="s">
        <v>244</v>
      </c>
      <c r="M153" s="11" t="s">
        <v>244</v>
      </c>
      <c r="N153" s="125" t="s">
        <v>244</v>
      </c>
      <c r="O153" s="11" t="s">
        <v>244</v>
      </c>
      <c r="P153" s="125" t="s">
        <v>244</v>
      </c>
      <c r="Q153" s="11" t="s">
        <v>244</v>
      </c>
      <c r="R153" s="125" t="s">
        <v>244</v>
      </c>
      <c r="S153" s="11" t="s">
        <v>244</v>
      </c>
      <c r="T153" s="125" t="s">
        <v>244</v>
      </c>
      <c r="U153" s="11" t="s">
        <v>244</v>
      </c>
      <c r="V153" s="125" t="s">
        <v>244</v>
      </c>
      <c r="W153" s="11" t="s">
        <v>244</v>
      </c>
      <c r="X153" s="125" t="s">
        <v>244</v>
      </c>
      <c r="Y153" s="11" t="s">
        <v>244</v>
      </c>
      <c r="Z153" s="125" t="s">
        <v>244</v>
      </c>
      <c r="AA153" s="11" t="s">
        <v>244</v>
      </c>
    </row>
    <row r="154" spans="1:32" x14ac:dyDescent="0.25">
      <c r="A154" s="153" t="s">
        <v>1034</v>
      </c>
      <c r="B154" s="8" t="e">
        <f>B191</f>
        <v>#DIV/0!</v>
      </c>
      <c r="C154" s="8"/>
      <c r="D154" s="8"/>
      <c r="E154" s="9"/>
      <c r="H154" s="33">
        <v>-6</v>
      </c>
      <c r="I154" s="11">
        <v>-0.66348144586668401</v>
      </c>
      <c r="J154" s="125">
        <v>-0.66469873701074234</v>
      </c>
      <c r="K154" s="11">
        <v>-0.66674438918113277</v>
      </c>
      <c r="L154" s="125">
        <v>-0.66964430382034368</v>
      </c>
      <c r="M154" s="11">
        <v>-0.67343609557225226</v>
      </c>
      <c r="N154" s="125">
        <v>-0.67817056947724297</v>
      </c>
      <c r="O154" s="11">
        <v>-0.6839138166790697</v>
      </c>
      <c r="P154" s="125">
        <v>-0.69075011248031604</v>
      </c>
      <c r="Q154" s="11">
        <v>-0.69878589154347526</v>
      </c>
      <c r="R154" s="125">
        <v>-0.7081552128944264</v>
      </c>
      <c r="S154" s="11">
        <v>-0.71902734331255469</v>
      </c>
      <c r="T154" s="125">
        <v>-0.73161743690724979</v>
      </c>
      <c r="U154" s="11">
        <v>-0.74620187281275907</v>
      </c>
      <c r="V154" s="125">
        <v>-0.76314082702615704</v>
      </c>
      <c r="W154" s="11">
        <v>-0.7829124910511599</v>
      </c>
      <c r="X154" s="125">
        <v>-0.80616684429992636</v>
      </c>
      <c r="Y154" s="11">
        <v>-0.83381393551087435</v>
      </c>
      <c r="Z154" s="125">
        <v>-0.86717688982254781</v>
      </c>
      <c r="AA154" s="11">
        <v>-0.90827594790455468</v>
      </c>
    </row>
    <row r="155" spans="1:32" x14ac:dyDescent="0.25">
      <c r="A155" s="115" t="s">
        <v>1025</v>
      </c>
      <c r="B155" s="2" t="e">
        <f>(B156*B157+B158*B159*(1-B160)*(B161/B162)*B163)/B164</f>
        <v>#DIV/0!</v>
      </c>
      <c r="C155" s="2"/>
      <c r="D155" s="2"/>
      <c r="E155" s="3" t="s">
        <v>1030</v>
      </c>
      <c r="H155" s="33">
        <v>-4</v>
      </c>
      <c r="I155" s="11">
        <v>-0.39945355356065482</v>
      </c>
      <c r="J155" s="125">
        <v>-0.40018392824708987</v>
      </c>
      <c r="K155" s="11">
        <v>-0.40141131954932413</v>
      </c>
      <c r="L155" s="125">
        <v>-0.40315126833285064</v>
      </c>
      <c r="M155" s="11">
        <v>-0.4054263433839958</v>
      </c>
      <c r="N155" s="125">
        <v>-0.40826702772699025</v>
      </c>
      <c r="O155" s="11">
        <v>-0.41171297604808627</v>
      </c>
      <c r="P155" s="125">
        <v>-0.41581475352883412</v>
      </c>
      <c r="Q155" s="11">
        <v>-0.42063622096672965</v>
      </c>
      <c r="R155" s="125">
        <v>-0.42625781377730027</v>
      </c>
      <c r="S155" s="11">
        <v>-0.43278109202817727</v>
      </c>
      <c r="T155" s="125">
        <v>-0.44033514818499431</v>
      </c>
      <c r="U155" s="11">
        <v>-0.44908580972829987</v>
      </c>
      <c r="V155" s="125">
        <v>-0.45924918225633871</v>
      </c>
      <c r="W155" s="11">
        <v>-0.47111218067134036</v>
      </c>
      <c r="X155" s="125">
        <v>-0.48506479262060026</v>
      </c>
      <c r="Y155" s="11">
        <v>-0.50165304734716909</v>
      </c>
      <c r="Z155" s="125">
        <v>-0.52167081993417308</v>
      </c>
      <c r="AA155" s="11">
        <v>-0.54633025478337727</v>
      </c>
    </row>
    <row r="156" spans="1:32" x14ac:dyDescent="0.25">
      <c r="A156" s="59" t="s">
        <v>1024</v>
      </c>
      <c r="B156" s="5" t="e">
        <f>B152</f>
        <v>#DIV/0!</v>
      </c>
      <c r="C156" s="5"/>
      <c r="D156" s="5"/>
      <c r="E156" s="6" t="s">
        <v>1031</v>
      </c>
      <c r="H156" s="33">
        <v>-2</v>
      </c>
      <c r="I156" s="11">
        <v>-0.13347610976799076</v>
      </c>
      <c r="J156" s="125">
        <v>-0.13371956799680243</v>
      </c>
      <c r="K156" s="11">
        <v>-0.13412869843088052</v>
      </c>
      <c r="L156" s="125">
        <v>-0.13470868135872271</v>
      </c>
      <c r="M156" s="11">
        <v>-0.13546703970910443</v>
      </c>
      <c r="N156" s="125">
        <v>-0.13641393449010258</v>
      </c>
      <c r="O156" s="11">
        <v>-0.13756258393046789</v>
      </c>
      <c r="P156" s="125">
        <v>-0.13892984309071718</v>
      </c>
      <c r="Q156" s="11">
        <v>-0.14053699890334903</v>
      </c>
      <c r="R156" s="125">
        <v>-0.14241086317353924</v>
      </c>
      <c r="S156" s="11">
        <v>-0.14458528925716491</v>
      </c>
      <c r="T156" s="125">
        <v>-0.14710330797610391</v>
      </c>
      <c r="U156" s="11">
        <v>-0.15002019515720577</v>
      </c>
      <c r="V156" s="125">
        <v>-0.15340798599988537</v>
      </c>
      <c r="W156" s="11">
        <v>-0.15736231880488594</v>
      </c>
      <c r="X156" s="125">
        <v>-0.16201318945463924</v>
      </c>
      <c r="Y156" s="11">
        <v>-0.16754260769682885</v>
      </c>
      <c r="Z156" s="125">
        <v>-0.17421519855916354</v>
      </c>
      <c r="AA156" s="11">
        <v>-0.1824350101755649</v>
      </c>
    </row>
    <row r="157" spans="1:32" x14ac:dyDescent="0.25">
      <c r="A157" s="59" t="s">
        <v>759</v>
      </c>
      <c r="B157" s="5" t="e">
        <f>'C_L vs. α'!#REF!</f>
        <v>#REF!</v>
      </c>
      <c r="C157" s="5"/>
      <c r="D157" s="5" t="s">
        <v>823</v>
      </c>
      <c r="E157" s="6"/>
      <c r="H157" s="33">
        <v>0</v>
      </c>
      <c r="I157" s="11">
        <v>0.13445088551130824</v>
      </c>
      <c r="J157" s="125">
        <v>0.1346943437401199</v>
      </c>
      <c r="K157" s="11">
        <v>0.13510347417419799</v>
      </c>
      <c r="L157" s="125">
        <v>0.13568345710204019</v>
      </c>
      <c r="M157" s="11">
        <v>0.1364418154524219</v>
      </c>
      <c r="N157" s="125">
        <v>0.13738871023342006</v>
      </c>
      <c r="O157" s="11">
        <v>0.13853735967378536</v>
      </c>
      <c r="P157" s="125">
        <v>0.13990461883403466</v>
      </c>
      <c r="Q157" s="11">
        <v>0.1415117746466665</v>
      </c>
      <c r="R157" s="125">
        <v>0.14338563891685671</v>
      </c>
      <c r="S157" s="11">
        <v>0.14556006500048238</v>
      </c>
      <c r="T157" s="125">
        <v>0.14807808371942138</v>
      </c>
      <c r="U157" s="11">
        <v>0.15099497090052325</v>
      </c>
      <c r="V157" s="125">
        <v>0.15438276174320284</v>
      </c>
      <c r="W157" s="11">
        <v>0.15833709454820341</v>
      </c>
      <c r="X157" s="125">
        <v>0.16298796519795672</v>
      </c>
      <c r="Y157" s="11">
        <v>0.16851738344014633</v>
      </c>
      <c r="Z157" s="125">
        <v>0.17518997430248101</v>
      </c>
      <c r="AA157" s="11">
        <v>0.18340978591888238</v>
      </c>
      <c r="AE157" t="s">
        <v>1128</v>
      </c>
    </row>
    <row r="158" spans="1:32" x14ac:dyDescent="0.25">
      <c r="A158" s="59" t="s">
        <v>785</v>
      </c>
      <c r="B158" s="5" t="e">
        <f>'C_L vs. α'!B185</f>
        <v>#DIV/0!</v>
      </c>
      <c r="C158" s="5"/>
      <c r="D158" s="5"/>
      <c r="E158" s="6"/>
      <c r="H158" s="33">
        <v>2</v>
      </c>
      <c r="I158" s="11">
        <v>0.40432743227724216</v>
      </c>
      <c r="J158" s="125">
        <v>0.40505780696367721</v>
      </c>
      <c r="K158" s="11">
        <v>0.40628519826591147</v>
      </c>
      <c r="L158" s="125">
        <v>0.40802514704943799</v>
      </c>
      <c r="M158" s="11">
        <v>0.41030022210058315</v>
      </c>
      <c r="N158" s="125">
        <v>0.41314090644357759</v>
      </c>
      <c r="O158" s="11">
        <v>0.41658685476467361</v>
      </c>
      <c r="P158" s="125">
        <v>0.42068863224542147</v>
      </c>
      <c r="Q158" s="11">
        <v>0.42551009968331699</v>
      </c>
      <c r="R158" s="125">
        <v>0.43113169249388761</v>
      </c>
      <c r="S158" s="11">
        <v>0.43765497074476462</v>
      </c>
      <c r="T158" s="125">
        <v>0.44520902690158165</v>
      </c>
      <c r="U158" s="11">
        <v>0.45395968844488721</v>
      </c>
      <c r="V158" s="125">
        <v>0.46412306097292605</v>
      </c>
      <c r="W158" s="11">
        <v>0.47598605938792771</v>
      </c>
      <c r="X158" s="125">
        <v>0.4899386713371876</v>
      </c>
      <c r="Y158" s="11">
        <v>0.50652692606375649</v>
      </c>
      <c r="Z158" s="125">
        <v>0.52654469865076048</v>
      </c>
      <c r="AA158" s="11">
        <v>0.55120413349996467</v>
      </c>
      <c r="AE158" t="s">
        <v>1131</v>
      </c>
      <c r="AF158" t="s">
        <v>124</v>
      </c>
    </row>
    <row r="159" spans="1:32" x14ac:dyDescent="0.25">
      <c r="A159" s="59" t="s">
        <v>1026</v>
      </c>
      <c r="B159" s="5">
        <f>'C_L vs. α'!B181</f>
        <v>3.8750502416309986</v>
      </c>
      <c r="C159" s="5"/>
      <c r="D159" s="5" t="s">
        <v>782</v>
      </c>
      <c r="E159" s="6"/>
      <c r="H159" s="33">
        <v>4</v>
      </c>
      <c r="I159" s="11">
        <v>0.67615353052981109</v>
      </c>
      <c r="J159" s="125">
        <v>0.67737082167386942</v>
      </c>
      <c r="K159" s="11">
        <v>0.67941647384425985</v>
      </c>
      <c r="L159" s="125">
        <v>0.68231638848347076</v>
      </c>
      <c r="M159" s="11">
        <v>0.68610818023537934</v>
      </c>
      <c r="N159" s="125">
        <v>0.69084265414037005</v>
      </c>
      <c r="O159" s="11">
        <v>0.69658590134219678</v>
      </c>
      <c r="P159" s="125">
        <v>0.70342219714344312</v>
      </c>
      <c r="Q159" s="11">
        <v>0.71145797620660234</v>
      </c>
      <c r="R159" s="125">
        <v>0.72082729755755348</v>
      </c>
      <c r="S159" s="11">
        <v>0.73169942797568177</v>
      </c>
      <c r="T159" s="125">
        <v>0.74428952157037687</v>
      </c>
      <c r="U159" s="11">
        <v>0.75887395747588615</v>
      </c>
      <c r="V159" s="125">
        <v>0.77581291168928412</v>
      </c>
      <c r="W159" s="11">
        <v>0.79558457571428698</v>
      </c>
      <c r="X159" s="125">
        <v>0.81883892896305344</v>
      </c>
      <c r="Y159" s="11">
        <v>0.84648602017400143</v>
      </c>
      <c r="Z159" s="125">
        <v>0.8798489744856749</v>
      </c>
      <c r="AA159" s="11">
        <v>0.92094803256768176</v>
      </c>
      <c r="AD159" t="s">
        <v>1129</v>
      </c>
      <c r="AE159">
        <v>160</v>
      </c>
      <c r="AF159">
        <f>AE159/12</f>
        <v>13.333333333333334</v>
      </c>
    </row>
    <row r="160" spans="1:32" x14ac:dyDescent="0.25">
      <c r="A160" s="59" t="s">
        <v>1028</v>
      </c>
      <c r="B160" s="5">
        <f>'C_L vs. α'!B192</f>
        <v>0.65254199304560989</v>
      </c>
      <c r="C160" s="5"/>
      <c r="D160" s="5"/>
      <c r="E160" s="6"/>
      <c r="H160" s="33">
        <v>6</v>
      </c>
      <c r="I160" s="11">
        <v>0.94992918026901485</v>
      </c>
      <c r="J160" s="125">
        <v>0.95163338787069662</v>
      </c>
      <c r="K160" s="11">
        <v>0.95449730090924312</v>
      </c>
      <c r="L160" s="125">
        <v>0.95855718140413848</v>
      </c>
      <c r="M160" s="11">
        <v>0.96386568985681043</v>
      </c>
      <c r="N160" s="125">
        <v>0.97049395332379751</v>
      </c>
      <c r="O160" s="11">
        <v>0.97853449940635484</v>
      </c>
      <c r="P160" s="125">
        <v>0.98810531352809983</v>
      </c>
      <c r="Q160" s="11">
        <v>0.99935540421652269</v>
      </c>
      <c r="R160" s="125">
        <v>1.0124724541078542</v>
      </c>
      <c r="S160" s="11">
        <v>1.027693436693234</v>
      </c>
      <c r="T160" s="125">
        <v>1.0453195677258069</v>
      </c>
      <c r="U160" s="11">
        <v>1.06573777799352</v>
      </c>
      <c r="V160" s="125">
        <v>1.0894523138922771</v>
      </c>
      <c r="W160" s="11">
        <v>1.117132643527281</v>
      </c>
      <c r="X160" s="125">
        <v>1.1496887380755543</v>
      </c>
      <c r="Y160" s="11">
        <v>1.1883946657708815</v>
      </c>
      <c r="Z160" s="125">
        <v>1.2351028018072243</v>
      </c>
      <c r="AA160" s="11">
        <v>1.2926414831220339</v>
      </c>
      <c r="AD160" t="s">
        <v>965</v>
      </c>
      <c r="AF160">
        <v>25.6</v>
      </c>
    </row>
    <row r="161" spans="1:32" x14ac:dyDescent="0.25">
      <c r="A161" s="59" t="s">
        <v>765</v>
      </c>
      <c r="B161" s="5">
        <v>95.093999999999994</v>
      </c>
      <c r="C161" s="5"/>
      <c r="D161" s="5" t="s">
        <v>850</v>
      </c>
      <c r="E161" s="6"/>
      <c r="H161" s="33">
        <v>8</v>
      </c>
      <c r="I161" s="11">
        <v>1.2256543814948537</v>
      </c>
      <c r="J161" s="125">
        <v>1.2278455055541588</v>
      </c>
      <c r="K161" s="11">
        <v>1.2315276794608616</v>
      </c>
      <c r="L161" s="125">
        <v>1.2367475258114411</v>
      </c>
      <c r="M161" s="11">
        <v>1.2435727509648766</v>
      </c>
      <c r="N161" s="125">
        <v>1.25209480399386</v>
      </c>
      <c r="O161" s="11">
        <v>1.262432648957148</v>
      </c>
      <c r="P161" s="125">
        <v>1.2747379813993915</v>
      </c>
      <c r="Q161" s="11">
        <v>1.2892023837130782</v>
      </c>
      <c r="R161" s="125">
        <v>1.3060671621447901</v>
      </c>
      <c r="S161" s="11">
        <v>1.3256369968974211</v>
      </c>
      <c r="T161" s="125">
        <v>1.348299165367872</v>
      </c>
      <c r="U161" s="11">
        <v>1.3745511499977889</v>
      </c>
      <c r="V161" s="125">
        <v>1.4050412675819053</v>
      </c>
      <c r="W161" s="11">
        <v>1.4406302628269103</v>
      </c>
      <c r="X161" s="125">
        <v>1.48248809867469</v>
      </c>
      <c r="Y161" s="11">
        <v>1.5322528628543963</v>
      </c>
      <c r="Z161" s="125">
        <v>1.5923061806154086</v>
      </c>
      <c r="AA161" s="11">
        <v>1.666284485163021</v>
      </c>
      <c r="AD161" t="s">
        <v>1130</v>
      </c>
      <c r="AF161">
        <v>43.18</v>
      </c>
    </row>
    <row r="162" spans="1:32" x14ac:dyDescent="0.25">
      <c r="A162" s="59" t="s">
        <v>153</v>
      </c>
      <c r="B162" s="5">
        <f>H4</f>
        <v>542</v>
      </c>
      <c r="C162" s="5"/>
      <c r="D162" s="11" t="s">
        <v>233</v>
      </c>
      <c r="E162" s="6"/>
      <c r="H162" s="33">
        <v>10</v>
      </c>
      <c r="I162" s="11">
        <v>1.5033291342073272</v>
      </c>
      <c r="J162" s="125">
        <v>1.5060071747242558</v>
      </c>
      <c r="K162" s="11">
        <v>1.5105076094991146</v>
      </c>
      <c r="L162" s="125">
        <v>1.5168874217053787</v>
      </c>
      <c r="M162" s="11">
        <v>1.5252293635595775</v>
      </c>
      <c r="N162" s="125">
        <v>1.5356452061505572</v>
      </c>
      <c r="O162" s="11">
        <v>1.5482803499945759</v>
      </c>
      <c r="P162" s="125">
        <v>1.5633202007573179</v>
      </c>
      <c r="Q162" s="11">
        <v>1.5809989146962682</v>
      </c>
      <c r="R162" s="125">
        <v>1.6016114216683606</v>
      </c>
      <c r="S162" s="11">
        <v>1.625530108588243</v>
      </c>
      <c r="T162" s="125">
        <v>1.653228314496572</v>
      </c>
      <c r="U162" s="11">
        <v>1.6853140734886924</v>
      </c>
      <c r="V162" s="125">
        <v>1.722579772758168</v>
      </c>
      <c r="W162" s="11">
        <v>1.7660774336131742</v>
      </c>
      <c r="X162" s="125">
        <v>1.8172370107604605</v>
      </c>
      <c r="Y162" s="11">
        <v>1.8780606114245462</v>
      </c>
      <c r="Z162" s="125">
        <v>1.9514591109102277</v>
      </c>
      <c r="AA162" s="11">
        <v>2.0418770386906426</v>
      </c>
    </row>
    <row r="163" spans="1:32" x14ac:dyDescent="0.25">
      <c r="A163" s="59" t="s">
        <v>1014</v>
      </c>
      <c r="B163" s="5">
        <f>B143</f>
        <v>20.68</v>
      </c>
      <c r="C163" s="5"/>
      <c r="D163" s="5"/>
      <c r="E163" s="6"/>
      <c r="H163" s="33">
        <v>12</v>
      </c>
      <c r="I163" s="11">
        <v>1.7829534384064358</v>
      </c>
      <c r="J163" s="125">
        <v>1.7861183953809876</v>
      </c>
      <c r="K163" s="11">
        <v>1.7914370910240027</v>
      </c>
      <c r="L163" s="125">
        <v>1.7989768690859511</v>
      </c>
      <c r="M163" s="11">
        <v>1.8088355276409134</v>
      </c>
      <c r="N163" s="125">
        <v>1.8211451597938895</v>
      </c>
      <c r="O163" s="11">
        <v>1.8360776025186387</v>
      </c>
      <c r="P163" s="125">
        <v>1.8538519716018793</v>
      </c>
      <c r="Q163" s="11">
        <v>1.8747449971660932</v>
      </c>
      <c r="R163" s="125">
        <v>1.8991052326785662</v>
      </c>
      <c r="S163" s="11">
        <v>1.9273727717656999</v>
      </c>
      <c r="T163" s="125">
        <v>1.9601070151119069</v>
      </c>
      <c r="U163" s="11">
        <v>1.9980265484662312</v>
      </c>
      <c r="V163" s="125">
        <v>2.0420678294210659</v>
      </c>
      <c r="W163" s="11">
        <v>2.093474155886073</v>
      </c>
      <c r="X163" s="125">
        <v>2.153935474332866</v>
      </c>
      <c r="Y163" s="11">
        <v>2.225817911481331</v>
      </c>
      <c r="Z163" s="125">
        <v>2.312561592691682</v>
      </c>
      <c r="AA163" s="11">
        <v>2.4194191437048995</v>
      </c>
    </row>
    <row r="164" spans="1:32" x14ac:dyDescent="0.25">
      <c r="A164" s="195" t="s">
        <v>535</v>
      </c>
      <c r="B164" s="8" t="e">
        <f>'C_L vs. α'!B207</f>
        <v>#DIV/0!</v>
      </c>
      <c r="C164" s="8"/>
      <c r="D164" s="8" t="s">
        <v>818</v>
      </c>
      <c r="E164" s="9"/>
      <c r="H164" s="33">
        <v>14</v>
      </c>
      <c r="I164" s="11">
        <v>2.0645272940921791</v>
      </c>
      <c r="J164" s="125">
        <v>2.0681791675243542</v>
      </c>
      <c r="K164" s="11">
        <v>2.0743161240355255</v>
      </c>
      <c r="L164" s="125">
        <v>2.0830158679531583</v>
      </c>
      <c r="M164" s="11">
        <v>2.094391243208884</v>
      </c>
      <c r="N164" s="125">
        <v>2.1085946649238561</v>
      </c>
      <c r="O164" s="11">
        <v>2.1258244065293361</v>
      </c>
      <c r="P164" s="125">
        <v>2.1463332939330755</v>
      </c>
      <c r="Q164" s="11">
        <v>2.170440631122553</v>
      </c>
      <c r="R164" s="125">
        <v>2.1985485951754065</v>
      </c>
      <c r="S164" s="11">
        <v>2.2311649864297913</v>
      </c>
      <c r="T164" s="125">
        <v>2.2689352672138763</v>
      </c>
      <c r="U164" s="11">
        <v>2.3126885749304043</v>
      </c>
      <c r="V164" s="125">
        <v>2.3635054375705984</v>
      </c>
      <c r="W164" s="11">
        <v>2.4228204296456068</v>
      </c>
      <c r="X164" s="125">
        <v>2.4925834893919059</v>
      </c>
      <c r="Y164" s="11">
        <v>2.5755247630247502</v>
      </c>
      <c r="Z164" s="125">
        <v>2.6756136259597705</v>
      </c>
      <c r="AA164" s="11">
        <v>2.7989108002057912</v>
      </c>
    </row>
    <row r="165" spans="1:32" x14ac:dyDescent="0.25">
      <c r="A165" s="193" t="s">
        <v>1027</v>
      </c>
      <c r="B165" s="179">
        <f>B166-B167</f>
        <v>1.7156847589047737</v>
      </c>
      <c r="C165" s="2"/>
      <c r="D165" s="2" t="s">
        <v>1035</v>
      </c>
      <c r="E165" s="3" t="s">
        <v>1029</v>
      </c>
      <c r="H165" s="33">
        <v>16</v>
      </c>
      <c r="I165" s="11">
        <v>2.3480507012645582</v>
      </c>
      <c r="J165" s="125">
        <v>2.3521894911543568</v>
      </c>
      <c r="K165" s="11">
        <v>2.3591447085336839</v>
      </c>
      <c r="L165" s="125">
        <v>2.3690044183070014</v>
      </c>
      <c r="M165" s="11">
        <v>2.3818965102634904</v>
      </c>
      <c r="N165" s="125">
        <v>2.397993721540459</v>
      </c>
      <c r="O165" s="11">
        <v>2.4175207620266694</v>
      </c>
      <c r="P165" s="125">
        <v>2.4407641677509071</v>
      </c>
      <c r="Q165" s="11">
        <v>2.4680858165656487</v>
      </c>
      <c r="R165" s="125">
        <v>2.4999415091588824</v>
      </c>
      <c r="S165" s="11">
        <v>2.5369067525805185</v>
      </c>
      <c r="T165" s="125">
        <v>2.5797130708024816</v>
      </c>
      <c r="U165" s="11">
        <v>2.6293001528812132</v>
      </c>
      <c r="V165" s="125">
        <v>2.6868925972067665</v>
      </c>
      <c r="W165" s="11">
        <v>2.7541162548917764</v>
      </c>
      <c r="X165" s="125">
        <v>2.8331810559375823</v>
      </c>
      <c r="Y165" s="11">
        <v>2.9271811660548055</v>
      </c>
      <c r="Z165" s="125">
        <v>3.040615210714495</v>
      </c>
      <c r="AA165" s="11">
        <v>3.1803520081933185</v>
      </c>
    </row>
    <row r="166" spans="1:32" x14ac:dyDescent="0.25">
      <c r="A166" s="59" t="s">
        <v>1015</v>
      </c>
      <c r="B166" s="5">
        <f>B144/H11</f>
        <v>1.9626847589047736</v>
      </c>
      <c r="C166" s="5"/>
      <c r="D166" s="5" t="s">
        <v>1036</v>
      </c>
      <c r="E166" s="6" t="s">
        <v>1018</v>
      </c>
    </row>
    <row r="167" spans="1:32" x14ac:dyDescent="0.25">
      <c r="A167" s="195" t="s">
        <v>1025</v>
      </c>
      <c r="B167" s="8">
        <f>B8</f>
        <v>0.247</v>
      </c>
      <c r="C167" s="8"/>
      <c r="D167" s="8" t="s">
        <v>1037</v>
      </c>
      <c r="E167" s="9" t="s">
        <v>1030</v>
      </c>
    </row>
    <row r="168" spans="1:32" x14ac:dyDescent="0.25">
      <c r="A168" s="191" t="s">
        <v>1001</v>
      </c>
      <c r="B168" s="2">
        <f>SUM(F174:F186)</f>
        <v>812.42788281899993</v>
      </c>
      <c r="C168" s="2"/>
      <c r="D168" s="2"/>
      <c r="E168" s="3"/>
      <c r="H168" s="1" t="s">
        <v>927</v>
      </c>
      <c r="I168" s="2"/>
      <c r="J168" s="3"/>
      <c r="K168" s="1" t="s">
        <v>940</v>
      </c>
      <c r="L168" s="2"/>
      <c r="M168" s="3"/>
    </row>
    <row r="169" spans="1:32" x14ac:dyDescent="0.25">
      <c r="A169" s="183" t="s">
        <v>999</v>
      </c>
      <c r="B169" s="5">
        <f>(50-B171)/11</f>
        <v>3.1263636363636365</v>
      </c>
      <c r="C169" s="5" t="s">
        <v>124</v>
      </c>
      <c r="D169" s="5"/>
      <c r="E169" s="6"/>
      <c r="H169" s="14" t="s">
        <v>153</v>
      </c>
      <c r="I169" s="5">
        <v>542</v>
      </c>
      <c r="J169" s="6" t="s">
        <v>150</v>
      </c>
      <c r="K169" s="14" t="s">
        <v>765</v>
      </c>
      <c r="L169" s="5">
        <v>95.093999999999994</v>
      </c>
      <c r="M169" s="6" t="s">
        <v>150</v>
      </c>
      <c r="N169" s="11" t="s">
        <v>153</v>
      </c>
      <c r="O169">
        <v>111.86369999999999</v>
      </c>
    </row>
    <row r="170" spans="1:32" x14ac:dyDescent="0.25">
      <c r="A170" s="4" t="s">
        <v>776</v>
      </c>
      <c r="B170" s="5">
        <v>9.74</v>
      </c>
      <c r="C170" s="5" t="s">
        <v>124</v>
      </c>
      <c r="D170" s="5"/>
      <c r="E170" s="6"/>
      <c r="H170" s="14" t="s">
        <v>143</v>
      </c>
      <c r="I170" s="5">
        <v>46.5</v>
      </c>
      <c r="J170" s="6" t="s">
        <v>124</v>
      </c>
      <c r="K170" s="14" t="s">
        <v>143</v>
      </c>
      <c r="L170" s="5">
        <v>30</v>
      </c>
      <c r="M170" s="6" t="s">
        <v>124</v>
      </c>
      <c r="N170" s="11" t="s">
        <v>1083</v>
      </c>
      <c r="O170">
        <v>58.911920000000002</v>
      </c>
    </row>
    <row r="171" spans="1:32" x14ac:dyDescent="0.25">
      <c r="A171" s="36" t="s">
        <v>140</v>
      </c>
      <c r="B171" s="5">
        <f>B179+B180</f>
        <v>15.61</v>
      </c>
      <c r="C171" s="5" t="s">
        <v>124</v>
      </c>
      <c r="D171" s="5"/>
      <c r="E171" s="6"/>
      <c r="H171" s="14" t="s">
        <v>268</v>
      </c>
      <c r="I171" s="5">
        <v>4</v>
      </c>
      <c r="J171" s="6"/>
      <c r="K171" s="14" t="s">
        <v>268</v>
      </c>
      <c r="L171" s="5">
        <v>3.8</v>
      </c>
      <c r="M171" s="6"/>
      <c r="N171" t="s">
        <v>180</v>
      </c>
      <c r="O171">
        <v>30000</v>
      </c>
      <c r="P171" t="s">
        <v>124</v>
      </c>
    </row>
    <row r="172" spans="1:32" x14ac:dyDescent="0.25">
      <c r="A172" s="14"/>
      <c r="B172" s="5"/>
      <c r="C172" s="5"/>
      <c r="D172" s="5"/>
      <c r="E172" s="6"/>
      <c r="H172" s="14" t="s">
        <v>550</v>
      </c>
      <c r="I172" s="5">
        <v>30</v>
      </c>
      <c r="J172" s="6" t="s">
        <v>490</v>
      </c>
      <c r="K172" s="14" t="s">
        <v>550</v>
      </c>
      <c r="L172" s="5">
        <v>30</v>
      </c>
      <c r="M172" s="6" t="s">
        <v>490</v>
      </c>
      <c r="N172" s="11" t="s">
        <v>1084</v>
      </c>
      <c r="O172">
        <v>8.9070000000000002E-4</v>
      </c>
    </row>
    <row r="173" spans="1:32" x14ac:dyDescent="0.25">
      <c r="A173" s="14"/>
      <c r="B173" s="232" t="s">
        <v>999</v>
      </c>
      <c r="C173" s="5" t="s">
        <v>1002</v>
      </c>
      <c r="D173" s="5" t="s">
        <v>1041</v>
      </c>
      <c r="E173" s="109" t="s">
        <v>1181</v>
      </c>
      <c r="F173" s="6" t="s">
        <v>1003</v>
      </c>
      <c r="H173" s="14" t="s">
        <v>449</v>
      </c>
      <c r="I173" s="5">
        <v>16.666666666666668</v>
      </c>
      <c r="J173" s="6" t="s">
        <v>124</v>
      </c>
      <c r="K173" s="14" t="s">
        <v>449</v>
      </c>
      <c r="L173" s="5">
        <v>8</v>
      </c>
      <c r="M173" s="6" t="s">
        <v>124</v>
      </c>
      <c r="N173" s="11" t="s">
        <v>142</v>
      </c>
      <c r="O173" s="98">
        <v>994.8</v>
      </c>
    </row>
    <row r="174" spans="1:32" x14ac:dyDescent="0.25">
      <c r="A174" s="14">
        <v>1</v>
      </c>
      <c r="B174">
        <v>3.1259999999999999</v>
      </c>
      <c r="C174" s="5">
        <v>2.835</v>
      </c>
      <c r="D174" s="5">
        <f>16.586/$B$171</f>
        <v>1.0625240230621396</v>
      </c>
      <c r="E174" s="11">
        <v>1.75</v>
      </c>
      <c r="F174" s="6">
        <f>C174^2*E174*B174</f>
        <v>43.967639362499995</v>
      </c>
      <c r="H174" s="14" t="s">
        <v>450</v>
      </c>
      <c r="I174" s="5">
        <v>6.6666666666666679</v>
      </c>
      <c r="J174" s="6" t="s">
        <v>124</v>
      </c>
      <c r="K174" s="14" t="s">
        <v>450</v>
      </c>
      <c r="L174" s="5">
        <v>4</v>
      </c>
      <c r="M174" s="5" t="s">
        <v>124</v>
      </c>
      <c r="N174" s="14" t="s">
        <v>1095</v>
      </c>
      <c r="O174" s="5">
        <f>SUM(F174:F178)</f>
        <v>812.42788281899993</v>
      </c>
    </row>
    <row r="175" spans="1:32" x14ac:dyDescent="0.25">
      <c r="A175" s="14">
        <v>2</v>
      </c>
      <c r="B175">
        <v>3.1259999999999999</v>
      </c>
      <c r="C175" s="5">
        <v>4.5110000000000001</v>
      </c>
      <c r="D175" s="5">
        <f>13.222/$B$171</f>
        <v>0.84702114029468289</v>
      </c>
      <c r="E175" s="11">
        <v>1.75</v>
      </c>
      <c r="F175" s="6">
        <f t="shared" ref="F175:F186" si="66">C175^2*E175*B175</f>
        <v>111.3198664305</v>
      </c>
      <c r="H175" s="14" t="s">
        <v>484</v>
      </c>
      <c r="I175" s="5">
        <v>0.4</v>
      </c>
      <c r="J175" s="6"/>
      <c r="K175" s="14" t="s">
        <v>484</v>
      </c>
      <c r="L175" s="5">
        <v>0.65100000000000002</v>
      </c>
      <c r="M175" s="5"/>
      <c r="N175" s="54" t="s">
        <v>1022</v>
      </c>
      <c r="O175" s="5">
        <f>B149</f>
        <v>3.0952000000000002</v>
      </c>
    </row>
    <row r="176" spans="1:32" x14ac:dyDescent="0.25">
      <c r="A176" s="14">
        <v>3</v>
      </c>
      <c r="B176">
        <v>3.1259999999999999</v>
      </c>
      <c r="C176" s="5">
        <v>5.18</v>
      </c>
      <c r="D176" s="5">
        <f>9.219/$B$171</f>
        <v>0.59058295964125562</v>
      </c>
      <c r="E176" s="11">
        <v>1.75</v>
      </c>
      <c r="F176" s="6">
        <f t="shared" si="66"/>
        <v>146.78664419999996</v>
      </c>
      <c r="H176" s="14" t="s">
        <v>941</v>
      </c>
      <c r="I176" s="5">
        <v>12.381</v>
      </c>
      <c r="J176" s="6" t="s">
        <v>124</v>
      </c>
      <c r="K176" s="14" t="s">
        <v>941</v>
      </c>
      <c r="L176" s="5">
        <v>7.67</v>
      </c>
      <c r="M176" s="6" t="s">
        <v>124</v>
      </c>
      <c r="N176" s="54" t="s">
        <v>1014</v>
      </c>
      <c r="O176" s="5">
        <v>20.68</v>
      </c>
    </row>
    <row r="177" spans="1:36" x14ac:dyDescent="0.25">
      <c r="A177" s="14">
        <v>4</v>
      </c>
      <c r="B177">
        <v>3.1259999999999999</v>
      </c>
      <c r="C177" s="5">
        <v>5.3380000000000001</v>
      </c>
      <c r="D177" s="5">
        <f>5.545/$B$171</f>
        <v>0.35522101217168484</v>
      </c>
      <c r="E177" s="11">
        <v>1.75</v>
      </c>
      <c r="F177" s="6">
        <f t="shared" si="66"/>
        <v>155.87776180200001</v>
      </c>
      <c r="H177" s="14" t="s">
        <v>942</v>
      </c>
      <c r="I177" s="5">
        <v>9.9642999999999997</v>
      </c>
      <c r="J177" s="6" t="s">
        <v>124</v>
      </c>
      <c r="K177" s="14" t="s">
        <v>942</v>
      </c>
      <c r="L177" s="5">
        <v>4.6012000000000004</v>
      </c>
      <c r="M177" s="6" t="s">
        <v>124</v>
      </c>
    </row>
    <row r="178" spans="1:36" x14ac:dyDescent="0.25">
      <c r="A178" s="14">
        <v>5</v>
      </c>
      <c r="B178">
        <v>3.1259999999999999</v>
      </c>
      <c r="C178" s="5">
        <v>5.6920000000000002</v>
      </c>
      <c r="D178" s="5">
        <f>1.837/$B$171</f>
        <v>0.11768097373478539</v>
      </c>
      <c r="E178" s="11">
        <v>3.5</v>
      </c>
      <c r="F178" s="6">
        <f t="shared" si="66"/>
        <v>354.47597102400005</v>
      </c>
      <c r="H178" s="14" t="s">
        <v>752</v>
      </c>
      <c r="I178" s="5">
        <v>0.25</v>
      </c>
      <c r="J178" s="6"/>
      <c r="K178" s="14" t="s">
        <v>752</v>
      </c>
      <c r="L178" s="5"/>
      <c r="M178" s="6"/>
    </row>
    <row r="179" spans="1:36" x14ac:dyDescent="0.25">
      <c r="A179" s="14">
        <v>6</v>
      </c>
      <c r="B179">
        <v>7.8049999999999997</v>
      </c>
      <c r="C179" s="5">
        <v>7.2969999999999997</v>
      </c>
      <c r="D179" s="5">
        <f t="shared" ref="D179:D186" si="67">16.586/$B$171</f>
        <v>1.0625240230621396</v>
      </c>
      <c r="E179" s="5"/>
      <c r="F179" s="6">
        <f t="shared" si="66"/>
        <v>0</v>
      </c>
      <c r="H179" s="14" t="s">
        <v>791</v>
      </c>
      <c r="I179" s="5">
        <v>25.2</v>
      </c>
      <c r="J179" s="6" t="s">
        <v>490</v>
      </c>
      <c r="K179" s="14" t="s">
        <v>791</v>
      </c>
      <c r="L179" s="5">
        <v>23.4</v>
      </c>
      <c r="M179" s="6" t="s">
        <v>490</v>
      </c>
    </row>
    <row r="180" spans="1:36" x14ac:dyDescent="0.25">
      <c r="A180" s="14">
        <v>7</v>
      </c>
      <c r="B180">
        <v>7.8049999999999997</v>
      </c>
      <c r="C180" s="5">
        <v>8.6270000000000007</v>
      </c>
      <c r="D180" s="5">
        <f t="shared" si="67"/>
        <v>1.0625240230621396</v>
      </c>
      <c r="E180" s="5"/>
      <c r="F180" s="6">
        <f t="shared" si="66"/>
        <v>0</v>
      </c>
      <c r="H180" s="10" t="s">
        <v>410</v>
      </c>
      <c r="I180" s="8">
        <v>24.1</v>
      </c>
      <c r="J180" s="9" t="s">
        <v>490</v>
      </c>
      <c r="K180" s="10" t="s">
        <v>410</v>
      </c>
      <c r="L180" s="8">
        <v>22</v>
      </c>
      <c r="M180" s="9" t="s">
        <v>490</v>
      </c>
    </row>
    <row r="181" spans="1:36" x14ac:dyDescent="0.25">
      <c r="A181" s="14">
        <v>8</v>
      </c>
      <c r="B181">
        <v>3.1259999999999999</v>
      </c>
      <c r="C181" s="5">
        <v>10.012</v>
      </c>
      <c r="D181" s="5">
        <f t="shared" si="67"/>
        <v>1.0625240230621396</v>
      </c>
      <c r="E181" s="5"/>
      <c r="F181" s="6">
        <f t="shared" si="66"/>
        <v>0</v>
      </c>
    </row>
    <row r="182" spans="1:36" x14ac:dyDescent="0.25">
      <c r="A182" s="14">
        <v>9</v>
      </c>
      <c r="B182">
        <v>3.1259999999999999</v>
      </c>
      <c r="C182" s="5">
        <v>9.9209999999999994</v>
      </c>
      <c r="D182" s="5">
        <f t="shared" si="67"/>
        <v>1.0625240230621396</v>
      </c>
      <c r="E182" s="5"/>
      <c r="F182" s="6">
        <f t="shared" si="66"/>
        <v>0</v>
      </c>
    </row>
    <row r="183" spans="1:36" x14ac:dyDescent="0.25">
      <c r="A183" s="14">
        <v>10</v>
      </c>
      <c r="B183">
        <v>3.1259999999999999</v>
      </c>
      <c r="C183" s="5">
        <v>9.8160000000000007</v>
      </c>
      <c r="D183" s="5">
        <f t="shared" si="67"/>
        <v>1.0625240230621396</v>
      </c>
      <c r="E183" s="5"/>
      <c r="F183" s="6">
        <f t="shared" si="66"/>
        <v>0</v>
      </c>
      <c r="V183" t="s">
        <v>161</v>
      </c>
      <c r="Z183" t="s">
        <v>1082</v>
      </c>
    </row>
    <row r="184" spans="1:36" x14ac:dyDescent="0.25">
      <c r="A184" s="14">
        <v>11</v>
      </c>
      <c r="B184">
        <v>3.1259999999999999</v>
      </c>
      <c r="C184" s="5">
        <v>9.6129999999999995</v>
      </c>
      <c r="D184" s="5">
        <f t="shared" si="67"/>
        <v>1.0625240230621396</v>
      </c>
      <c r="E184" s="5"/>
      <c r="F184" s="6">
        <f t="shared" si="66"/>
        <v>0</v>
      </c>
      <c r="H184" t="s">
        <v>348</v>
      </c>
      <c r="I184" s="223" t="s">
        <v>712</v>
      </c>
      <c r="J184" s="223" t="s">
        <v>1085</v>
      </c>
      <c r="K184" s="223" t="s">
        <v>184</v>
      </c>
      <c r="L184" t="s">
        <v>785</v>
      </c>
      <c r="M184" t="s">
        <v>1086</v>
      </c>
      <c r="N184" t="s">
        <v>759</v>
      </c>
      <c r="O184" t="s">
        <v>1026</v>
      </c>
      <c r="P184" t="s">
        <v>535</v>
      </c>
      <c r="Q184" t="s">
        <v>786</v>
      </c>
      <c r="R184" t="s">
        <v>1042</v>
      </c>
      <c r="S184" s="109" t="s">
        <v>1044</v>
      </c>
      <c r="T184" s="109" t="s">
        <v>1024</v>
      </c>
      <c r="U184" s="109" t="s">
        <v>1025</v>
      </c>
      <c r="V184" s="109" t="s">
        <v>1027</v>
      </c>
      <c r="W184" s="11" t="s">
        <v>1042</v>
      </c>
      <c r="X184" s="109" t="s">
        <v>1044</v>
      </c>
      <c r="Y184" t="s">
        <v>535</v>
      </c>
      <c r="Z184" t="s">
        <v>698</v>
      </c>
      <c r="AA184" t="s">
        <v>94</v>
      </c>
      <c r="AG184" t="s">
        <v>807</v>
      </c>
      <c r="AH184" t="s">
        <v>811</v>
      </c>
      <c r="AI184" t="s">
        <v>813</v>
      </c>
      <c r="AJ184" t="s">
        <v>807</v>
      </c>
    </row>
    <row r="185" spans="1:36" x14ac:dyDescent="0.25">
      <c r="A185" s="14">
        <v>12</v>
      </c>
      <c r="B185">
        <v>3.1259999999999999</v>
      </c>
      <c r="C185" s="5">
        <v>9.3040000000000003</v>
      </c>
      <c r="D185" s="5">
        <f t="shared" si="67"/>
        <v>1.0625240230621396</v>
      </c>
      <c r="E185" s="5"/>
      <c r="F185" s="6">
        <f t="shared" si="66"/>
        <v>0</v>
      </c>
      <c r="H185" s="5">
        <v>0</v>
      </c>
      <c r="I185">
        <f>SQRT(1-H185^2)</f>
        <v>1</v>
      </c>
      <c r="J185">
        <f>H185*$O$173</f>
        <v>0</v>
      </c>
      <c r="K185">
        <f>$O$172*J185/2</f>
        <v>0</v>
      </c>
      <c r="L185" t="e">
        <f>'C_L vs. α'!K277</f>
        <v>#NUM!</v>
      </c>
      <c r="M185">
        <v>3.686883496394374</v>
      </c>
      <c r="N185">
        <v>3.2465185337937581</v>
      </c>
      <c r="O185">
        <v>4.2076644857881398</v>
      </c>
      <c r="P185" t="e">
        <f>'C_L vs. α'!T277</f>
        <v>#NUM!</v>
      </c>
      <c r="Q185">
        <v>0.43768070475154763</v>
      </c>
      <c r="R185">
        <f>(K185/36.5)*(M185/0.08)*$O$174</f>
        <v>0</v>
      </c>
      <c r="S185" t="e">
        <f>-(R185)/(K185*$I$169*$I$176*M185)</f>
        <v>#DIV/0!</v>
      </c>
      <c r="T185" t="e">
        <f>$O$175+S185</f>
        <v>#DIV/0!</v>
      </c>
      <c r="U185" t="e">
        <f>(T185*N185)+(L185*O185*(1-Q185)*($L$169/$I$169)*$O$176)</f>
        <v>#DIV/0!</v>
      </c>
      <c r="Y185" t="e">
        <v>#NUM!</v>
      </c>
      <c r="Z185" t="e">
        <v>#NUM!</v>
      </c>
      <c r="AA185">
        <v>9.8340088753164121</v>
      </c>
      <c r="AG185" t="e">
        <v>#NUM!</v>
      </c>
      <c r="AH185" t="e">
        <v>#NUM!</v>
      </c>
      <c r="AI185">
        <v>0.71250421923545804</v>
      </c>
      <c r="AJ185" t="e">
        <v>#NUM!</v>
      </c>
    </row>
    <row r="186" spans="1:36" x14ac:dyDescent="0.25">
      <c r="A186" s="10">
        <v>13</v>
      </c>
      <c r="B186">
        <v>3.1259999999999999</v>
      </c>
      <c r="C186" s="8">
        <v>4.53</v>
      </c>
      <c r="D186" s="5">
        <f t="shared" si="67"/>
        <v>1.0625240230621396</v>
      </c>
      <c r="E186" s="8"/>
      <c r="F186" s="6">
        <f t="shared" si="66"/>
        <v>0</v>
      </c>
      <c r="H186" s="5">
        <v>0.05</v>
      </c>
      <c r="I186">
        <f t="shared" ref="I186:I202" si="68">SQRT(1-H186^2)</f>
        <v>0.99874921777190895</v>
      </c>
      <c r="J186">
        <f t="shared" ref="J186:J202" si="69">H186*$O$173</f>
        <v>49.74</v>
      </c>
      <c r="K186">
        <f>$O$172*J186/2</f>
        <v>2.2151709000000002E-2</v>
      </c>
      <c r="L186">
        <f>'C_L vs. α'!K278</f>
        <v>0.88155856205390537</v>
      </c>
      <c r="M186">
        <v>3.6891315286141815</v>
      </c>
      <c r="N186">
        <v>3.2484980588515224</v>
      </c>
      <c r="O186">
        <v>4.2107684417402593</v>
      </c>
      <c r="P186">
        <f>'C_L vs. α'!T278</f>
        <v>3.9008933430853863</v>
      </c>
      <c r="Q186">
        <v>0.43794757522012406</v>
      </c>
      <c r="R186">
        <f t="shared" ref="R186:R202" si="70">(K186/36.5)*(M186/0.08)*$O$174</f>
        <v>22.737009627303621</v>
      </c>
      <c r="S186">
        <f t="shared" ref="S186:S202" si="71">-(R186)/(K186*$I$169*$I$176*M186)</f>
        <v>-4.1461686024802352E-2</v>
      </c>
      <c r="T186">
        <f t="shared" ref="T186:T202" si="72">$O$175+S186</f>
        <v>3.0537383139751979</v>
      </c>
      <c r="U186">
        <f>(T186*N186)+(L186*O186*(1-Q186)*($L$169/$I$169)*$O$176)</f>
        <v>17.490025285784942</v>
      </c>
      <c r="Y186">
        <v>3.8290728236751566</v>
      </c>
      <c r="Z186">
        <v>0.76353947485392637</v>
      </c>
      <c r="AA186">
        <v>9.8363694414753748</v>
      </c>
      <c r="AG186">
        <v>6.6321956333408236</v>
      </c>
      <c r="AH186">
        <v>3.8450589390304519</v>
      </c>
      <c r="AI186">
        <v>0.71267283110395541</v>
      </c>
      <c r="AJ186">
        <v>9.6166836683441943</v>
      </c>
    </row>
    <row r="187" spans="1:36" x14ac:dyDescent="0.25">
      <c r="A187" s="1" t="s">
        <v>1042</v>
      </c>
      <c r="B187" s="2">
        <f>(B188/36.5)*(B189/0.08)*B190</f>
        <v>0</v>
      </c>
      <c r="C187" s="2"/>
      <c r="D187" s="2"/>
      <c r="E187" s="3" t="s">
        <v>1046</v>
      </c>
      <c r="H187" s="5">
        <v>0.1</v>
      </c>
      <c r="I187">
        <f t="shared" si="68"/>
        <v>0.99498743710661997</v>
      </c>
      <c r="J187">
        <f t="shared" si="69"/>
        <v>99.48</v>
      </c>
      <c r="K187">
        <f t="shared" ref="K187:K202" si="73">$O$172*J187/2</f>
        <v>4.4303418000000004E-2</v>
      </c>
      <c r="L187">
        <f>'C_L vs. α'!K279</f>
        <v>0.96478503530062043</v>
      </c>
      <c r="M187">
        <v>3.6959038262228359</v>
      </c>
      <c r="N187">
        <v>3.2544614666251515</v>
      </c>
      <c r="O187">
        <v>4.2201260558355544</v>
      </c>
      <c r="P187">
        <f>'C_L vs. α'!T279</f>
        <v>3.9279905904307255</v>
      </c>
      <c r="Q187">
        <v>0.4387515344428774</v>
      </c>
      <c r="R187">
        <f t="shared" si="70"/>
        <v>45.557497869957551</v>
      </c>
      <c r="S187">
        <f t="shared" si="71"/>
        <v>-4.1461686024802352E-2</v>
      </c>
      <c r="T187">
        <f t="shared" si="72"/>
        <v>3.0537383139751979</v>
      </c>
      <c r="U187">
        <f t="shared" ref="U187:U202" si="74">(T187*N187)+(L187*O187*(1-Q187)*($L$169/$I$169)*$O$176)</f>
        <v>18.229437802993445</v>
      </c>
      <c r="Y187">
        <v>3.8029966667624517</v>
      </c>
      <c r="Z187">
        <v>0.77018613914698786</v>
      </c>
      <c r="AA187">
        <v>9.8434572406675329</v>
      </c>
      <c r="AG187">
        <v>6.6321956333408236</v>
      </c>
      <c r="AH187">
        <v>3.8130193743441181</v>
      </c>
      <c r="AI187">
        <v>0.71317910247482386</v>
      </c>
      <c r="AJ187">
        <v>9.6166836683441943</v>
      </c>
    </row>
    <row r="188" spans="1:36" x14ac:dyDescent="0.25">
      <c r="A188" s="4" t="s">
        <v>184</v>
      </c>
      <c r="B188" s="5"/>
      <c r="C188" s="5"/>
      <c r="D188" s="5" t="s">
        <v>323</v>
      </c>
      <c r="E188" s="6"/>
      <c r="H188" s="58">
        <v>0.15</v>
      </c>
      <c r="I188">
        <f t="shared" si="68"/>
        <v>0.98868599666425949</v>
      </c>
      <c r="J188">
        <f t="shared" si="69"/>
        <v>149.22</v>
      </c>
      <c r="K188">
        <f t="shared" si="73"/>
        <v>6.6455127000000003E-2</v>
      </c>
      <c r="L188">
        <f>'C_L vs. α'!K280</f>
        <v>0.99604663692636253</v>
      </c>
      <c r="M188">
        <v>3.7072860360538855</v>
      </c>
      <c r="N188">
        <v>3.2644841742068178</v>
      </c>
      <c r="O188">
        <v>4.2358765339188533</v>
      </c>
      <c r="P188">
        <f>'C_L vs. α'!T280</f>
        <v>3.9466235871055932</v>
      </c>
      <c r="Q188">
        <v>0.44010274980548802</v>
      </c>
      <c r="R188">
        <f t="shared" si="70"/>
        <v>68.546700739013701</v>
      </c>
      <c r="S188">
        <f>-(R188)/(K188*$I$169*$I$176*M188)</f>
        <v>-4.1461686024802352E-2</v>
      </c>
      <c r="T188">
        <f t="shared" si="72"/>
        <v>3.0537383139751979</v>
      </c>
      <c r="U188">
        <f t="shared" si="74"/>
        <v>18.539962685852601</v>
      </c>
      <c r="Y188">
        <v>3.8159678167990081</v>
      </c>
      <c r="Z188">
        <v>0.76993200620090196</v>
      </c>
      <c r="AA188">
        <v>9.8552901719050183</v>
      </c>
      <c r="AG188">
        <v>6.6321956333408236</v>
      </c>
      <c r="AH188">
        <v>3.8159678167990081</v>
      </c>
      <c r="AI188">
        <v>0.71402431184893</v>
      </c>
      <c r="AJ188">
        <v>9.6166836683441943</v>
      </c>
    </row>
    <row r="189" spans="1:36" x14ac:dyDescent="0.25">
      <c r="A189" s="4" t="s">
        <v>1043</v>
      </c>
      <c r="B189" s="5"/>
      <c r="C189" s="5"/>
      <c r="D189" s="5" t="s">
        <v>726</v>
      </c>
      <c r="E189" s="6"/>
      <c r="H189" s="5">
        <v>0.2</v>
      </c>
      <c r="I189">
        <f t="shared" si="68"/>
        <v>0.9797958971132712</v>
      </c>
      <c r="J189">
        <f t="shared" si="69"/>
        <v>198.96</v>
      </c>
      <c r="K189">
        <f t="shared" si="73"/>
        <v>8.8606836000000008E-2</v>
      </c>
      <c r="L189">
        <f>'C_L vs. α'!K281</f>
        <v>0.99912092475472247</v>
      </c>
      <c r="M189">
        <v>3.7234244617082997</v>
      </c>
      <c r="N189">
        <v>3.2786950105526227</v>
      </c>
      <c r="O189">
        <v>4.2582586146285157</v>
      </c>
      <c r="P189">
        <f>'C_L vs. α'!T281</f>
        <v>3.9628289211848182</v>
      </c>
      <c r="Q189">
        <v>0.44201858943560174</v>
      </c>
      <c r="R189">
        <f t="shared" si="70"/>
        <v>91.793461063397402</v>
      </c>
      <c r="S189">
        <f t="shared" si="71"/>
        <v>-4.1461686024802345E-2</v>
      </c>
      <c r="T189">
        <f t="shared" si="72"/>
        <v>3.0537383139751979</v>
      </c>
      <c r="U189">
        <f t="shared" si="74"/>
        <v>18.62566797317735</v>
      </c>
      <c r="Y189">
        <v>3.8427083849549488</v>
      </c>
      <c r="Z189">
        <v>0.7679025348502877</v>
      </c>
      <c r="AA189">
        <v>9.8718966554990182</v>
      </c>
      <c r="AG189">
        <v>6.6321956333408236</v>
      </c>
      <c r="AH189">
        <v>3.8284975486091439</v>
      </c>
      <c r="AI189">
        <v>0.71521048924850128</v>
      </c>
      <c r="AJ189">
        <v>9.6166836683441943</v>
      </c>
    </row>
    <row r="190" spans="1:36" x14ac:dyDescent="0.25">
      <c r="A190" s="192" t="s">
        <v>1001</v>
      </c>
      <c r="B190" s="8">
        <f>B168</f>
        <v>812.42788281899993</v>
      </c>
      <c r="C190" s="8"/>
      <c r="D190" s="8"/>
      <c r="E190" s="9"/>
      <c r="H190" s="5">
        <v>0.25</v>
      </c>
      <c r="I190">
        <f t="shared" si="68"/>
        <v>0.96824583655185426</v>
      </c>
      <c r="J190">
        <f t="shared" si="69"/>
        <v>248.7</v>
      </c>
      <c r="K190">
        <f t="shared" si="73"/>
        <v>0.110758545</v>
      </c>
      <c r="L190">
        <f>'C_L vs. α'!K282</f>
        <v>0.99015834043993856</v>
      </c>
      <c r="M190">
        <v>3.7445316883202602</v>
      </c>
      <c r="N190">
        <v>3.2972811694208723</v>
      </c>
      <c r="O190">
        <v>4.2876212896623604</v>
      </c>
      <c r="P190">
        <f>'C_L vs. α'!T282</f>
        <v>3.9808114633963267</v>
      </c>
      <c r="Q190">
        <v>0.44452428993519932</v>
      </c>
      <c r="R190">
        <f t="shared" si="70"/>
        <v>115.39227103548646</v>
      </c>
      <c r="S190">
        <f>-(R190)/(K190*$I$169*$I$176*M190)</f>
        <v>-4.1461686024802345E-2</v>
      </c>
      <c r="T190">
        <f t="shared" si="72"/>
        <v>3.0537383139751979</v>
      </c>
      <c r="U190">
        <f t="shared" si="74"/>
        <v>18.625422532938813</v>
      </c>
      <c r="Y190">
        <v>3.8758458607579058</v>
      </c>
      <c r="Z190">
        <v>0.76565301074653469</v>
      </c>
      <c r="AA190">
        <v>9.8933132667701713</v>
      </c>
      <c r="AG190">
        <v>6.6321956333408236</v>
      </c>
      <c r="AH190">
        <v>3.8430488655438513</v>
      </c>
      <c r="AI190">
        <v>0.71674024719644081</v>
      </c>
      <c r="AJ190">
        <v>9.6166836683441943</v>
      </c>
    </row>
    <row r="191" spans="1:36" x14ac:dyDescent="0.25">
      <c r="A191" s="193" t="s">
        <v>1044</v>
      </c>
      <c r="B191" s="179" t="e">
        <f>-B192/(B193*B194*B195*B196)</f>
        <v>#DIV/0!</v>
      </c>
      <c r="C191" s="2"/>
      <c r="D191" s="2" t="s">
        <v>1049</v>
      </c>
      <c r="E191" s="3" t="s">
        <v>1045</v>
      </c>
      <c r="H191" s="5">
        <v>0.3</v>
      </c>
      <c r="I191">
        <f t="shared" si="68"/>
        <v>0.95393920141694566</v>
      </c>
      <c r="J191">
        <f t="shared" si="69"/>
        <v>298.44</v>
      </c>
      <c r="K191">
        <f t="shared" si="73"/>
        <v>0.13291025400000001</v>
      </c>
      <c r="L191">
        <f>'C_L vs. α'!K283</f>
        <v>0.97676209113481038</v>
      </c>
      <c r="M191">
        <v>3.7708950689153267</v>
      </c>
      <c r="N191">
        <v>3.3204956821113454</v>
      </c>
      <c r="O191">
        <v>4.3244401640667336</v>
      </c>
      <c r="P191">
        <f>'C_L vs. α'!T283</f>
        <v>4.0027221473873489</v>
      </c>
      <c r="Q191">
        <v>0.44765396382095302</v>
      </c>
      <c r="R191">
        <f t="shared" si="70"/>
        <v>139.445628577554</v>
      </c>
      <c r="S191">
        <f t="shared" si="71"/>
        <v>-4.1461686024802352E-2</v>
      </c>
      <c r="T191">
        <f t="shared" si="72"/>
        <v>3.0537383139751979</v>
      </c>
      <c r="U191">
        <f t="shared" si="74"/>
        <v>18.605067782288355</v>
      </c>
      <c r="Y191">
        <v>3.8816673873744687</v>
      </c>
      <c r="Z191">
        <v>0.7698872200179866</v>
      </c>
      <c r="AA191">
        <v>9.9195808761324127</v>
      </c>
      <c r="AG191">
        <v>6.6321956333408236</v>
      </c>
      <c r="AH191">
        <v>3.8256558794699411</v>
      </c>
      <c r="AI191">
        <v>0.71861650500802954</v>
      </c>
      <c r="AJ191">
        <v>9.6166836683441943</v>
      </c>
    </row>
    <row r="192" spans="1:36" x14ac:dyDescent="0.25">
      <c r="A192" s="4" t="s">
        <v>1042</v>
      </c>
      <c r="B192" s="5">
        <f>B187</f>
        <v>0</v>
      </c>
      <c r="C192" s="5"/>
      <c r="D192" s="5"/>
      <c r="E192" s="6"/>
      <c r="H192" s="5">
        <v>0.35</v>
      </c>
      <c r="I192">
        <f t="shared" si="68"/>
        <v>0.93674969975975975</v>
      </c>
      <c r="J192">
        <f t="shared" si="69"/>
        <v>348.17999999999995</v>
      </c>
      <c r="K192">
        <f t="shared" si="73"/>
        <v>0.15506196299999997</v>
      </c>
      <c r="L192">
        <f>'C_L vs. α'!K284</f>
        <v>0.96245195401446515</v>
      </c>
      <c r="M192">
        <v>3.8028887826160913</v>
      </c>
      <c r="N192">
        <v>3.3486680354270937</v>
      </c>
      <c r="O192">
        <v>4.3693410608507968</v>
      </c>
      <c r="P192">
        <f>'C_L vs. α'!T284</f>
        <v>4.0297747218457367</v>
      </c>
      <c r="Q192">
        <v>0.4514520309890272</v>
      </c>
      <c r="R192">
        <f t="shared" si="70"/>
        <v>164.06686162819352</v>
      </c>
      <c r="S192">
        <f t="shared" si="71"/>
        <v>-4.1461686024802345E-2</v>
      </c>
      <c r="T192">
        <f t="shared" si="72"/>
        <v>3.0537383139751979</v>
      </c>
      <c r="U192">
        <f t="shared" si="74"/>
        <v>18.59573466738604</v>
      </c>
      <c r="Y192">
        <v>3.9190364754561671</v>
      </c>
      <c r="Z192">
        <v>0.76901586672106303</v>
      </c>
      <c r="AA192">
        <v>9.9507386222379566</v>
      </c>
      <c r="AG192">
        <v>6.6321956333408236</v>
      </c>
      <c r="AH192">
        <v>3.8348526142358912</v>
      </c>
      <c r="AI192">
        <v>0.72084205830128267</v>
      </c>
      <c r="AJ192">
        <v>9.6166836683441943</v>
      </c>
    </row>
    <row r="193" spans="1:36" x14ac:dyDescent="0.25">
      <c r="A193" s="4" t="s">
        <v>184</v>
      </c>
      <c r="B193" s="5">
        <f>B188</f>
        <v>0</v>
      </c>
      <c r="C193" s="5"/>
      <c r="D193" s="5" t="s">
        <v>323</v>
      </c>
      <c r="E193" s="6"/>
      <c r="H193" s="5">
        <v>0.4</v>
      </c>
      <c r="I193">
        <f t="shared" si="68"/>
        <v>0.91651513899116799</v>
      </c>
      <c r="J193">
        <f t="shared" si="69"/>
        <v>397.92</v>
      </c>
      <c r="K193">
        <f t="shared" si="73"/>
        <v>0.17721367200000002</v>
      </c>
      <c r="L193">
        <f>'C_L vs. α'!K285</f>
        <v>0.94883552389964509</v>
      </c>
      <c r="M193">
        <v>3.8409905418341954</v>
      </c>
      <c r="N193">
        <v>3.3822188833431435</v>
      </c>
      <c r="O193">
        <v>4.4231333618481115</v>
      </c>
      <c r="P193">
        <f>'C_L vs. α'!T285</f>
        <v>4.0627988873623728</v>
      </c>
      <c r="Q193">
        <v>0.45597520207462361</v>
      </c>
      <c r="R193">
        <f t="shared" si="70"/>
        <v>189.38362755718316</v>
      </c>
      <c r="S193">
        <f t="shared" si="71"/>
        <v>-4.1461686024802338E-2</v>
      </c>
      <c r="T193">
        <f t="shared" si="72"/>
        <v>3.0537383139751979</v>
      </c>
      <c r="U193">
        <f t="shared" si="74"/>
        <v>18.612486541159235</v>
      </c>
      <c r="Y193">
        <v>3.9624537707281546</v>
      </c>
      <c r="Z193">
        <v>0.76821009685860719</v>
      </c>
      <c r="AA193">
        <v>9.9868146352189129</v>
      </c>
      <c r="AG193">
        <v>6.6321956333408236</v>
      </c>
      <c r="AH193">
        <v>3.844719061591829</v>
      </c>
      <c r="AI193">
        <v>0.72341891637135092</v>
      </c>
      <c r="AJ193">
        <v>9.6166836683441943</v>
      </c>
    </row>
    <row r="194" spans="1:36" x14ac:dyDescent="0.25">
      <c r="A194" s="36" t="s">
        <v>153</v>
      </c>
      <c r="B194" s="5">
        <f>H4</f>
        <v>542</v>
      </c>
      <c r="C194" s="5" t="s">
        <v>150</v>
      </c>
      <c r="D194" s="5" t="s">
        <v>233</v>
      </c>
      <c r="E194" s="6"/>
      <c r="H194" s="5">
        <v>0.45</v>
      </c>
      <c r="I194">
        <f t="shared" si="68"/>
        <v>0.89302855497458755</v>
      </c>
      <c r="J194">
        <f t="shared" si="69"/>
        <v>447.65999999999997</v>
      </c>
      <c r="K194">
        <f t="shared" si="73"/>
        <v>0.19936538099999998</v>
      </c>
      <c r="L194">
        <f>'C_L vs. α'!K286</f>
        <v>0.93660121614304614</v>
      </c>
      <c r="M194">
        <v>3.8858045635744469</v>
      </c>
      <c r="N194">
        <v>3.4216802745956323</v>
      </c>
      <c r="O194">
        <v>4.4868569328863392</v>
      </c>
      <c r="P194">
        <f>'C_L vs. α'!T286</f>
        <v>4.1025066549057181</v>
      </c>
      <c r="Q194">
        <v>0.46129520544256469</v>
      </c>
      <c r="R194">
        <f t="shared" si="70"/>
        <v>215.5423778682717</v>
      </c>
      <c r="S194">
        <f t="shared" si="71"/>
        <v>-4.1461686024802345E-2</v>
      </c>
      <c r="T194">
        <f t="shared" si="72"/>
        <v>3.0537383139751979</v>
      </c>
      <c r="U194">
        <f t="shared" si="74"/>
        <v>18.662867834486121</v>
      </c>
      <c r="Y194">
        <v>4.0120091975770205</v>
      </c>
      <c r="Z194">
        <v>0.76757357610144172</v>
      </c>
      <c r="AA194">
        <v>10.027811775513189</v>
      </c>
      <c r="AG194">
        <v>6.6321956333408236</v>
      </c>
      <c r="AH194">
        <v>3.854813097188206</v>
      </c>
      <c r="AI194">
        <v>0.72634728353522782</v>
      </c>
      <c r="AJ194">
        <v>9.6166836683441943</v>
      </c>
    </row>
    <row r="195" spans="1:36" x14ac:dyDescent="0.25">
      <c r="A195" s="36" t="s">
        <v>469</v>
      </c>
      <c r="B195" s="5">
        <f>H11</f>
        <v>12.381</v>
      </c>
      <c r="C195" s="5" t="s">
        <v>124</v>
      </c>
      <c r="D195" s="5" t="s">
        <v>1047</v>
      </c>
      <c r="E195" s="6"/>
      <c r="H195" s="5">
        <v>0.5</v>
      </c>
      <c r="I195">
        <f t="shared" si="68"/>
        <v>0.8660254037844386</v>
      </c>
      <c r="J195">
        <f t="shared" si="69"/>
        <v>497.4</v>
      </c>
      <c r="K195">
        <f t="shared" si="73"/>
        <v>0.22151709</v>
      </c>
      <c r="L195">
        <f>'C_L vs. α'!K287</f>
        <v>0.92598673247910201</v>
      </c>
      <c r="M195">
        <v>3.9380932393002128</v>
      </c>
      <c r="N195">
        <v>3.4677235398675745</v>
      </c>
      <c r="O195">
        <v>4.5618486395404672</v>
      </c>
      <c r="P195">
        <f>'C_L vs. α'!T287</f>
        <v>4.149635805558086</v>
      </c>
      <c r="Q195">
        <v>0.46750254680948328</v>
      </c>
      <c r="R195">
        <f t="shared" si="70"/>
        <v>242.71420848153932</v>
      </c>
      <c r="S195">
        <f t="shared" si="71"/>
        <v>-4.1461686024802345E-2</v>
      </c>
      <c r="T195">
        <f t="shared" si="72"/>
        <v>3.0537383139751979</v>
      </c>
      <c r="U195">
        <f t="shared" si="74"/>
        <v>18.750974181419949</v>
      </c>
      <c r="Y195">
        <v>4.068148572945792</v>
      </c>
      <c r="Z195">
        <v>0.7671674546588404</v>
      </c>
      <c r="AA195">
        <v>10.073685583340973</v>
      </c>
      <c r="AG195">
        <v>6.6321956333408236</v>
      </c>
      <c r="AH195">
        <v>3.8649092072850353</v>
      </c>
      <c r="AI195">
        <v>0.72962398409435514</v>
      </c>
      <c r="AJ195">
        <v>9.6166836683441943</v>
      </c>
    </row>
    <row r="196" spans="1:36" x14ac:dyDescent="0.25">
      <c r="A196" s="7" t="s">
        <v>1043</v>
      </c>
      <c r="B196" s="8"/>
      <c r="C196" s="8"/>
      <c r="D196" s="8" t="s">
        <v>726</v>
      </c>
      <c r="E196" s="9"/>
      <c r="H196" s="5">
        <v>0.55000000000000004</v>
      </c>
      <c r="I196">
        <f t="shared" si="68"/>
        <v>0.83516465442450327</v>
      </c>
      <c r="J196">
        <f t="shared" si="69"/>
        <v>547.14</v>
      </c>
      <c r="K196">
        <f t="shared" si="73"/>
        <v>0.24366879899999999</v>
      </c>
      <c r="L196">
        <f>'C_L vs. α'!K288</f>
        <v>0.91700856803434294</v>
      </c>
      <c r="M196">
        <v>3.9988212278747914</v>
      </c>
      <c r="N196">
        <v>3.521198118226287</v>
      </c>
      <c r="O196">
        <v>4.6498380246514959</v>
      </c>
      <c r="P196">
        <f>'C_L vs. α'!T288</f>
        <v>4.2050442711968206</v>
      </c>
      <c r="Q196">
        <v>0.47471174364563479</v>
      </c>
      <c r="R196">
        <f t="shared" si="70"/>
        <v>271.1027233806181</v>
      </c>
      <c r="S196">
        <f t="shared" si="71"/>
        <v>-4.1461686024802345E-2</v>
      </c>
      <c r="T196">
        <f t="shared" si="72"/>
        <v>3.0537383139751979</v>
      </c>
      <c r="U196">
        <f t="shared" si="74"/>
        <v>18.879499743862333</v>
      </c>
      <c r="Y196">
        <v>4.1316085137427256</v>
      </c>
      <c r="Z196">
        <v>0.7670325723897945</v>
      </c>
      <c r="AA196">
        <v>10.124309823764181</v>
      </c>
      <c r="AG196">
        <v>6.6321956333408236</v>
      </c>
      <c r="AH196">
        <v>3.8748945697232564</v>
      </c>
      <c r="AI196">
        <v>0.73324000126744149</v>
      </c>
      <c r="AJ196">
        <v>9.6166836683441943</v>
      </c>
    </row>
    <row r="197" spans="1:36" x14ac:dyDescent="0.25">
      <c r="H197" s="5">
        <v>0.6</v>
      </c>
      <c r="I197">
        <f t="shared" si="68"/>
        <v>0.8</v>
      </c>
      <c r="J197">
        <f t="shared" si="69"/>
        <v>596.88</v>
      </c>
      <c r="K197">
        <f t="shared" si="73"/>
        <v>0.26582050800000001</v>
      </c>
      <c r="L197">
        <f>'C_L vs. α'!K289</f>
        <v>0.90957790703882957</v>
      </c>
      <c r="M197">
        <v>4.0692177947106565</v>
      </c>
      <c r="N197">
        <v>3.5831864504238173</v>
      </c>
      <c r="O197">
        <v>4.7530878343819536</v>
      </c>
      <c r="P197">
        <f>'C_L vs. α'!T289</f>
        <v>4.2697912383070387</v>
      </c>
      <c r="Q197">
        <v>0.48306872563732045</v>
      </c>
      <c r="R197">
        <f t="shared" si="70"/>
        <v>300.95487826215987</v>
      </c>
      <c r="S197">
        <f t="shared" si="71"/>
        <v>-4.1461686024802345E-2</v>
      </c>
      <c r="T197">
        <f t="shared" si="72"/>
        <v>3.0537383139751979</v>
      </c>
      <c r="U197">
        <f t="shared" si="74"/>
        <v>19.050845144803702</v>
      </c>
      <c r="Y197">
        <v>4.2034140224576042</v>
      </c>
      <c r="Z197">
        <v>0.76720203818893784</v>
      </c>
      <c r="AA197">
        <v>10.179421860424247</v>
      </c>
      <c r="AG197">
        <v>6.6321956333408236</v>
      </c>
      <c r="AH197">
        <v>3.8847117462406047</v>
      </c>
      <c r="AI197">
        <v>0.73717657531458913</v>
      </c>
      <c r="AJ197">
        <v>9.6166836683441943</v>
      </c>
    </row>
    <row r="198" spans="1:36" x14ac:dyDescent="0.25">
      <c r="A198" s="305" t="s">
        <v>161</v>
      </c>
      <c r="B198" s="306"/>
      <c r="C198" s="306"/>
      <c r="D198" s="306"/>
      <c r="E198" s="321"/>
      <c r="H198" s="5">
        <v>0.65</v>
      </c>
      <c r="I198">
        <f t="shared" si="68"/>
        <v>0.75993420767853315</v>
      </c>
      <c r="J198">
        <f t="shared" si="69"/>
        <v>646.62</v>
      </c>
      <c r="K198">
        <f t="shared" si="73"/>
        <v>0.28797221700000003</v>
      </c>
      <c r="L198">
        <f>'C_L vs. α'!K290</f>
        <v>0.90356027738443767</v>
      </c>
      <c r="M198">
        <v>4.1508667538091135</v>
      </c>
      <c r="N198">
        <v>3.6550831781716138</v>
      </c>
      <c r="O198">
        <v>4.8746060130601627</v>
      </c>
      <c r="P198">
        <f>'C_L vs. α'!T290</f>
        <v>4.3452267107041234</v>
      </c>
      <c r="Q198">
        <v>0.49276151196902623</v>
      </c>
      <c r="R198">
        <f t="shared" si="70"/>
        <v>332.57634105554666</v>
      </c>
      <c r="S198">
        <f t="shared" si="71"/>
        <v>-4.1461686024802345E-2</v>
      </c>
      <c r="T198">
        <f t="shared" si="72"/>
        <v>3.0537383139751979</v>
      </c>
      <c r="U198">
        <f t="shared" si="74"/>
        <v>19.267790983278491</v>
      </c>
      <c r="Y198">
        <v>4.2465357013955707</v>
      </c>
      <c r="Z198">
        <v>0.77464905317371402</v>
      </c>
      <c r="AA198">
        <v>10.23853442635372</v>
      </c>
      <c r="AG198">
        <v>6.6321956333408236</v>
      </c>
      <c r="AH198">
        <v>3.8559366974307743</v>
      </c>
      <c r="AI198">
        <v>0.74139890145240872</v>
      </c>
      <c r="AJ198">
        <v>9.6166836683441943</v>
      </c>
    </row>
    <row r="199" spans="1:36" x14ac:dyDescent="0.25">
      <c r="A199" s="224" t="s">
        <v>1050</v>
      </c>
      <c r="B199" s="5" t="e">
        <f>B200+B201*B202*(B203/B204)*(B205-B206)*B207</f>
        <v>#DIV/0!</v>
      </c>
      <c r="C199" s="5"/>
      <c r="D199" s="5" t="s">
        <v>1055</v>
      </c>
      <c r="E199" s="6" t="s">
        <v>1054</v>
      </c>
      <c r="H199" s="5">
        <v>0.7</v>
      </c>
      <c r="I199">
        <f t="shared" si="68"/>
        <v>0.71414284285428498</v>
      </c>
      <c r="J199">
        <f t="shared" si="69"/>
        <v>696.3599999999999</v>
      </c>
      <c r="K199">
        <f t="shared" si="73"/>
        <v>0.31012392599999994</v>
      </c>
      <c r="L199">
        <f>'C_L vs. α'!K291</f>
        <v>0.89880641783483328</v>
      </c>
      <c r="M199">
        <v>4.2458395503116773</v>
      </c>
      <c r="N199">
        <v>3.7387123311820982</v>
      </c>
      <c r="O199">
        <v>5.0184762742612419</v>
      </c>
      <c r="P199">
        <f>'C_L vs. α'!T291</f>
        <v>4.4331086679609637</v>
      </c>
      <c r="Q199">
        <v>0.50403600994166875</v>
      </c>
      <c r="R199">
        <f t="shared" si="70"/>
        <v>366.35390084549863</v>
      </c>
      <c r="S199">
        <f t="shared" si="71"/>
        <v>-4.1461686024802345E-2</v>
      </c>
      <c r="T199">
        <f t="shared" si="72"/>
        <v>3.0537383139751979</v>
      </c>
      <c r="U199">
        <f t="shared" si="74"/>
        <v>19.533993077671731</v>
      </c>
      <c r="Y199">
        <v>4.3384176228843563</v>
      </c>
      <c r="Z199">
        <v>0.77559179188166893</v>
      </c>
      <c r="AA199">
        <v>10.300789811765862</v>
      </c>
      <c r="AG199">
        <v>6.6321956333408236</v>
      </c>
      <c r="AH199">
        <v>3.8641894659090754</v>
      </c>
      <c r="AI199">
        <v>0.74584571469613292</v>
      </c>
      <c r="AJ199">
        <v>9.6166836683441943</v>
      </c>
    </row>
    <row r="200" spans="1:36" x14ac:dyDescent="0.25">
      <c r="A200" s="225" t="s">
        <v>1051</v>
      </c>
      <c r="B200" s="5"/>
      <c r="C200" s="5"/>
      <c r="D200" s="5" t="s">
        <v>1056</v>
      </c>
      <c r="E200" s="6" t="s">
        <v>1182</v>
      </c>
      <c r="H200" s="5">
        <v>0.75</v>
      </c>
      <c r="I200">
        <f t="shared" si="68"/>
        <v>0.66143782776614768</v>
      </c>
      <c r="J200">
        <f t="shared" si="69"/>
        <v>746.09999999999991</v>
      </c>
      <c r="K200">
        <f t="shared" si="73"/>
        <v>0.33227563499999996</v>
      </c>
      <c r="L200">
        <f>'C_L vs. α'!K292</f>
        <v>0.8951680310132486</v>
      </c>
      <c r="M200">
        <v>4.3568983142117572</v>
      </c>
      <c r="N200">
        <v>3.8365061279468842</v>
      </c>
      <c r="O200">
        <v>5.1903949147458599</v>
      </c>
      <c r="P200">
        <f>'C_L vs. α'!T292</f>
        <v>4.535772253806071</v>
      </c>
      <c r="Q200">
        <v>0.51722012007158191</v>
      </c>
      <c r="R200">
        <f t="shared" si="70"/>
        <v>402.78926685203521</v>
      </c>
      <c r="S200">
        <f t="shared" si="71"/>
        <v>-4.1461686024802338E-2</v>
      </c>
      <c r="T200">
        <f t="shared" si="72"/>
        <v>3.0537383139751979</v>
      </c>
      <c r="U200">
        <f t="shared" si="74"/>
        <v>19.854450452817908</v>
      </c>
      <c r="Y200">
        <v>4.4445734222308078</v>
      </c>
      <c r="Z200">
        <v>0.7768699461419063</v>
      </c>
      <c r="AA200">
        <v>10.364712038745456</v>
      </c>
      <c r="AG200">
        <v>6.6321956333408236</v>
      </c>
      <c r="AH200">
        <v>3.8725514684907414</v>
      </c>
      <c r="AI200">
        <v>0.75041158805181829</v>
      </c>
      <c r="AJ200">
        <v>9.6166836683441943</v>
      </c>
    </row>
    <row r="201" spans="1:36" x14ac:dyDescent="0.25">
      <c r="A201" s="4" t="s">
        <v>1052</v>
      </c>
      <c r="B201" s="5"/>
      <c r="C201" s="5"/>
      <c r="D201" s="5" t="s">
        <v>782</v>
      </c>
      <c r="E201" s="6"/>
      <c r="H201" s="5">
        <v>0.8</v>
      </c>
      <c r="I201">
        <f t="shared" si="68"/>
        <v>0.59999999999999987</v>
      </c>
      <c r="J201">
        <f t="shared" si="69"/>
        <v>795.84</v>
      </c>
      <c r="K201">
        <f t="shared" si="73"/>
        <v>0.35442734400000003</v>
      </c>
      <c r="L201">
        <f>'C_L vs. α'!K293</f>
        <v>0.89250546611516612</v>
      </c>
      <c r="M201">
        <v>4.4878174252558365</v>
      </c>
      <c r="N201">
        <v>3.9517881326123612</v>
      </c>
      <c r="O201">
        <v>5.3985873033978011</v>
      </c>
      <c r="P201">
        <f>'C_L vs. α'!T293</f>
        <v>4.6563903477592765</v>
      </c>
      <c r="Q201">
        <v>0.53276190999883521</v>
      </c>
      <c r="R201">
        <f t="shared" si="70"/>
        <v>442.55206283503344</v>
      </c>
      <c r="S201">
        <f t="shared" si="71"/>
        <v>-4.1461686024802338E-2</v>
      </c>
      <c r="T201">
        <f t="shared" si="72"/>
        <v>3.0537383139751979</v>
      </c>
      <c r="U201">
        <f t="shared" si="74"/>
        <v>20.23606326709514</v>
      </c>
      <c r="Y201">
        <v>4.5681192324873994</v>
      </c>
      <c r="Z201">
        <v>0.77857191074553145</v>
      </c>
      <c r="AA201">
        <v>10.427771082413678</v>
      </c>
      <c r="AG201">
        <v>6.6321956333408236</v>
      </c>
      <c r="AH201">
        <v>3.880815274081856</v>
      </c>
      <c r="AI201">
        <v>0.75491580545669135</v>
      </c>
      <c r="AJ201">
        <v>9.6166836683441943</v>
      </c>
    </row>
    <row r="202" spans="1:36" x14ac:dyDescent="0.25">
      <c r="A202" s="64" t="s">
        <v>785</v>
      </c>
      <c r="B202" s="5"/>
      <c r="C202" s="5"/>
      <c r="D202" s="5"/>
      <c r="E202" s="6" t="s">
        <v>1057</v>
      </c>
      <c r="H202" s="5">
        <v>0.85</v>
      </c>
      <c r="I202">
        <f t="shared" si="68"/>
        <v>0.52678268764263703</v>
      </c>
      <c r="J202">
        <f t="shared" si="69"/>
        <v>845.57999999999993</v>
      </c>
      <c r="K202">
        <f t="shared" si="73"/>
        <v>0.376579053</v>
      </c>
      <c r="L202">
        <f>'C_L vs. α'!K294</f>
        <v>0.89069106144640831</v>
      </c>
      <c r="M202">
        <v>4.6439164685704899</v>
      </c>
      <c r="N202">
        <v>4.0892425538665469</v>
      </c>
      <c r="O202">
        <v>5.6554741189206261</v>
      </c>
      <c r="P202">
        <f>'C_L vs. α'!T294</f>
        <v>4.7993974438047386</v>
      </c>
      <c r="Q202">
        <v>0.55129288320583125</v>
      </c>
      <c r="R202">
        <f t="shared" si="70"/>
        <v>486.56686127888497</v>
      </c>
      <c r="S202">
        <f t="shared" si="71"/>
        <v>-4.1461686024802331E-2</v>
      </c>
      <c r="T202">
        <f t="shared" si="72"/>
        <v>3.0537383139751979</v>
      </c>
      <c r="U202">
        <f t="shared" si="74"/>
        <v>20.688412888761935</v>
      </c>
      <c r="Y202">
        <v>4.6835686215767369</v>
      </c>
      <c r="Z202">
        <v>0.78579361077897525</v>
      </c>
      <c r="AA202">
        <v>10.485584424719773</v>
      </c>
      <c r="AG202">
        <v>6.6321956333408236</v>
      </c>
      <c r="AH202">
        <v>3.8588102419170078</v>
      </c>
      <c r="AI202">
        <v>0.7590453299071267</v>
      </c>
      <c r="AJ202">
        <v>9.6166836683441943</v>
      </c>
    </row>
    <row r="203" spans="1:36" x14ac:dyDescent="0.25">
      <c r="A203" s="4" t="s">
        <v>765</v>
      </c>
      <c r="B203" s="5"/>
      <c r="C203" s="5"/>
      <c r="D203" s="5" t="s">
        <v>850</v>
      </c>
      <c r="E203" s="6"/>
      <c r="H203" s="5"/>
    </row>
    <row r="204" spans="1:36" x14ac:dyDescent="0.25">
      <c r="A204" s="4" t="s">
        <v>153</v>
      </c>
      <c r="B204" s="5"/>
      <c r="C204" s="5"/>
      <c r="D204" s="5" t="s">
        <v>233</v>
      </c>
      <c r="E204" s="6"/>
      <c r="H204" s="109" t="s">
        <v>995</v>
      </c>
      <c r="I204" s="5">
        <f>B113</f>
        <v>-1.0557030579170318E-2</v>
      </c>
      <c r="K204" t="s">
        <v>491</v>
      </c>
      <c r="L204">
        <v>-3.2184201652101736E-2</v>
      </c>
      <c r="N204" t="s">
        <v>1014</v>
      </c>
      <c r="O204">
        <v>20.68</v>
      </c>
      <c r="S204" t="s">
        <v>1164</v>
      </c>
      <c r="U204" t="s">
        <v>560</v>
      </c>
      <c r="W204" t="s">
        <v>360</v>
      </c>
      <c r="Z204" t="s">
        <v>1164</v>
      </c>
      <c r="AB204" t="s">
        <v>560</v>
      </c>
      <c r="AD204" t="s">
        <v>360</v>
      </c>
    </row>
    <row r="205" spans="1:36" x14ac:dyDescent="0.25">
      <c r="A205" s="4" t="s">
        <v>1014</v>
      </c>
      <c r="B205" s="5"/>
      <c r="C205" s="5"/>
      <c r="D205" s="5"/>
      <c r="E205" s="6"/>
      <c r="H205" s="109" t="s">
        <v>994</v>
      </c>
      <c r="I205" s="5">
        <f>B138</f>
        <v>-3.2184201652101736E-2</v>
      </c>
      <c r="K205" t="s">
        <v>1027</v>
      </c>
      <c r="L205">
        <f>-B165</f>
        <v>-1.7156847589047737</v>
      </c>
      <c r="N205" t="s">
        <v>1015</v>
      </c>
      <c r="O205">
        <v>21.49</v>
      </c>
      <c r="S205" t="s">
        <v>1170</v>
      </c>
      <c r="T205" t="s">
        <v>244</v>
      </c>
      <c r="U205" t="s">
        <v>1170</v>
      </c>
      <c r="V205" t="s">
        <v>244</v>
      </c>
      <c r="W205" t="s">
        <v>1170</v>
      </c>
      <c r="X205" t="s">
        <v>244</v>
      </c>
      <c r="Z205" t="s">
        <v>1170</v>
      </c>
      <c r="AA205" t="s">
        <v>244</v>
      </c>
      <c r="AB205" t="s">
        <v>1170</v>
      </c>
      <c r="AC205" t="s">
        <v>244</v>
      </c>
      <c r="AD205" t="s">
        <v>1170</v>
      </c>
      <c r="AE205" t="s">
        <v>244</v>
      </c>
    </row>
    <row r="206" spans="1:36" x14ac:dyDescent="0.25">
      <c r="A206" s="4" t="s">
        <v>1015</v>
      </c>
      <c r="B206" s="5"/>
      <c r="C206" s="5"/>
      <c r="D206" s="5"/>
      <c r="E206" s="6"/>
      <c r="H206" s="109" t="s">
        <v>1012</v>
      </c>
      <c r="I206" s="5">
        <f>B142</f>
        <v>0</v>
      </c>
      <c r="K206" t="s">
        <v>794</v>
      </c>
      <c r="L206">
        <v>11</v>
      </c>
      <c r="N206" s="86" t="s">
        <v>1186</v>
      </c>
      <c r="O206">
        <v>15</v>
      </c>
      <c r="S206">
        <f>L204</f>
        <v>-3.2184201652101736E-2</v>
      </c>
      <c r="T206">
        <v>0</v>
      </c>
      <c r="U206">
        <f>S206-$R$215</f>
        <v>-3.0256936079457657</v>
      </c>
      <c r="V206">
        <v>0</v>
      </c>
      <c r="W206">
        <f>S206-$U$215</f>
        <v>-4.1624583879769865</v>
      </c>
      <c r="X206">
        <v>0</v>
      </c>
      <c r="Z206">
        <v>-3.2184201652101736E-2</v>
      </c>
      <c r="AA206">
        <v>0</v>
      </c>
      <c r="AB206">
        <f>Z206-R215</f>
        <v>-3.0256936079457657</v>
      </c>
      <c r="AC206">
        <v>0</v>
      </c>
      <c r="AD206">
        <f>Z206-U215</f>
        <v>-4.1624583879769865</v>
      </c>
      <c r="AE206">
        <v>0</v>
      </c>
    </row>
    <row r="207" spans="1:36" x14ac:dyDescent="0.25">
      <c r="A207" s="174" t="s">
        <v>1053</v>
      </c>
      <c r="B207" s="8"/>
      <c r="C207" s="8"/>
      <c r="D207" s="8"/>
      <c r="E207" s="9" t="s">
        <v>1058</v>
      </c>
      <c r="H207" s="109" t="s">
        <v>1022</v>
      </c>
      <c r="I207" s="5">
        <f>B149</f>
        <v>3.0952000000000002</v>
      </c>
      <c r="K207" t="s">
        <v>489</v>
      </c>
      <c r="L207">
        <v>-1</v>
      </c>
      <c r="S207">
        <f>-L205*T207+S206</f>
        <v>2.1970248944794117</v>
      </c>
      <c r="T207">
        <f>P215*(L206-L207)</f>
        <v>1.2993115923898244</v>
      </c>
      <c r="U207">
        <f>S207-$R$215</f>
        <v>-0.79648451181425228</v>
      </c>
      <c r="V207">
        <f>P215*(L206-L207)+S215</f>
        <v>1.6851447263685124</v>
      </c>
      <c r="W207">
        <f>S207-$U$215</f>
        <v>-1.9332492918454727</v>
      </c>
      <c r="X207">
        <f>P215*(L206-L207)+V215</f>
        <v>2.0300451518965943</v>
      </c>
      <c r="Z207">
        <f>L205*AA207</f>
        <v>-2.2292090961315134</v>
      </c>
      <c r="AA207">
        <f>P215*(L206-L207)</f>
        <v>1.2993115923898244</v>
      </c>
      <c r="AB207">
        <f>Z207-R215</f>
        <v>-5.2227185024251774</v>
      </c>
      <c r="AC207">
        <f>AA207+S215</f>
        <v>1.6851447263685124</v>
      </c>
      <c r="AD207">
        <f>Z207-U215</f>
        <v>-6.3594832824563978</v>
      </c>
      <c r="AE207">
        <f>AA207+V215</f>
        <v>2.0300451518965943</v>
      </c>
    </row>
    <row r="208" spans="1:36" x14ac:dyDescent="0.25">
      <c r="H208" s="109" t="s">
        <v>1180</v>
      </c>
      <c r="I208" s="5"/>
      <c r="K208" s="86" t="s">
        <v>1183</v>
      </c>
      <c r="L208">
        <f>Y118</f>
        <v>3.1938065882706024</v>
      </c>
      <c r="S208">
        <v>-16</v>
      </c>
      <c r="T208">
        <v>0.8</v>
      </c>
      <c r="U208">
        <f>S208-$R$215</f>
        <v>-18.993509406293665</v>
      </c>
      <c r="V208">
        <v>1</v>
      </c>
      <c r="W208">
        <f>S208-$U$215</f>
        <v>-20.130274186324883</v>
      </c>
      <c r="X208">
        <v>1.05</v>
      </c>
      <c r="Z208">
        <f>AA208*L205</f>
        <v>-2.7865113701643915</v>
      </c>
      <c r="AA208">
        <f>P215*15</f>
        <v>1.6241394904872803</v>
      </c>
      <c r="AB208">
        <f>Z208-R215</f>
        <v>-5.7800207764580556</v>
      </c>
      <c r="AC208">
        <f>Q215+S215</f>
        <v>1.773676768302187</v>
      </c>
      <c r="AD208">
        <f>Z208-U215</f>
        <v>-6.916785556489276</v>
      </c>
      <c r="AE208">
        <f>Q215+V215</f>
        <v>2.1185771938302689</v>
      </c>
    </row>
    <row r="209" spans="1:23" x14ac:dyDescent="0.25">
      <c r="A209" s="305" t="s">
        <v>749</v>
      </c>
      <c r="B209" s="306"/>
      <c r="C209" s="306"/>
      <c r="D209" s="306"/>
      <c r="E209" s="321"/>
      <c r="H209" t="s">
        <v>177</v>
      </c>
      <c r="I209">
        <v>2.2428000000000001E-3</v>
      </c>
      <c r="K209" s="86" t="s">
        <v>1184</v>
      </c>
      <c r="L209">
        <f>Z118</f>
        <v>4.3305713683018228</v>
      </c>
      <c r="S209">
        <v>-18</v>
      </c>
      <c r="T209">
        <v>0.75</v>
      </c>
      <c r="U209">
        <f>S209-$R$215</f>
        <v>-20.993509406293665</v>
      </c>
      <c r="V209">
        <v>0.95</v>
      </c>
      <c r="W209">
        <f>S209-$U$215</f>
        <v>-22.130274186324883</v>
      </c>
    </row>
    <row r="210" spans="1:23" x14ac:dyDescent="0.25">
      <c r="A210" s="224" t="s">
        <v>1050</v>
      </c>
      <c r="B210" s="5" t="e">
        <f>B211+B212*B213*(B214/B215)*(B216-B217)*B218</f>
        <v>#DIV/0!</v>
      </c>
      <c r="C210" s="5"/>
      <c r="D210" s="5" t="s">
        <v>1055</v>
      </c>
      <c r="E210" s="6" t="s">
        <v>1054</v>
      </c>
      <c r="H210" t="s">
        <v>142</v>
      </c>
      <c r="I210">
        <v>1116.4000000000001</v>
      </c>
      <c r="R210" t="s">
        <v>560</v>
      </c>
      <c r="U210" t="s">
        <v>360</v>
      </c>
    </row>
    <row r="211" spans="1:23" x14ac:dyDescent="0.25">
      <c r="A211" s="225" t="s">
        <v>1051</v>
      </c>
      <c r="B211" s="5"/>
      <c r="C211" s="5"/>
      <c r="D211" s="5" t="s">
        <v>1056</v>
      </c>
      <c r="E211" s="6"/>
      <c r="H211" t="s">
        <v>348</v>
      </c>
      <c r="I211" s="223" t="s">
        <v>712</v>
      </c>
      <c r="J211" t="s">
        <v>1085</v>
      </c>
      <c r="K211" t="s">
        <v>184</v>
      </c>
      <c r="L211" t="s">
        <v>719</v>
      </c>
      <c r="M211" s="5" t="s">
        <v>1042</v>
      </c>
      <c r="N211" t="s">
        <v>1026</v>
      </c>
      <c r="O211" s="223" t="s">
        <v>785</v>
      </c>
      <c r="P211" t="s">
        <v>535</v>
      </c>
      <c r="Q211" t="s">
        <v>94</v>
      </c>
      <c r="R211" s="223" t="s">
        <v>1185</v>
      </c>
      <c r="S211" t="s">
        <v>750</v>
      </c>
      <c r="T211" t="s">
        <v>813</v>
      </c>
      <c r="U211" s="223" t="s">
        <v>1187</v>
      </c>
      <c r="V211" t="s">
        <v>750</v>
      </c>
      <c r="W211" t="s">
        <v>813</v>
      </c>
    </row>
    <row r="212" spans="1:23" x14ac:dyDescent="0.25">
      <c r="A212" s="4" t="s">
        <v>1052</v>
      </c>
      <c r="B212" s="5"/>
      <c r="C212" s="5"/>
      <c r="D212" s="5" t="s">
        <v>782</v>
      </c>
      <c r="E212" s="6"/>
      <c r="H212" s="5">
        <v>0</v>
      </c>
      <c r="I212">
        <f>SQRT(1-H212^2)</f>
        <v>1</v>
      </c>
      <c r="J212">
        <f>H212*$I$210</f>
        <v>0</v>
      </c>
      <c r="K212">
        <f>$I$209*J212^2/2</f>
        <v>0</v>
      </c>
      <c r="L212">
        <f>'C_L vs. α'!O316</f>
        <v>0.10073378060434053</v>
      </c>
      <c r="M212">
        <f>(K212/36.5)*(L212/0.08)*$B$190</f>
        <v>0</v>
      </c>
      <c r="N212">
        <f>'C_L vs. α'!S316</f>
        <v>0.10381027215104761</v>
      </c>
      <c r="O212" t="e">
        <f>'C_L vs. α'!L316</f>
        <v>#NUM!</v>
      </c>
      <c r="P212" t="e">
        <f>'C_L vs. α'!Y316</f>
        <v>#NUM!</v>
      </c>
      <c r="Q212">
        <f>'C_L vs. α'!Z316</f>
        <v>1.3895138342550233</v>
      </c>
      <c r="R212" t="e">
        <f>$L$208+$N212*$O212*($L$169/$I$169)*($O$204-$O$205)*$O$206</f>
        <v>#NUM!</v>
      </c>
      <c r="S212">
        <f>'C_L vs. α'!AA316</f>
        <v>0.38204298311929219</v>
      </c>
      <c r="T212">
        <f>'C_L vs. α'!AB316</f>
        <v>0.18106425247368804</v>
      </c>
      <c r="U212" t="e">
        <f t="shared" ref="U212:U229" si="75">$L$209+$N212*$O212*($L$169/$I$169)*($O$204-$O$205)*$O$206</f>
        <v>#NUM!</v>
      </c>
      <c r="V212">
        <f>'C_L vs. α'!AC316+'C_L vs. α'!AE316</f>
        <v>0.7235553516634099</v>
      </c>
      <c r="W212">
        <f>'C_L vs. α'!AD316</f>
        <v>0.22729342331803393</v>
      </c>
    </row>
    <row r="213" spans="1:23" x14ac:dyDescent="0.25">
      <c r="A213" s="64" t="s">
        <v>785</v>
      </c>
      <c r="B213" s="5"/>
      <c r="C213" s="5"/>
      <c r="D213" s="5"/>
      <c r="E213" s="6" t="s">
        <v>1057</v>
      </c>
      <c r="H213" s="5">
        <v>0.05</v>
      </c>
      <c r="I213">
        <f t="shared" ref="I213:I229" si="76">SQRT(1-H213^2)</f>
        <v>0.99874921777190895</v>
      </c>
      <c r="J213">
        <f t="shared" ref="J213:J229" si="77">H213*$I$210</f>
        <v>55.820000000000007</v>
      </c>
      <c r="K213">
        <f t="shared" ref="K213:K229" si="78">$I$209*J213^2/2</f>
        <v>3.4941393093600008</v>
      </c>
      <c r="L213">
        <f>'C_L vs. α'!O317</f>
        <v>0.10096966142983717</v>
      </c>
      <c r="M213">
        <f t="shared" ref="M213:M229" si="79">(K213/36.5)*(L213/0.08)*$B$190</f>
        <v>98.159668884163537</v>
      </c>
      <c r="N213">
        <f>'C_L vs. α'!S317</f>
        <v>0.1040582208604917</v>
      </c>
      <c r="O213">
        <f>'C_L vs. α'!L317</f>
        <v>0.84339817807632833</v>
      </c>
      <c r="P213">
        <f>'C_L vs. α'!Y317</f>
        <v>0.10617629882976769</v>
      </c>
      <c r="Q213">
        <f>'C_L vs. α'!Z317</f>
        <v>1.3893392287660531</v>
      </c>
      <c r="R213">
        <f t="shared" ref="R213:R229" si="80">$L$208+N213*O213*($L$169/$I$169)*($O$204-$O$205)*$O$206</f>
        <v>3.0067215048354061</v>
      </c>
      <c r="S213">
        <f>'C_L vs. α'!AA317</f>
        <v>0.3824586133220616</v>
      </c>
      <c r="T213">
        <f>'C_L vs. α'!AB317</f>
        <v>0.18106425247368804</v>
      </c>
      <c r="U213">
        <f t="shared" si="75"/>
        <v>4.1434862848666265</v>
      </c>
      <c r="V213">
        <f>'C_L vs. α'!AC317+'C_L vs. α'!AE317</f>
        <v>0.72434251821485751</v>
      </c>
      <c r="W213">
        <f>'C_L vs. α'!AD317</f>
        <v>0.22729342331803393</v>
      </c>
    </row>
    <row r="214" spans="1:23" x14ac:dyDescent="0.25">
      <c r="A214" s="4" t="s">
        <v>765</v>
      </c>
      <c r="B214" s="5"/>
      <c r="C214" s="5"/>
      <c r="D214" s="5" t="s">
        <v>850</v>
      </c>
      <c r="E214" s="6"/>
      <c r="H214" s="5">
        <v>0.1</v>
      </c>
      <c r="I214">
        <f t="shared" si="76"/>
        <v>0.99498743710661997</v>
      </c>
      <c r="J214">
        <f t="shared" si="77"/>
        <v>111.64000000000001</v>
      </c>
      <c r="K214">
        <f t="shared" si="78"/>
        <v>13.976557237440003</v>
      </c>
      <c r="L214">
        <f>'C_L vs. α'!O318</f>
        <v>0.10168399167415836</v>
      </c>
      <c r="M214">
        <f t="shared" si="79"/>
        <v>395.41647707678254</v>
      </c>
      <c r="N214">
        <f>'C_L vs. α'!S318</f>
        <v>0.10480923052652887</v>
      </c>
      <c r="O214">
        <f>'C_L vs. α'!L318</f>
        <v>0.87009470598219829</v>
      </c>
      <c r="P214">
        <f>'C_L vs. α'!Y318</f>
        <v>0.10702619135747343</v>
      </c>
      <c r="Q214">
        <f>'C_L vs. α'!Z318</f>
        <v>1.3887992847003412</v>
      </c>
      <c r="R214">
        <f t="shared" si="80"/>
        <v>2.9994066306219551</v>
      </c>
      <c r="S214">
        <f>'C_L vs. α'!AA318</f>
        <v>0.38371367545476148</v>
      </c>
      <c r="T214">
        <f>'C_L vs. α'!AB318</f>
        <v>0.18106425247368804</v>
      </c>
      <c r="U214">
        <f t="shared" si="75"/>
        <v>4.1361714106531755</v>
      </c>
      <c r="V214">
        <f>'C_L vs. α'!AC318+'C_L vs. α'!AE318</f>
        <v>0.72671949400792291</v>
      </c>
      <c r="W214">
        <f>'C_L vs. α'!AD318</f>
        <v>0.22729342331803393</v>
      </c>
    </row>
    <row r="215" spans="1:23" x14ac:dyDescent="0.25">
      <c r="A215" s="4" t="s">
        <v>153</v>
      </c>
      <c r="B215" s="5"/>
      <c r="C215" s="5"/>
      <c r="D215" s="5" t="s">
        <v>233</v>
      </c>
      <c r="E215" s="6"/>
      <c r="H215" s="58">
        <v>0.15</v>
      </c>
      <c r="I215" s="99">
        <f t="shared" si="76"/>
        <v>0.98868599666425949</v>
      </c>
      <c r="J215" s="99">
        <f t="shared" si="77"/>
        <v>167.46</v>
      </c>
      <c r="K215" s="99">
        <f>$I$209*J215^2/2</f>
        <v>31.447253784240004</v>
      </c>
      <c r="L215" s="99">
        <f>'C_L vs. α'!O319</f>
        <v>0.10289731528202789</v>
      </c>
      <c r="M215" s="99">
        <f>(K215/36.5)*(L215/0.08)*$B$190</f>
        <v>900.30308398673753</v>
      </c>
      <c r="N215" s="99">
        <f>'C_L vs. α'!S319</f>
        <v>0.10608531589764157</v>
      </c>
      <c r="O215" s="99">
        <f>'C_L vs. α'!L319</f>
        <v>0.88570573755052229</v>
      </c>
      <c r="P215" s="99">
        <f>'C_L vs. α'!Y319</f>
        <v>0.10827596603248536</v>
      </c>
      <c r="Q215" s="99">
        <f>'C_L vs. α'!Z319</f>
        <v>1.387843634323499</v>
      </c>
      <c r="R215" s="99">
        <f>$L$208+N215*O215*($L$169/$I$169)*($O$204-$O$205)*$O$206</f>
        <v>2.993509406293664</v>
      </c>
      <c r="S215" s="99">
        <f>'C_L vs. α'!AA319</f>
        <v>0.38583313397868807</v>
      </c>
      <c r="T215" s="99">
        <f>'C_L vs. α'!AB319</f>
        <v>0.18106425247368804</v>
      </c>
      <c r="U215" s="99">
        <f t="shared" si="75"/>
        <v>4.1302741863248844</v>
      </c>
      <c r="V215" s="99">
        <f>'C_L vs. α'!AC319+'C_L vs. α'!AE319</f>
        <v>0.73073355950676988</v>
      </c>
      <c r="W215" s="99">
        <f>'C_L vs. α'!AD319</f>
        <v>0.22729342331803393</v>
      </c>
    </row>
    <row r="216" spans="1:23" x14ac:dyDescent="0.25">
      <c r="A216" s="4" t="s">
        <v>1014</v>
      </c>
      <c r="B216" s="5"/>
      <c r="C216" s="5"/>
      <c r="D216" s="5"/>
      <c r="E216" s="6"/>
      <c r="H216" s="5">
        <v>0.2</v>
      </c>
      <c r="I216">
        <f t="shared" si="76"/>
        <v>0.9797958971132712</v>
      </c>
      <c r="J216">
        <f t="shared" si="77"/>
        <v>223.28000000000003</v>
      </c>
      <c r="K216">
        <f t="shared" si="78"/>
        <v>55.906228949760013</v>
      </c>
      <c r="L216">
        <f>'C_L vs. α'!O320</f>
        <v>0.10464554001175856</v>
      </c>
      <c r="M216">
        <f t="shared" si="79"/>
        <v>1627.7319602417958</v>
      </c>
      <c r="N216">
        <f>'C_L vs. α'!S320</f>
        <v>0.10792498822942134</v>
      </c>
      <c r="O216">
        <f>'C_L vs. α'!L320</f>
        <v>0.89642086182604741</v>
      </c>
      <c r="P216">
        <f>'C_L vs. α'!Y320</f>
        <v>0.10999475471990849</v>
      </c>
      <c r="Q216">
        <f>'C_L vs. α'!Z320</f>
        <v>1.3863813272303269</v>
      </c>
      <c r="R216">
        <f t="shared" si="80"/>
        <v>2.9875707804302238</v>
      </c>
      <c r="S216">
        <f>'C_L vs. α'!AA320</f>
        <v>0.38886014509871991</v>
      </c>
      <c r="T216">
        <f>'C_L vs. α'!AB320</f>
        <v>0.18106425247368804</v>
      </c>
      <c r="U216">
        <f t="shared" si="75"/>
        <v>4.1243355604614447</v>
      </c>
      <c r="V216">
        <f>'C_L vs. α'!AC320+'C_L vs. α'!AE320</f>
        <v>0.73646644871614941</v>
      </c>
      <c r="W216">
        <f>'C_L vs. α'!AD320</f>
        <v>0.22729342331803393</v>
      </c>
    </row>
    <row r="217" spans="1:23" x14ac:dyDescent="0.25">
      <c r="A217" s="4" t="s">
        <v>1015</v>
      </c>
      <c r="B217" s="5"/>
      <c r="C217" s="5"/>
      <c r="D217" s="5"/>
      <c r="E217" s="6"/>
      <c r="H217" s="5">
        <v>0.25</v>
      </c>
      <c r="I217">
        <f t="shared" si="76"/>
        <v>0.96824583655185426</v>
      </c>
      <c r="J217">
        <f t="shared" si="77"/>
        <v>279.10000000000002</v>
      </c>
      <c r="K217">
        <f t="shared" si="78"/>
        <v>87.353482734000011</v>
      </c>
      <c r="L217">
        <f>'C_L vs. α'!O321</f>
        <v>0.10698268400095574</v>
      </c>
      <c r="M217">
        <f t="shared" si="79"/>
        <v>2600.1337157028661</v>
      </c>
      <c r="N217">
        <f>'C_L vs. α'!S321</f>
        <v>0.11038625709076041</v>
      </c>
      <c r="O217">
        <f>'C_L vs. α'!L321</f>
        <v>0.90443392635913278</v>
      </c>
      <c r="P217">
        <f>'C_L vs. α'!Y321</f>
        <v>0.11224080908914616</v>
      </c>
      <c r="Q217">
        <f>'C_L vs. α'!Z321</f>
        <v>1.384268852703574</v>
      </c>
      <c r="R217">
        <f t="shared" si="80"/>
        <v>2.9809819225856615</v>
      </c>
      <c r="S217">
        <f>'C_L vs. α'!AA321</f>
        <v>0.39285856093509275</v>
      </c>
      <c r="T217">
        <f>'C_L vs. α'!AB321</f>
        <v>0.18106425247368804</v>
      </c>
      <c r="U217">
        <f t="shared" si="75"/>
        <v>4.1177467026168815</v>
      </c>
      <c r="V217">
        <f>'C_L vs. α'!AC321+'C_L vs. α'!AE321</f>
        <v>0.74403909185949935</v>
      </c>
      <c r="W217">
        <f>'C_L vs. α'!AD321</f>
        <v>0.22729342331803393</v>
      </c>
    </row>
    <row r="218" spans="1:23" x14ac:dyDescent="0.25">
      <c r="A218" s="174" t="s">
        <v>1053</v>
      </c>
      <c r="B218" s="8"/>
      <c r="C218" s="8"/>
      <c r="D218" s="8"/>
      <c r="E218" s="9" t="s">
        <v>1058</v>
      </c>
      <c r="H218" s="5">
        <v>0.3</v>
      </c>
      <c r="I218">
        <f t="shared" si="76"/>
        <v>0.95393920141694566</v>
      </c>
      <c r="J218">
        <f t="shared" si="77"/>
        <v>334.92</v>
      </c>
      <c r="K218">
        <f t="shared" si="78"/>
        <v>125.78901513696002</v>
      </c>
      <c r="L218">
        <f>'C_L vs. α'!O322</f>
        <v>0.10998526883345291</v>
      </c>
      <c r="M218">
        <f t="shared" si="79"/>
        <v>3849.2773675374201</v>
      </c>
      <c r="N218">
        <f>'C_L vs. α'!S322</f>
        <v>0.11355144228561578</v>
      </c>
      <c r="O218">
        <f>'C_L vs. α'!L322</f>
        <v>0.89190003395409512</v>
      </c>
      <c r="P218">
        <f>'C_L vs. α'!Y322</f>
        <v>0.11497295764335308</v>
      </c>
      <c r="Q218">
        <f>'C_L vs. α'!Z322</f>
        <v>1.3812899681891522</v>
      </c>
      <c r="R218">
        <f t="shared" si="80"/>
        <v>2.9779133987499331</v>
      </c>
      <c r="S218">
        <f>'C_L vs. α'!AA322</f>
        <v>0.39791683239406395</v>
      </c>
      <c r="T218">
        <f>'C_L vs. α'!AB322</f>
        <v>0.18106425247368804</v>
      </c>
      <c r="U218">
        <f t="shared" si="75"/>
        <v>4.1146781787811539</v>
      </c>
      <c r="V218">
        <f>'C_L vs. α'!AC322+'C_L vs. α'!AE322</f>
        <v>0.75361900706805085</v>
      </c>
      <c r="W218">
        <f>'C_L vs. α'!AD322</f>
        <v>0.22729342331803393</v>
      </c>
    </row>
    <row r="219" spans="1:23" x14ac:dyDescent="0.25">
      <c r="H219" s="5">
        <v>0.35</v>
      </c>
      <c r="I219">
        <f t="shared" si="76"/>
        <v>0.93674969975975975</v>
      </c>
      <c r="J219">
        <f t="shared" si="77"/>
        <v>390.74</v>
      </c>
      <c r="K219">
        <f t="shared" si="78"/>
        <v>171.21282615864001</v>
      </c>
      <c r="L219">
        <f>'C_L vs. α'!O323</f>
        <v>0.11375906391372086</v>
      </c>
      <c r="M219">
        <f t="shared" si="79"/>
        <v>5419.0639299215172</v>
      </c>
      <c r="N219">
        <f>'C_L vs. α'!S323</f>
        <v>0.11753458280720043</v>
      </c>
      <c r="O219">
        <f>'C_L vs. α'!L323</f>
        <v>0.89739458654438997</v>
      </c>
      <c r="P219">
        <f>'C_L vs. α'!Y323</f>
        <v>0.11850497732934001</v>
      </c>
      <c r="Q219">
        <f>'C_L vs. α'!Z323</f>
        <v>1.377122651490593</v>
      </c>
      <c r="R219">
        <f t="shared" si="80"/>
        <v>2.96896366521944</v>
      </c>
      <c r="S219">
        <f>'C_L vs. α'!AA323</f>
        <v>0.40415379968872978</v>
      </c>
      <c r="T219">
        <f>'C_L vs. α'!AB323</f>
        <v>0.18106425247368804</v>
      </c>
      <c r="U219">
        <f t="shared" si="75"/>
        <v>4.1057284452506604</v>
      </c>
      <c r="V219">
        <f>'C_L vs. α'!AC323+'C_L vs. α'!AE323</f>
        <v>0.76543126711104192</v>
      </c>
      <c r="W219">
        <f>'C_L vs. α'!AD323</f>
        <v>0.22729342331803393</v>
      </c>
    </row>
    <row r="220" spans="1:23" x14ac:dyDescent="0.25">
      <c r="H220" s="5">
        <v>0.4</v>
      </c>
      <c r="I220">
        <f t="shared" si="76"/>
        <v>0.91651513899116799</v>
      </c>
      <c r="J220">
        <f t="shared" si="77"/>
        <v>446.56000000000006</v>
      </c>
      <c r="K220">
        <f t="shared" si="78"/>
        <v>223.62491579904005</v>
      </c>
      <c r="L220">
        <f>'C_L vs. α'!O324</f>
        <v>0.11844937702562958</v>
      </c>
      <c r="M220">
        <f t="shared" si="79"/>
        <v>7369.7870595797212</v>
      </c>
      <c r="N220">
        <f>'C_L vs. α'!S324</f>
        <v>0.12249278234294751</v>
      </c>
      <c r="O220">
        <f>'C_L vs. α'!L324</f>
        <v>0.90205628988462949</v>
      </c>
      <c r="P220">
        <f>'C_L vs. α'!Y324</f>
        <v>0.1228366665574135</v>
      </c>
      <c r="Q220">
        <f>'C_L vs. α'!Z324</f>
        <v>1.3712846708447615</v>
      </c>
      <c r="R220">
        <f t="shared" si="80"/>
        <v>2.9582613951730483</v>
      </c>
      <c r="S220">
        <f>'C_L vs. α'!AA324</f>
        <v>0.41172716118850533</v>
      </c>
      <c r="T220">
        <f>'C_L vs. α'!AB324</f>
        <v>0.18106425247368804</v>
      </c>
      <c r="U220">
        <f t="shared" si="75"/>
        <v>4.0950261752042687</v>
      </c>
      <c r="V220">
        <f>'C_L vs. α'!AC324+'C_L vs. α'!AE324</f>
        <v>0.77977453864165169</v>
      </c>
      <c r="W220">
        <f>'C_L vs. α'!AD324</f>
        <v>0.22729342331803393</v>
      </c>
    </row>
    <row r="221" spans="1:23" x14ac:dyDescent="0.25">
      <c r="H221" s="5">
        <v>0.45</v>
      </c>
      <c r="I221">
        <f t="shared" si="76"/>
        <v>0.89302855497458755</v>
      </c>
      <c r="J221">
        <f t="shared" si="77"/>
        <v>502.38000000000005</v>
      </c>
      <c r="K221">
        <f t="shared" si="78"/>
        <v>283.02528405816008</v>
      </c>
      <c r="L221">
        <f>'C_L vs. α'!O325</f>
        <v>0.12425694261102585</v>
      </c>
      <c r="M221">
        <f t="shared" si="79"/>
        <v>9784.7079391300558</v>
      </c>
      <c r="N221">
        <f>'C_L vs. α'!S325</f>
        <v>0.12864380245837007</v>
      </c>
      <c r="O221">
        <f>'C_L vs. α'!L325</f>
        <v>0.90608572839323032</v>
      </c>
      <c r="P221">
        <f>'C_L vs. α'!Y325</f>
        <v>0.12812118936324013</v>
      </c>
      <c r="Q221">
        <f>'C_L vs. α'!Z325</f>
        <v>1.3630419695703586</v>
      </c>
      <c r="R221">
        <f t="shared" si="80"/>
        <v>2.945328403543285</v>
      </c>
      <c r="S221">
        <f>'C_L vs. α'!AA325</f>
        <v>0.42084590260886801</v>
      </c>
      <c r="T221">
        <f>'C_L vs. α'!AB325</f>
        <v>0.18106425247368804</v>
      </c>
      <c r="U221">
        <f t="shared" si="75"/>
        <v>4.0820931835745053</v>
      </c>
      <c r="V221">
        <f>'C_L vs. α'!AC325+'C_L vs. α'!AE325</f>
        <v>0.7970446219743379</v>
      </c>
      <c r="W221">
        <f>'C_L vs. α'!AD325</f>
        <v>0.22729342331803393</v>
      </c>
    </row>
    <row r="222" spans="1:23" x14ac:dyDescent="0.25">
      <c r="H222" s="5">
        <v>0.5</v>
      </c>
      <c r="I222">
        <f t="shared" si="76"/>
        <v>0.8660254037844386</v>
      </c>
      <c r="J222">
        <f t="shared" si="77"/>
        <v>558.20000000000005</v>
      </c>
      <c r="K222">
        <f t="shared" si="78"/>
        <v>349.41393093600004</v>
      </c>
      <c r="L222">
        <f>'C_L vs. α'!O326</f>
        <v>0.13146303448299143</v>
      </c>
      <c r="M222">
        <f t="shared" si="79"/>
        <v>12780.440929105154</v>
      </c>
      <c r="N222">
        <f>'C_L vs. α'!S326</f>
        <v>0.136294012347947</v>
      </c>
      <c r="O222">
        <f>'C_L vs. α'!L326</f>
        <v>0.90962046173352107</v>
      </c>
      <c r="P222">
        <f>'C_L vs. α'!Y326</f>
        <v>0.13456448145166092</v>
      </c>
      <c r="Q222">
        <f>'C_L vs. α'!Z326</f>
        <v>1.351249382247306</v>
      </c>
      <c r="R222">
        <f t="shared" si="80"/>
        <v>2.9295248800747187</v>
      </c>
      <c r="S222">
        <f>'C_L vs. α'!AA326</f>
        <v>0.43178880504861844</v>
      </c>
      <c r="T222">
        <f>'C_L vs. α'!AB326</f>
        <v>0.18106425247368804</v>
      </c>
      <c r="U222">
        <f t="shared" si="75"/>
        <v>4.0662896601059391</v>
      </c>
      <c r="V222">
        <f>'C_L vs. α'!AC326+'C_L vs. α'!AE326</f>
        <v>0.81776950365745393</v>
      </c>
      <c r="W222">
        <f>'C_L vs. α'!AD326</f>
        <v>0.22729342331803393</v>
      </c>
    </row>
    <row r="223" spans="1:23" x14ac:dyDescent="0.25">
      <c r="H223" s="5">
        <v>0.55000000000000004</v>
      </c>
      <c r="I223">
        <f t="shared" si="76"/>
        <v>0.83516465442450327</v>
      </c>
      <c r="J223">
        <f t="shared" si="77"/>
        <v>614.0200000000001</v>
      </c>
      <c r="K223">
        <f t="shared" si="78"/>
        <v>422.79085643256019</v>
      </c>
      <c r="L223">
        <f>'C_L vs. α'!O327</f>
        <v>0.14047047884093974</v>
      </c>
      <c r="M223">
        <f t="shared" si="79"/>
        <v>16523.902279038302</v>
      </c>
      <c r="N223">
        <f>'C_L vs. α'!S327</f>
        <v>0.14588430801061572</v>
      </c>
      <c r="O223">
        <f>'C_L vs. α'!L327</f>
        <v>0.91275865506590859</v>
      </c>
      <c r="P223">
        <f>'C_L vs. α'!Y327</f>
        <v>0.14244719842978948</v>
      </c>
      <c r="Q223">
        <f>'C_L vs. α'!Z327</f>
        <v>1.334061980789206</v>
      </c>
      <c r="R223">
        <f t="shared" si="80"/>
        <v>2.9099528313712999</v>
      </c>
      <c r="S223">
        <f>'C_L vs. α'!AA327</f>
        <v>0.44493263614763967</v>
      </c>
      <c r="T223">
        <f>'C_L vs. α'!AB327</f>
        <v>0.18106425247368804</v>
      </c>
      <c r="U223">
        <f t="shared" si="75"/>
        <v>4.0467176114025207</v>
      </c>
      <c r="V223">
        <f>'C_L vs. α'!AC327+'C_L vs. α'!AE327</f>
        <v>0.84266274801286001</v>
      </c>
      <c r="W223">
        <f>'C_L vs. α'!AD327</f>
        <v>0.22729342331803393</v>
      </c>
    </row>
    <row r="224" spans="1:23" x14ac:dyDescent="0.25">
      <c r="H224" s="5">
        <v>0.6</v>
      </c>
      <c r="I224">
        <f t="shared" si="76"/>
        <v>0.8</v>
      </c>
      <c r="J224">
        <f t="shared" si="77"/>
        <v>669.84</v>
      </c>
      <c r="K224">
        <f t="shared" si="78"/>
        <v>503.15606054784007</v>
      </c>
      <c r="L224">
        <f>'C_L vs. α'!O328</f>
        <v>0.15187349429154923</v>
      </c>
      <c r="M224">
        <f t="shared" si="79"/>
        <v>21261.145624530112</v>
      </c>
      <c r="N224">
        <f>'C_L vs. α'!S328</f>
        <v>0.15806885198995582</v>
      </c>
      <c r="O224">
        <f>'C_L vs. α'!L328</f>
        <v>0.91557264609749189</v>
      </c>
      <c r="P224">
        <f>'C_L vs. α'!Y328</f>
        <v>0.15215800117074355</v>
      </c>
      <c r="Q224">
        <f>'C_L vs. α'!Z328</f>
        <v>1.3083846054015837</v>
      </c>
      <c r="R224">
        <f t="shared" si="80"/>
        <v>2.8852966098189419</v>
      </c>
      <c r="S224">
        <f>'C_L vs. α'!AA328</f>
        <v>0.46079638800646094</v>
      </c>
      <c r="T224">
        <f>'C_L vs. α'!AB328</f>
        <v>0.18106425247368804</v>
      </c>
      <c r="U224">
        <f t="shared" si="75"/>
        <v>4.0220613898501627</v>
      </c>
      <c r="V224">
        <f>'C_L vs. α'!AC328+'C_L vs. α'!AE328</f>
        <v>0.87270727981185503</v>
      </c>
      <c r="W224">
        <f>'C_L vs. α'!AD328</f>
        <v>0.22729342331803393</v>
      </c>
    </row>
    <row r="225" spans="8:42" x14ac:dyDescent="0.25">
      <c r="H225" s="5">
        <v>0.65</v>
      </c>
      <c r="I225">
        <f t="shared" si="76"/>
        <v>0.75993420767853315</v>
      </c>
      <c r="J225">
        <f t="shared" si="77"/>
        <v>725.66000000000008</v>
      </c>
      <c r="K225">
        <f t="shared" si="78"/>
        <v>590.50954328184014</v>
      </c>
      <c r="L225">
        <f>'C_L vs. α'!O329</f>
        <v>0.16658299205178798</v>
      </c>
      <c r="M225">
        <f t="shared" si="79"/>
        <v>27369.038952755131</v>
      </c>
      <c r="N225">
        <f>'C_L vs. α'!S329</f>
        <v>0.17385749335052486</v>
      </c>
      <c r="O225">
        <f>'C_L vs. α'!L329</f>
        <v>0.89930127243626701</v>
      </c>
      <c r="P225">
        <f>'C_L vs. α'!Y329</f>
        <v>0.16428651535437214</v>
      </c>
      <c r="Q225">
        <f>'C_L vs. α'!Z329</f>
        <v>1.2687542815706159</v>
      </c>
      <c r="R225">
        <f t="shared" si="80"/>
        <v>2.8605116417660272</v>
      </c>
      <c r="S225">
        <f>'C_L vs. α'!AA329</f>
        <v>0.48011331066331625</v>
      </c>
      <c r="T225">
        <f>'C_L vs. α'!AB329</f>
        <v>0.18106425247368804</v>
      </c>
      <c r="U225">
        <f t="shared" si="75"/>
        <v>3.9972764217972476</v>
      </c>
      <c r="V225">
        <f>'C_L vs. α'!AC329+'C_L vs. α'!AE329</f>
        <v>0.90929180925908637</v>
      </c>
      <c r="W225">
        <f>'C_L vs. α'!AD329</f>
        <v>0.22729342331803393</v>
      </c>
    </row>
    <row r="226" spans="8:42" x14ac:dyDescent="0.25">
      <c r="H226" s="5">
        <v>0.7</v>
      </c>
      <c r="I226">
        <f t="shared" si="76"/>
        <v>0.71414284285428498</v>
      </c>
      <c r="J226">
        <f t="shared" si="77"/>
        <v>781.48</v>
      </c>
      <c r="K226">
        <f t="shared" si="78"/>
        <v>684.85130463456005</v>
      </c>
      <c r="L226">
        <f>'C_L vs. α'!O330</f>
        <v>0.18606658153192498</v>
      </c>
      <c r="M226">
        <f t="shared" si="79"/>
        <v>35454.11383863684</v>
      </c>
      <c r="N226">
        <f>'C_L vs. α'!S330</f>
        <v>0.19489118882148326</v>
      </c>
      <c r="O226">
        <f>'C_L vs. α'!L330</f>
        <v>0.90179722169654875</v>
      </c>
      <c r="P226">
        <f>'C_L vs. α'!Y330</f>
        <v>0.17961674917801942</v>
      </c>
      <c r="Q226">
        <f>'C_L vs. α'!Z330</f>
        <v>1.2048872147399035</v>
      </c>
      <c r="R226">
        <f t="shared" si="80"/>
        <v>2.8191518711914831</v>
      </c>
      <c r="S226">
        <f>'C_L vs. α'!AA330</f>
        <v>0.50395361014601125</v>
      </c>
      <c r="T226">
        <f>'C_L vs. α'!AB330</f>
        <v>0.18106425247368804</v>
      </c>
      <c r="U226">
        <f t="shared" si="75"/>
        <v>3.9559166512227035</v>
      </c>
      <c r="V226">
        <f>'C_L vs. α'!AC330+'C_L vs. α'!AE330</f>
        <v>0.95444321116450004</v>
      </c>
      <c r="W226">
        <f>'C_L vs. α'!AD330</f>
        <v>0.22729342331803393</v>
      </c>
    </row>
    <row r="227" spans="8:42" x14ac:dyDescent="0.25">
      <c r="H227" s="5">
        <v>0.75</v>
      </c>
      <c r="I227">
        <f t="shared" si="76"/>
        <v>0.66143782776614768</v>
      </c>
      <c r="J227">
        <f t="shared" si="77"/>
        <v>837.30000000000007</v>
      </c>
      <c r="K227">
        <f t="shared" si="78"/>
        <v>786.18134460600015</v>
      </c>
      <c r="L227">
        <f>'C_L vs. α'!O331</f>
        <v>0.21284847584675293</v>
      </c>
      <c r="M227">
        <f t="shared" si="79"/>
        <v>46558.099864287266</v>
      </c>
      <c r="N227">
        <f>'C_L vs. α'!S331</f>
        <v>0.22402223560332959</v>
      </c>
      <c r="O227">
        <f>'C_L vs. α'!L331</f>
        <v>0.90409514976952488</v>
      </c>
      <c r="P227">
        <f>'C_L vs. α'!Y331</f>
        <v>0.19928732876558536</v>
      </c>
      <c r="Q227">
        <f>'C_L vs. α'!Z331</f>
        <v>1.0957300111184276</v>
      </c>
      <c r="R227">
        <f t="shared" si="80"/>
        <v>2.7620535787664773</v>
      </c>
      <c r="S227">
        <f>'C_L vs. α'!AA331</f>
        <v>0.53394517608710246</v>
      </c>
      <c r="T227">
        <f>'C_L vs. α'!AB331</f>
        <v>0.18106425247368804</v>
      </c>
      <c r="U227">
        <f t="shared" si="75"/>
        <v>3.8988183587976977</v>
      </c>
      <c r="V227">
        <f>'C_L vs. α'!AC331+'C_L vs. α'!AE331</f>
        <v>1.0112445633690679</v>
      </c>
      <c r="W227">
        <f>'C_L vs. α'!AD331</f>
        <v>0.22729342331803393</v>
      </c>
    </row>
    <row r="228" spans="8:42" x14ac:dyDescent="0.25">
      <c r="H228" s="5">
        <v>0.8</v>
      </c>
      <c r="I228">
        <f t="shared" si="76"/>
        <v>0.59999999999999987</v>
      </c>
      <c r="J228">
        <f t="shared" si="77"/>
        <v>893.12000000000012</v>
      </c>
      <c r="K228">
        <f t="shared" si="78"/>
        <v>894.49966319616021</v>
      </c>
      <c r="L228">
        <f>'C_L vs. α'!O332</f>
        <v>0.25167326542920682</v>
      </c>
      <c r="M228">
        <f t="shared" si="79"/>
        <v>62635.310421295399</v>
      </c>
      <c r="N228">
        <f>'C_L vs. α'!S332</f>
        <v>0.266683574276255</v>
      </c>
      <c r="O228">
        <f>'C_L vs. α'!L332</f>
        <v>0.90622140062891798</v>
      </c>
      <c r="P228">
        <f>'C_L vs. α'!Y332</f>
        <v>0.22489018233336303</v>
      </c>
      <c r="Q228">
        <f>'C_L vs. α'!Z332</f>
        <v>0.89298867028716278</v>
      </c>
      <c r="R228">
        <f t="shared" si="80"/>
        <v>2.6786245792953185</v>
      </c>
      <c r="S228">
        <f>'C_L vs. α'!AA332</f>
        <v>0.57269768603406035</v>
      </c>
      <c r="T228">
        <f>'C_L vs. α'!AB332</f>
        <v>0.18106425247368804</v>
      </c>
      <c r="U228">
        <f t="shared" si="75"/>
        <v>3.8153893593265389</v>
      </c>
      <c r="V228">
        <f>'C_L vs. α'!AC332+'C_L vs. α'!AE332</f>
        <v>1.084638362500187</v>
      </c>
      <c r="W228">
        <f>'C_L vs. α'!AD332</f>
        <v>0.22729342331803393</v>
      </c>
    </row>
    <row r="229" spans="8:42" x14ac:dyDescent="0.25">
      <c r="H229" s="5">
        <v>0.85</v>
      </c>
      <c r="I229">
        <f t="shared" si="76"/>
        <v>0.52678268764263703</v>
      </c>
      <c r="J229">
        <f t="shared" si="77"/>
        <v>948.94</v>
      </c>
      <c r="K229">
        <f t="shared" si="78"/>
        <v>1009.8062604050401</v>
      </c>
      <c r="L229">
        <f>'C_L vs. α'!O333</f>
        <v>0.31267319102286617</v>
      </c>
      <c r="M229">
        <f t="shared" si="79"/>
        <v>87847.756231153646</v>
      </c>
      <c r="N229">
        <f>'C_L vs. α'!S333</f>
        <v>0.33467687582814859</v>
      </c>
      <c r="O229">
        <f>'C_L vs. α'!L333</f>
        <v>0.89028322788960201</v>
      </c>
      <c r="P229">
        <f>'C_L vs. α'!Y333</f>
        <v>0.25910505921571858</v>
      </c>
      <c r="Q229">
        <f>'C_L vs. α'!Z333</f>
        <v>0.46616477157019487</v>
      </c>
      <c r="R229">
        <f t="shared" si="80"/>
        <v>2.558645322998522</v>
      </c>
      <c r="S229">
        <f>'C_L vs. α'!AA333</f>
        <v>0.62468234732408157</v>
      </c>
      <c r="T229">
        <f>'C_L vs. α'!AB333</f>
        <v>0.18106425247368804</v>
      </c>
      <c r="U229">
        <f t="shared" si="75"/>
        <v>3.6954101030297424</v>
      </c>
      <c r="V229">
        <f>'C_L vs. α'!AC333+'C_L vs. α'!AE333</f>
        <v>1.1830926766553556</v>
      </c>
      <c r="W229">
        <f>'C_L vs. α'!AD333</f>
        <v>0.22729342331803393</v>
      </c>
    </row>
    <row r="231" spans="8:42" x14ac:dyDescent="0.25">
      <c r="H231" t="s">
        <v>533</v>
      </c>
    </row>
    <row r="232" spans="8:42" x14ac:dyDescent="0.25">
      <c r="H232" t="s">
        <v>177</v>
      </c>
      <c r="I232" s="238">
        <f>'Sub C_D_0'!B33</f>
        <v>2.3768999999999999E-3</v>
      </c>
    </row>
    <row r="233" spans="8:42" x14ac:dyDescent="0.25">
      <c r="H233" t="s">
        <v>142</v>
      </c>
      <c r="I233">
        <f>'Sub C_D_0'!B35</f>
        <v>1116.4000000000001</v>
      </c>
    </row>
    <row r="234" spans="8:42" x14ac:dyDescent="0.25">
      <c r="H234" t="s">
        <v>348</v>
      </c>
      <c r="I234" s="223" t="s">
        <v>712</v>
      </c>
      <c r="J234" t="s">
        <v>1085</v>
      </c>
      <c r="K234" t="s">
        <v>184</v>
      </c>
      <c r="L234" t="s">
        <v>719</v>
      </c>
      <c r="M234" s="5" t="s">
        <v>1042</v>
      </c>
      <c r="N234" t="s">
        <v>1026</v>
      </c>
      <c r="O234" s="223" t="s">
        <v>785</v>
      </c>
      <c r="P234" t="s">
        <v>535</v>
      </c>
      <c r="Q234" t="s">
        <v>94</v>
      </c>
      <c r="R234" s="223" t="s">
        <v>1185</v>
      </c>
      <c r="S234" t="s">
        <v>750</v>
      </c>
      <c r="T234" t="s">
        <v>813</v>
      </c>
      <c r="U234" s="223" t="s">
        <v>1187</v>
      </c>
      <c r="V234" t="s">
        <v>750</v>
      </c>
      <c r="W234" t="s">
        <v>813</v>
      </c>
      <c r="Y234" t="s">
        <v>1199</v>
      </c>
      <c r="AG234" t="s">
        <v>1200</v>
      </c>
      <c r="AO234" t="s">
        <v>1205</v>
      </c>
    </row>
    <row r="235" spans="8:42" x14ac:dyDescent="0.25">
      <c r="H235" s="5">
        <v>0</v>
      </c>
      <c r="I235">
        <f>SQRT(1-H235^2)</f>
        <v>1</v>
      </c>
      <c r="J235">
        <f>H235*$I$233</f>
        <v>0</v>
      </c>
      <c r="K235" s="238">
        <f>$I$232*J235^2/2</f>
        <v>0</v>
      </c>
      <c r="L235">
        <f>'C_L vs. α'!O341</f>
        <v>0.10073378060434053</v>
      </c>
      <c r="M235">
        <f>(K235/36.5)*(L235/0.08)*$B$190</f>
        <v>0</v>
      </c>
      <c r="N235">
        <f>'C_L vs. α'!S341</f>
        <v>0.10381027215104761</v>
      </c>
      <c r="O235" t="e">
        <f>'C_L vs. α'!L341</f>
        <v>#NUM!</v>
      </c>
      <c r="P235" t="e">
        <f>'C_L vs. α'!X341</f>
        <v>#NUM!</v>
      </c>
      <c r="Q235">
        <f>'C_L vs. α'!Y341</f>
        <v>1.2104861657449768</v>
      </c>
      <c r="R235" t="e">
        <f>$L$208+$N235*$O235*($L$169/$I$169)*($O$204-$O$205)*$O$206</f>
        <v>#NUM!</v>
      </c>
      <c r="S235">
        <f>'C_L vs. α'!Z341</f>
        <v>0.45845157974315059</v>
      </c>
      <c r="T235">
        <f>'C_L vs. α'!AA341</f>
        <v>0.18106425247368804</v>
      </c>
      <c r="U235" t="e">
        <f t="shared" ref="U235:U252" si="81">$L$209+$N235*$O235*($L$169/$I$169)*($O$204-$O$205)*$O$206</f>
        <v>#NUM!</v>
      </c>
      <c r="V235">
        <f>'C_L vs. α'!AB341+'C_L vs. α'!AD341</f>
        <v>0.72385047609832265</v>
      </c>
      <c r="W235">
        <f>'C_L vs. α'!AC341</f>
        <v>0.22729342331803393</v>
      </c>
      <c r="Y235" t="s">
        <v>1164</v>
      </c>
      <c r="AA235" t="s">
        <v>560</v>
      </c>
      <c r="AC235" t="s">
        <v>360</v>
      </c>
      <c r="AG235" t="s">
        <v>1164</v>
      </c>
      <c r="AI235" t="s">
        <v>560</v>
      </c>
      <c r="AK235" t="s">
        <v>360</v>
      </c>
      <c r="AO235" t="s">
        <v>1164</v>
      </c>
    </row>
    <row r="236" spans="8:42" x14ac:dyDescent="0.25">
      <c r="H236" s="5">
        <v>0.05</v>
      </c>
      <c r="I236">
        <f t="shared" ref="I236:I252" si="82">SQRT(1-H236^2)</f>
        <v>0.99874921777190895</v>
      </c>
      <c r="J236">
        <f t="shared" ref="J236:J252" si="83">H236*$I$233</f>
        <v>55.820000000000007</v>
      </c>
      <c r="K236" s="238">
        <f t="shared" ref="K236:K252" si="84">$I$232*J236^2/2</f>
        <v>3.7030585537800005</v>
      </c>
      <c r="L236">
        <f>'C_L vs. α'!O342</f>
        <v>0.10096966142983717</v>
      </c>
      <c r="M236">
        <f t="shared" ref="M236:M252" si="85">(K236/36.5)*(L236/0.08)*$B$190</f>
        <v>104.0287662612664</v>
      </c>
      <c r="N236">
        <f>'C_L vs. α'!S342</f>
        <v>0.1040582208604917</v>
      </c>
      <c r="O236">
        <f>'C_L vs. α'!L342</f>
        <v>0.84721712698592366</v>
      </c>
      <c r="P236">
        <f>'C_L vs. α'!X342</f>
        <v>0.10620066896907342</v>
      </c>
      <c r="Q236">
        <f>'C_L vs. α'!Y342</f>
        <v>1.210660771233947</v>
      </c>
      <c r="R236">
        <f t="shared" ref="R236:R252" si="86">$L$208+N236*O236*($L$169/$I$169)*($O$204-$O$205)*$O$206</f>
        <v>3.0058743742700829</v>
      </c>
      <c r="S236">
        <f>'C_L vs. α'!Z342</f>
        <v>0.45895033598647389</v>
      </c>
      <c r="T236">
        <f>'C_L vs. α'!AA342</f>
        <v>0.18106425247368804</v>
      </c>
      <c r="U236">
        <f t="shared" si="81"/>
        <v>4.1426391543013033</v>
      </c>
      <c r="V236">
        <f>'C_L vs. α'!AB342+'C_L vs. α'!AD342</f>
        <v>0.724637963720001</v>
      </c>
      <c r="W236">
        <f>'C_L vs. α'!AC342</f>
        <v>0.22729342331803393</v>
      </c>
      <c r="Y236" t="s">
        <v>1170</v>
      </c>
      <c r="Z236" t="s">
        <v>244</v>
      </c>
      <c r="AA236" t="s">
        <v>1170</v>
      </c>
      <c r="AB236" t="s">
        <v>244</v>
      </c>
      <c r="AC236" t="s">
        <v>1170</v>
      </c>
      <c r="AD236" t="s">
        <v>244</v>
      </c>
      <c r="AG236" t="s">
        <v>1170</v>
      </c>
      <c r="AH236" t="s">
        <v>244</v>
      </c>
      <c r="AI236" t="s">
        <v>1170</v>
      </c>
      <c r="AJ236" t="s">
        <v>244</v>
      </c>
      <c r="AK236" t="s">
        <v>1170</v>
      </c>
      <c r="AL236" t="s">
        <v>244</v>
      </c>
      <c r="AO236" t="s">
        <v>1170</v>
      </c>
      <c r="AP236" t="s">
        <v>244</v>
      </c>
    </row>
    <row r="237" spans="8:42" x14ac:dyDescent="0.25">
      <c r="H237" s="5">
        <v>0.1</v>
      </c>
      <c r="I237">
        <f t="shared" si="82"/>
        <v>0.99498743710661997</v>
      </c>
      <c r="J237">
        <f t="shared" si="83"/>
        <v>111.64000000000001</v>
      </c>
      <c r="K237" s="238">
        <f t="shared" si="84"/>
        <v>14.812234215120002</v>
      </c>
      <c r="L237">
        <f>'C_L vs. α'!O343</f>
        <v>0.10168399167415836</v>
      </c>
      <c r="M237">
        <f t="shared" si="85"/>
        <v>419.05895504004116</v>
      </c>
      <c r="N237">
        <f>'C_L vs. α'!S343</f>
        <v>0.10480923052652887</v>
      </c>
      <c r="O237">
        <f>'C_L vs. α'!L343</f>
        <v>0.8740488170413635</v>
      </c>
      <c r="P237">
        <f>'C_L vs. α'!X343</f>
        <v>0.10705127151702197</v>
      </c>
      <c r="Q237">
        <f>'C_L vs. α'!Y343</f>
        <v>1.2112007152996589</v>
      </c>
      <c r="R237">
        <f t="shared" si="86"/>
        <v>2.9985231876850484</v>
      </c>
      <c r="S237">
        <f>'C_L vs. α'!Z343</f>
        <v>0.46045641054571373</v>
      </c>
      <c r="T237">
        <f>'C_L vs. α'!AA343</f>
        <v>0.18106425247368804</v>
      </c>
      <c r="U237">
        <f t="shared" si="81"/>
        <v>4.1352879677162688</v>
      </c>
      <c r="V237">
        <f>'C_L vs. α'!AB343+'C_L vs. α'!AD343</f>
        <v>0.72701590903618041</v>
      </c>
      <c r="W237">
        <f>'C_L vs. α'!AC343</f>
        <v>0.22729342331803393</v>
      </c>
      <c r="Y237">
        <v>-3.2184201652101702E-2</v>
      </c>
      <c r="Z237">
        <v>0</v>
      </c>
      <c r="AA237">
        <f>Y237-R239</f>
        <v>-3.0189060944395347</v>
      </c>
      <c r="AB237">
        <v>0</v>
      </c>
      <c r="AC237">
        <f>Y237-U239</f>
        <v>-4.1556708744707551</v>
      </c>
      <c r="AD237">
        <v>0</v>
      </c>
      <c r="AG237">
        <v>-3.2184201652101702E-2</v>
      </c>
      <c r="AH237">
        <v>0</v>
      </c>
      <c r="AI237">
        <f>AG237-R241</f>
        <v>-3.0092165131957795</v>
      </c>
      <c r="AJ237">
        <v>0</v>
      </c>
      <c r="AK237">
        <f>AG237-U241</f>
        <v>-4.1459812932270008</v>
      </c>
      <c r="AL237">
        <v>0</v>
      </c>
      <c r="AO237">
        <v>-3.2184201652101702E-2</v>
      </c>
      <c r="AP237">
        <v>0</v>
      </c>
    </row>
    <row r="238" spans="8:42" x14ac:dyDescent="0.25">
      <c r="H238" s="11">
        <v>0.15</v>
      </c>
      <c r="I238" s="29">
        <f t="shared" si="82"/>
        <v>0.98868599666425949</v>
      </c>
      <c r="J238" s="29">
        <f t="shared" si="83"/>
        <v>167.46</v>
      </c>
      <c r="K238" s="242">
        <f t="shared" si="84"/>
        <v>33.327526984020004</v>
      </c>
      <c r="L238" s="29">
        <f>'C_L vs. α'!O344</f>
        <v>0.10289731528202789</v>
      </c>
      <c r="M238" s="29">
        <f t="shared" si="85"/>
        <v>954.13340481901025</v>
      </c>
      <c r="N238" s="29">
        <f>'C_L vs. α'!S344</f>
        <v>0.10608531589764157</v>
      </c>
      <c r="O238" s="29">
        <f>'C_L vs. α'!L344</f>
        <v>0.88953938200386173</v>
      </c>
      <c r="P238" s="29">
        <f>'C_L vs. α'!X344</f>
        <v>0.10830002040830576</v>
      </c>
      <c r="Q238" s="29">
        <f>'C_L vs. α'!Y344</f>
        <v>1.2121563656765011</v>
      </c>
      <c r="R238" s="29">
        <f t="shared" si="86"/>
        <v>2.9926424499805786</v>
      </c>
      <c r="S238" s="29">
        <f>'C_L vs. α'!Z344</f>
        <v>0.46299976077442567</v>
      </c>
      <c r="T238" s="29">
        <f>'C_L vs. α'!AA344</f>
        <v>0.18106425247368804</v>
      </c>
      <c r="U238" s="29">
        <f t="shared" si="81"/>
        <v>4.1294072300117994</v>
      </c>
      <c r="V238">
        <f>'C_L vs. α'!AB344+'C_L vs. α'!AD344</f>
        <v>0.73103161179582488</v>
      </c>
      <c r="W238">
        <f>'C_L vs. α'!AC344</f>
        <v>0.22729342331803393</v>
      </c>
      <c r="Y238">
        <f>$L$205*Z$238</f>
        <v>-2.2650646055931323</v>
      </c>
      <c r="Z238">
        <f>P239*12</f>
        <v>1.320210250651793</v>
      </c>
      <c r="AA238">
        <f>Y238-$R$239</f>
        <v>-5.2517864983805653</v>
      </c>
      <c r="AB238">
        <f>Z238+S239</f>
        <v>1.7868424247702568</v>
      </c>
      <c r="AC238">
        <f>Y238-$U$239</f>
        <v>-6.3885512784117857</v>
      </c>
      <c r="AD238">
        <f>Z238+V239</f>
        <v>2.0569770899932207</v>
      </c>
      <c r="AG238">
        <f>$L$205*AH238</f>
        <v>-2.3675233481517206</v>
      </c>
      <c r="AH238">
        <f>P241*12</f>
        <v>1.3799291133547489</v>
      </c>
      <c r="AI238">
        <f>AG238-R241</f>
        <v>-5.3445556596953985</v>
      </c>
      <c r="AJ238">
        <f>AH238+$S$241</f>
        <v>1.8574293122276255</v>
      </c>
      <c r="AK238">
        <f>AG238-$U$241</f>
        <v>-6.4813204397266198</v>
      </c>
      <c r="AL238">
        <f>AH238+$V$241</f>
        <v>2.133855507249653</v>
      </c>
      <c r="AO238">
        <f>$L$205*AP238</f>
        <v>-4.1019669027093775</v>
      </c>
      <c r="AP238">
        <f>P250*12</f>
        <v>2.3908628210510616</v>
      </c>
    </row>
    <row r="239" spans="8:42" x14ac:dyDescent="0.25">
      <c r="H239" s="58">
        <v>0.2</v>
      </c>
      <c r="I239" s="99">
        <f t="shared" si="82"/>
        <v>0.9797958971132712</v>
      </c>
      <c r="J239" s="99">
        <f t="shared" si="83"/>
        <v>223.28000000000003</v>
      </c>
      <c r="K239" s="281">
        <f t="shared" si="84"/>
        <v>59.248936860480008</v>
      </c>
      <c r="L239" s="99">
        <f>'C_L vs. α'!O345</f>
        <v>0.10464554001175856</v>
      </c>
      <c r="M239" s="99">
        <f t="shared" si="85"/>
        <v>1725.0562227121115</v>
      </c>
      <c r="N239" s="99">
        <f>'C_L vs. α'!S345</f>
        <v>0.10792498822942134</v>
      </c>
      <c r="O239" s="99">
        <f>'C_L vs. α'!L345</f>
        <v>0.90011062162243172</v>
      </c>
      <c r="P239" s="99">
        <f>'C_L vs. α'!X345</f>
        <v>0.11001752088764941</v>
      </c>
      <c r="Q239" s="99">
        <f>'C_L vs. α'!Y345</f>
        <v>1.2136186727696732</v>
      </c>
      <c r="R239" s="99">
        <f t="shared" si="86"/>
        <v>2.9867218927874331</v>
      </c>
      <c r="S239" s="99">
        <f>'C_L vs. α'!Z345</f>
        <v>0.46663217411846386</v>
      </c>
      <c r="T239" s="99">
        <f>'C_L vs. α'!AA345</f>
        <v>0.18106425247368804</v>
      </c>
      <c r="U239" s="99">
        <f t="shared" si="81"/>
        <v>4.123486672818653</v>
      </c>
      <c r="V239" s="99">
        <f>'C_L vs. α'!AB345+'C_L vs. α'!AD345</f>
        <v>0.73676683934142762</v>
      </c>
      <c r="W239" s="99">
        <f>'C_L vs. α'!AC345</f>
        <v>0.22729342331803393</v>
      </c>
      <c r="Y239">
        <f>$L$205*Z239</f>
        <v>-2.8313307569914148</v>
      </c>
      <c r="Z239">
        <f>P239*15</f>
        <v>1.650262813314741</v>
      </c>
      <c r="AA239">
        <f>Y239-$R$239</f>
        <v>-5.8180526497788474</v>
      </c>
      <c r="AB239">
        <f>Z239+S239</f>
        <v>2.1168949874332048</v>
      </c>
      <c r="AC239">
        <f>Y239-$U$239</f>
        <v>-6.9548174298100678</v>
      </c>
      <c r="AD239">
        <f>Z239+V239</f>
        <v>2.3870296526561687</v>
      </c>
      <c r="AG239">
        <f>$L$205*AH239</f>
        <v>-2.9594041851896504</v>
      </c>
      <c r="AH239">
        <f>P241*15</f>
        <v>1.724911391693436</v>
      </c>
      <c r="AI239">
        <f>AG239-R241</f>
        <v>-5.9364364967333287</v>
      </c>
      <c r="AJ239">
        <f>AH239+$S$241</f>
        <v>2.2024115905663129</v>
      </c>
      <c r="AK239">
        <f>AG239-$U$241</f>
        <v>-7.0732012767645491</v>
      </c>
      <c r="AL239">
        <f>AH239+$V$241</f>
        <v>2.4788377855883401</v>
      </c>
      <c r="AO239">
        <f>$L$205*AP239</f>
        <v>-5.1274586283867221</v>
      </c>
      <c r="AP239">
        <f>P250*15</f>
        <v>2.9885785263138271</v>
      </c>
    </row>
    <row r="240" spans="8:42" x14ac:dyDescent="0.25">
      <c r="H240" s="5">
        <v>0.25</v>
      </c>
      <c r="I240">
        <f t="shared" si="82"/>
        <v>0.96824583655185426</v>
      </c>
      <c r="J240">
        <f t="shared" si="83"/>
        <v>279.10000000000002</v>
      </c>
      <c r="K240" s="238">
        <f t="shared" si="84"/>
        <v>92.576463844500012</v>
      </c>
      <c r="L240">
        <f>'C_L vs. α'!O346</f>
        <v>0.10698268400095574</v>
      </c>
      <c r="M240">
        <f t="shared" si="85"/>
        <v>2755.5991746273153</v>
      </c>
      <c r="N240">
        <f>'C_L vs. α'!S346</f>
        <v>0.11038625709076041</v>
      </c>
      <c r="O240">
        <f>'C_L vs. α'!L346</f>
        <v>0.9079881119813048</v>
      </c>
      <c r="P240">
        <f>'C_L vs. α'!X346</f>
        <v>0.11226220245662301</v>
      </c>
      <c r="Q240">
        <f>'C_L vs. α'!Y346</f>
        <v>1.2157311472964261</v>
      </c>
      <c r="R240">
        <f t="shared" si="86"/>
        <v>2.9801455780559221</v>
      </c>
      <c r="S240">
        <f>'C_L vs. α'!Z346</f>
        <v>0.47143027312211128</v>
      </c>
      <c r="T240">
        <f>'C_L vs. α'!AA346</f>
        <v>0.18106425247368804</v>
      </c>
      <c r="U240">
        <f t="shared" si="81"/>
        <v>4.1169103580871429</v>
      </c>
      <c r="V240">
        <f>'C_L vs. α'!AB346+'C_L vs. α'!AD346</f>
        <v>0.74434257122155956</v>
      </c>
      <c r="W240">
        <f>'C_L vs. α'!AC346</f>
        <v>0.22729342331803393</v>
      </c>
    </row>
    <row r="241" spans="8:49" x14ac:dyDescent="0.25">
      <c r="H241" s="58">
        <v>0.3</v>
      </c>
      <c r="I241" s="99">
        <f t="shared" si="82"/>
        <v>0.95393920141694566</v>
      </c>
      <c r="J241" s="99">
        <f t="shared" si="83"/>
        <v>334.92</v>
      </c>
      <c r="K241" s="281">
        <f t="shared" si="84"/>
        <v>133.31010793608002</v>
      </c>
      <c r="L241" s="99">
        <f>'C_L vs. α'!O347</f>
        <v>0.10998526883345291</v>
      </c>
      <c r="M241" s="99">
        <f t="shared" si="85"/>
        <v>4079.4307895932279</v>
      </c>
      <c r="N241" s="99">
        <f>'C_L vs. α'!S347</f>
        <v>0.11355144228561578</v>
      </c>
      <c r="O241" s="99">
        <f>'C_L vs. α'!L347</f>
        <v>0.89553998994770612</v>
      </c>
      <c r="P241" s="99">
        <f>'C_L vs. α'!X347</f>
        <v>0.11499409277956241</v>
      </c>
      <c r="Q241" s="99">
        <f>'C_L vs. α'!Y347</f>
        <v>1.2187100318108479</v>
      </c>
      <c r="R241" s="99">
        <f t="shared" si="86"/>
        <v>2.9770323115436779</v>
      </c>
      <c r="S241" s="99">
        <f>'C_L vs. α'!Z347</f>
        <v>0.4775001988728767</v>
      </c>
      <c r="T241" s="99">
        <f>'C_L vs. α'!AA347</f>
        <v>0.18106425247368804</v>
      </c>
      <c r="U241" s="99">
        <f t="shared" si="81"/>
        <v>4.1137970915748987</v>
      </c>
      <c r="V241" s="99">
        <f>'C_L vs. α'!AB347+'C_L vs. α'!AD347</f>
        <v>0.75392639389490412</v>
      </c>
      <c r="W241" s="99">
        <f>'C_L vs. α'!AC347</f>
        <v>0.22729342331803393</v>
      </c>
    </row>
    <row r="242" spans="8:49" x14ac:dyDescent="0.25">
      <c r="H242" s="5">
        <v>0.35</v>
      </c>
      <c r="I242">
        <f t="shared" si="82"/>
        <v>0.93674969975975975</v>
      </c>
      <c r="J242">
        <f t="shared" si="83"/>
        <v>390.74</v>
      </c>
      <c r="K242" s="238">
        <f t="shared" si="84"/>
        <v>181.44986913521998</v>
      </c>
      <c r="L242">
        <f>'C_L vs. α'!O348</f>
        <v>0.11375906391372086</v>
      </c>
      <c r="M242">
        <f t="shared" si="85"/>
        <v>5743.0769819112056</v>
      </c>
      <c r="N242">
        <f>'C_L vs. α'!S348</f>
        <v>0.11753458280720043</v>
      </c>
      <c r="O242">
        <f>'C_L vs. α'!L348</f>
        <v>0.90095573625152681</v>
      </c>
      <c r="P242">
        <f>'C_L vs. α'!X348</f>
        <v>0.11852459485132352</v>
      </c>
      <c r="Q242">
        <f>'C_L vs. α'!Y348</f>
        <v>1.2228773485094071</v>
      </c>
      <c r="R242">
        <f t="shared" si="86"/>
        <v>2.9680714163452198</v>
      </c>
      <c r="S242">
        <f>'C_L vs. α'!Z348</f>
        <v>0.48498455962647569</v>
      </c>
      <c r="T242">
        <f>'C_L vs. α'!AA348</f>
        <v>0.18106425247368804</v>
      </c>
      <c r="U242">
        <f t="shared" si="81"/>
        <v>4.1048361963764401</v>
      </c>
      <c r="V242">
        <f>'C_L vs. α'!AB348+'C_L vs. α'!AD348</f>
        <v>0.76574347193359127</v>
      </c>
      <c r="W242">
        <f>'C_L vs. α'!AC348</f>
        <v>0.22729342331803393</v>
      </c>
    </row>
    <row r="243" spans="8:49" x14ac:dyDescent="0.25">
      <c r="H243" s="5">
        <v>0.4</v>
      </c>
      <c r="I243">
        <f t="shared" si="82"/>
        <v>0.91651513899116799</v>
      </c>
      <c r="J243">
        <f t="shared" si="83"/>
        <v>446.56000000000006</v>
      </c>
      <c r="K243" s="238">
        <f t="shared" si="84"/>
        <v>236.99574744192003</v>
      </c>
      <c r="L243">
        <f>'C_L vs. α'!O349</f>
        <v>0.11844937702562958</v>
      </c>
      <c r="M243">
        <f t="shared" si="85"/>
        <v>7810.436446368396</v>
      </c>
      <c r="N243">
        <f>'C_L vs. α'!S349</f>
        <v>0.12249278234294751</v>
      </c>
      <c r="O243">
        <f>'C_L vs. α'!L349</f>
        <v>0.90554218472729964</v>
      </c>
      <c r="P243">
        <f>'C_L vs. α'!X349</f>
        <v>0.12285441590501772</v>
      </c>
      <c r="Q243">
        <f>'C_L vs. α'!Y349</f>
        <v>1.2287153291552386</v>
      </c>
      <c r="R243">
        <f t="shared" si="86"/>
        <v>2.9573511573275373</v>
      </c>
      <c r="S243">
        <f>'C_L vs. α'!Z349</f>
        <v>0.49407259342620635</v>
      </c>
      <c r="T243">
        <f>'C_L vs. α'!AA349</f>
        <v>0.18106425247368804</v>
      </c>
      <c r="U243">
        <f t="shared" si="81"/>
        <v>4.0941159373587572</v>
      </c>
      <c r="V243">
        <f>'C_L vs. α'!AB349+'C_L vs. α'!AD349</f>
        <v>0.78009259381123475</v>
      </c>
      <c r="W243">
        <f>'C_L vs. α'!AC349</f>
        <v>0.22729342331803393</v>
      </c>
    </row>
    <row r="244" spans="8:49" x14ac:dyDescent="0.25">
      <c r="H244" s="5">
        <v>0.45</v>
      </c>
      <c r="I244">
        <f t="shared" si="82"/>
        <v>0.89302855497458755</v>
      </c>
      <c r="J244">
        <f t="shared" si="83"/>
        <v>502.38000000000005</v>
      </c>
      <c r="K244" s="238">
        <f t="shared" si="84"/>
        <v>299.94774285618007</v>
      </c>
      <c r="L244">
        <f>'C_L vs. α'!O350</f>
        <v>0.12425694261102585</v>
      </c>
      <c r="M244">
        <f t="shared" si="85"/>
        <v>10369.748662617367</v>
      </c>
      <c r="N244">
        <f>'C_L vs. α'!S350</f>
        <v>0.12864380245837007</v>
      </c>
      <c r="O244">
        <f>'C_L vs. α'!L350</f>
        <v>0.90950066575502775</v>
      </c>
      <c r="P244">
        <f>'C_L vs. α'!X350</f>
        <v>0.12813656681875776</v>
      </c>
      <c r="Q244">
        <f>'C_L vs. α'!Y350</f>
        <v>1.2369580304296415</v>
      </c>
      <c r="R244">
        <f t="shared" si="86"/>
        <v>2.9443919166193364</v>
      </c>
      <c r="S244">
        <f>'C_L vs. α'!Z350</f>
        <v>0.50501508313064158</v>
      </c>
      <c r="T244">
        <f>'C_L vs. α'!AA350</f>
        <v>0.18106425247368804</v>
      </c>
      <c r="U244">
        <f t="shared" si="81"/>
        <v>4.0811566966505568</v>
      </c>
      <c r="V244">
        <f>'C_L vs. α'!AB350+'C_L vs. α'!AD350</f>
        <v>0.79736972128169525</v>
      </c>
      <c r="W244">
        <f>'C_L vs. α'!AC350</f>
        <v>0.22729342331803393</v>
      </c>
    </row>
    <row r="245" spans="8:49" x14ac:dyDescent="0.25">
      <c r="H245" s="5">
        <v>0.5</v>
      </c>
      <c r="I245">
        <f t="shared" si="82"/>
        <v>0.8660254037844386</v>
      </c>
      <c r="J245">
        <f t="shared" si="83"/>
        <v>558.20000000000005</v>
      </c>
      <c r="K245" s="238">
        <f t="shared" si="84"/>
        <v>370.30585537800005</v>
      </c>
      <c r="L245">
        <f>'C_L vs. α'!O351</f>
        <v>0.13146303448299143</v>
      </c>
      <c r="M245">
        <f t="shared" si="85"/>
        <v>13544.600519168023</v>
      </c>
      <c r="N245">
        <f>'C_L vs. α'!S351</f>
        <v>0.136294012347947</v>
      </c>
      <c r="O245">
        <f>'C_L vs. α'!L351</f>
        <v>0.91296881021913601</v>
      </c>
      <c r="P245">
        <f>'C_L vs. α'!X351</f>
        <v>0.13457673865104924</v>
      </c>
      <c r="Q245">
        <f>'C_L vs. α'!Y351</f>
        <v>1.2487506177526941</v>
      </c>
      <c r="R245">
        <f t="shared" si="86"/>
        <v>2.9285520487734891</v>
      </c>
      <c r="S245">
        <f>'C_L vs. α'!Z351</f>
        <v>0.51814656605834208</v>
      </c>
      <c r="T245">
        <f>'C_L vs. α'!AA351</f>
        <v>0.18106425247368804</v>
      </c>
      <c r="U245">
        <f t="shared" si="81"/>
        <v>4.0653168288047095</v>
      </c>
      <c r="V245">
        <f>'C_L vs. α'!AB351+'C_L vs. α'!AD351</f>
        <v>0.81810305624897439</v>
      </c>
      <c r="W245">
        <f>'C_L vs. α'!AC351</f>
        <v>0.22729342331803393</v>
      </c>
    </row>
    <row r="246" spans="8:49" x14ac:dyDescent="0.25">
      <c r="H246" s="5">
        <v>0.55000000000000004</v>
      </c>
      <c r="I246">
        <f t="shared" si="82"/>
        <v>0.83516465442450327</v>
      </c>
      <c r="J246">
        <f t="shared" si="83"/>
        <v>614.0200000000001</v>
      </c>
      <c r="K246" s="238">
        <f t="shared" si="84"/>
        <v>448.07008500738016</v>
      </c>
      <c r="L246">
        <f>'C_L vs. α'!O352</f>
        <v>0.14047047884093974</v>
      </c>
      <c r="M246">
        <f t="shared" si="85"/>
        <v>17511.888410489628</v>
      </c>
      <c r="N246">
        <f>'C_L vs. α'!S352</f>
        <v>0.14588430801061572</v>
      </c>
      <c r="O246">
        <f>'C_L vs. α'!L352</f>
        <v>0.91604458372783193</v>
      </c>
      <c r="P246">
        <f>'C_L vs. α'!X352</f>
        <v>0.14245519308971499</v>
      </c>
      <c r="Q246">
        <f>'C_L vs. α'!Y352</f>
        <v>1.2659380192107941</v>
      </c>
      <c r="R246">
        <f t="shared" si="86"/>
        <v>2.9089309586227774</v>
      </c>
      <c r="S246">
        <f>'C_L vs. α'!Z352</f>
        <v>0.5339191633771676</v>
      </c>
      <c r="T246">
        <f>'C_L vs. α'!AA352</f>
        <v>0.18106425247368804</v>
      </c>
      <c r="U246">
        <f t="shared" si="81"/>
        <v>4.0456957386539978</v>
      </c>
      <c r="V246">
        <f>'C_L vs. α'!AB352+'C_L vs. α'!AD352</f>
        <v>0.84300645408421671</v>
      </c>
      <c r="W246">
        <f>'C_L vs. α'!AC352</f>
        <v>0.22729342331803393</v>
      </c>
    </row>
    <row r="247" spans="8:49" x14ac:dyDescent="0.25">
      <c r="H247" s="5">
        <v>0.6</v>
      </c>
      <c r="I247">
        <f t="shared" si="82"/>
        <v>0.8</v>
      </c>
      <c r="J247">
        <f t="shared" si="83"/>
        <v>669.84</v>
      </c>
      <c r="K247" s="238">
        <f t="shared" si="84"/>
        <v>533.24043174432006</v>
      </c>
      <c r="L247">
        <f>'C_L vs. α'!O353</f>
        <v>0.15187349429154923</v>
      </c>
      <c r="M247">
        <f t="shared" si="85"/>
        <v>22532.377846863572</v>
      </c>
      <c r="N247">
        <f>'C_L vs. α'!S353</f>
        <v>0.15806885198995582</v>
      </c>
      <c r="O247">
        <f>'C_L vs. α'!L353</f>
        <v>0.91880002531737037</v>
      </c>
      <c r="P247">
        <f>'C_L vs. α'!X353</f>
        <v>0.15215993404940356</v>
      </c>
      <c r="Q247">
        <f>'C_L vs. α'!Y353</f>
        <v>1.2916153945984163</v>
      </c>
      <c r="R247">
        <f t="shared" si="86"/>
        <v>2.8842091169828201</v>
      </c>
      <c r="S247">
        <f>'C_L vs. α'!Z353</f>
        <v>0.55295566560775311</v>
      </c>
      <c r="T247">
        <f>'C_L vs. α'!AA353</f>
        <v>0.18106425247368804</v>
      </c>
      <c r="U247">
        <f t="shared" si="81"/>
        <v>4.0209738970140405</v>
      </c>
      <c r="V247">
        <f>'C_L vs. α'!AB353+'C_L vs. α'!AD353</f>
        <v>0.87306324047499806</v>
      </c>
      <c r="W247">
        <f>'C_L vs. α'!AC353</f>
        <v>0.22729342331803393</v>
      </c>
    </row>
    <row r="248" spans="8:49" x14ac:dyDescent="0.25">
      <c r="H248" s="5">
        <v>0.65</v>
      </c>
      <c r="I248">
        <f t="shared" si="82"/>
        <v>0.75993420767853315</v>
      </c>
      <c r="J248">
        <f t="shared" si="83"/>
        <v>725.66000000000008</v>
      </c>
      <c r="K248" s="238">
        <f t="shared" si="84"/>
        <v>625.8168955888201</v>
      </c>
      <c r="L248">
        <f>'C_L vs. α'!O354</f>
        <v>0.16658299205178798</v>
      </c>
      <c r="M248">
        <f t="shared" si="85"/>
        <v>29005.47025450494</v>
      </c>
      <c r="N248">
        <f>'C_L vs. α'!S354</f>
        <v>0.17385749335052486</v>
      </c>
      <c r="O248">
        <f>'C_L vs. α'!L354</f>
        <v>0.90272113291127798</v>
      </c>
      <c r="P248">
        <f>'C_L vs. α'!X354</f>
        <v>0.16427888278312427</v>
      </c>
      <c r="Q248">
        <f>'C_L vs. α'!Y354</f>
        <v>1.3312457184293842</v>
      </c>
      <c r="R248">
        <f t="shared" si="86"/>
        <v>2.8592441886343485</v>
      </c>
      <c r="S248">
        <f>'C_L vs. α'!Z354</f>
        <v>0.5761359727959795</v>
      </c>
      <c r="T248">
        <f>'C_L vs. α'!AA354</f>
        <v>0.18106425247368804</v>
      </c>
      <c r="U248">
        <f t="shared" si="81"/>
        <v>3.9960089686655689</v>
      </c>
      <c r="V248">
        <f>'C_L vs. α'!AB354+'C_L vs. α'!AD354</f>
        <v>0.90966269205438532</v>
      </c>
      <c r="W248">
        <f>'C_L vs. α'!AC354</f>
        <v>0.22729342331803393</v>
      </c>
    </row>
    <row r="249" spans="8:49" x14ac:dyDescent="0.25">
      <c r="H249" s="5">
        <v>0.7</v>
      </c>
      <c r="I249">
        <f t="shared" si="82"/>
        <v>0.71414284285428498</v>
      </c>
      <c r="J249">
        <f t="shared" si="83"/>
        <v>781.48</v>
      </c>
      <c r="K249" s="238">
        <f t="shared" si="84"/>
        <v>725.79947654087994</v>
      </c>
      <c r="L249">
        <f>'C_L vs. α'!O355</f>
        <v>0.18606658153192498</v>
      </c>
      <c r="M249">
        <f t="shared" si="85"/>
        <v>37573.962539261585</v>
      </c>
      <c r="N249">
        <f>'C_L vs. α'!S355</f>
        <v>0.19489118882148326</v>
      </c>
      <c r="O249">
        <f>'C_L vs. α'!L355</f>
        <v>0.90517741789724648</v>
      </c>
      <c r="P249">
        <f>'C_L vs. α'!X355</f>
        <v>0.179593784901207</v>
      </c>
      <c r="Q249">
        <f>'C_L vs. α'!Y355</f>
        <v>1.3951127852600966</v>
      </c>
      <c r="R249">
        <f t="shared" si="86"/>
        <v>2.8177475572051729</v>
      </c>
      <c r="S249">
        <f>'C_L vs. α'!Z355</f>
        <v>0.60474433217521351</v>
      </c>
      <c r="T249">
        <f>'C_L vs. α'!AA355</f>
        <v>0.18106425247368804</v>
      </c>
      <c r="U249">
        <f t="shared" si="81"/>
        <v>3.9545123372363933</v>
      </c>
      <c r="V249">
        <f>'C_L vs. α'!AB355+'C_L vs. α'!AD355</f>
        <v>0.95483251035592154</v>
      </c>
      <c r="W249">
        <f>'C_L vs. α'!AC355</f>
        <v>0.22729342331803393</v>
      </c>
    </row>
    <row r="250" spans="8:49" x14ac:dyDescent="0.25">
      <c r="H250" s="5">
        <v>0.75</v>
      </c>
      <c r="I250">
        <f t="shared" si="82"/>
        <v>0.66143782776614768</v>
      </c>
      <c r="J250">
        <f t="shared" si="83"/>
        <v>837.30000000000007</v>
      </c>
      <c r="K250" s="238">
        <f t="shared" si="84"/>
        <v>833.18817460050013</v>
      </c>
      <c r="L250">
        <f>'C_L vs. α'!O356</f>
        <v>0.21284847584675293</v>
      </c>
      <c r="M250">
        <f t="shared" si="85"/>
        <v>49341.870682818088</v>
      </c>
      <c r="N250">
        <f>'C_L vs. α'!S356</f>
        <v>0.22402223560332959</v>
      </c>
      <c r="O250">
        <f>'C_L vs. α'!L356</f>
        <v>0.90743702504463253</v>
      </c>
      <c r="P250">
        <f>'C_L vs. α'!X356</f>
        <v>0.1992385684209218</v>
      </c>
      <c r="Q250">
        <f>'C_L vs. α'!Y356</f>
        <v>1.5042699888815725</v>
      </c>
      <c r="R250">
        <f t="shared" si="86"/>
        <v>2.7604576574657349</v>
      </c>
      <c r="S250">
        <f>'C_L vs. α'!Z356</f>
        <v>0.6407342113045229</v>
      </c>
      <c r="T250">
        <f>'C_L vs. α'!AA356</f>
        <v>0.18106425247368804</v>
      </c>
      <c r="U250">
        <f t="shared" si="81"/>
        <v>3.8972224374969553</v>
      </c>
      <c r="V250">
        <f>'C_L vs. α'!AB356+'C_L vs. α'!AD356</f>
        <v>1.0116570307492576</v>
      </c>
      <c r="W250">
        <f>'C_L vs. α'!AC356</f>
        <v>0.22729342331803393</v>
      </c>
    </row>
    <row r="251" spans="8:49" x14ac:dyDescent="0.25">
      <c r="H251" s="5">
        <v>0.8</v>
      </c>
      <c r="I251">
        <f t="shared" si="82"/>
        <v>0.59999999999999987</v>
      </c>
      <c r="J251">
        <f t="shared" si="83"/>
        <v>893.12000000000012</v>
      </c>
      <c r="K251" s="238">
        <f t="shared" si="84"/>
        <v>947.98298976768012</v>
      </c>
      <c r="L251">
        <f>'C_L vs. α'!O357</f>
        <v>0.25167326542920682</v>
      </c>
      <c r="M251">
        <f t="shared" si="85"/>
        <v>66380.359078106383</v>
      </c>
      <c r="N251">
        <f>'C_L vs. α'!S357</f>
        <v>0.266683574276255</v>
      </c>
      <c r="O251">
        <f>'C_L vs. α'!L357</f>
        <v>0.9095263114744262</v>
      </c>
      <c r="P251">
        <f>'C_L vs. α'!X357</f>
        <v>0.22479410117923354</v>
      </c>
      <c r="Q251">
        <f>'C_L vs. α'!Y357</f>
        <v>1.7070113297128373</v>
      </c>
      <c r="R251">
        <f t="shared" si="86"/>
        <v>2.6767457551937337</v>
      </c>
      <c r="S251">
        <f>'C_L vs. α'!Z357</f>
        <v>0.68723722324087244</v>
      </c>
      <c r="T251">
        <f>'C_L vs. α'!AA357</f>
        <v>0.18106425247368804</v>
      </c>
      <c r="U251">
        <f t="shared" si="81"/>
        <v>3.8135105352249541</v>
      </c>
      <c r="V251">
        <f>'C_L vs. α'!AB357+'C_L vs. α'!AD357</f>
        <v>1.085080765811947</v>
      </c>
      <c r="W251">
        <f>'C_L vs. α'!AC357</f>
        <v>0.22729342331803393</v>
      </c>
    </row>
    <row r="252" spans="8:49" x14ac:dyDescent="0.25">
      <c r="H252" s="5">
        <v>0.85</v>
      </c>
      <c r="I252">
        <f t="shared" si="82"/>
        <v>0.52678268764263703</v>
      </c>
      <c r="J252">
        <f t="shared" si="83"/>
        <v>948.94</v>
      </c>
      <c r="K252" s="238">
        <f t="shared" si="84"/>
        <v>1070.1839220424201</v>
      </c>
      <c r="L252">
        <f>'C_L vs. α'!O358</f>
        <v>0.31267319102286617</v>
      </c>
      <c r="M252">
        <f t="shared" si="85"/>
        <v>93100.290612550889</v>
      </c>
      <c r="N252">
        <f>'C_L vs. α'!S358</f>
        <v>0.33467687582814859</v>
      </c>
      <c r="O252">
        <f>'C_L vs. α'!L358</f>
        <v>0.89372498737516792</v>
      </c>
      <c r="P252">
        <f>'C_L vs. α'!X358</f>
        <v>0.25890006919380087</v>
      </c>
      <c r="Q252">
        <f>'C_L vs. α'!Y358</f>
        <v>2.1338352284298052</v>
      </c>
      <c r="R252">
        <f t="shared" si="86"/>
        <v>2.5561898433925583</v>
      </c>
      <c r="S252">
        <f>'C_L vs. α'!Z358</f>
        <v>0.74961881678889786</v>
      </c>
      <c r="T252">
        <f>'C_L vs. α'!AA358</f>
        <v>0.18106425247368804</v>
      </c>
      <c r="U252">
        <f t="shared" si="81"/>
        <v>3.6929546234237787</v>
      </c>
      <c r="V252">
        <f>'C_L vs. α'!AB358+'C_L vs. α'!AD358</f>
        <v>1.1835752376050392</v>
      </c>
      <c r="W252">
        <f>'C_L vs. α'!AC358</f>
        <v>0.22729342331803393</v>
      </c>
    </row>
    <row r="254" spans="8:49" x14ac:dyDescent="0.25">
      <c r="H254">
        <v>5000</v>
      </c>
    </row>
    <row r="255" spans="8:49" x14ac:dyDescent="0.25">
      <c r="H255" t="s">
        <v>177</v>
      </c>
      <c r="I255" s="238">
        <f>'Sub C_D_0'!B63</f>
        <v>2.0479999999999999E-3</v>
      </c>
    </row>
    <row r="256" spans="8:49" x14ac:dyDescent="0.25">
      <c r="H256" t="s">
        <v>142</v>
      </c>
      <c r="I256">
        <f>'Sub C_D_0'!B65</f>
        <v>1097.0999999999999</v>
      </c>
      <c r="Y256">
        <v>0.6</v>
      </c>
      <c r="AG256">
        <v>0.5</v>
      </c>
      <c r="AO256">
        <v>0.55000000000000004</v>
      </c>
      <c r="AW256" t="s">
        <v>1204</v>
      </c>
    </row>
    <row r="257" spans="8:50" x14ac:dyDescent="0.25">
      <c r="H257" t="s">
        <v>348</v>
      </c>
      <c r="I257" s="223" t="s">
        <v>712</v>
      </c>
      <c r="J257" t="s">
        <v>1085</v>
      </c>
      <c r="K257" t="s">
        <v>184</v>
      </c>
      <c r="L257" t="s">
        <v>719</v>
      </c>
      <c r="M257" s="5" t="s">
        <v>1042</v>
      </c>
      <c r="N257" t="s">
        <v>1026</v>
      </c>
      <c r="O257" s="223" t="s">
        <v>785</v>
      </c>
      <c r="P257" t="s">
        <v>535</v>
      </c>
      <c r="Q257" t="s">
        <v>94</v>
      </c>
      <c r="R257" s="223" t="s">
        <v>1185</v>
      </c>
      <c r="S257" t="s">
        <v>750</v>
      </c>
      <c r="T257" t="s">
        <v>813</v>
      </c>
      <c r="U257" s="223" t="s">
        <v>1187</v>
      </c>
      <c r="V257" t="s">
        <v>750</v>
      </c>
      <c r="W257" t="s">
        <v>813</v>
      </c>
      <c r="Y257" t="s">
        <v>1093</v>
      </c>
      <c r="AG257" t="s">
        <v>1093</v>
      </c>
      <c r="AO257" t="s">
        <v>1093</v>
      </c>
      <c r="AW257" t="s">
        <v>1206</v>
      </c>
    </row>
    <row r="258" spans="8:50" x14ac:dyDescent="0.25">
      <c r="H258" s="5">
        <v>0</v>
      </c>
      <c r="I258">
        <f>SQRT(1-H258^2)</f>
        <v>1</v>
      </c>
      <c r="J258">
        <f>H258*$I$256</f>
        <v>0</v>
      </c>
      <c r="K258">
        <f>$I$255*J258^2/2</f>
        <v>0</v>
      </c>
      <c r="L258">
        <f>'C_L vs. α'!O366</f>
        <v>0.10073378060434053</v>
      </c>
      <c r="M258">
        <f>(K258/36.5)*(L258/0.08)*$B$190</f>
        <v>0</v>
      </c>
      <c r="N258">
        <f>'C_L vs. α'!S366</f>
        <v>0.10381027215104761</v>
      </c>
      <c r="O258" t="e">
        <f>'C_L vs. α'!L366</f>
        <v>#NUM!</v>
      </c>
      <c r="P258" t="e">
        <f>'C_L vs. α'!X366</f>
        <v>#NUM!</v>
      </c>
      <c r="Q258">
        <f>'C_L vs. α'!Y366</f>
        <v>1.2104861657449768</v>
      </c>
      <c r="R258" t="e">
        <f>$L$208+$N258*$O258*($L$169/$I$169)*($O$204-$O$205)*$O$206</f>
        <v>#NUM!</v>
      </c>
      <c r="S258">
        <f>'C_L vs. α'!Z366</f>
        <v>0.38204298311929219</v>
      </c>
      <c r="T258">
        <f>'C_L vs. α'!AA366</f>
        <v>0.18106425247368804</v>
      </c>
      <c r="U258" t="e">
        <f t="shared" ref="U258:U275" si="87">$L$209+$N258*$O258*($L$169/$I$169)*($O$204-$O$205)*$O$206</f>
        <v>#NUM!</v>
      </c>
      <c r="V258">
        <f>'C_L vs. α'!AB366+'C_L vs. α'!AD366</f>
        <v>0.72385047609832265</v>
      </c>
      <c r="W258">
        <f>'C_L vs. α'!AC366</f>
        <v>0.22729342331803393</v>
      </c>
      <c r="Y258" t="s">
        <v>1164</v>
      </c>
      <c r="AG258" t="s">
        <v>1164</v>
      </c>
      <c r="AO258" t="s">
        <v>1164</v>
      </c>
      <c r="AW258" t="s">
        <v>1164</v>
      </c>
    </row>
    <row r="259" spans="8:50" x14ac:dyDescent="0.25">
      <c r="H259" s="5">
        <v>0.05</v>
      </c>
      <c r="I259">
        <f t="shared" ref="I259:I275" si="88">SQRT(1-H259^2)</f>
        <v>0.99874921777190895</v>
      </c>
      <c r="J259">
        <f t="shared" ref="J259:J275" si="89">H259*$I$256</f>
        <v>54.854999999999997</v>
      </c>
      <c r="K259">
        <f t="shared" ref="K259:K275" si="90">$I$255*J259^2/2</f>
        <v>3.0812887295999998</v>
      </c>
      <c r="L259">
        <f>'C_L vs. α'!O367</f>
        <v>0.10096966142983717</v>
      </c>
      <c r="M259">
        <f t="shared" ref="M259:M275" si="91">(K259/36.5)*(L259/0.08)*$B$190</f>
        <v>86.561597765671294</v>
      </c>
      <c r="N259">
        <f>'C_L vs. α'!S367</f>
        <v>0.1040582208604917</v>
      </c>
      <c r="O259">
        <f>'C_L vs. α'!L367</f>
        <v>0.8500409953178284</v>
      </c>
      <c r="P259">
        <f>'C_L vs. α'!X367</f>
        <v>0.10621868912756693</v>
      </c>
      <c r="Q259">
        <f>'C_L vs. α'!Y367</f>
        <v>1.210660771233947</v>
      </c>
      <c r="R259">
        <f t="shared" ref="R259:R275" si="92">$L$208+N259*O259*($L$169/$I$169)*($O$204-$O$205)*$O$206</f>
        <v>3.0052479754276171</v>
      </c>
      <c r="S259">
        <f>'C_L vs. α'!Z367</f>
        <v>0.3824586133220616</v>
      </c>
      <c r="T259">
        <f>'C_L vs. α'!AA367</f>
        <v>0.18106425247368804</v>
      </c>
      <c r="U259">
        <f t="shared" si="87"/>
        <v>4.142012755458838</v>
      </c>
      <c r="V259">
        <f>'C_L vs. α'!AB367+'C_L vs. α'!AD367</f>
        <v>0.724637963720001</v>
      </c>
      <c r="W259">
        <f>'C_L vs. α'!AC367</f>
        <v>0.22729342331803393</v>
      </c>
      <c r="Y259" t="s">
        <v>1170</v>
      </c>
      <c r="Z259" t="s">
        <v>244</v>
      </c>
      <c r="AG259" t="s">
        <v>1170</v>
      </c>
      <c r="AH259" t="s">
        <v>244</v>
      </c>
      <c r="AO259" t="s">
        <v>1170</v>
      </c>
      <c r="AP259" t="s">
        <v>244</v>
      </c>
      <c r="AW259" t="s">
        <v>1170</v>
      </c>
      <c r="AX259" t="s">
        <v>244</v>
      </c>
    </row>
    <row r="260" spans="8:50" x14ac:dyDescent="0.25">
      <c r="H260" s="5">
        <v>0.1</v>
      </c>
      <c r="I260">
        <f t="shared" si="88"/>
        <v>0.99498743710661997</v>
      </c>
      <c r="J260">
        <f t="shared" si="89"/>
        <v>109.71</v>
      </c>
      <c r="K260">
        <f t="shared" si="90"/>
        <v>12.325154918399999</v>
      </c>
      <c r="L260">
        <f>'C_L vs. α'!O368</f>
        <v>0.10168399167415836</v>
      </c>
      <c r="M260">
        <f t="shared" si="91"/>
        <v>348.69598102486412</v>
      </c>
      <c r="N260">
        <f>'C_L vs. α'!S368</f>
        <v>0.10480923052652887</v>
      </c>
      <c r="O260">
        <f>'C_L vs. α'!L368</f>
        <v>0.87692440080054879</v>
      </c>
      <c r="P260">
        <f>'C_L vs. α'!X368</f>
        <v>0.10706951078708708</v>
      </c>
      <c r="Q260">
        <f>'C_L vs. α'!Y368</f>
        <v>1.2112007152996589</v>
      </c>
      <c r="R260">
        <f t="shared" si="92"/>
        <v>2.9978807135300429</v>
      </c>
      <c r="S260">
        <f>'C_L vs. α'!Z368</f>
        <v>0.38371367545476148</v>
      </c>
      <c r="T260">
        <f>'C_L vs. α'!AA368</f>
        <v>0.18106425247368804</v>
      </c>
      <c r="U260">
        <f t="shared" si="87"/>
        <v>4.1346454935612629</v>
      </c>
      <c r="V260">
        <f>'C_L vs. α'!AB368+'C_L vs. α'!AD368</f>
        <v>0.72701590903618041</v>
      </c>
      <c r="W260">
        <f>'C_L vs. α'!AC368</f>
        <v>0.22729342331803393</v>
      </c>
      <c r="Y260">
        <f>$L$204</f>
        <v>-3.2184201652101736E-2</v>
      </c>
      <c r="Z260">
        <v>0</v>
      </c>
      <c r="AG260">
        <f>$L$204</f>
        <v>-3.2184201652101736E-2</v>
      </c>
      <c r="AH260">
        <v>0</v>
      </c>
      <c r="AO260">
        <f>$L$204</f>
        <v>-3.2184201652101736E-2</v>
      </c>
      <c r="AP260">
        <v>0</v>
      </c>
      <c r="AW260">
        <f>$L$204</f>
        <v>-3.2184201652101736E-2</v>
      </c>
      <c r="AX260">
        <v>0</v>
      </c>
    </row>
    <row r="261" spans="8:50" x14ac:dyDescent="0.25">
      <c r="H261" s="11">
        <v>0.15</v>
      </c>
      <c r="I261" s="29">
        <f t="shared" si="88"/>
        <v>0.98868599666425949</v>
      </c>
      <c r="J261" s="29">
        <f t="shared" si="89"/>
        <v>164.56499999999997</v>
      </c>
      <c r="K261" s="29">
        <f t="shared" si="90"/>
        <v>27.731598566399992</v>
      </c>
      <c r="L261" s="29">
        <f>'C_L vs. α'!O369</f>
        <v>0.10289731528202789</v>
      </c>
      <c r="M261" s="29">
        <f t="shared" si="91"/>
        <v>793.92763147173116</v>
      </c>
      <c r="N261" s="29">
        <f>'C_L vs. α'!S369</f>
        <v>0.10608531589764157</v>
      </c>
      <c r="O261" s="29">
        <f>'C_L vs. α'!L369</f>
        <v>0.89230983723481661</v>
      </c>
      <c r="P261" s="29">
        <f>'C_L vs. α'!X369</f>
        <v>0.10831740375517844</v>
      </c>
      <c r="Q261" s="29">
        <f>'C_L vs. α'!Y369</f>
        <v>1.2121563656765011</v>
      </c>
      <c r="R261" s="29">
        <f t="shared" si="92"/>
        <v>2.992015927703453</v>
      </c>
      <c r="S261" s="29">
        <f>'C_L vs. α'!Z369</f>
        <v>0.38583313397868807</v>
      </c>
      <c r="T261" s="29">
        <f>'C_L vs. α'!AA369</f>
        <v>0.18106425247368804</v>
      </c>
      <c r="U261" s="29">
        <f t="shared" si="87"/>
        <v>4.1287807077346734</v>
      </c>
      <c r="V261">
        <f>'C_L vs. α'!AB369+'C_L vs. α'!AD369</f>
        <v>0.73103161179582488</v>
      </c>
      <c r="W261">
        <f>'C_L vs. α'!AC369</f>
        <v>0.22729342331803393</v>
      </c>
      <c r="Y261">
        <f>$L$205*Z261</f>
        <v>-3.1327302707947022</v>
      </c>
      <c r="Z261">
        <f>P270*12</f>
        <v>1.8259358279748987</v>
      </c>
      <c r="AG261">
        <f>$L$205*AH261</f>
        <v>-2.7708762180281572</v>
      </c>
      <c r="AH261">
        <f>P268*12</f>
        <v>1.6150264223347048</v>
      </c>
      <c r="AO261">
        <f>$L$205*AP261</f>
        <v>-2.933016467639022</v>
      </c>
      <c r="AP261">
        <f>P269*12</f>
        <v>1.7095311084487022</v>
      </c>
      <c r="AW261">
        <f>$L$205*AX261</f>
        <v>-4.626688006084712</v>
      </c>
      <c r="AX261">
        <f>P274*12</f>
        <v>2.6967005343325479</v>
      </c>
    </row>
    <row r="262" spans="8:50" x14ac:dyDescent="0.25">
      <c r="H262" s="5">
        <v>0.2</v>
      </c>
      <c r="I262">
        <f t="shared" si="88"/>
        <v>0.9797958971132712</v>
      </c>
      <c r="J262">
        <f t="shared" si="89"/>
        <v>219.42</v>
      </c>
      <c r="K262">
        <f t="shared" si="90"/>
        <v>49.300619673599996</v>
      </c>
      <c r="L262">
        <f>'C_L vs. α'!O370</f>
        <v>0.10464554001175856</v>
      </c>
      <c r="M262">
        <f t="shared" si="91"/>
        <v>1435.4070344211375</v>
      </c>
      <c r="N262">
        <f>'C_L vs. α'!S370</f>
        <v>0.10792498822942134</v>
      </c>
      <c r="O262">
        <f>'C_L vs. α'!L370</f>
        <v>0.90276749653182298</v>
      </c>
      <c r="P262">
        <f>'C_L vs. α'!X370</f>
        <v>0.11003391405771784</v>
      </c>
      <c r="Q262">
        <f>'C_L vs. α'!Y370</f>
        <v>1.2136186727696732</v>
      </c>
      <c r="R262">
        <f t="shared" si="92"/>
        <v>2.9861106366614285</v>
      </c>
      <c r="S262">
        <f>'C_L vs. α'!Z370</f>
        <v>0.38886014509871991</v>
      </c>
      <c r="T262">
        <f>'C_L vs. α'!AA370</f>
        <v>0.18106425247368804</v>
      </c>
      <c r="U262">
        <f t="shared" si="87"/>
        <v>4.1228754166926489</v>
      </c>
      <c r="V262">
        <f>'C_L vs. α'!AB370+'C_L vs. α'!AD370</f>
        <v>0.73676683934142762</v>
      </c>
      <c r="W262">
        <f>'C_L vs. α'!AC370</f>
        <v>0.22729342331803393</v>
      </c>
      <c r="Y262">
        <f>$L$205*Z262</f>
        <v>-3.9159128384933779</v>
      </c>
      <c r="Z262">
        <f>P270*15</f>
        <v>2.2824197849686234</v>
      </c>
      <c r="AG262">
        <f>$L$205*AH262</f>
        <v>-3.4635952725351964</v>
      </c>
      <c r="AH262">
        <f>P268*15</f>
        <v>2.0187830279183809</v>
      </c>
      <c r="AO262">
        <f>$L$205*AP262</f>
        <v>-3.6662705845487777</v>
      </c>
      <c r="AP262">
        <f>P269*15</f>
        <v>2.1369138855608778</v>
      </c>
      <c r="AW262">
        <f>$L$205*AX262</f>
        <v>-5.7833600076058893</v>
      </c>
      <c r="AX262">
        <f>P274*15</f>
        <v>3.3708756679156844</v>
      </c>
    </row>
    <row r="263" spans="8:50" x14ac:dyDescent="0.25">
      <c r="H263" s="5">
        <v>0.25</v>
      </c>
      <c r="I263">
        <f t="shared" si="88"/>
        <v>0.96824583655185426</v>
      </c>
      <c r="J263">
        <f t="shared" si="89"/>
        <v>274.27499999999998</v>
      </c>
      <c r="K263">
        <f t="shared" si="90"/>
        <v>77.032218239999992</v>
      </c>
      <c r="L263">
        <f>'C_L vs. α'!O371</f>
        <v>0.10698268400095574</v>
      </c>
      <c r="M263">
        <f t="shared" si="91"/>
        <v>2292.9145074973198</v>
      </c>
      <c r="N263">
        <f>'C_L vs. α'!S371</f>
        <v>0.11038625709076041</v>
      </c>
      <c r="O263">
        <f>'C_L vs. α'!L371</f>
        <v>0.91054113106091172</v>
      </c>
      <c r="P263">
        <f>'C_L vs. α'!X371</f>
        <v>0.11227756959867793</v>
      </c>
      <c r="Q263">
        <f>'C_L vs. α'!Y371</f>
        <v>1.2157311472964261</v>
      </c>
      <c r="R263">
        <f t="shared" si="92"/>
        <v>2.979544820591757</v>
      </c>
      <c r="S263">
        <f>'C_L vs. α'!Z371</f>
        <v>0.39285856093509275</v>
      </c>
      <c r="T263">
        <f>'C_L vs. α'!AA371</f>
        <v>0.18106425247368804</v>
      </c>
      <c r="U263">
        <f t="shared" si="87"/>
        <v>4.1163096006229773</v>
      </c>
      <c r="V263">
        <f>'C_L vs. α'!AB371+'C_L vs. α'!AD371</f>
        <v>0.74434257122155956</v>
      </c>
      <c r="W263">
        <f>'C_L vs. α'!AC371</f>
        <v>0.22729342331803393</v>
      </c>
    </row>
    <row r="264" spans="8:50" x14ac:dyDescent="0.25">
      <c r="H264" s="5">
        <v>0.3</v>
      </c>
      <c r="I264">
        <f t="shared" si="88"/>
        <v>0.95393920141694566</v>
      </c>
      <c r="J264">
        <f t="shared" si="89"/>
        <v>329.12999999999994</v>
      </c>
      <c r="K264">
        <f t="shared" si="90"/>
        <v>110.92639426559997</v>
      </c>
      <c r="L264">
        <f>'C_L vs. α'!O372</f>
        <v>0.10998526883345291</v>
      </c>
      <c r="M264">
        <f t="shared" si="91"/>
        <v>3394.4653946467465</v>
      </c>
      <c r="N264">
        <f>'C_L vs. α'!S372</f>
        <v>0.11355144228561578</v>
      </c>
      <c r="O264">
        <f>'C_L vs. α'!L372</f>
        <v>0.89816596165798601</v>
      </c>
      <c r="P264">
        <f>'C_L vs. α'!X372</f>
        <v>0.11500934029076199</v>
      </c>
      <c r="Q264">
        <f>'C_L vs. α'!Y372</f>
        <v>1.2187100318108479</v>
      </c>
      <c r="R264">
        <f t="shared" si="92"/>
        <v>2.9763966692221837</v>
      </c>
      <c r="S264">
        <f>'C_L vs. α'!Z372</f>
        <v>0.39791683239406395</v>
      </c>
      <c r="T264">
        <f>'C_L vs. α'!AA372</f>
        <v>0.18106425247368804</v>
      </c>
      <c r="U264">
        <f t="shared" si="87"/>
        <v>4.1131614492534041</v>
      </c>
      <c r="V264">
        <f>'C_L vs. α'!AB372+'C_L vs. α'!AD372</f>
        <v>0.75392639389490412</v>
      </c>
      <c r="W264">
        <f>'C_L vs. α'!AC372</f>
        <v>0.22729342331803393</v>
      </c>
    </row>
    <row r="265" spans="8:50" x14ac:dyDescent="0.25">
      <c r="H265" s="5">
        <v>0.35</v>
      </c>
      <c r="I265">
        <f t="shared" si="88"/>
        <v>0.93674969975975975</v>
      </c>
      <c r="J265">
        <f t="shared" si="89"/>
        <v>383.98499999999996</v>
      </c>
      <c r="K265">
        <f t="shared" si="90"/>
        <v>150.98314775039998</v>
      </c>
      <c r="L265">
        <f>'C_L vs. α'!O373</f>
        <v>0.11375906391372086</v>
      </c>
      <c r="M265">
        <f t="shared" si="91"/>
        <v>4778.773578809446</v>
      </c>
      <c r="N265">
        <f>'C_L vs. α'!S373</f>
        <v>0.11753458280720043</v>
      </c>
      <c r="O265">
        <f>'C_L vs. α'!L373</f>
        <v>0.9035204383586124</v>
      </c>
      <c r="P265">
        <f>'C_L vs. α'!X373</f>
        <v>0.11853872318180796</v>
      </c>
      <c r="Q265">
        <f>'C_L vs. α'!Y373</f>
        <v>1.2228773485094071</v>
      </c>
      <c r="R265">
        <f t="shared" si="92"/>
        <v>2.9674288282048868</v>
      </c>
      <c r="S265">
        <f>'C_L vs. α'!Z373</f>
        <v>0.40415379968872978</v>
      </c>
      <c r="T265">
        <f>'C_L vs. α'!AA373</f>
        <v>0.18106425247368804</v>
      </c>
      <c r="U265">
        <f t="shared" si="87"/>
        <v>4.1041936082361072</v>
      </c>
      <c r="V265">
        <f>'C_L vs. α'!AB373+'C_L vs. α'!AD373</f>
        <v>0.76574347193359127</v>
      </c>
      <c r="W265">
        <f>'C_L vs. α'!AC373</f>
        <v>0.22729342331803393</v>
      </c>
    </row>
    <row r="266" spans="8:50" x14ac:dyDescent="0.25">
      <c r="H266" s="5">
        <v>0.4</v>
      </c>
      <c r="I266">
        <f t="shared" si="88"/>
        <v>0.91651513899116799</v>
      </c>
      <c r="J266">
        <f t="shared" si="89"/>
        <v>438.84</v>
      </c>
      <c r="K266">
        <f t="shared" si="90"/>
        <v>197.20247869439999</v>
      </c>
      <c r="L266">
        <f>'C_L vs. α'!O374</f>
        <v>0.11844937702562958</v>
      </c>
      <c r="M266">
        <f t="shared" si="91"/>
        <v>6499.0087102149</v>
      </c>
      <c r="N266">
        <f>'C_L vs. α'!S374</f>
        <v>0.12249278234294751</v>
      </c>
      <c r="O266">
        <f>'C_L vs. α'!L374</f>
        <v>0.90804921442867348</v>
      </c>
      <c r="P266">
        <f>'C_L vs. α'!X374</f>
        <v>0.12286718110409348</v>
      </c>
      <c r="Q266">
        <f>'C_L vs. α'!Y374</f>
        <v>1.2287153291552386</v>
      </c>
      <c r="R266">
        <f t="shared" si="92"/>
        <v>2.9566965210240901</v>
      </c>
      <c r="S266">
        <f>'C_L vs. α'!Z374</f>
        <v>0.41172716118850533</v>
      </c>
      <c r="T266">
        <f>'C_L vs. α'!AA374</f>
        <v>0.18106425247368804</v>
      </c>
      <c r="U266">
        <f t="shared" si="87"/>
        <v>4.09346130105531</v>
      </c>
      <c r="V266">
        <f>'C_L vs. α'!AB374+'C_L vs. α'!AD374</f>
        <v>0.78009259381123475</v>
      </c>
      <c r="W266">
        <f>'C_L vs. α'!AC374</f>
        <v>0.22729342331803393</v>
      </c>
    </row>
    <row r="267" spans="8:50" x14ac:dyDescent="0.25">
      <c r="H267" s="5">
        <v>0.45</v>
      </c>
      <c r="I267">
        <f t="shared" si="88"/>
        <v>0.89302855497458755</v>
      </c>
      <c r="J267">
        <f t="shared" si="89"/>
        <v>493.69499999999999</v>
      </c>
      <c r="K267">
        <f t="shared" si="90"/>
        <v>249.58438709759997</v>
      </c>
      <c r="L267">
        <f>'C_L vs. α'!O375</f>
        <v>0.12425694261102585</v>
      </c>
      <c r="M267">
        <f t="shared" si="91"/>
        <v>8628.5942333510939</v>
      </c>
      <c r="N267">
        <f>'C_L vs. α'!S375</f>
        <v>0.12864380245837007</v>
      </c>
      <c r="O267">
        <f>'C_L vs. α'!L375</f>
        <v>0.91195383992983581</v>
      </c>
      <c r="P267">
        <f>'C_L vs. α'!X375</f>
        <v>0.12814761345673484</v>
      </c>
      <c r="Q267">
        <f>'C_L vs. α'!Y375</f>
        <v>1.2369580304296415</v>
      </c>
      <c r="R267">
        <f t="shared" si="92"/>
        <v>2.9437191764506361</v>
      </c>
      <c r="S267">
        <f>'C_L vs. α'!Z375</f>
        <v>0.42084590260886801</v>
      </c>
      <c r="T267">
        <f>'C_L vs. α'!AA375</f>
        <v>0.18106425247368804</v>
      </c>
      <c r="U267">
        <f t="shared" si="87"/>
        <v>4.0804839564818565</v>
      </c>
      <c r="V267">
        <f>'C_L vs. α'!AB375+'C_L vs. α'!AD375</f>
        <v>0.79736972128169525</v>
      </c>
      <c r="W267">
        <f>'C_L vs. α'!AC375</f>
        <v>0.22729342331803393</v>
      </c>
    </row>
    <row r="268" spans="8:50" x14ac:dyDescent="0.25">
      <c r="H268" s="58">
        <v>0.5</v>
      </c>
      <c r="I268" s="99">
        <f t="shared" si="88"/>
        <v>0.8660254037844386</v>
      </c>
      <c r="J268" s="99">
        <f t="shared" si="89"/>
        <v>548.54999999999995</v>
      </c>
      <c r="K268" s="99">
        <f t="shared" si="90"/>
        <v>308.12887295999997</v>
      </c>
      <c r="L268" s="99">
        <f>'C_L vs. α'!O376</f>
        <v>0.13146303448299143</v>
      </c>
      <c r="M268" s="99">
        <f t="shared" si="91"/>
        <v>11270.365920637345</v>
      </c>
      <c r="N268" s="99">
        <f>'C_L vs. α'!S376</f>
        <v>0.136294012347947</v>
      </c>
      <c r="O268" s="99">
        <f>'C_L vs. α'!L376</f>
        <v>0.91537179741103425</v>
      </c>
      <c r="P268" s="99">
        <f>'C_L vs. α'!X376</f>
        <v>0.13458553519455874</v>
      </c>
      <c r="Q268" s="99">
        <f>'C_L vs. α'!Y376</f>
        <v>1.2487506177526941</v>
      </c>
      <c r="R268" s="99">
        <f t="shared" si="92"/>
        <v>2.9278538833445391</v>
      </c>
      <c r="S268" s="99">
        <f>'C_L vs. α'!Z376</f>
        <v>0.43178880504861844</v>
      </c>
      <c r="T268" s="99">
        <f>'C_L vs. α'!AA376</f>
        <v>0.18106425247368804</v>
      </c>
      <c r="U268" s="99">
        <f t="shared" si="87"/>
        <v>4.0646186633757599</v>
      </c>
      <c r="V268" s="99">
        <f>'C_L vs. α'!AB376+'C_L vs. α'!AD376</f>
        <v>0.81810305624897439</v>
      </c>
      <c r="W268" s="99">
        <f>'C_L vs. α'!AC376</f>
        <v>0.22729342331803393</v>
      </c>
    </row>
    <row r="269" spans="8:50" x14ac:dyDescent="0.25">
      <c r="H269" s="58">
        <v>0.55000000000000004</v>
      </c>
      <c r="I269" s="99">
        <f t="shared" si="88"/>
        <v>0.83516465442450327</v>
      </c>
      <c r="J269" s="99">
        <f t="shared" si="89"/>
        <v>603.40499999999997</v>
      </c>
      <c r="K269" s="99">
        <f t="shared" si="90"/>
        <v>372.83593628159991</v>
      </c>
      <c r="L269" s="99">
        <f>'C_L vs. α'!O377</f>
        <v>0.14047047884093974</v>
      </c>
      <c r="M269" s="99">
        <f t="shared" si="91"/>
        <v>14571.518005885753</v>
      </c>
      <c r="N269" s="99">
        <f>'C_L vs. α'!S377</f>
        <v>0.14588430801061572</v>
      </c>
      <c r="O269" s="99">
        <f>'C_L vs. α'!L377</f>
        <v>0.9184007767309994</v>
      </c>
      <c r="P269" s="99">
        <f>'C_L vs. α'!X377</f>
        <v>0.14246092570405852</v>
      </c>
      <c r="Q269" s="99">
        <f>'C_L vs. α'!Y377</f>
        <v>1.2659380192107941</v>
      </c>
      <c r="R269" s="99">
        <f t="shared" si="92"/>
        <v>2.9081982192154685</v>
      </c>
      <c r="S269" s="99">
        <f>'C_L vs. α'!Z377</f>
        <v>0.44493263614763967</v>
      </c>
      <c r="T269" s="99">
        <f>'C_L vs. α'!AA377</f>
        <v>0.18106425247368804</v>
      </c>
      <c r="U269" s="99">
        <f t="shared" si="87"/>
        <v>4.0449629992466889</v>
      </c>
      <c r="V269" s="99">
        <f>'C_L vs. α'!AB377+'C_L vs. α'!AD377</f>
        <v>0.84300645408421671</v>
      </c>
      <c r="W269" s="99">
        <f>'C_L vs. α'!AC377</f>
        <v>0.22729342331803393</v>
      </c>
    </row>
    <row r="270" spans="8:50" x14ac:dyDescent="0.25">
      <c r="H270" s="58">
        <v>0.6</v>
      </c>
      <c r="I270" s="99">
        <f t="shared" si="88"/>
        <v>0.8</v>
      </c>
      <c r="J270" s="99">
        <f t="shared" si="89"/>
        <v>658.25999999999988</v>
      </c>
      <c r="K270" s="99">
        <f t="shared" si="90"/>
        <v>443.70557706239987</v>
      </c>
      <c r="L270" s="99">
        <f>'C_L vs. α'!O378</f>
        <v>0.15187349429154923</v>
      </c>
      <c r="M270" s="99">
        <f t="shared" si="91"/>
        <v>18749.031618675886</v>
      </c>
      <c r="N270" s="99">
        <f>'C_L vs. α'!S378</f>
        <v>0.15806885198995582</v>
      </c>
      <c r="O270" s="99">
        <f>'C_L vs. α'!L378</f>
        <v>0.921112510895018</v>
      </c>
      <c r="P270" s="99">
        <f>'C_L vs. α'!X378</f>
        <v>0.15216131899790822</v>
      </c>
      <c r="Q270" s="99">
        <f>'C_L vs. α'!Y378</f>
        <v>1.2916153945984163</v>
      </c>
      <c r="R270" s="99">
        <f t="shared" si="92"/>
        <v>2.8834299053290309</v>
      </c>
      <c r="S270" s="99">
        <f>'C_L vs. α'!Z378</f>
        <v>0.46079638800646094</v>
      </c>
      <c r="T270" s="99">
        <f>'C_L vs. α'!AA378</f>
        <v>0.18106425247368804</v>
      </c>
      <c r="U270" s="99">
        <f t="shared" si="87"/>
        <v>4.0201946853602513</v>
      </c>
      <c r="V270" s="99">
        <f>'C_L vs. α'!AB378+'C_L vs. α'!AD378</f>
        <v>0.87306324047499806</v>
      </c>
      <c r="W270" s="99">
        <f>'C_L vs. α'!AC378</f>
        <v>0.22729342331803393</v>
      </c>
    </row>
    <row r="271" spans="8:50" x14ac:dyDescent="0.25">
      <c r="H271" s="5">
        <v>0.65</v>
      </c>
      <c r="I271">
        <f t="shared" si="88"/>
        <v>0.75993420767853315</v>
      </c>
      <c r="J271">
        <f t="shared" si="89"/>
        <v>713.11500000000001</v>
      </c>
      <c r="K271">
        <f t="shared" si="90"/>
        <v>520.73779530239995</v>
      </c>
      <c r="L271">
        <f>'C_L vs. α'!O379</f>
        <v>0.16658299205178798</v>
      </c>
      <c r="M271">
        <f t="shared" si="91"/>
        <v>24135.24584987263</v>
      </c>
      <c r="N271">
        <f>'C_L vs. α'!S379</f>
        <v>0.17385749335052486</v>
      </c>
      <c r="O271">
        <f>'C_L vs. α'!L379</f>
        <v>0.90518386673688811</v>
      </c>
      <c r="P271">
        <f>'C_L vs. α'!X379</f>
        <v>0.1642733863625756</v>
      </c>
      <c r="Q271">
        <f>'C_L vs. α'!Y379</f>
        <v>1.3312457184293842</v>
      </c>
      <c r="R271">
        <f t="shared" si="92"/>
        <v>2.8583314614273267</v>
      </c>
      <c r="S271">
        <f>'C_L vs. α'!Z379</f>
        <v>0.48011331066331625</v>
      </c>
      <c r="T271">
        <f>'C_L vs. α'!AA379</f>
        <v>0.18106425247368804</v>
      </c>
      <c r="U271">
        <f t="shared" si="87"/>
        <v>3.9950962414585471</v>
      </c>
      <c r="V271">
        <f>'C_L vs. α'!AB379+'C_L vs. α'!AD379</f>
        <v>0.90966269205438532</v>
      </c>
      <c r="W271">
        <f>'C_L vs. α'!AC379</f>
        <v>0.22729342331803393</v>
      </c>
    </row>
    <row r="272" spans="8:50" x14ac:dyDescent="0.25">
      <c r="H272" s="5">
        <v>0.7</v>
      </c>
      <c r="I272">
        <f t="shared" si="88"/>
        <v>0.71414284285428498</v>
      </c>
      <c r="J272">
        <f t="shared" si="89"/>
        <v>767.96999999999991</v>
      </c>
      <c r="K272">
        <f t="shared" si="90"/>
        <v>603.93259100159992</v>
      </c>
      <c r="L272">
        <f>'C_L vs. α'!O380</f>
        <v>0.18606658153192498</v>
      </c>
      <c r="M272">
        <f t="shared" si="91"/>
        <v>31265.027440750979</v>
      </c>
      <c r="N272">
        <f>'C_L vs. α'!S380</f>
        <v>0.19489118882148326</v>
      </c>
      <c r="O272">
        <f>'C_L vs. α'!L380</f>
        <v>0.90760985309101128</v>
      </c>
      <c r="P272">
        <f>'C_L vs. α'!X380</f>
        <v>0.17957725949504674</v>
      </c>
      <c r="Q272">
        <f>'C_L vs. α'!Y380</f>
        <v>1.3951127852600966</v>
      </c>
      <c r="R272">
        <f t="shared" si="92"/>
        <v>2.8167369937465514</v>
      </c>
      <c r="S272">
        <f>'C_L vs. α'!Z380</f>
        <v>0.50395361014601125</v>
      </c>
      <c r="T272">
        <f>'C_L vs. α'!AA380</f>
        <v>0.18106425247368804</v>
      </c>
      <c r="U272">
        <f t="shared" si="87"/>
        <v>3.9535017737777718</v>
      </c>
      <c r="V272">
        <f>'C_L vs. α'!AB380+'C_L vs. α'!AD380</f>
        <v>0.95483251035592154</v>
      </c>
      <c r="W272">
        <f>'C_L vs. α'!AC380</f>
        <v>0.22729342331803393</v>
      </c>
    </row>
    <row r="273" spans="8:42" x14ac:dyDescent="0.25">
      <c r="H273" s="5">
        <v>0.75</v>
      </c>
      <c r="I273">
        <f t="shared" si="88"/>
        <v>0.66143782776614768</v>
      </c>
      <c r="J273">
        <f t="shared" si="89"/>
        <v>822.82499999999993</v>
      </c>
      <c r="K273">
        <f t="shared" si="90"/>
        <v>693.28996415999984</v>
      </c>
      <c r="L273">
        <f>'C_L vs. α'!O381</f>
        <v>0.21284847584675293</v>
      </c>
      <c r="M273">
        <f t="shared" si="91"/>
        <v>41057.020250774171</v>
      </c>
      <c r="N273">
        <f>'C_L vs. α'!S381</f>
        <v>0.22402223560332959</v>
      </c>
      <c r="O273">
        <f>'C_L vs. α'!L381</f>
        <v>0.9098403400769226</v>
      </c>
      <c r="P273">
        <f>'C_L vs. α'!X381</f>
        <v>0.19920350233985573</v>
      </c>
      <c r="Q273">
        <f>'C_L vs. α'!Y381</f>
        <v>1.5042699888815725</v>
      </c>
      <c r="R273">
        <f t="shared" si="92"/>
        <v>2.7593099480700563</v>
      </c>
      <c r="S273">
        <f>'C_L vs. α'!Z381</f>
        <v>0.53394517608710246</v>
      </c>
      <c r="T273">
        <f>'C_L vs. α'!AA381</f>
        <v>0.18106425247368804</v>
      </c>
      <c r="U273">
        <f t="shared" si="87"/>
        <v>3.8960747281012766</v>
      </c>
      <c r="V273">
        <f>'C_L vs. α'!AB381+'C_L vs. α'!AD381</f>
        <v>1.0116570307492576</v>
      </c>
      <c r="W273">
        <f>'C_L vs. α'!AC381</f>
        <v>0.22729342331803393</v>
      </c>
    </row>
    <row r="274" spans="8:42" x14ac:dyDescent="0.25">
      <c r="H274" s="58">
        <v>0.8</v>
      </c>
      <c r="I274" s="99">
        <f t="shared" si="88"/>
        <v>0.59999999999999987</v>
      </c>
      <c r="J274" s="99">
        <f t="shared" si="89"/>
        <v>877.68</v>
      </c>
      <c r="K274" s="99">
        <f t="shared" si="90"/>
        <v>788.80991477759994</v>
      </c>
      <c r="L274" s="99">
        <f>'C_L vs. α'!O382</f>
        <v>0.25167326542920682</v>
      </c>
      <c r="M274" s="99">
        <f t="shared" si="91"/>
        <v>55234.625465315243</v>
      </c>
      <c r="N274" s="99">
        <f>'C_L vs. α'!S382</f>
        <v>0.266683574276255</v>
      </c>
      <c r="O274" s="99">
        <f>'C_L vs. α'!L382</f>
        <v>0.91190165842601956</v>
      </c>
      <c r="P274" s="99">
        <f>'C_L vs. α'!X382</f>
        <v>0.2247250445277123</v>
      </c>
      <c r="Q274" s="99">
        <f>'C_L vs. α'!Y382</f>
        <v>1.7070113297128373</v>
      </c>
      <c r="R274" s="99">
        <f t="shared" si="92"/>
        <v>2.6753953831834441</v>
      </c>
      <c r="S274" s="99">
        <f>'C_L vs. α'!Z382</f>
        <v>0.57269768603406035</v>
      </c>
      <c r="T274" s="99">
        <f>'C_L vs. α'!AA382</f>
        <v>0.18106425247368804</v>
      </c>
      <c r="U274" s="99">
        <f t="shared" si="87"/>
        <v>3.8121601632146644</v>
      </c>
      <c r="V274" s="99">
        <f>'C_L vs. α'!AB382+'C_L vs. α'!AD382</f>
        <v>1.085080765811947</v>
      </c>
      <c r="W274" s="99">
        <f>'C_L vs. α'!AC382</f>
        <v>0.22729342331803393</v>
      </c>
    </row>
    <row r="275" spans="8:42" x14ac:dyDescent="0.25">
      <c r="H275" s="5">
        <v>0.85</v>
      </c>
      <c r="I275">
        <f t="shared" si="88"/>
        <v>0.52678268764263703</v>
      </c>
      <c r="J275">
        <f t="shared" si="89"/>
        <v>932.53499999999985</v>
      </c>
      <c r="K275">
        <f t="shared" si="90"/>
        <v>890.49244285439966</v>
      </c>
      <c r="L275">
        <f>'C_L vs. α'!O383</f>
        <v>0.31267319102286617</v>
      </c>
      <c r="M275">
        <f t="shared" si="91"/>
        <v>77468.090774343334</v>
      </c>
      <c r="N275">
        <f>'C_L vs. α'!S383</f>
        <v>0.33467687582814859</v>
      </c>
      <c r="O275">
        <f>'C_L vs. α'!L383</f>
        <v>0.89621117091281588</v>
      </c>
      <c r="P275">
        <f>'C_L vs. α'!X383</f>
        <v>0.25875199294965567</v>
      </c>
      <c r="Q275">
        <f>'C_L vs. α'!Y383</f>
        <v>2.1338352284298052</v>
      </c>
      <c r="R275">
        <f t="shared" si="92"/>
        <v>2.5544161073139686</v>
      </c>
      <c r="S275">
        <f>'C_L vs. α'!Z383</f>
        <v>0.62468234732408157</v>
      </c>
      <c r="T275">
        <f>'C_L vs. α'!AA383</f>
        <v>0.18106425247368804</v>
      </c>
      <c r="U275">
        <f t="shared" si="87"/>
        <v>3.691180887345189</v>
      </c>
      <c r="V275">
        <f>'C_L vs. α'!AB383+'C_L vs. α'!AD383</f>
        <v>1.1835752376050392</v>
      </c>
      <c r="W275">
        <f>'C_L vs. α'!AC383</f>
        <v>0.22729342331803393</v>
      </c>
    </row>
    <row r="277" spans="8:42" x14ac:dyDescent="0.25">
      <c r="H277">
        <v>15000</v>
      </c>
    </row>
    <row r="278" spans="8:42" x14ac:dyDescent="0.25">
      <c r="H278" t="s">
        <v>177</v>
      </c>
      <c r="I278" s="238">
        <f>'Sub C_D_0'!B93</f>
        <v>1.4959999999999999E-3</v>
      </c>
    </row>
    <row r="279" spans="8:42" x14ac:dyDescent="0.25">
      <c r="H279" t="s">
        <v>142</v>
      </c>
      <c r="I279">
        <f>'Sub C_D_0'!B95</f>
        <v>1057.4000000000001</v>
      </c>
      <c r="Y279">
        <v>0.6</v>
      </c>
      <c r="AG279">
        <v>0.5</v>
      </c>
      <c r="AO279">
        <v>0.55000000000000004</v>
      </c>
    </row>
    <row r="280" spans="8:42" x14ac:dyDescent="0.25">
      <c r="H280" t="s">
        <v>348</v>
      </c>
      <c r="I280" s="223" t="s">
        <v>712</v>
      </c>
      <c r="J280" t="s">
        <v>1085</v>
      </c>
      <c r="K280" t="s">
        <v>184</v>
      </c>
      <c r="L280" t="s">
        <v>719</v>
      </c>
      <c r="M280" s="5" t="s">
        <v>1042</v>
      </c>
      <c r="N280" t="s">
        <v>1026</v>
      </c>
      <c r="O280" s="223" t="s">
        <v>785</v>
      </c>
      <c r="P280" t="s">
        <v>535</v>
      </c>
      <c r="Q280" t="s">
        <v>94</v>
      </c>
      <c r="R280" s="223" t="s">
        <v>1185</v>
      </c>
      <c r="S280" t="s">
        <v>750</v>
      </c>
      <c r="T280" t="s">
        <v>813</v>
      </c>
      <c r="U280" s="223" t="s">
        <v>1187</v>
      </c>
      <c r="V280" t="s">
        <v>750</v>
      </c>
      <c r="W280" t="s">
        <v>813</v>
      </c>
      <c r="Y280" t="s">
        <v>1093</v>
      </c>
      <c r="AG280" t="s">
        <v>1093</v>
      </c>
      <c r="AO280" t="s">
        <v>1093</v>
      </c>
    </row>
    <row r="281" spans="8:42" x14ac:dyDescent="0.25">
      <c r="H281" s="5">
        <v>0</v>
      </c>
      <c r="I281">
        <f>SQRT(1-H281^2)</f>
        <v>1</v>
      </c>
      <c r="J281">
        <f>H281*$I$279</f>
        <v>0</v>
      </c>
      <c r="K281">
        <f>$I$278*J281^2/2</f>
        <v>0</v>
      </c>
      <c r="L281">
        <f>'C_L vs. α'!O391</f>
        <v>0.10073378060434053</v>
      </c>
      <c r="M281">
        <f>(K281/36.5)*(L281/0.08)*$B$190</f>
        <v>0</v>
      </c>
      <c r="N281">
        <f>'C_L vs. α'!S391</f>
        <v>0.10381027215104761</v>
      </c>
      <c r="O281" t="e">
        <f>'C_L vs. α'!L391</f>
        <v>#NUM!</v>
      </c>
      <c r="P281" t="e">
        <f>'C_L vs. α'!X391</f>
        <v>#NUM!</v>
      </c>
      <c r="Q281">
        <f>'C_L vs. α'!Y391</f>
        <v>1.2104861657449768</v>
      </c>
      <c r="R281" t="e">
        <f>$L$208+$N281*$O281*($L$169/$I$169)*($O$204-$O$205)*$O$206</f>
        <v>#NUM!</v>
      </c>
      <c r="S281">
        <f>'C_L vs. α'!Z391</f>
        <v>0.38204298311929219</v>
      </c>
      <c r="T281">
        <f>'C_L vs. α'!AA391</f>
        <v>0.18106425247368804</v>
      </c>
      <c r="U281" t="e">
        <f t="shared" ref="U281:U298" si="93">$L$209+$N281*$O281*($L$169/$I$169)*($O$204-$O$205)*$O$206</f>
        <v>#NUM!</v>
      </c>
      <c r="V281">
        <f>'C_L vs. α'!AC382+'C_L vs. α'!AE382</f>
        <v>0.22729342331803393</v>
      </c>
      <c r="W281">
        <f>'C_L vs. α'!AD382</f>
        <v>0.25466912106255962</v>
      </c>
      <c r="Y281" t="s">
        <v>1164</v>
      </c>
      <c r="AG281" t="s">
        <v>1164</v>
      </c>
      <c r="AO281" t="s">
        <v>1164</v>
      </c>
    </row>
    <row r="282" spans="8:42" x14ac:dyDescent="0.25">
      <c r="H282" s="5">
        <v>0.05</v>
      </c>
      <c r="I282">
        <f t="shared" ref="I282:I298" si="94">SQRT(1-H282^2)</f>
        <v>0.99874921777190895</v>
      </c>
      <c r="J282">
        <f t="shared" ref="J282:J298" si="95">H282*$I$279</f>
        <v>52.870000000000005</v>
      </c>
      <c r="K282">
        <f t="shared" ref="K282:K298" si="96">$I$278*J282^2/2</f>
        <v>2.0908372012000003</v>
      </c>
      <c r="L282">
        <f>'C_L vs. α'!O392</f>
        <v>0.10096966142983717</v>
      </c>
      <c r="M282">
        <f t="shared" ref="M282:M298" si="97">(K282/36.5)*(L282/0.08)*$B$190</f>
        <v>58.737179370811923</v>
      </c>
      <c r="N282">
        <f>'C_L vs. α'!S392</f>
        <v>0.1040582208604917</v>
      </c>
      <c r="O282">
        <f>'C_L vs. α'!L392</f>
        <v>0.85078423124379809</v>
      </c>
      <c r="P282">
        <f>'C_L vs. α'!X392</f>
        <v>0.10622343199359674</v>
      </c>
      <c r="Q282">
        <f>'C_L vs. α'!Y392</f>
        <v>1.210660771233947</v>
      </c>
      <c r="R282">
        <f t="shared" ref="R282:R298" si="98">$L$208+N282*O282*($L$169/$I$169)*($O$204-$O$205)*$O$206</f>
        <v>3.0050831086317946</v>
      </c>
      <c r="S282">
        <f>'C_L vs. α'!Z392</f>
        <v>0.3824586133220616</v>
      </c>
      <c r="T282">
        <f>'C_L vs. α'!AA392</f>
        <v>0.18106425247368804</v>
      </c>
      <c r="U282">
        <f t="shared" si="93"/>
        <v>4.1418478886630155</v>
      </c>
      <c r="V282">
        <f>'C_L vs. α'!AC383+'C_L vs. α'!AE383</f>
        <v>0.22729342331803393</v>
      </c>
      <c r="W282">
        <f>'C_L vs. α'!AD383</f>
        <v>0.27778583398512102</v>
      </c>
      <c r="Y282" t="s">
        <v>1170</v>
      </c>
      <c r="Z282" t="s">
        <v>244</v>
      </c>
      <c r="AG282" t="s">
        <v>1170</v>
      </c>
      <c r="AH282" t="s">
        <v>244</v>
      </c>
      <c r="AO282" t="s">
        <v>1170</v>
      </c>
      <c r="AP282" t="s">
        <v>244</v>
      </c>
    </row>
    <row r="283" spans="8:42" x14ac:dyDescent="0.25">
      <c r="H283" s="5">
        <v>0.1</v>
      </c>
      <c r="I283">
        <f t="shared" si="94"/>
        <v>0.99498743710661997</v>
      </c>
      <c r="J283">
        <f t="shared" si="95"/>
        <v>105.74000000000001</v>
      </c>
      <c r="K283">
        <f t="shared" si="96"/>
        <v>8.3633488048000011</v>
      </c>
      <c r="L283">
        <f>'C_L vs. α'!O393</f>
        <v>0.10168399167415836</v>
      </c>
      <c r="M283">
        <f t="shared" si="97"/>
        <v>236.61090959507706</v>
      </c>
      <c r="N283">
        <f>'C_L vs. α'!S393</f>
        <v>0.10480923052652887</v>
      </c>
      <c r="O283">
        <f>'C_L vs. α'!L393</f>
        <v>0.87767494449379047</v>
      </c>
      <c r="P283">
        <f>'C_L vs. α'!X393</f>
        <v>0.10707427134016538</v>
      </c>
      <c r="Q283">
        <f>'C_L vs. α'!Y393</f>
        <v>1.2112007152996589</v>
      </c>
      <c r="R283">
        <f t="shared" si="98"/>
        <v>2.9977130241266061</v>
      </c>
      <c r="S283">
        <f>'C_L vs. α'!Z393</f>
        <v>0.38371367545476148</v>
      </c>
      <c r="T283">
        <f>'C_L vs. α'!AA393</f>
        <v>0.18106425247368804</v>
      </c>
      <c r="U283">
        <f t="shared" si="93"/>
        <v>4.1344778041578261</v>
      </c>
      <c r="V283">
        <f>'C_L vs. α'!AC384+'C_L vs. α'!AE384</f>
        <v>0.22729342331803393</v>
      </c>
      <c r="W283">
        <f>'C_L vs. α'!AD384</f>
        <v>0.31047187949997179</v>
      </c>
      <c r="Y283">
        <f>$L$204</f>
        <v>-3.2184201652101736E-2</v>
      </c>
      <c r="Z283">
        <v>0</v>
      </c>
      <c r="AG283">
        <f>$L$204</f>
        <v>-3.2184201652101736E-2</v>
      </c>
      <c r="AH283">
        <v>0</v>
      </c>
      <c r="AO283">
        <f>$L$204</f>
        <v>-3.2184201652101736E-2</v>
      </c>
      <c r="AP283">
        <v>0</v>
      </c>
    </row>
    <row r="284" spans="8:42" x14ac:dyDescent="0.25">
      <c r="H284" s="11">
        <v>0.15</v>
      </c>
      <c r="I284" s="29">
        <f t="shared" si="94"/>
        <v>0.98868599666425949</v>
      </c>
      <c r="J284" s="29">
        <f t="shared" si="95"/>
        <v>158.61000000000001</v>
      </c>
      <c r="K284" s="29">
        <f t="shared" si="96"/>
        <v>18.817534810800002</v>
      </c>
      <c r="L284" s="29">
        <f>'C_L vs. α'!O394</f>
        <v>0.10289731528202789</v>
      </c>
      <c r="M284" s="29">
        <f t="shared" si="97"/>
        <v>538.72699789389446</v>
      </c>
      <c r="N284" s="29">
        <f>'C_L vs. α'!S394</f>
        <v>0.10608531589764157</v>
      </c>
      <c r="O284" s="29">
        <f>'C_L vs. α'!L394</f>
        <v>0.89303061927041527</v>
      </c>
      <c r="P284" s="29">
        <f>'C_L vs. α'!X394</f>
        <v>0.1083219263347186</v>
      </c>
      <c r="Q284" s="29">
        <f>'C_L vs. α'!Y394</f>
        <v>1.2121563656765011</v>
      </c>
      <c r="R284" s="29">
        <f t="shared" si="98"/>
        <v>2.9918529270538814</v>
      </c>
      <c r="S284" s="29">
        <f>'C_L vs. α'!Z394</f>
        <v>0.38583313397868807</v>
      </c>
      <c r="T284" s="29">
        <f>'C_L vs. α'!AA394</f>
        <v>0.18106425247368804</v>
      </c>
      <c r="U284" s="29">
        <f t="shared" si="93"/>
        <v>4.1286177070851018</v>
      </c>
      <c r="V284" s="29">
        <f>'C_L vs. α'!AC385+'C_L vs. α'!AE385</f>
        <v>0.22729342331803393</v>
      </c>
      <c r="W284" s="29">
        <f>'C_L vs. α'!AD385</f>
        <v>0.35969945695596706</v>
      </c>
      <c r="Y284">
        <f>$L$205*Z284</f>
        <v>-3.1327376567092462</v>
      </c>
      <c r="Z284">
        <f>P293*12</f>
        <v>1.8259401329117499</v>
      </c>
      <c r="AG284">
        <f>$L$205*AH284</f>
        <v>-2.7709231686991385</v>
      </c>
      <c r="AH284">
        <f>P291*12</f>
        <v>1.6150537878928224</v>
      </c>
      <c r="AO284">
        <f>$L$205*AP284</f>
        <v>-2.9330470514446003</v>
      </c>
      <c r="AP284">
        <f>P292*12</f>
        <v>1.7095489344539865</v>
      </c>
    </row>
    <row r="285" spans="8:42" x14ac:dyDescent="0.25">
      <c r="H285" s="5">
        <v>0.2</v>
      </c>
      <c r="I285">
        <f t="shared" si="94"/>
        <v>0.9797958971132712</v>
      </c>
      <c r="J285">
        <f t="shared" si="95"/>
        <v>211.48000000000002</v>
      </c>
      <c r="K285">
        <f t="shared" si="96"/>
        <v>33.453395219200004</v>
      </c>
      <c r="L285">
        <f>'C_L vs. α'!O395</f>
        <v>0.10464554001175856</v>
      </c>
      <c r="M285">
        <f t="shared" si="97"/>
        <v>974.00882870898238</v>
      </c>
      <c r="N285">
        <f>'C_L vs. α'!S395</f>
        <v>0.10792498822942134</v>
      </c>
      <c r="O285">
        <f>'C_L vs. α'!L395</f>
        <v>0.90345744925122484</v>
      </c>
      <c r="P285">
        <f>'C_L vs. α'!X395</f>
        <v>0.11003817113140557</v>
      </c>
      <c r="Q285">
        <f>'C_L vs. α'!Y395</f>
        <v>1.2136186727696732</v>
      </c>
      <c r="R285">
        <f t="shared" si="98"/>
        <v>2.985951902117737</v>
      </c>
      <c r="S285">
        <f>'C_L vs. α'!Z395</f>
        <v>0.38886014509871991</v>
      </c>
      <c r="T285">
        <f>'C_L vs. α'!AA395</f>
        <v>0.18106425247368804</v>
      </c>
      <c r="U285">
        <f t="shared" si="93"/>
        <v>4.1227166821489574</v>
      </c>
      <c r="V285">
        <f>'C_L vs. α'!AC386+'C_L vs. α'!AE386</f>
        <v>0</v>
      </c>
      <c r="W285">
        <f>'C_L vs. α'!AD386</f>
        <v>0</v>
      </c>
      <c r="Y285">
        <f>$L$205*Z285</f>
        <v>-3.9159220708865572</v>
      </c>
      <c r="Z285">
        <f>P293*15</f>
        <v>2.2824251661396873</v>
      </c>
      <c r="AG285">
        <f>$L$205*AH285</f>
        <v>-3.463653960873923</v>
      </c>
      <c r="AH285">
        <f>P291*15</f>
        <v>2.0188172348660278</v>
      </c>
      <c r="AO285">
        <f>$L$205*AP285</f>
        <v>-3.6663088143057503</v>
      </c>
      <c r="AP285">
        <f>P292*15</f>
        <v>2.136936168067483</v>
      </c>
    </row>
    <row r="286" spans="8:42" x14ac:dyDescent="0.25">
      <c r="H286" s="5">
        <v>0.25</v>
      </c>
      <c r="I286">
        <f t="shared" si="94"/>
        <v>0.96824583655185426</v>
      </c>
      <c r="J286">
        <f t="shared" si="95"/>
        <v>264.35000000000002</v>
      </c>
      <c r="K286">
        <f t="shared" si="96"/>
        <v>52.270930030000009</v>
      </c>
      <c r="L286">
        <f>'C_L vs. α'!O396</f>
        <v>0.10698268400095574</v>
      </c>
      <c r="M286">
        <f t="shared" si="97"/>
        <v>1555.8785210203021</v>
      </c>
      <c r="N286">
        <f>'C_L vs. α'!S396</f>
        <v>0.11038625709076041</v>
      </c>
      <c r="O286">
        <f>'C_L vs. α'!L396</f>
        <v>0.91120328035211451</v>
      </c>
      <c r="P286">
        <f>'C_L vs. α'!X396</f>
        <v>0.11228155521018422</v>
      </c>
      <c r="Q286">
        <f>'C_L vs. α'!Y396</f>
        <v>1.2157311472964261</v>
      </c>
      <c r="R286">
        <f t="shared" si="98"/>
        <v>2.9793890085446555</v>
      </c>
      <c r="S286">
        <f>'C_L vs. α'!Z396</f>
        <v>0.39285856093509275</v>
      </c>
      <c r="T286">
        <f>'C_L vs. α'!AA396</f>
        <v>0.18106425247368804</v>
      </c>
      <c r="U286">
        <f t="shared" si="93"/>
        <v>4.1161537885758763</v>
      </c>
      <c r="V286">
        <f>'C_L vs. α'!AC387+'C_L vs. α'!AE387</f>
        <v>0</v>
      </c>
      <c r="W286">
        <f>'C_L vs. α'!AD387</f>
        <v>0</v>
      </c>
    </row>
    <row r="287" spans="8:42" x14ac:dyDescent="0.25">
      <c r="H287" s="5">
        <v>0.3</v>
      </c>
      <c r="I287">
        <f t="shared" si="94"/>
        <v>0.95393920141694566</v>
      </c>
      <c r="J287">
        <f t="shared" si="95"/>
        <v>317.22000000000003</v>
      </c>
      <c r="K287">
        <f t="shared" si="96"/>
        <v>75.270139243200006</v>
      </c>
      <c r="L287">
        <f>'C_L vs. α'!O397</f>
        <v>0.10998526883345291</v>
      </c>
      <c r="M287">
        <f t="shared" si="97"/>
        <v>2303.346147712291</v>
      </c>
      <c r="N287">
        <f>'C_L vs. α'!S397</f>
        <v>0.11355144228561578</v>
      </c>
      <c r="O287">
        <f>'C_L vs. α'!L397</f>
        <v>0.89884857518509409</v>
      </c>
      <c r="P287">
        <f>'C_L vs. α'!X397</f>
        <v>0.115013303835898</v>
      </c>
      <c r="Q287">
        <f>'C_L vs. α'!Y397</f>
        <v>1.2187100318108479</v>
      </c>
      <c r="R287">
        <f t="shared" si="98"/>
        <v>2.9762314358933724</v>
      </c>
      <c r="S287">
        <f>'C_L vs. α'!Z397</f>
        <v>0.39791683239406395</v>
      </c>
      <c r="T287">
        <f>'C_L vs. α'!AA397</f>
        <v>0.18106425247368804</v>
      </c>
      <c r="U287">
        <f t="shared" si="93"/>
        <v>4.1129962159245927</v>
      </c>
      <c r="V287">
        <f>'C_L vs. α'!AC388+'C_L vs. α'!AE388</f>
        <v>0</v>
      </c>
      <c r="W287">
        <f>'C_L vs. α'!AD388</f>
        <v>0</v>
      </c>
    </row>
    <row r="288" spans="8:42" x14ac:dyDescent="0.25">
      <c r="H288" s="5">
        <v>0.35</v>
      </c>
      <c r="I288">
        <f t="shared" si="94"/>
        <v>0.93674969975975975</v>
      </c>
      <c r="J288">
        <f t="shared" si="95"/>
        <v>370.09000000000003</v>
      </c>
      <c r="K288">
        <f t="shared" si="96"/>
        <v>102.4510228588</v>
      </c>
      <c r="L288">
        <f>'C_L vs. α'!O398</f>
        <v>0.11375906391372086</v>
      </c>
      <c r="M288">
        <f t="shared" si="97"/>
        <v>3242.6813750698152</v>
      </c>
      <c r="N288">
        <f>'C_L vs. α'!S398</f>
        <v>0.11753458280720043</v>
      </c>
      <c r="O288">
        <f>'C_L vs. α'!L398</f>
        <v>0.90418653447081709</v>
      </c>
      <c r="P288">
        <f>'C_L vs. α'!X398</f>
        <v>0.11854239254597372</v>
      </c>
      <c r="Q288">
        <f>'C_L vs. α'!Y398</f>
        <v>1.2228773485094071</v>
      </c>
      <c r="R288">
        <f t="shared" si="98"/>
        <v>2.9672619372974234</v>
      </c>
      <c r="S288">
        <f>'C_L vs. α'!Z398</f>
        <v>0.40415379968872978</v>
      </c>
      <c r="T288">
        <f>'C_L vs. α'!AA398</f>
        <v>0.18106425247368804</v>
      </c>
      <c r="U288">
        <f t="shared" si="93"/>
        <v>4.1040267173286438</v>
      </c>
      <c r="V288" t="e">
        <f>'C_L vs. α'!AC389+'C_L vs. α'!AE389</f>
        <v>#VALUE!</v>
      </c>
      <c r="W288">
        <f>'C_L vs. α'!AD389</f>
        <v>0</v>
      </c>
    </row>
    <row r="289" spans="8:49" x14ac:dyDescent="0.25">
      <c r="H289" s="5">
        <v>0.4</v>
      </c>
      <c r="I289">
        <f t="shared" si="94"/>
        <v>0.91651513899116799</v>
      </c>
      <c r="J289">
        <f t="shared" si="95"/>
        <v>422.96000000000004</v>
      </c>
      <c r="K289">
        <f t="shared" si="96"/>
        <v>133.81358087680002</v>
      </c>
      <c r="L289">
        <f>'C_L vs. α'!O399</f>
        <v>0.11844937702562958</v>
      </c>
      <c r="M289">
        <f t="shared" si="97"/>
        <v>4409.9629650753732</v>
      </c>
      <c r="N289">
        <f>'C_L vs. α'!S399</f>
        <v>0.12249278234294751</v>
      </c>
      <c r="O289">
        <f>'C_L vs. α'!L399</f>
        <v>0.9086998666819277</v>
      </c>
      <c r="P289">
        <f>'C_L vs. α'!X399</f>
        <v>0.12287049407064402</v>
      </c>
      <c r="Q289">
        <f>'C_L vs. α'!Y399</f>
        <v>1.2287153291552386</v>
      </c>
      <c r="R289">
        <f t="shared" si="98"/>
        <v>2.9565266225240174</v>
      </c>
      <c r="S289">
        <f>'C_L vs. α'!Z399</f>
        <v>0.41172716118850533</v>
      </c>
      <c r="T289">
        <f>'C_L vs. α'!AA399</f>
        <v>0.18106425247368804</v>
      </c>
      <c r="U289">
        <f t="shared" si="93"/>
        <v>4.0932914025552378</v>
      </c>
      <c r="V289" t="e">
        <f>'C_L vs. α'!AC390+'C_L vs. α'!AE390</f>
        <v>#VALUE!</v>
      </c>
      <c r="W289">
        <f>'C_L vs. α'!AD390</f>
        <v>0</v>
      </c>
    </row>
    <row r="290" spans="8:49" x14ac:dyDescent="0.25">
      <c r="H290" s="5">
        <v>0.45</v>
      </c>
      <c r="I290">
        <f t="shared" si="94"/>
        <v>0.89302855497458755</v>
      </c>
      <c r="J290">
        <f t="shared" si="95"/>
        <v>475.83000000000004</v>
      </c>
      <c r="K290">
        <f t="shared" si="96"/>
        <v>169.35781329720001</v>
      </c>
      <c r="L290">
        <f>'C_L vs. α'!O400</f>
        <v>0.12425694261102585</v>
      </c>
      <c r="M290">
        <f t="shared" si="97"/>
        <v>5855.0130806768866</v>
      </c>
      <c r="N290">
        <f>'C_L vs. α'!S400</f>
        <v>0.12864380245837007</v>
      </c>
      <c r="O290">
        <f>'C_L vs. α'!L400</f>
        <v>0.91259013634250763</v>
      </c>
      <c r="P290">
        <f>'C_L vs. α'!X400</f>
        <v>0.12815047869809809</v>
      </c>
      <c r="Q290">
        <f>'C_L vs. α'!Y400</f>
        <v>1.2369580304296415</v>
      </c>
      <c r="R290">
        <f t="shared" si="98"/>
        <v>2.9435446832734291</v>
      </c>
      <c r="S290">
        <f>'C_L vs. α'!Z400</f>
        <v>0.42084590260886801</v>
      </c>
      <c r="T290">
        <f>'C_L vs. α'!AA400</f>
        <v>0.18106425247368804</v>
      </c>
      <c r="U290">
        <f t="shared" si="93"/>
        <v>4.0803094633046495</v>
      </c>
      <c r="V290" t="e">
        <f>'C_L vs. α'!AC391+'C_L vs. α'!AE391</f>
        <v>#VALUE!</v>
      </c>
      <c r="W290">
        <f>'C_L vs. α'!AD391</f>
        <v>0</v>
      </c>
    </row>
    <row r="291" spans="8:49" x14ac:dyDescent="0.25">
      <c r="H291" s="58">
        <v>0.5</v>
      </c>
      <c r="I291" s="99">
        <f t="shared" si="94"/>
        <v>0.8660254037844386</v>
      </c>
      <c r="J291" s="99">
        <f t="shared" si="95"/>
        <v>528.70000000000005</v>
      </c>
      <c r="K291" s="99">
        <f t="shared" si="96"/>
        <v>209.08372012000004</v>
      </c>
      <c r="L291" s="99">
        <f>'C_L vs. α'!O401</f>
        <v>0.13146303448299143</v>
      </c>
      <c r="M291" s="99">
        <f t="shared" si="97"/>
        <v>7647.6118942168396</v>
      </c>
      <c r="N291" s="99">
        <f>'C_L vs. α'!S401</f>
        <v>0.136294012347947</v>
      </c>
      <c r="O291" s="99">
        <f>'C_L vs. α'!L401</f>
        <v>0.91599476071460173</v>
      </c>
      <c r="P291" s="99">
        <f>'C_L vs. α'!X401</f>
        <v>0.1345878156577352</v>
      </c>
      <c r="Q291" s="99">
        <f>'C_L vs. α'!Y401</f>
        <v>1.2487506177526941</v>
      </c>
      <c r="R291" s="99">
        <f t="shared" si="98"/>
        <v>2.9276728871896194</v>
      </c>
      <c r="S291" s="99">
        <f>'C_L vs. α'!Z401</f>
        <v>0.43178880504861844</v>
      </c>
      <c r="T291" s="99">
        <f>'C_L vs. α'!AA401</f>
        <v>0.18106425247368804</v>
      </c>
      <c r="U291" s="99">
        <f t="shared" si="93"/>
        <v>4.0644376672208393</v>
      </c>
      <c r="V291" s="99">
        <f>'C_L vs. α'!AC392+'C_L vs. α'!AE392</f>
        <v>-0.77270657668196607</v>
      </c>
      <c r="W291" s="99">
        <f>'C_L vs. α'!AD392</f>
        <v>0</v>
      </c>
    </row>
    <row r="292" spans="8:49" x14ac:dyDescent="0.25">
      <c r="H292" s="58">
        <v>0.55000000000000004</v>
      </c>
      <c r="I292" s="99">
        <f t="shared" si="94"/>
        <v>0.83516465442450327</v>
      </c>
      <c r="J292" s="99">
        <f t="shared" si="95"/>
        <v>581.57000000000005</v>
      </c>
      <c r="K292" s="99">
        <f t="shared" si="96"/>
        <v>252.99130134520001</v>
      </c>
      <c r="L292" s="99">
        <f>'C_L vs. α'!O402</f>
        <v>0.14047047884093974</v>
      </c>
      <c r="M292" s="99">
        <f t="shared" si="97"/>
        <v>9887.6394256686981</v>
      </c>
      <c r="N292" s="99">
        <f>'C_L vs. α'!S402</f>
        <v>0.14588430801061572</v>
      </c>
      <c r="O292" s="99">
        <f>'C_L vs. α'!L402</f>
        <v>0.91901134034717846</v>
      </c>
      <c r="P292" s="99">
        <f>'C_L vs. α'!X402</f>
        <v>0.14246241120449887</v>
      </c>
      <c r="Q292" s="99">
        <f>'C_L vs. α'!Y402</f>
        <v>1.2659380192107941</v>
      </c>
      <c r="R292" s="99">
        <f t="shared" si="98"/>
        <v>2.9080083434193678</v>
      </c>
      <c r="S292" s="99">
        <f>'C_L vs. α'!Z402</f>
        <v>0.44493263614763967</v>
      </c>
      <c r="T292" s="99">
        <f>'C_L vs. α'!AA402</f>
        <v>0.18106425247368804</v>
      </c>
      <c r="U292" s="99">
        <f t="shared" si="93"/>
        <v>4.0447731234505886</v>
      </c>
      <c r="V292" s="99">
        <f>'C_L vs. α'!AC393+'C_L vs. α'!AE393</f>
        <v>11.227293423318034</v>
      </c>
      <c r="W292" s="99">
        <f>'C_L vs. α'!AD393</f>
        <v>0</v>
      </c>
    </row>
    <row r="293" spans="8:49" x14ac:dyDescent="0.25">
      <c r="H293" s="58">
        <v>0.6</v>
      </c>
      <c r="I293" s="99">
        <f t="shared" si="94"/>
        <v>0.8</v>
      </c>
      <c r="J293" s="99">
        <f t="shared" si="95"/>
        <v>634.44000000000005</v>
      </c>
      <c r="K293" s="99">
        <f t="shared" si="96"/>
        <v>301.08055697280003</v>
      </c>
      <c r="L293" s="99">
        <f>'C_L vs. α'!O403</f>
        <v>0.15187349429154923</v>
      </c>
      <c r="M293" s="99">
        <f t="shared" si="97"/>
        <v>12722.330243907893</v>
      </c>
      <c r="N293" s="99">
        <f>'C_L vs. α'!S403</f>
        <v>0.15806885198995582</v>
      </c>
      <c r="O293" s="99">
        <f>'C_L vs. α'!L403</f>
        <v>0.92171151658294792</v>
      </c>
      <c r="P293" s="99">
        <f>'C_L vs. α'!X403</f>
        <v>0.15216167774264583</v>
      </c>
      <c r="Q293" s="99">
        <f>'C_L vs. α'!Y403</f>
        <v>1.2916153945984163</v>
      </c>
      <c r="R293" s="99">
        <f t="shared" si="98"/>
        <v>2.8832280652755262</v>
      </c>
      <c r="S293" s="99">
        <f>'C_L vs. α'!Z403</f>
        <v>0.46079638800646094</v>
      </c>
      <c r="T293" s="99">
        <f>'C_L vs. α'!AA403</f>
        <v>0.18106425247368804</v>
      </c>
      <c r="U293" s="99">
        <f t="shared" si="93"/>
        <v>4.0199928453067466</v>
      </c>
      <c r="V293" s="99">
        <f>'C_L vs. α'!AC394+'C_L vs. α'!AE394</f>
        <v>14.227293423318034</v>
      </c>
      <c r="W293" s="99">
        <f>'C_L vs. α'!AD394</f>
        <v>0</v>
      </c>
    </row>
    <row r="294" spans="8:49" x14ac:dyDescent="0.25">
      <c r="H294" s="5">
        <v>0.65</v>
      </c>
      <c r="I294">
        <f t="shared" si="94"/>
        <v>0.75993420767853315</v>
      </c>
      <c r="J294">
        <f t="shared" si="95"/>
        <v>687.31000000000006</v>
      </c>
      <c r="K294">
        <f t="shared" si="96"/>
        <v>353.35148700280007</v>
      </c>
      <c r="L294">
        <f>'C_L vs. α'!O404</f>
        <v>0.16658299205178798</v>
      </c>
      <c r="M294">
        <f t="shared" si="97"/>
        <v>16377.196138179655</v>
      </c>
      <c r="N294">
        <f>'C_L vs. α'!S404</f>
        <v>0.17385749335052486</v>
      </c>
      <c r="O294">
        <f>'C_L vs. α'!L404</f>
        <v>0.90582347065539581</v>
      </c>
      <c r="P294">
        <f>'C_L vs. α'!X404</f>
        <v>0.16427195887086532</v>
      </c>
      <c r="Q294">
        <f>'C_L vs. α'!Y404</f>
        <v>1.3312457184293842</v>
      </c>
      <c r="R294">
        <f t="shared" si="98"/>
        <v>2.8580944143327249</v>
      </c>
      <c r="S294">
        <f>'C_L vs. α'!Z404</f>
        <v>0.48011331066331625</v>
      </c>
      <c r="T294">
        <f>'C_L vs. α'!AA404</f>
        <v>0.18106425247368804</v>
      </c>
      <c r="U294">
        <f t="shared" si="93"/>
        <v>3.9948591943639453</v>
      </c>
      <c r="V294">
        <f>'C_L vs. α'!AC395+'C_L vs. α'!AE395</f>
        <v>0.22729342331803393</v>
      </c>
      <c r="W294">
        <f>'C_L vs. α'!AD395</f>
        <v>0</v>
      </c>
    </row>
    <row r="295" spans="8:49" x14ac:dyDescent="0.25">
      <c r="H295" s="5">
        <v>0.7</v>
      </c>
      <c r="I295">
        <f t="shared" si="94"/>
        <v>0.71414284285428498</v>
      </c>
      <c r="J295">
        <f t="shared" si="95"/>
        <v>740.18000000000006</v>
      </c>
      <c r="K295">
        <f t="shared" si="96"/>
        <v>409.80409143520001</v>
      </c>
      <c r="L295">
        <f>'C_L vs. α'!O405</f>
        <v>0.18606658153192498</v>
      </c>
      <c r="M295">
        <f t="shared" si="97"/>
        <v>21215.175923532184</v>
      </c>
      <c r="N295">
        <f>'C_L vs. α'!S405</f>
        <v>0.19489118882148326</v>
      </c>
      <c r="O295">
        <f>'C_L vs. α'!L405</f>
        <v>0.90824135523284022</v>
      </c>
      <c r="P295">
        <f>'C_L vs. α'!X405</f>
        <v>0.17957296921450339</v>
      </c>
      <c r="Q295">
        <f>'C_L vs. α'!Y405</f>
        <v>1.3951127852600966</v>
      </c>
      <c r="R295">
        <f t="shared" si="98"/>
        <v>2.8164746340379718</v>
      </c>
      <c r="S295">
        <f>'C_L vs. α'!Z405</f>
        <v>0.50395361014601125</v>
      </c>
      <c r="T295">
        <f>'C_L vs. α'!AA405</f>
        <v>0.18106425247368804</v>
      </c>
      <c r="U295">
        <f t="shared" si="93"/>
        <v>3.9532394140691922</v>
      </c>
      <c r="V295">
        <f>'C_L vs. α'!AC396+'C_L vs. α'!AE396</f>
        <v>0.22729342331803393</v>
      </c>
      <c r="W295">
        <f>'C_L vs. α'!AD396</f>
        <v>0</v>
      </c>
    </row>
    <row r="296" spans="8:49" x14ac:dyDescent="0.25">
      <c r="H296" s="5">
        <v>0.75</v>
      </c>
      <c r="I296">
        <f t="shared" si="94"/>
        <v>0.66143782776614768</v>
      </c>
      <c r="J296">
        <f t="shared" si="95"/>
        <v>793.05000000000007</v>
      </c>
      <c r="K296">
        <f t="shared" si="96"/>
        <v>470.43837027000006</v>
      </c>
      <c r="L296">
        <f>'C_L vs. α'!O406</f>
        <v>0.21284847584675293</v>
      </c>
      <c r="M296">
        <f t="shared" si="97"/>
        <v>27859.623957370677</v>
      </c>
      <c r="N296">
        <f>'C_L vs. α'!S406</f>
        <v>0.22402223560332959</v>
      </c>
      <c r="O296">
        <f>'C_L vs. α'!L406</f>
        <v>0.91046407483385339</v>
      </c>
      <c r="P296">
        <f>'C_L vs. α'!X406</f>
        <v>0.19919440160472265</v>
      </c>
      <c r="Q296">
        <f>'C_L vs. α'!Y406</f>
        <v>1.5042699888815725</v>
      </c>
      <c r="R296">
        <f t="shared" si="98"/>
        <v>2.7590120819013175</v>
      </c>
      <c r="S296">
        <f>'C_L vs. α'!Z406</f>
        <v>0.53394517608710246</v>
      </c>
      <c r="T296">
        <f>'C_L vs. α'!AA406</f>
        <v>0.18106425247368804</v>
      </c>
      <c r="U296">
        <f t="shared" si="93"/>
        <v>3.8957768619325379</v>
      </c>
      <c r="V296">
        <f>'C_L vs. α'!AC397+'C_L vs. α'!AE397</f>
        <v>0.22729342331803393</v>
      </c>
      <c r="W296">
        <f>'C_L vs. α'!AD397</f>
        <v>0</v>
      </c>
    </row>
    <row r="297" spans="8:49" x14ac:dyDescent="0.25">
      <c r="H297" s="5">
        <v>0.8</v>
      </c>
      <c r="I297">
        <f t="shared" si="94"/>
        <v>0.59999999999999987</v>
      </c>
      <c r="J297">
        <f t="shared" si="95"/>
        <v>845.92000000000007</v>
      </c>
      <c r="K297">
        <f t="shared" si="96"/>
        <v>535.25432350720007</v>
      </c>
      <c r="L297">
        <f>'C_L vs. α'!O407</f>
        <v>0.25167326542920682</v>
      </c>
      <c r="M297">
        <f t="shared" si="97"/>
        <v>37479.970185144572</v>
      </c>
      <c r="N297">
        <f>'C_L vs. α'!S407</f>
        <v>0.266683574276255</v>
      </c>
      <c r="O297">
        <f>'C_L vs. α'!L407</f>
        <v>0.91251794852039914</v>
      </c>
      <c r="P297">
        <f>'C_L vs. α'!X407</f>
        <v>0.22470712759551215</v>
      </c>
      <c r="Q297">
        <f>'C_L vs. α'!Y407</f>
        <v>1.7070113297128373</v>
      </c>
      <c r="R297">
        <f t="shared" si="98"/>
        <v>2.67504502556806</v>
      </c>
      <c r="S297">
        <f>'C_L vs. α'!Z407</f>
        <v>0.57269768603406035</v>
      </c>
      <c r="T297">
        <f>'C_L vs. α'!AA407</f>
        <v>0.18106425247368804</v>
      </c>
      <c r="U297">
        <f t="shared" si="93"/>
        <v>3.8118098055992804</v>
      </c>
      <c r="V297">
        <f>'C_L vs. α'!AC398+'C_L vs. α'!AE398</f>
        <v>0.22729342331803393</v>
      </c>
      <c r="W297">
        <f>'C_L vs. α'!AD398</f>
        <v>0</v>
      </c>
    </row>
    <row r="298" spans="8:49" x14ac:dyDescent="0.25">
      <c r="H298" s="5">
        <v>0.85</v>
      </c>
      <c r="I298">
        <f t="shared" si="94"/>
        <v>0.52678268764263703</v>
      </c>
      <c r="J298">
        <f t="shared" si="95"/>
        <v>898.79000000000008</v>
      </c>
      <c r="K298">
        <f t="shared" si="96"/>
        <v>604.25195114680002</v>
      </c>
      <c r="L298">
        <f>'C_L vs. α'!O408</f>
        <v>0.31267319102286617</v>
      </c>
      <c r="M298">
        <f t="shared" si="97"/>
        <v>52566.695402790858</v>
      </c>
      <c r="N298">
        <f>'C_L vs. α'!S408</f>
        <v>0.33467687582814859</v>
      </c>
      <c r="O298">
        <f>'C_L vs. α'!L408</f>
        <v>0.89685791376776947</v>
      </c>
      <c r="P298">
        <f>'C_L vs. α'!X408</f>
        <v>0.25871347316564169</v>
      </c>
      <c r="Q298">
        <f>'C_L vs. α'!Y408</f>
        <v>2.1338352284298052</v>
      </c>
      <c r="R298">
        <f t="shared" si="98"/>
        <v>2.5539546968356071</v>
      </c>
      <c r="S298">
        <f>'C_L vs. α'!Z408</f>
        <v>0.62468234732408157</v>
      </c>
      <c r="T298">
        <f>'C_L vs. α'!AA408</f>
        <v>0.18106425247368804</v>
      </c>
      <c r="U298">
        <f t="shared" si="93"/>
        <v>3.6907194768668274</v>
      </c>
      <c r="V298">
        <f>'C_L vs. α'!AC399+'C_L vs. α'!AE399</f>
        <v>0.22729342331803393</v>
      </c>
      <c r="W298">
        <f>'C_L vs. α'!AD399</f>
        <v>0</v>
      </c>
    </row>
    <row r="300" spans="8:49" x14ac:dyDescent="0.25">
      <c r="H300">
        <v>20000</v>
      </c>
    </row>
    <row r="301" spans="8:49" x14ac:dyDescent="0.25">
      <c r="H301" t="s">
        <v>177</v>
      </c>
      <c r="I301" s="238">
        <f>'Sub C_D_0'!B123</f>
        <v>1.2669999999999999E-3</v>
      </c>
    </row>
    <row r="302" spans="8:49" x14ac:dyDescent="0.25">
      <c r="H302" t="s">
        <v>142</v>
      </c>
      <c r="I302">
        <f>'Sub C_D_0'!B125</f>
        <v>1057.4000000000001</v>
      </c>
      <c r="AO302">
        <v>0.5</v>
      </c>
      <c r="AW302">
        <v>0.55000000000000004</v>
      </c>
    </row>
    <row r="303" spans="8:49" x14ac:dyDescent="0.25">
      <c r="H303" t="s">
        <v>348</v>
      </c>
      <c r="I303" s="223" t="s">
        <v>712</v>
      </c>
      <c r="J303" t="s">
        <v>1085</v>
      </c>
      <c r="K303" t="s">
        <v>184</v>
      </c>
      <c r="L303" t="s">
        <v>719</v>
      </c>
      <c r="M303" s="5" t="s">
        <v>1042</v>
      </c>
      <c r="N303" t="s">
        <v>1026</v>
      </c>
      <c r="O303" s="223" t="s">
        <v>785</v>
      </c>
      <c r="P303" t="s">
        <v>535</v>
      </c>
      <c r="Q303" t="s">
        <v>94</v>
      </c>
      <c r="R303" s="223" t="s">
        <v>1185</v>
      </c>
      <c r="S303" t="s">
        <v>750</v>
      </c>
      <c r="T303" t="s">
        <v>813</v>
      </c>
      <c r="U303" s="223" t="s">
        <v>1187</v>
      </c>
      <c r="V303" t="s">
        <v>750</v>
      </c>
      <c r="W303" t="s">
        <v>813</v>
      </c>
      <c r="Y303" t="s">
        <v>1093</v>
      </c>
      <c r="AG303" t="s">
        <v>1197</v>
      </c>
      <c r="AO303" t="s">
        <v>1093</v>
      </c>
      <c r="AW303" t="s">
        <v>1093</v>
      </c>
    </row>
    <row r="304" spans="8:49" x14ac:dyDescent="0.25">
      <c r="H304" s="5">
        <v>0</v>
      </c>
      <c r="I304">
        <f>SQRT(1-H304^2)</f>
        <v>1</v>
      </c>
      <c r="J304">
        <f>H304*$I$302</f>
        <v>0</v>
      </c>
      <c r="K304">
        <f>$I$301*J304^2/2</f>
        <v>0</v>
      </c>
      <c r="L304">
        <f>'C_L vs. α'!O416</f>
        <v>0.10073378060434053</v>
      </c>
      <c r="M304">
        <f>(K304/36.5)*(L304/0.08)*$B$190</f>
        <v>0</v>
      </c>
      <c r="N304">
        <f>'C_L vs. α'!S416</f>
        <v>0.10381027215104761</v>
      </c>
      <c r="O304" t="e">
        <f>'C_L vs. α'!L416</f>
        <v>#NUM!</v>
      </c>
      <c r="P304" t="e">
        <f>'C_L vs. α'!X416</f>
        <v>#NUM!</v>
      </c>
      <c r="Q304">
        <f>'C_L vs. α'!Y416</f>
        <v>1.2104861657449768</v>
      </c>
      <c r="R304" t="e">
        <f>$L$208+$N304*$O304*($L$169/$I$169)*($O$204-$O$205)*$O$206</f>
        <v>#NUM!</v>
      </c>
      <c r="S304">
        <f>'C_L vs. α'!Z416</f>
        <v>0.38204298311929219</v>
      </c>
      <c r="T304">
        <f>'C_L vs. α'!AA416</f>
        <v>0.18106425247368804</v>
      </c>
      <c r="U304" t="e">
        <f t="shared" ref="U304:U321" si="99">$L$209+$N304*$O304*($L$169/$I$169)*($O$204-$O$205)*$O$206</f>
        <v>#NUM!</v>
      </c>
      <c r="V304">
        <f>'C_L vs. α'!AC405+'C_L vs. α'!AE405</f>
        <v>0.22729342331803393</v>
      </c>
      <c r="W304">
        <f>'C_L vs. α'!AD405</f>
        <v>0</v>
      </c>
      <c r="Y304" t="s">
        <v>1164</v>
      </c>
      <c r="AG304" t="s">
        <v>1164</v>
      </c>
      <c r="AO304" t="s">
        <v>1164</v>
      </c>
      <c r="AW304" t="s">
        <v>1164</v>
      </c>
    </row>
    <row r="305" spans="8:50" x14ac:dyDescent="0.25">
      <c r="H305" s="5">
        <v>0.05</v>
      </c>
      <c r="I305">
        <f t="shared" ref="I305:I321" si="100">SQRT(1-H305^2)</f>
        <v>0.99874921777190895</v>
      </c>
      <c r="J305">
        <f t="shared" ref="J305:J321" si="101">H305*$I$302</f>
        <v>52.870000000000005</v>
      </c>
      <c r="K305">
        <f t="shared" ref="K305:K321" si="102">$I$301*J305^2/2</f>
        <v>1.77078257615</v>
      </c>
      <c r="L305">
        <f>'C_L vs. α'!O417</f>
        <v>0.10096966142983717</v>
      </c>
      <c r="M305">
        <f t="shared" ref="M305:M321" si="103">(K305/36.5)*(L305/0.08)*$B$190</f>
        <v>49.745993491188969</v>
      </c>
      <c r="N305">
        <f>'C_L vs. α'!S417</f>
        <v>0.1040582208604917</v>
      </c>
      <c r="O305">
        <f>'C_L vs. α'!L417</f>
        <v>0.82710296062628896</v>
      </c>
      <c r="P305">
        <f>'C_L vs. α'!X417</f>
        <v>0.10607231296122756</v>
      </c>
      <c r="Q305">
        <f>'C_L vs. α'!Y417</f>
        <v>1.210660771233947</v>
      </c>
      <c r="R305">
        <f t="shared" ref="R305:R321" si="104">$L$208+N305*O305*($L$169/$I$169)*($O$204-$O$205)*$O$206</f>
        <v>3.0103361582642156</v>
      </c>
      <c r="S305">
        <f>'C_L vs. α'!Z417</f>
        <v>0.3824586133220616</v>
      </c>
      <c r="T305">
        <f>'C_L vs. α'!AA417</f>
        <v>0.18106425247368804</v>
      </c>
      <c r="U305">
        <f t="shared" si="99"/>
        <v>4.147100938295436</v>
      </c>
      <c r="V305">
        <f>'C_L vs. α'!AC406+'C_L vs. α'!AE406</f>
        <v>0.22729342331803393</v>
      </c>
      <c r="W305">
        <f>'C_L vs. α'!AD406</f>
        <v>0</v>
      </c>
      <c r="Y305" t="s">
        <v>1170</v>
      </c>
      <c r="Z305" t="s">
        <v>244</v>
      </c>
      <c r="AG305" t="s">
        <v>1170</v>
      </c>
      <c r="AH305" t="s">
        <v>244</v>
      </c>
      <c r="AO305" t="s">
        <v>1170</v>
      </c>
      <c r="AP305" t="s">
        <v>244</v>
      </c>
      <c r="AW305" t="s">
        <v>1170</v>
      </c>
      <c r="AX305" t="s">
        <v>244</v>
      </c>
    </row>
    <row r="306" spans="8:50" x14ac:dyDescent="0.25">
      <c r="H306" s="5">
        <v>0.1</v>
      </c>
      <c r="I306">
        <f t="shared" si="100"/>
        <v>0.99498743710661997</v>
      </c>
      <c r="J306">
        <f t="shared" si="101"/>
        <v>105.74000000000001</v>
      </c>
      <c r="K306">
        <f t="shared" si="102"/>
        <v>7.0831303046</v>
      </c>
      <c r="L306">
        <f>'C_L vs. α'!O418</f>
        <v>0.10168399167415836</v>
      </c>
      <c r="M306">
        <f t="shared" si="103"/>
        <v>200.39172624128514</v>
      </c>
      <c r="N306">
        <f>'C_L vs. α'!S418</f>
        <v>0.10480923052652887</v>
      </c>
      <c r="O306">
        <f>'C_L vs. α'!L418</f>
        <v>0.85208230968365706</v>
      </c>
      <c r="P306">
        <f>'C_L vs. α'!X418</f>
        <v>0.10691194222125561</v>
      </c>
      <c r="Q306">
        <f>'C_L vs. α'!Y418</f>
        <v>1.2112007152996589</v>
      </c>
      <c r="R306">
        <f t="shared" si="104"/>
        <v>3.0034310305562522</v>
      </c>
      <c r="S306">
        <f>'C_L vs. α'!Z418</f>
        <v>0.38371367545476148</v>
      </c>
      <c r="T306">
        <f>'C_L vs. α'!AA418</f>
        <v>0.18106425247368804</v>
      </c>
      <c r="U306">
        <f t="shared" si="99"/>
        <v>4.1401958105874721</v>
      </c>
      <c r="V306">
        <f>'C_L vs. α'!AC407+'C_L vs. α'!AE407</f>
        <v>0.22729342331803393</v>
      </c>
      <c r="W306">
        <f>'C_L vs. α'!AD407</f>
        <v>0</v>
      </c>
      <c r="Y306">
        <f>$L$204</f>
        <v>-3.2184201652101736E-2</v>
      </c>
      <c r="Z306">
        <v>0</v>
      </c>
      <c r="AG306">
        <f>$L$204</f>
        <v>-3.2184201652101736E-2</v>
      </c>
      <c r="AH306">
        <v>0</v>
      </c>
      <c r="AO306">
        <f>$L$204</f>
        <v>-3.2184201652101736E-2</v>
      </c>
      <c r="AP306">
        <v>0</v>
      </c>
      <c r="AW306">
        <f>$L$204</f>
        <v>-3.2184201652101736E-2</v>
      </c>
      <c r="AX306">
        <v>0</v>
      </c>
    </row>
    <row r="307" spans="8:50" x14ac:dyDescent="0.25">
      <c r="H307" s="11">
        <v>0.15</v>
      </c>
      <c r="I307" s="29">
        <f t="shared" si="100"/>
        <v>0.98868599666425949</v>
      </c>
      <c r="J307" s="29">
        <f t="shared" si="101"/>
        <v>158.61000000000001</v>
      </c>
      <c r="K307" s="29">
        <f t="shared" si="102"/>
        <v>15.937043185350001</v>
      </c>
      <c r="L307" s="29">
        <f>'C_L vs. α'!O419</f>
        <v>0.10289731528202789</v>
      </c>
      <c r="M307" s="29">
        <f t="shared" si="103"/>
        <v>456.26143471361246</v>
      </c>
      <c r="N307" s="29">
        <f>'C_L vs. α'!S419</f>
        <v>0.10608531589764157</v>
      </c>
      <c r="O307" s="29">
        <f>'C_L vs. α'!L419</f>
        <v>0.86782365197347322</v>
      </c>
      <c r="P307" s="29">
        <f>'C_L vs. α'!X419</f>
        <v>0.10816376407631595</v>
      </c>
      <c r="Q307" s="29">
        <f>'C_L vs. α'!Y419</f>
        <v>1.2121563656765011</v>
      </c>
      <c r="R307" s="29">
        <f t="shared" si="104"/>
        <v>2.9975533355549322</v>
      </c>
      <c r="S307" s="29">
        <f>'C_L vs. α'!Z419</f>
        <v>0.38583313397868807</v>
      </c>
      <c r="T307" s="29">
        <f>'C_L vs. α'!AA419</f>
        <v>0.18106425247368804</v>
      </c>
      <c r="U307" s="29">
        <f t="shared" si="99"/>
        <v>4.1343181155861526</v>
      </c>
      <c r="V307" s="29">
        <f>'C_L vs. α'!AC408+'C_L vs. α'!AE408</f>
        <v>0.22729342331803393</v>
      </c>
      <c r="W307" s="29">
        <f>'C_L vs. α'!AD408</f>
        <v>0</v>
      </c>
      <c r="Y307">
        <f>$L$205*Z307</f>
        <v>-3.1324703501711055</v>
      </c>
      <c r="Z307">
        <f>P316*12</f>
        <v>1.8257843312490301</v>
      </c>
      <c r="AG307">
        <f>$L$205*AH307</f>
        <v>-4.6395142987590168</v>
      </c>
      <c r="AH307">
        <f>P320*12</f>
        <v>2.7041764372382149</v>
      </c>
      <c r="AO307">
        <f>$L$205*AP307</f>
        <v>-2.7692345511302325</v>
      </c>
      <c r="AP307">
        <f>P314*12</f>
        <v>1.6140695642117868</v>
      </c>
      <c r="AW307">
        <f>$L$205*AX307</f>
        <v>-2.9319434123603174</v>
      </c>
      <c r="AX307">
        <f>P315*12</f>
        <v>1.708905669962328</v>
      </c>
    </row>
    <row r="308" spans="8:50" x14ac:dyDescent="0.25">
      <c r="H308" s="5">
        <v>0.2</v>
      </c>
      <c r="I308">
        <f t="shared" si="100"/>
        <v>0.9797958971132712</v>
      </c>
      <c r="J308">
        <f t="shared" si="101"/>
        <v>211.48000000000002</v>
      </c>
      <c r="K308">
        <f t="shared" si="102"/>
        <v>28.3325212184</v>
      </c>
      <c r="L308">
        <f>'C_L vs. α'!O420</f>
        <v>0.10464554001175856</v>
      </c>
      <c r="M308">
        <f t="shared" si="103"/>
        <v>824.91255746943887</v>
      </c>
      <c r="N308">
        <f>'C_L vs. α'!S420</f>
        <v>0.10792498822942134</v>
      </c>
      <c r="O308">
        <f>'C_L vs. α'!L420</f>
        <v>0.87897978419771794</v>
      </c>
      <c r="P308">
        <f>'C_L vs. α'!X420</f>
        <v>0.10988714161748976</v>
      </c>
      <c r="Q308">
        <f>'C_L vs. α'!Y420</f>
        <v>1.2136186727696732</v>
      </c>
      <c r="R308">
        <f t="shared" si="104"/>
        <v>2.9915833763965405</v>
      </c>
      <c r="S308">
        <f>'C_L vs. α'!Z420</f>
        <v>0.38886014509871991</v>
      </c>
      <c r="T308">
        <f>'C_L vs. α'!AA420</f>
        <v>0.18106425247368804</v>
      </c>
      <c r="U308">
        <f t="shared" si="99"/>
        <v>4.1283481564277613</v>
      </c>
      <c r="V308">
        <f>'C_L vs. α'!AC409+'C_L vs. α'!AE409</f>
        <v>0.22729342331803393</v>
      </c>
      <c r="W308">
        <f>'C_L vs. α'!AD409</f>
        <v>0</v>
      </c>
      <c r="Y308">
        <f>$L$205*Z308</f>
        <v>-3.915587937713882</v>
      </c>
      <c r="Z308">
        <f>P316*15</f>
        <v>2.2822304140612877</v>
      </c>
      <c r="AG308">
        <f>$L$205*AH308</f>
        <v>-5.7993928734487703</v>
      </c>
      <c r="AH308">
        <f>P320*15</f>
        <v>3.3802205465477684</v>
      </c>
      <c r="AO308">
        <f>$L$205*AP308</f>
        <v>-3.4615431889127901</v>
      </c>
      <c r="AP308">
        <f>P314*15</f>
        <v>2.0175869552647332</v>
      </c>
      <c r="AW308">
        <f>$L$205*AX308</f>
        <v>-3.6649292654503962</v>
      </c>
      <c r="AX308">
        <f>P315*15</f>
        <v>2.1361320874529097</v>
      </c>
    </row>
    <row r="309" spans="8:50" x14ac:dyDescent="0.25">
      <c r="H309" s="5">
        <v>0.25</v>
      </c>
      <c r="I309">
        <f t="shared" si="100"/>
        <v>0.96824583655185426</v>
      </c>
      <c r="J309">
        <f t="shared" si="101"/>
        <v>264.35000000000002</v>
      </c>
      <c r="K309">
        <f t="shared" si="102"/>
        <v>44.269564403750003</v>
      </c>
      <c r="L309">
        <f>'C_L vs. α'!O421</f>
        <v>0.10698268400095574</v>
      </c>
      <c r="M309">
        <f t="shared" si="103"/>
        <v>1317.7126244202693</v>
      </c>
      <c r="N309">
        <f>'C_L vs. α'!S421</f>
        <v>0.11038625709076041</v>
      </c>
      <c r="O309">
        <f>'C_L vs. α'!L421</f>
        <v>0.88748400378309866</v>
      </c>
      <c r="P309">
        <f>'C_L vs. α'!X421</f>
        <v>0.11213878405136782</v>
      </c>
      <c r="Q309">
        <f>'C_L vs. α'!Y421</f>
        <v>1.2157311472964261</v>
      </c>
      <c r="R309">
        <f t="shared" si="104"/>
        <v>2.9849704523173486</v>
      </c>
      <c r="S309">
        <f>'C_L vs. α'!Z421</f>
        <v>0.39285856093509275</v>
      </c>
      <c r="T309">
        <f>'C_L vs. α'!AA421</f>
        <v>0.18106425247368804</v>
      </c>
      <c r="U309">
        <f t="shared" si="99"/>
        <v>4.121735232348569</v>
      </c>
      <c r="V309">
        <f>'C_L vs. α'!AC410+'C_L vs. α'!AE410</f>
        <v>0.22729342331803393</v>
      </c>
      <c r="W309">
        <f>'C_L vs. α'!AD410</f>
        <v>0</v>
      </c>
    </row>
    <row r="310" spans="8:50" x14ac:dyDescent="0.25">
      <c r="H310" s="5">
        <v>0.3</v>
      </c>
      <c r="I310">
        <f t="shared" si="100"/>
        <v>0.95393920141694566</v>
      </c>
      <c r="J310">
        <f t="shared" si="101"/>
        <v>317.22000000000003</v>
      </c>
      <c r="K310">
        <f t="shared" si="102"/>
        <v>63.748172741400005</v>
      </c>
      <c r="L310">
        <f>'C_L vs. α'!O422</f>
        <v>0.10998526883345291</v>
      </c>
      <c r="M310">
        <f t="shared" si="103"/>
        <v>1950.7617440852091</v>
      </c>
      <c r="N310">
        <f>'C_L vs. α'!S422</f>
        <v>0.11355144228561578</v>
      </c>
      <c r="O310">
        <f>'C_L vs. α'!L422</f>
        <v>0.87480015834082325</v>
      </c>
      <c r="P310">
        <f>'C_L vs. α'!X422</f>
        <v>0.1148736684758787</v>
      </c>
      <c r="Q310">
        <f>'C_L vs. α'!Y422</f>
        <v>1.2187100318108479</v>
      </c>
      <c r="R310">
        <f t="shared" si="104"/>
        <v>2.982052592096736</v>
      </c>
      <c r="S310">
        <f>'C_L vs. α'!Z422</f>
        <v>0.39791683239406395</v>
      </c>
      <c r="T310">
        <f>'C_L vs. α'!AA422</f>
        <v>0.18106425247368804</v>
      </c>
      <c r="U310">
        <f t="shared" si="99"/>
        <v>4.1188173721279568</v>
      </c>
      <c r="V310">
        <f>'C_L vs. α'!AC411+'C_L vs. α'!AE411</f>
        <v>0</v>
      </c>
      <c r="W310">
        <f>'C_L vs. α'!AD411</f>
        <v>0</v>
      </c>
    </row>
    <row r="311" spans="8:50" x14ac:dyDescent="0.25">
      <c r="H311" s="5">
        <v>0.35</v>
      </c>
      <c r="I311">
        <f t="shared" si="100"/>
        <v>0.93674969975975975</v>
      </c>
      <c r="J311">
        <f t="shared" si="101"/>
        <v>370.09000000000003</v>
      </c>
      <c r="K311">
        <f t="shared" si="102"/>
        <v>86.768346231349994</v>
      </c>
      <c r="L311">
        <f>'C_L vs. α'!O423</f>
        <v>0.11375906391372086</v>
      </c>
      <c r="M311">
        <f t="shared" si="103"/>
        <v>2746.3083570945555</v>
      </c>
      <c r="N311">
        <f>'C_L vs. α'!S423</f>
        <v>0.11753458280720043</v>
      </c>
      <c r="O311">
        <f>'C_L vs. α'!L423</f>
        <v>0.88055955175658651</v>
      </c>
      <c r="P311">
        <f>'C_L vs. α'!X423</f>
        <v>0.11841223714928488</v>
      </c>
      <c r="Q311">
        <f>'C_L vs. α'!Y423</f>
        <v>1.2228773485094071</v>
      </c>
      <c r="R311">
        <f t="shared" si="104"/>
        <v>2.9731816964936577</v>
      </c>
      <c r="S311">
        <f>'C_L vs. α'!Z423</f>
        <v>0.40415379968872978</v>
      </c>
      <c r="T311">
        <f>'C_L vs. α'!AA423</f>
        <v>0.18106425247368804</v>
      </c>
      <c r="U311">
        <f t="shared" si="99"/>
        <v>4.1099464765248781</v>
      </c>
      <c r="V311">
        <f>'C_L vs. α'!AC412+'C_L vs. α'!AE412</f>
        <v>0</v>
      </c>
      <c r="W311">
        <f>'C_L vs. α'!AD412</f>
        <v>0</v>
      </c>
    </row>
    <row r="312" spans="8:50" x14ac:dyDescent="0.25">
      <c r="H312" s="5">
        <v>0.4</v>
      </c>
      <c r="I312">
        <f t="shared" si="100"/>
        <v>0.91651513899116799</v>
      </c>
      <c r="J312">
        <f t="shared" si="101"/>
        <v>422.96000000000004</v>
      </c>
      <c r="K312">
        <f t="shared" si="102"/>
        <v>113.3300848736</v>
      </c>
      <c r="L312">
        <f>'C_L vs. α'!O424</f>
        <v>0.11844937702562958</v>
      </c>
      <c r="M312">
        <f t="shared" si="103"/>
        <v>3734.9084737637013</v>
      </c>
      <c r="N312">
        <f>'C_L vs. α'!S424</f>
        <v>0.12249278234294751</v>
      </c>
      <c r="O312">
        <f>'C_L vs. α'!L424</f>
        <v>0.8854940455500222</v>
      </c>
      <c r="P312">
        <f>'C_L vs. α'!X424</f>
        <v>0.12275233554771042</v>
      </c>
      <c r="Q312">
        <f>'C_L vs. α'!Y424</f>
        <v>1.2287153291552386</v>
      </c>
      <c r="R312">
        <f t="shared" si="104"/>
        <v>2.9625861330898173</v>
      </c>
      <c r="S312">
        <f>'C_L vs. α'!Z424</f>
        <v>0.41172716118850533</v>
      </c>
      <c r="T312">
        <f>'C_L vs. α'!AA424</f>
        <v>0.18106425247368804</v>
      </c>
      <c r="U312">
        <f t="shared" si="99"/>
        <v>4.0993509131210377</v>
      </c>
      <c r="V312">
        <f>'C_L vs. α'!AC413+'C_L vs. α'!AE413</f>
        <v>0</v>
      </c>
      <c r="W312">
        <f>'C_L vs. α'!AD413</f>
        <v>0</v>
      </c>
    </row>
    <row r="313" spans="8:50" x14ac:dyDescent="0.25">
      <c r="H313" s="5">
        <v>0.45</v>
      </c>
      <c r="I313">
        <f t="shared" si="100"/>
        <v>0.89302855497458755</v>
      </c>
      <c r="J313">
        <f t="shared" si="101"/>
        <v>475.83000000000004</v>
      </c>
      <c r="K313">
        <f t="shared" si="102"/>
        <v>143.43338866815</v>
      </c>
      <c r="L313">
        <f>'C_L vs. α'!O425</f>
        <v>0.12425694261102585</v>
      </c>
      <c r="M313">
        <f t="shared" si="103"/>
        <v>4958.7577361080312</v>
      </c>
      <c r="N313">
        <f>'C_L vs. α'!S425</f>
        <v>0.12864380245837007</v>
      </c>
      <c r="O313">
        <f>'C_L vs. α'!L425</f>
        <v>0.88979316799870745</v>
      </c>
      <c r="P313">
        <f>'C_L vs. α'!X425</f>
        <v>0.1280478239991962</v>
      </c>
      <c r="Q313">
        <f>'C_L vs. α'!Y425</f>
        <v>1.2369580304296415</v>
      </c>
      <c r="R313">
        <f t="shared" si="104"/>
        <v>2.9497963536549925</v>
      </c>
      <c r="S313">
        <f>'C_L vs. α'!Z425</f>
        <v>0.42084590260886801</v>
      </c>
      <c r="T313">
        <f>'C_L vs. α'!AA425</f>
        <v>0.18106425247368804</v>
      </c>
      <c r="U313">
        <f t="shared" si="99"/>
        <v>4.0865611336862129</v>
      </c>
      <c r="V313">
        <f>'C_L vs. α'!AC414+'C_L vs. α'!AE414</f>
        <v>0</v>
      </c>
      <c r="W313">
        <f>'C_L vs. α'!AD414</f>
        <v>0</v>
      </c>
    </row>
    <row r="314" spans="8:50" x14ac:dyDescent="0.25">
      <c r="H314" s="58">
        <v>0.5</v>
      </c>
      <c r="I314" s="99">
        <f t="shared" si="100"/>
        <v>0.8660254037844386</v>
      </c>
      <c r="J314" s="99">
        <f t="shared" si="101"/>
        <v>528.70000000000005</v>
      </c>
      <c r="K314" s="99">
        <f t="shared" si="102"/>
        <v>177.07825761500001</v>
      </c>
      <c r="L314" s="99">
        <f>'C_L vs. α'!O426</f>
        <v>0.13146303448299143</v>
      </c>
      <c r="M314" s="99">
        <f t="shared" si="103"/>
        <v>6476.9547259176034</v>
      </c>
      <c r="N314" s="99">
        <f>'C_L vs. α'!S426</f>
        <v>0.136294012347947</v>
      </c>
      <c r="O314" s="99">
        <f>'C_L vs. α'!L426</f>
        <v>0.89358939872082299</v>
      </c>
      <c r="P314" s="99">
        <f>'C_L vs. α'!X426</f>
        <v>0.13450579701764889</v>
      </c>
      <c r="Q314" s="99">
        <f>'C_L vs. α'!Y426</f>
        <v>1.2487506177526941</v>
      </c>
      <c r="R314" s="99">
        <f t="shared" si="104"/>
        <v>2.9341825553309651</v>
      </c>
      <c r="S314" s="99">
        <f>'C_L vs. α'!Z426</f>
        <v>0.43178880504861844</v>
      </c>
      <c r="T314" s="99">
        <f>'C_L vs. α'!AA426</f>
        <v>0.18106425247368804</v>
      </c>
      <c r="U314" s="99">
        <f t="shared" si="99"/>
        <v>4.0709473353621854</v>
      </c>
      <c r="V314" s="99" t="e">
        <f>'C_L vs. α'!AC415+'C_L vs. α'!AE415</f>
        <v>#VALUE!</v>
      </c>
      <c r="W314" s="99">
        <f>'C_L vs. α'!AD415</f>
        <v>0</v>
      </c>
    </row>
    <row r="315" spans="8:50" x14ac:dyDescent="0.25">
      <c r="H315" s="58">
        <v>0.55000000000000004</v>
      </c>
      <c r="I315" s="99">
        <f t="shared" si="100"/>
        <v>0.83516465442450327</v>
      </c>
      <c r="J315" s="99">
        <f t="shared" si="101"/>
        <v>581.57000000000005</v>
      </c>
      <c r="K315" s="99">
        <f t="shared" si="102"/>
        <v>214.26469171414999</v>
      </c>
      <c r="L315" s="99">
        <f>'C_L vs. α'!O427</f>
        <v>0.14047047884093974</v>
      </c>
      <c r="M315" s="99">
        <f t="shared" si="103"/>
        <v>8374.0903424613898</v>
      </c>
      <c r="N315" s="99">
        <f>'C_L vs. α'!S427</f>
        <v>0.14588430801061572</v>
      </c>
      <c r="O315" s="99">
        <f>'C_L vs. α'!L427</f>
        <v>0.89697870387448408</v>
      </c>
      <c r="P315" s="99">
        <f>'C_L vs. α'!X427</f>
        <v>0.142408805830194</v>
      </c>
      <c r="Q315" s="99">
        <f>'C_L vs. α'!Y427</f>
        <v>1.2659380192107941</v>
      </c>
      <c r="R315" s="99">
        <f t="shared" si="104"/>
        <v>2.9148601509617671</v>
      </c>
      <c r="S315" s="99">
        <f>'C_L vs. α'!Z427</f>
        <v>0.44493263614763967</v>
      </c>
      <c r="T315" s="99">
        <f>'C_L vs. α'!AA427</f>
        <v>0.18106425247368804</v>
      </c>
      <c r="U315" s="99">
        <f t="shared" si="99"/>
        <v>4.0516249309929879</v>
      </c>
      <c r="V315" s="99" t="e">
        <f>'C_L vs. α'!AC416+'C_L vs. α'!AE416</f>
        <v>#VALUE!</v>
      </c>
      <c r="W315" s="99">
        <f>'C_L vs. α'!AD416</f>
        <v>0</v>
      </c>
    </row>
    <row r="316" spans="8:50" x14ac:dyDescent="0.25">
      <c r="H316" s="58">
        <v>0.6</v>
      </c>
      <c r="I316" s="99">
        <f t="shared" si="100"/>
        <v>0.8</v>
      </c>
      <c r="J316" s="99">
        <f t="shared" si="101"/>
        <v>634.44000000000005</v>
      </c>
      <c r="K316" s="99">
        <f t="shared" si="102"/>
        <v>254.99269096560002</v>
      </c>
      <c r="L316" s="99">
        <f>'C_L vs. α'!O428</f>
        <v>0.15187349429154923</v>
      </c>
      <c r="M316" s="99">
        <f t="shared" si="103"/>
        <v>10774.861242667981</v>
      </c>
      <c r="N316" s="99">
        <f>'C_L vs. α'!S428</f>
        <v>0.15806885198995582</v>
      </c>
      <c r="O316" s="99">
        <f>'C_L vs. α'!L428</f>
        <v>0.90003266614207755</v>
      </c>
      <c r="P316" s="99">
        <f>'C_L vs. α'!X428</f>
        <v>0.1521486942707525</v>
      </c>
      <c r="Q316" s="99">
        <f>'C_L vs. α'!Y428</f>
        <v>1.2916153945984163</v>
      </c>
      <c r="R316" s="99">
        <f t="shared" si="104"/>
        <v>2.8905329380356255</v>
      </c>
      <c r="S316" s="99">
        <f>'C_L vs. α'!Z428</f>
        <v>0.46079638800646094</v>
      </c>
      <c r="T316" s="99">
        <f>'C_L vs. α'!AA428</f>
        <v>0.18106425247368804</v>
      </c>
      <c r="U316" s="99">
        <f t="shared" si="99"/>
        <v>4.0272977180668459</v>
      </c>
      <c r="V316" s="99">
        <f>'C_L vs. α'!AC417+'C_L vs. α'!AE417</f>
        <v>-0.77270657668196607</v>
      </c>
      <c r="W316" s="99">
        <f>'C_L vs. α'!AD417</f>
        <v>0</v>
      </c>
    </row>
    <row r="317" spans="8:50" x14ac:dyDescent="0.25">
      <c r="H317" s="5">
        <v>0.65</v>
      </c>
      <c r="I317">
        <f t="shared" si="100"/>
        <v>0.75993420767853315</v>
      </c>
      <c r="J317">
        <f t="shared" si="101"/>
        <v>687.31000000000006</v>
      </c>
      <c r="K317">
        <f t="shared" si="102"/>
        <v>299.26225536935004</v>
      </c>
      <c r="L317">
        <f>'C_L vs. α'!O429</f>
        <v>0.16658299205178798</v>
      </c>
      <c r="M317">
        <f t="shared" si="103"/>
        <v>13870.259028792529</v>
      </c>
      <c r="N317">
        <f>'C_L vs. α'!S429</f>
        <v>0.17385749335052486</v>
      </c>
      <c r="O317">
        <f>'C_L vs. α'!L429</f>
        <v>0.88311794116800768</v>
      </c>
      <c r="P317">
        <f>'C_L vs. α'!X429</f>
        <v>0.16432263391237623</v>
      </c>
      <c r="Q317">
        <f>'C_L vs. α'!Y429</f>
        <v>1.3312457184293842</v>
      </c>
      <c r="R317">
        <f t="shared" si="104"/>
        <v>2.8665094343797395</v>
      </c>
      <c r="S317">
        <f>'C_L vs. α'!Z429</f>
        <v>0.48011331066331625</v>
      </c>
      <c r="T317">
        <f>'C_L vs. α'!AA429</f>
        <v>0.18106425247368804</v>
      </c>
      <c r="U317">
        <f t="shared" si="99"/>
        <v>4.0032742144109594</v>
      </c>
      <c r="V317">
        <f>'C_L vs. α'!AC418+'C_L vs. α'!AE418</f>
        <v>11.227293423318034</v>
      </c>
      <c r="W317">
        <f>'C_L vs. α'!AD418</f>
        <v>0</v>
      </c>
    </row>
    <row r="318" spans="8:50" x14ac:dyDescent="0.25">
      <c r="H318" s="5">
        <v>0.7</v>
      </c>
      <c r="I318">
        <f t="shared" si="100"/>
        <v>0.71414284285428498</v>
      </c>
      <c r="J318">
        <f t="shared" si="101"/>
        <v>740.18000000000006</v>
      </c>
      <c r="K318">
        <f t="shared" si="102"/>
        <v>347.07338492539998</v>
      </c>
      <c r="L318">
        <f>'C_L vs. α'!O430</f>
        <v>0.18606658153192498</v>
      </c>
      <c r="M318">
        <f t="shared" si="103"/>
        <v>17967.665705290954</v>
      </c>
      <c r="N318">
        <f>'C_L vs. α'!S430</f>
        <v>0.19489118882148326</v>
      </c>
      <c r="O318">
        <f>'C_L vs. α'!L430</f>
        <v>0.88576037565996502</v>
      </c>
      <c r="P318">
        <f>'C_L vs. α'!X430</f>
        <v>0.17972569982754277</v>
      </c>
      <c r="Q318">
        <f>'C_L vs. α'!Y430</f>
        <v>1.3951127852600966</v>
      </c>
      <c r="R318">
        <f t="shared" si="104"/>
        <v>2.8258144333175612</v>
      </c>
      <c r="S318">
        <f>'C_L vs. α'!Z430</f>
        <v>0.50395361014601125</v>
      </c>
      <c r="T318">
        <f>'C_L vs. α'!AA430</f>
        <v>0.18106425247368804</v>
      </c>
      <c r="U318">
        <f t="shared" si="99"/>
        <v>3.9625792133487816</v>
      </c>
      <c r="V318">
        <f>'C_L vs. α'!AC419+'C_L vs. α'!AE419</f>
        <v>14.227293423318034</v>
      </c>
      <c r="W318">
        <f>'C_L vs. α'!AD419</f>
        <v>0</v>
      </c>
    </row>
    <row r="319" spans="8:50" x14ac:dyDescent="0.25">
      <c r="H319" s="5">
        <v>0.75</v>
      </c>
      <c r="I319">
        <f t="shared" si="100"/>
        <v>0.66143782776614768</v>
      </c>
      <c r="J319">
        <f t="shared" si="101"/>
        <v>793.05000000000007</v>
      </c>
      <c r="K319">
        <f t="shared" si="102"/>
        <v>398.42607963375002</v>
      </c>
      <c r="L319">
        <f>'C_L vs. α'!O431</f>
        <v>0.21284847584675293</v>
      </c>
      <c r="M319">
        <f t="shared" si="103"/>
        <v>23595.015744644814</v>
      </c>
      <c r="N319">
        <f>'C_L vs. α'!S431</f>
        <v>0.22402223560332959</v>
      </c>
      <c r="O319">
        <f>'C_L vs. α'!L431</f>
        <v>0.88820343639815136</v>
      </c>
      <c r="P319">
        <f>'C_L vs. α'!X431</f>
        <v>0.19951920020227676</v>
      </c>
      <c r="Q319">
        <f>'C_L vs. α'!Y431</f>
        <v>1.5042699888815725</v>
      </c>
      <c r="R319">
        <f t="shared" si="104"/>
        <v>2.7696427081584627</v>
      </c>
      <c r="S319">
        <f>'C_L vs. α'!Z431</f>
        <v>0.53394517608710246</v>
      </c>
      <c r="T319">
        <f>'C_L vs. α'!AA431</f>
        <v>0.18106425247368804</v>
      </c>
      <c r="U319">
        <f t="shared" si="99"/>
        <v>3.9064074881896831</v>
      </c>
      <c r="V319">
        <f>'C_L vs. α'!AC420+'C_L vs. α'!AE420</f>
        <v>0.22729342331803393</v>
      </c>
      <c r="W319">
        <f>'C_L vs. α'!AD420</f>
        <v>0</v>
      </c>
    </row>
    <row r="320" spans="8:50" x14ac:dyDescent="0.25">
      <c r="H320" s="58">
        <v>0.8</v>
      </c>
      <c r="I320" s="99">
        <f t="shared" si="100"/>
        <v>0.59999999999999987</v>
      </c>
      <c r="J320" s="99">
        <f t="shared" si="101"/>
        <v>845.92000000000007</v>
      </c>
      <c r="K320" s="99">
        <f t="shared" si="102"/>
        <v>453.3203394944</v>
      </c>
      <c r="L320" s="99">
        <f>'C_L vs. α'!O432</f>
        <v>0.25167326542920682</v>
      </c>
      <c r="M320" s="99">
        <f t="shared" si="103"/>
        <v>31742.728759744765</v>
      </c>
      <c r="N320" s="99">
        <f>'C_L vs. α'!S432</f>
        <v>0.266683574276255</v>
      </c>
      <c r="O320" s="99">
        <f>'C_L vs. α'!L432</f>
        <v>0.89047255784193424</v>
      </c>
      <c r="P320" s="99">
        <f>'C_L vs. α'!X432</f>
        <v>0.22534803643651791</v>
      </c>
      <c r="Q320" s="99">
        <f>'C_L vs. α'!Y432</f>
        <v>1.7070113297128373</v>
      </c>
      <c r="R320" s="99">
        <f t="shared" si="104"/>
        <v>2.687577712007041</v>
      </c>
      <c r="S320" s="99">
        <f>'C_L vs. α'!Z432</f>
        <v>0.57269768603406035</v>
      </c>
      <c r="T320" s="99">
        <f>'C_L vs. α'!AA432</f>
        <v>0.18106425247368804</v>
      </c>
      <c r="U320" s="99">
        <f t="shared" si="99"/>
        <v>3.8243424920382614</v>
      </c>
      <c r="V320" s="99">
        <f>'C_L vs. α'!AC421+'C_L vs. α'!AE421</f>
        <v>0.22729342331803393</v>
      </c>
      <c r="W320" s="99">
        <f>'C_L vs. α'!AD421</f>
        <v>0</v>
      </c>
    </row>
    <row r="321" spans="8:42" x14ac:dyDescent="0.25">
      <c r="H321" s="5">
        <v>0.85</v>
      </c>
      <c r="I321">
        <f t="shared" si="100"/>
        <v>0.52678268764263703</v>
      </c>
      <c r="J321">
        <f t="shared" si="101"/>
        <v>898.79000000000008</v>
      </c>
      <c r="K321">
        <f t="shared" si="102"/>
        <v>511.75616450735004</v>
      </c>
      <c r="L321">
        <f>'C_L vs. α'!O433</f>
        <v>0.31267319102286617</v>
      </c>
      <c r="M321">
        <f t="shared" si="103"/>
        <v>44520.05553164173</v>
      </c>
      <c r="N321">
        <f>'C_L vs. α'!S433</f>
        <v>0.33467687582814859</v>
      </c>
      <c r="O321">
        <f>'C_L vs. α'!L433</f>
        <v>0.87416806587759566</v>
      </c>
      <c r="P321">
        <f>'C_L vs. α'!X433</f>
        <v>0.26006487277268031</v>
      </c>
      <c r="Q321">
        <f>'C_L vs. α'!Y433</f>
        <v>2.1338352284298052</v>
      </c>
      <c r="R321">
        <f t="shared" si="104"/>
        <v>2.570142480726489</v>
      </c>
      <c r="S321">
        <f>'C_L vs. α'!Z433</f>
        <v>0.62468234732408157</v>
      </c>
      <c r="T321">
        <f>'C_L vs. α'!AA433</f>
        <v>0.18106425247368804</v>
      </c>
      <c r="U321">
        <f t="shared" si="99"/>
        <v>3.7069072607577094</v>
      </c>
      <c r="V321">
        <f>'C_L vs. α'!AC422+'C_L vs. α'!AE422</f>
        <v>0.22729342331803393</v>
      </c>
      <c r="W321">
        <f>'C_L vs. α'!AD422</f>
        <v>0</v>
      </c>
    </row>
    <row r="323" spans="8:42" x14ac:dyDescent="0.25">
      <c r="H323">
        <v>30000</v>
      </c>
    </row>
    <row r="324" spans="8:42" x14ac:dyDescent="0.25">
      <c r="H324" t="s">
        <v>177</v>
      </c>
      <c r="I324" s="238">
        <f>'Sub C_D_0'!B153</f>
        <v>8.9070000000000002E-4</v>
      </c>
    </row>
    <row r="325" spans="8:42" x14ac:dyDescent="0.25">
      <c r="H325" t="s">
        <v>142</v>
      </c>
      <c r="I325">
        <f>'Sub C_D_0'!B155</f>
        <v>994.8</v>
      </c>
      <c r="AG325">
        <v>0.5</v>
      </c>
      <c r="AO325">
        <v>0.55000000000000004</v>
      </c>
    </row>
    <row r="326" spans="8:42" x14ac:dyDescent="0.25">
      <c r="H326" t="s">
        <v>348</v>
      </c>
      <c r="I326" s="223" t="s">
        <v>712</v>
      </c>
      <c r="J326" t="s">
        <v>1085</v>
      </c>
      <c r="K326" t="s">
        <v>184</v>
      </c>
      <c r="L326" t="s">
        <v>719</v>
      </c>
      <c r="M326" s="5" t="s">
        <v>1042</v>
      </c>
      <c r="N326" t="s">
        <v>1026</v>
      </c>
      <c r="O326" s="223" t="s">
        <v>785</v>
      </c>
      <c r="P326" t="s">
        <v>535</v>
      </c>
      <c r="Q326" t="s">
        <v>94</v>
      </c>
      <c r="R326" s="223" t="s">
        <v>1185</v>
      </c>
      <c r="S326" t="s">
        <v>750</v>
      </c>
      <c r="T326" t="s">
        <v>813</v>
      </c>
      <c r="U326" s="223" t="s">
        <v>1187</v>
      </c>
      <c r="V326" t="s">
        <v>750</v>
      </c>
      <c r="W326" t="s">
        <v>813</v>
      </c>
      <c r="Y326" t="s">
        <v>1093</v>
      </c>
      <c r="AG326" t="s">
        <v>1093</v>
      </c>
      <c r="AO326" t="s">
        <v>1093</v>
      </c>
    </row>
    <row r="327" spans="8:42" x14ac:dyDescent="0.25">
      <c r="H327" s="5">
        <v>0</v>
      </c>
      <c r="I327">
        <f>SQRT(1-H327^2)</f>
        <v>1</v>
      </c>
      <c r="J327">
        <f>H327*$I$325</f>
        <v>0</v>
      </c>
      <c r="K327">
        <f>$I$324*J327^2/2</f>
        <v>0</v>
      </c>
      <c r="L327">
        <f>'C_L vs. α'!O441</f>
        <v>0.10073378060434053</v>
      </c>
      <c r="M327">
        <f>(K327/36.5)*(L327/0.08)*$B$190</f>
        <v>0</v>
      </c>
      <c r="N327">
        <f>'C_L vs. α'!S441</f>
        <v>0.10381027215104761</v>
      </c>
      <c r="O327" t="e">
        <f>'C_L vs. α'!L441</f>
        <v>#NUM!</v>
      </c>
      <c r="P327" t="e">
        <f>'C_L vs. α'!X441</f>
        <v>#NUM!</v>
      </c>
      <c r="Q327">
        <f>'C_L vs. α'!Y441</f>
        <v>1.2104861657449768</v>
      </c>
      <c r="R327" t="e">
        <f>$L$208+$N327*$O327*($L$169/$I$169)*($O$204-$O$205)*$O$206</f>
        <v>#NUM!</v>
      </c>
      <c r="S327">
        <f>'C_L vs. α'!Z441</f>
        <v>0.38204298311929219</v>
      </c>
      <c r="T327">
        <f>'C_L vs. α'!AA441</f>
        <v>0.18106425247368804</v>
      </c>
      <c r="U327" t="e">
        <f t="shared" ref="U327:U344" si="105">$L$209+$N327*$O327*($L$169/$I$169)*($O$204-$O$205)*$O$206</f>
        <v>#NUM!</v>
      </c>
      <c r="V327">
        <f>'C_L vs. α'!AC428+'C_L vs. α'!AE428</f>
        <v>0.22729342331803393</v>
      </c>
      <c r="W327">
        <f>'C_L vs. α'!AD428</f>
        <v>0</v>
      </c>
      <c r="Y327" t="s">
        <v>1164</v>
      </c>
      <c r="AG327" t="s">
        <v>1164</v>
      </c>
      <c r="AO327" t="s">
        <v>1164</v>
      </c>
    </row>
    <row r="328" spans="8:42" x14ac:dyDescent="0.25">
      <c r="H328" s="5">
        <v>0.05</v>
      </c>
      <c r="I328">
        <f t="shared" ref="I328:I344" si="106">SQRT(1-H328^2)</f>
        <v>0.99874921777190895</v>
      </c>
      <c r="J328">
        <f t="shared" ref="J328:J344" si="107">H328*$I$325</f>
        <v>49.74</v>
      </c>
      <c r="K328">
        <f t="shared" ref="K328:K344" si="108">$I$324*J328^2/2</f>
        <v>1.1018260056600002</v>
      </c>
      <c r="L328">
        <f>'C_L vs. α'!O442</f>
        <v>0.10096966142983717</v>
      </c>
      <c r="M328">
        <f t="shared" ref="M328:M344" si="109">(K328/36.5)*(L328/0.08)*$B$190</f>
        <v>30.953223757800362</v>
      </c>
      <c r="N328">
        <f>'C_L vs. α'!S442</f>
        <v>0.1040582208604917</v>
      </c>
      <c r="O328">
        <f>'C_L vs. α'!L442</f>
        <v>0.85534359114237291</v>
      </c>
      <c r="P328">
        <f>'C_L vs. α'!X442</f>
        <v>0.10625252697195428</v>
      </c>
      <c r="Q328">
        <f>'C_L vs. α'!Y442</f>
        <v>1.210660771233947</v>
      </c>
      <c r="R328">
        <f t="shared" ref="R328:R344" si="110">$L$208+N328*O328*($L$169/$I$169)*($O$204-$O$205)*$O$206</f>
        <v>3.004071737906544</v>
      </c>
      <c r="S328">
        <f>'C_L vs. α'!Z442</f>
        <v>0.3824586133220616</v>
      </c>
      <c r="T328">
        <f>'C_L vs. α'!AA442</f>
        <v>0.18106425247368804</v>
      </c>
      <c r="U328">
        <f t="shared" si="105"/>
        <v>4.1408365179377649</v>
      </c>
      <c r="V328">
        <f>'C_L vs. α'!AC429+'C_L vs. α'!AE429</f>
        <v>0.22729342331803393</v>
      </c>
      <c r="W328">
        <f>'C_L vs. α'!AD429</f>
        <v>0</v>
      </c>
      <c r="Y328" t="s">
        <v>1170</v>
      </c>
      <c r="Z328" t="s">
        <v>244</v>
      </c>
      <c r="AG328" t="s">
        <v>1170</v>
      </c>
      <c r="AH328" t="s">
        <v>244</v>
      </c>
      <c r="AO328" t="s">
        <v>1170</v>
      </c>
      <c r="AP328" t="s">
        <v>244</v>
      </c>
    </row>
    <row r="329" spans="8:42" x14ac:dyDescent="0.25">
      <c r="H329" s="5">
        <v>0.1</v>
      </c>
      <c r="I329">
        <f t="shared" si="106"/>
        <v>0.99498743710661997</v>
      </c>
      <c r="J329">
        <f t="shared" si="107"/>
        <v>99.48</v>
      </c>
      <c r="K329">
        <f t="shared" si="108"/>
        <v>4.4073040226400009</v>
      </c>
      <c r="L329">
        <f>'C_L vs. α'!O443</f>
        <v>0.10168399167415836</v>
      </c>
      <c r="M329">
        <f t="shared" si="109"/>
        <v>124.68883434114167</v>
      </c>
      <c r="N329">
        <f>'C_L vs. α'!S443</f>
        <v>0.10480923052652887</v>
      </c>
      <c r="O329">
        <f>'C_L vs. α'!L443</f>
        <v>0.88222601063843475</v>
      </c>
      <c r="P329">
        <f>'C_L vs. α'!X443</f>
        <v>0.10710313787004169</v>
      </c>
      <c r="Q329">
        <f>'C_L vs. α'!Y443</f>
        <v>1.2112007152996589</v>
      </c>
      <c r="R329">
        <f t="shared" si="110"/>
        <v>2.9966962071528993</v>
      </c>
      <c r="S329">
        <f>'C_L vs. α'!Z443</f>
        <v>0.38371367545476148</v>
      </c>
      <c r="T329">
        <f>'C_L vs. α'!AA443</f>
        <v>0.18106425247368804</v>
      </c>
      <c r="U329">
        <f t="shared" si="105"/>
        <v>4.1334609871841197</v>
      </c>
      <c r="V329">
        <f>'C_L vs. α'!AC430+'C_L vs. α'!AE430</f>
        <v>0.22729342331803393</v>
      </c>
      <c r="W329">
        <f>'C_L vs. α'!AD430</f>
        <v>0</v>
      </c>
      <c r="Y329">
        <f>$L$204</f>
        <v>-3.2184201652101736E-2</v>
      </c>
      <c r="Z329">
        <v>0</v>
      </c>
      <c r="AG329">
        <f>$L$204</f>
        <v>-3.2184201652101736E-2</v>
      </c>
      <c r="AH329">
        <v>0</v>
      </c>
      <c r="AO329">
        <f>$L$204</f>
        <v>-3.2184201652101736E-2</v>
      </c>
      <c r="AP329">
        <v>0</v>
      </c>
    </row>
    <row r="330" spans="8:42" x14ac:dyDescent="0.25">
      <c r="H330" s="11">
        <v>0.15</v>
      </c>
      <c r="I330" s="29">
        <f t="shared" si="106"/>
        <v>0.98868599666425949</v>
      </c>
      <c r="J330" s="29">
        <f t="shared" si="107"/>
        <v>149.22</v>
      </c>
      <c r="K330" s="29">
        <f t="shared" si="108"/>
        <v>9.9164340509400013</v>
      </c>
      <c r="L330" s="29">
        <f>'C_L vs. α'!O444</f>
        <v>0.10289731528202789</v>
      </c>
      <c r="M330" s="29">
        <f t="shared" si="109"/>
        <v>283.89748177904812</v>
      </c>
      <c r="N330" s="29">
        <f>'C_L vs. α'!S444</f>
        <v>0.10608531589764157</v>
      </c>
      <c r="O330" s="29">
        <f>'C_L vs. α'!L444</f>
        <v>0.89738153224704831</v>
      </c>
      <c r="P330" s="29">
        <f>'C_L vs. α'!X444</f>
        <v>0.10834922633532522</v>
      </c>
      <c r="Q330" s="29">
        <f>'C_L vs. α'!Y444</f>
        <v>1.2121563656765011</v>
      </c>
      <c r="R330" s="29">
        <f t="shared" si="110"/>
        <v>2.9908689934839616</v>
      </c>
      <c r="S330" s="29">
        <f>'C_L vs. α'!Z444</f>
        <v>0.38583313397868807</v>
      </c>
      <c r="T330" s="29">
        <f>'C_L vs. α'!AA444</f>
        <v>0.18106425247368804</v>
      </c>
      <c r="U330" s="29">
        <f t="shared" si="105"/>
        <v>4.127633773515182</v>
      </c>
      <c r="V330" s="29">
        <f>'C_L vs. α'!AC431+'C_L vs. α'!AE431</f>
        <v>0.22729342331803393</v>
      </c>
      <c r="W330" s="29">
        <f>'C_L vs. α'!AD431</f>
        <v>0</v>
      </c>
      <c r="Y330">
        <f>$L$205*Z330</f>
        <v>-3.1327819674733761</v>
      </c>
      <c r="Z330">
        <f>P339*12</f>
        <v>1.8259659597799436</v>
      </c>
      <c r="AG330">
        <f>$L$205*AH330</f>
        <v>-2.7712051744920965</v>
      </c>
      <c r="AH330">
        <f>P337*12</f>
        <v>1.6152181571287758</v>
      </c>
      <c r="AO330">
        <f>$L$205*AP330</f>
        <v>-2.9332306359511513</v>
      </c>
      <c r="AP330">
        <f>P338*12</f>
        <v>1.7096559380894725</v>
      </c>
    </row>
    <row r="331" spans="8:42" x14ac:dyDescent="0.25">
      <c r="H331" s="5">
        <v>0.2</v>
      </c>
      <c r="I331">
        <f t="shared" si="106"/>
        <v>0.9797958971132712</v>
      </c>
      <c r="J331">
        <f t="shared" si="107"/>
        <v>198.96</v>
      </c>
      <c r="K331">
        <f t="shared" si="108"/>
        <v>17.629216090560003</v>
      </c>
      <c r="L331">
        <f>'C_L vs. α'!O445</f>
        <v>0.10464554001175856</v>
      </c>
      <c r="M331">
        <f t="shared" si="109"/>
        <v>513.28159676805785</v>
      </c>
      <c r="N331">
        <f>'C_L vs. α'!S445</f>
        <v>0.10792498822942134</v>
      </c>
      <c r="O331">
        <f>'C_L vs. α'!L445</f>
        <v>0.90761139314826356</v>
      </c>
      <c r="P331">
        <f>'C_L vs. α'!X445</f>
        <v>0.11006380135905318</v>
      </c>
      <c r="Q331">
        <f>'C_L vs. α'!Y445</f>
        <v>1.2136186727696732</v>
      </c>
      <c r="R331">
        <f t="shared" si="110"/>
        <v>2.9849962215754702</v>
      </c>
      <c r="S331">
        <f>'C_L vs. α'!Z445</f>
        <v>0.38886014509871991</v>
      </c>
      <c r="T331">
        <f>'C_L vs. α'!AA445</f>
        <v>0.18106425247368804</v>
      </c>
      <c r="U331">
        <f t="shared" si="105"/>
        <v>4.1217610016066901</v>
      </c>
      <c r="V331">
        <f>'C_L vs. α'!AC432+'C_L vs. α'!AE432</f>
        <v>0.22729342331803393</v>
      </c>
      <c r="W331">
        <f>'C_L vs. α'!AD432</f>
        <v>0</v>
      </c>
      <c r="Y331">
        <f>$L$205*Z331</f>
        <v>-3.9159774593417205</v>
      </c>
      <c r="Z331">
        <f>P339*15</f>
        <v>2.2824574497249297</v>
      </c>
      <c r="AG331">
        <f>$L$205*AH331</f>
        <v>-3.4640064681151208</v>
      </c>
      <c r="AH331">
        <f>P337*15</f>
        <v>2.0190226964109699</v>
      </c>
      <c r="AO331">
        <f>$L$205*AP331</f>
        <v>-3.6665382949389391</v>
      </c>
      <c r="AP331">
        <f>P338*15</f>
        <v>2.1370699226118406</v>
      </c>
    </row>
    <row r="332" spans="8:42" x14ac:dyDescent="0.25">
      <c r="H332" s="5">
        <v>0.25</v>
      </c>
      <c r="I332">
        <f t="shared" si="106"/>
        <v>0.96824583655185426</v>
      </c>
      <c r="J332">
        <f t="shared" si="107"/>
        <v>248.7</v>
      </c>
      <c r="K332">
        <f t="shared" si="108"/>
        <v>27.545650141499998</v>
      </c>
      <c r="L332">
        <f>'C_L vs. α'!O446</f>
        <v>0.10698268400095574</v>
      </c>
      <c r="M332">
        <f t="shared" si="109"/>
        <v>819.91434585346497</v>
      </c>
      <c r="N332">
        <f>'C_L vs. α'!S446</f>
        <v>0.11038625709076041</v>
      </c>
      <c r="O332">
        <f>'C_L vs. α'!L446</f>
        <v>0.91518273592732879</v>
      </c>
      <c r="P332">
        <f>'C_L vs. α'!X446</f>
        <v>0.11230550836416338</v>
      </c>
      <c r="Q332">
        <f>'C_L vs. α'!Y446</f>
        <v>1.2157311472964261</v>
      </c>
      <c r="R332">
        <f t="shared" si="110"/>
        <v>2.9784525926521068</v>
      </c>
      <c r="S332">
        <f>'C_L vs. α'!Z446</f>
        <v>0.39285856093509275</v>
      </c>
      <c r="T332">
        <f>'C_L vs. α'!AA446</f>
        <v>0.18106425247368804</v>
      </c>
      <c r="U332">
        <f t="shared" si="105"/>
        <v>4.1152173726833272</v>
      </c>
      <c r="V332">
        <f>'C_L vs. α'!AC433+'C_L vs. α'!AE433</f>
        <v>0.22729342331803393</v>
      </c>
      <c r="W332">
        <f>'C_L vs. α'!AD433</f>
        <v>0</v>
      </c>
    </row>
    <row r="333" spans="8:42" x14ac:dyDescent="0.25">
      <c r="H333" s="5">
        <v>0.3</v>
      </c>
      <c r="I333">
        <f t="shared" si="106"/>
        <v>0.95393920141694566</v>
      </c>
      <c r="J333">
        <f t="shared" si="107"/>
        <v>298.44</v>
      </c>
      <c r="K333">
        <f t="shared" si="108"/>
        <v>39.665736203760005</v>
      </c>
      <c r="L333">
        <f>'C_L vs. α'!O447</f>
        <v>0.10998526883345291</v>
      </c>
      <c r="M333">
        <f t="shared" si="109"/>
        <v>1213.8136264887605</v>
      </c>
      <c r="N333">
        <f>'C_L vs. α'!S447</f>
        <v>0.11355144228561578</v>
      </c>
      <c r="O333">
        <f>'C_L vs. α'!L447</f>
        <v>0.90296438233026788</v>
      </c>
      <c r="P333">
        <f>'C_L vs. α'!X447</f>
        <v>0.11503720196674827</v>
      </c>
      <c r="Q333">
        <f>'C_L vs. α'!Y447</f>
        <v>1.2187100318108479</v>
      </c>
      <c r="R333">
        <f t="shared" si="110"/>
        <v>2.9752351642281676</v>
      </c>
      <c r="S333">
        <f>'C_L vs. α'!Z447</f>
        <v>0.39791683239406395</v>
      </c>
      <c r="T333">
        <f>'C_L vs. α'!AA447</f>
        <v>0.18106425247368804</v>
      </c>
      <c r="U333">
        <f t="shared" si="105"/>
        <v>4.111999944259388</v>
      </c>
      <c r="V333">
        <f>'C_L vs. α'!AC434+'C_L vs. α'!AE434</f>
        <v>0.22729342331803393</v>
      </c>
      <c r="W333">
        <f>'C_L vs. α'!AD434</f>
        <v>0</v>
      </c>
    </row>
    <row r="334" spans="8:42" x14ac:dyDescent="0.25">
      <c r="H334" s="5">
        <v>0.35</v>
      </c>
      <c r="I334">
        <f t="shared" si="106"/>
        <v>0.93674969975975975</v>
      </c>
      <c r="J334">
        <f t="shared" si="107"/>
        <v>348.17999999999995</v>
      </c>
      <c r="K334">
        <f t="shared" si="108"/>
        <v>53.989474277339987</v>
      </c>
      <c r="L334">
        <f>'C_L vs. α'!O448</f>
        <v>0.11375906391372086</v>
      </c>
      <c r="M334">
        <f t="shared" si="109"/>
        <v>1708.8229849127717</v>
      </c>
      <c r="N334">
        <f>'C_L vs. α'!S448</f>
        <v>0.11753458280720043</v>
      </c>
      <c r="O334">
        <f>'C_L vs. α'!L448</f>
        <v>0.9081977189172582</v>
      </c>
      <c r="P334">
        <f>'C_L vs. α'!X448</f>
        <v>0.11856448920169711</v>
      </c>
      <c r="Q334">
        <f>'C_L vs. α'!Y448</f>
        <v>1.2228773485094071</v>
      </c>
      <c r="R334">
        <f t="shared" si="110"/>
        <v>2.966256931863517</v>
      </c>
      <c r="S334">
        <f>'C_L vs. α'!Z448</f>
        <v>0.40415379968872978</v>
      </c>
      <c r="T334">
        <f>'C_L vs. α'!AA448</f>
        <v>0.18106425247368804</v>
      </c>
      <c r="U334">
        <f t="shared" si="105"/>
        <v>4.1030217118947379</v>
      </c>
      <c r="V334">
        <f>'C_L vs. α'!AC435+'C_L vs. α'!AE435</f>
        <v>0.22729342331803393</v>
      </c>
      <c r="W334">
        <f>'C_L vs. α'!AD435</f>
        <v>0</v>
      </c>
    </row>
    <row r="335" spans="8:42" x14ac:dyDescent="0.25">
      <c r="H335" s="5">
        <v>0.4</v>
      </c>
      <c r="I335">
        <f t="shared" si="106"/>
        <v>0.91651513899116799</v>
      </c>
      <c r="J335">
        <f t="shared" si="107"/>
        <v>397.92</v>
      </c>
      <c r="K335">
        <f t="shared" si="108"/>
        <v>70.516864362240014</v>
      </c>
      <c r="L335">
        <f>'C_L vs. α'!O449</f>
        <v>0.11844937702562958</v>
      </c>
      <c r="M335">
        <f t="shared" si="109"/>
        <v>2323.9551487455751</v>
      </c>
      <c r="N335">
        <f>'C_L vs. α'!S449</f>
        <v>0.12249278234294751</v>
      </c>
      <c r="O335">
        <f>'C_L vs. α'!L449</f>
        <v>0.91261408151113121</v>
      </c>
      <c r="P335">
        <f>'C_L vs. α'!X449</f>
        <v>0.12289042432176656</v>
      </c>
      <c r="Q335">
        <f>'C_L vs. α'!Y449</f>
        <v>1.2287153291552386</v>
      </c>
      <c r="R335">
        <f t="shared" si="110"/>
        <v>2.9555045416426928</v>
      </c>
      <c r="S335">
        <f>'C_L vs. α'!Z449</f>
        <v>0.41172716118850533</v>
      </c>
      <c r="T335">
        <f>'C_L vs. α'!AA449</f>
        <v>0.18106425247368804</v>
      </c>
      <c r="U335">
        <f t="shared" si="105"/>
        <v>4.0922693216739132</v>
      </c>
      <c r="V335">
        <f>'C_L vs. α'!AC436+'C_L vs. α'!AE436</f>
        <v>0</v>
      </c>
      <c r="W335">
        <f>'C_L vs. α'!AD436</f>
        <v>0</v>
      </c>
    </row>
    <row r="336" spans="8:42" x14ac:dyDescent="0.25">
      <c r="H336" s="5">
        <v>0.45</v>
      </c>
      <c r="I336">
        <f t="shared" si="106"/>
        <v>0.89302855497458755</v>
      </c>
      <c r="J336">
        <f t="shared" si="107"/>
        <v>447.65999999999997</v>
      </c>
      <c r="K336">
        <f t="shared" si="108"/>
        <v>89.247906458459994</v>
      </c>
      <c r="L336">
        <f>'C_L vs. α'!O450</f>
        <v>0.12425694261102585</v>
      </c>
      <c r="M336">
        <f t="shared" si="109"/>
        <v>3085.4653208134546</v>
      </c>
      <c r="N336">
        <f>'C_L vs. α'!S450</f>
        <v>0.12864380245837007</v>
      </c>
      <c r="O336">
        <f>'C_L vs. α'!L450</f>
        <v>0.91641475812315187</v>
      </c>
      <c r="P336">
        <f>'C_L vs. α'!X450</f>
        <v>0.12816770096166333</v>
      </c>
      <c r="Q336">
        <f>'C_L vs. α'!Y450</f>
        <v>1.2369580304296415</v>
      </c>
      <c r="R336">
        <f t="shared" si="110"/>
        <v>2.9424958475534266</v>
      </c>
      <c r="S336">
        <f>'C_L vs. α'!Z450</f>
        <v>0.42084590260886801</v>
      </c>
      <c r="T336">
        <f>'C_L vs. α'!AA450</f>
        <v>0.18106425247368804</v>
      </c>
      <c r="U336">
        <f t="shared" si="105"/>
        <v>4.079260627584647</v>
      </c>
      <c r="V336">
        <f>'C_L vs. α'!AC437+'C_L vs. α'!AE437</f>
        <v>0</v>
      </c>
      <c r="W336">
        <f>'C_L vs. α'!AD437</f>
        <v>0</v>
      </c>
    </row>
    <row r="337" spans="8:90" x14ac:dyDescent="0.25">
      <c r="H337" s="58">
        <v>0.5</v>
      </c>
      <c r="I337" s="99">
        <f t="shared" si="106"/>
        <v>0.8660254037844386</v>
      </c>
      <c r="J337" s="99">
        <f t="shared" si="107"/>
        <v>497.4</v>
      </c>
      <c r="K337" s="99">
        <f t="shared" si="108"/>
        <v>110.18260056599999</v>
      </c>
      <c r="L337" s="99">
        <f>'C_L vs. α'!O451</f>
        <v>0.13146303448299143</v>
      </c>
      <c r="M337" s="99">
        <f t="shared" si="109"/>
        <v>4030.1261434446897</v>
      </c>
      <c r="N337" s="99">
        <f>'C_L vs. α'!S451</f>
        <v>0.136294012347947</v>
      </c>
      <c r="O337" s="99">
        <f>'C_L vs. α'!L451</f>
        <v>0.91973654452161346</v>
      </c>
      <c r="P337" s="99">
        <f>'C_L vs. α'!X451</f>
        <v>0.13460151309406465</v>
      </c>
      <c r="Q337" s="99">
        <f>'C_L vs. α'!Y451</f>
        <v>1.2487506177526941</v>
      </c>
      <c r="R337" s="99">
        <f t="shared" si="110"/>
        <v>2.9265857469395726</v>
      </c>
      <c r="S337" s="99">
        <f>'C_L vs. α'!Z451</f>
        <v>0.43178880504861844</v>
      </c>
      <c r="T337" s="99">
        <f>'C_L vs. α'!AA451</f>
        <v>0.18106425247368804</v>
      </c>
      <c r="U337" s="99">
        <f t="shared" si="105"/>
        <v>4.063350526970793</v>
      </c>
      <c r="V337" s="99">
        <f>'C_L vs. α'!AC438+'C_L vs. α'!AE438</f>
        <v>0</v>
      </c>
      <c r="W337" s="99">
        <f>'C_L vs. α'!AD438</f>
        <v>0</v>
      </c>
    </row>
    <row r="338" spans="8:90" x14ac:dyDescent="0.25">
      <c r="H338" s="58">
        <v>0.55000000000000004</v>
      </c>
      <c r="I338" s="99">
        <f t="shared" si="106"/>
        <v>0.83516465442450327</v>
      </c>
      <c r="J338" s="99">
        <f t="shared" si="107"/>
        <v>547.14</v>
      </c>
      <c r="K338" s="99">
        <f t="shared" si="108"/>
        <v>133.32094668485999</v>
      </c>
      <c r="L338" s="99">
        <f>'C_L vs. α'!O452</f>
        <v>0.14047047884093974</v>
      </c>
      <c r="M338" s="99">
        <f t="shared" si="109"/>
        <v>5210.5722279755646</v>
      </c>
      <c r="N338" s="99">
        <f>'C_L vs. α'!S452</f>
        <v>0.14588430801061572</v>
      </c>
      <c r="O338" s="99">
        <f>'C_L vs. α'!L452</f>
        <v>0.92267635253498692</v>
      </c>
      <c r="P338" s="99">
        <f>'C_L vs. α'!X452</f>
        <v>0.1424713281741227</v>
      </c>
      <c r="Q338" s="99">
        <f>'C_L vs. α'!Y452</f>
        <v>1.2659380192107941</v>
      </c>
      <c r="R338" s="99">
        <f t="shared" si="110"/>
        <v>2.906868581585484</v>
      </c>
      <c r="S338" s="99">
        <f>'C_L vs. α'!Z452</f>
        <v>0.44493263614763967</v>
      </c>
      <c r="T338" s="99">
        <f>'C_L vs. α'!AA452</f>
        <v>0.18106425247368804</v>
      </c>
      <c r="U338" s="99">
        <f t="shared" si="105"/>
        <v>4.0436333616167044</v>
      </c>
      <c r="V338" s="99">
        <f>'C_L vs. α'!AC439+'C_L vs. α'!AE439</f>
        <v>0</v>
      </c>
      <c r="W338" s="99">
        <f>'C_L vs. α'!AD439</f>
        <v>0</v>
      </c>
    </row>
    <row r="339" spans="8:90" x14ac:dyDescent="0.25">
      <c r="H339" s="58">
        <v>0.6</v>
      </c>
      <c r="I339" s="99">
        <f t="shared" si="106"/>
        <v>0.8</v>
      </c>
      <c r="J339" s="99">
        <f t="shared" si="107"/>
        <v>596.88</v>
      </c>
      <c r="K339" s="99">
        <f t="shared" si="108"/>
        <v>158.66294481504002</v>
      </c>
      <c r="L339" s="99">
        <f>'C_L vs. α'!O453</f>
        <v>0.15187349429154923</v>
      </c>
      <c r="M339" s="99">
        <f t="shared" si="109"/>
        <v>6704.3930093109002</v>
      </c>
      <c r="N339" s="99">
        <f>'C_L vs. α'!S453</f>
        <v>0.15806885198995582</v>
      </c>
      <c r="O339" s="99">
        <f>'C_L vs. α'!L453</f>
        <v>0.92530516765928195</v>
      </c>
      <c r="P339" s="99">
        <f>'C_L vs. α'!X453</f>
        <v>0.15216382998166197</v>
      </c>
      <c r="Q339" s="99">
        <f>'C_L vs. α'!Y453</f>
        <v>1.2916153945984163</v>
      </c>
      <c r="R339" s="99">
        <f t="shared" si="110"/>
        <v>2.8820171540268689</v>
      </c>
      <c r="S339" s="99">
        <f>'C_L vs. α'!Z453</f>
        <v>0.46079638800646094</v>
      </c>
      <c r="T339" s="99">
        <f>'C_L vs. α'!AA453</f>
        <v>0.18106425247368804</v>
      </c>
      <c r="U339" s="99">
        <f t="shared" si="105"/>
        <v>4.0187819340580893</v>
      </c>
      <c r="V339" s="99" t="e">
        <f>'C_L vs. α'!AC440+'C_L vs. α'!AE440</f>
        <v>#VALUE!</v>
      </c>
      <c r="W339" s="99">
        <f>'C_L vs. α'!AD440</f>
        <v>0</v>
      </c>
    </row>
    <row r="340" spans="8:90" x14ac:dyDescent="0.25">
      <c r="H340" s="5">
        <v>0.65</v>
      </c>
      <c r="I340">
        <f t="shared" si="106"/>
        <v>0.75993420767853315</v>
      </c>
      <c r="J340">
        <f t="shared" si="107"/>
        <v>646.62</v>
      </c>
      <c r="K340">
        <f t="shared" si="108"/>
        <v>186.20859495654003</v>
      </c>
      <c r="L340">
        <f>'C_L vs. α'!O454</f>
        <v>0.16658299205178798</v>
      </c>
      <c r="M340">
        <f t="shared" si="109"/>
        <v>8630.4283253064132</v>
      </c>
      <c r="N340">
        <f>'C_L vs. α'!S454</f>
        <v>0.17385749335052486</v>
      </c>
      <c r="O340">
        <f>'C_L vs. α'!L454</f>
        <v>0.90967522040692006</v>
      </c>
      <c r="P340">
        <f>'C_L vs. α'!X454</f>
        <v>0.16426336239313699</v>
      </c>
      <c r="Q340">
        <f>'C_L vs. α'!Y454</f>
        <v>1.3312457184293842</v>
      </c>
      <c r="R340">
        <f t="shared" si="110"/>
        <v>2.8566668963621278</v>
      </c>
      <c r="S340">
        <f>'C_L vs. α'!Z454</f>
        <v>0.48011331066331625</v>
      </c>
      <c r="T340">
        <f>'C_L vs. α'!AA454</f>
        <v>0.18106425247368804</v>
      </c>
      <c r="U340">
        <f t="shared" si="105"/>
        <v>3.9934316763933482</v>
      </c>
      <c r="V340" t="e">
        <f>'C_L vs. α'!AC441+'C_L vs. α'!AE441</f>
        <v>#VALUE!</v>
      </c>
      <c r="W340">
        <f>'C_L vs. α'!AD441</f>
        <v>0</v>
      </c>
    </row>
    <row r="341" spans="8:90" x14ac:dyDescent="0.25">
      <c r="H341" s="5">
        <v>0.7</v>
      </c>
      <c r="I341">
        <f t="shared" si="106"/>
        <v>0.71414284285428498</v>
      </c>
      <c r="J341">
        <f t="shared" si="107"/>
        <v>696.3599999999999</v>
      </c>
      <c r="K341">
        <f t="shared" si="108"/>
        <v>215.95789710935995</v>
      </c>
      <c r="L341">
        <f>'C_L vs. α'!O455</f>
        <v>0.18606658153192498</v>
      </c>
      <c r="M341">
        <f t="shared" si="109"/>
        <v>11179.9390855413</v>
      </c>
      <c r="N341">
        <f>'C_L vs. α'!S455</f>
        <v>0.19489118882148326</v>
      </c>
      <c r="O341">
        <f>'C_L vs. α'!L455</f>
        <v>0.91204232657403195</v>
      </c>
      <c r="P341">
        <f>'C_L vs. α'!X455</f>
        <v>0.17954714628800661</v>
      </c>
      <c r="Q341">
        <f>'C_L vs. α'!Y455</f>
        <v>1.3951127852600966</v>
      </c>
      <c r="R341">
        <f t="shared" si="110"/>
        <v>2.8148955075911406</v>
      </c>
      <c r="S341">
        <f>'C_L vs. α'!Z455</f>
        <v>0.50395361014601125</v>
      </c>
      <c r="T341">
        <f>'C_L vs. α'!AA455</f>
        <v>0.18106425247368804</v>
      </c>
      <c r="U341">
        <f t="shared" si="105"/>
        <v>3.951660287622361</v>
      </c>
      <c r="V341">
        <f>'C_L vs. α'!AC442+'C_L vs. α'!AE442</f>
        <v>-0.77270657668196607</v>
      </c>
      <c r="W341">
        <f>'C_L vs. α'!AD442</f>
        <v>0</v>
      </c>
    </row>
    <row r="342" spans="8:90" x14ac:dyDescent="0.25">
      <c r="H342" s="5">
        <v>0.75</v>
      </c>
      <c r="I342">
        <f t="shared" si="106"/>
        <v>0.66143782776614768</v>
      </c>
      <c r="J342">
        <f t="shared" si="107"/>
        <v>746.09999999999991</v>
      </c>
      <c r="K342">
        <f t="shared" si="108"/>
        <v>247.91085127349993</v>
      </c>
      <c r="L342">
        <f>'C_L vs. α'!O456</f>
        <v>0.21284847584675293</v>
      </c>
      <c r="M342">
        <f t="shared" si="109"/>
        <v>14681.419560796823</v>
      </c>
      <c r="N342">
        <f>'C_L vs. α'!S456</f>
        <v>0.22402223560332959</v>
      </c>
      <c r="O342">
        <f>'C_L vs. α'!L456</f>
        <v>0.91421652348956861</v>
      </c>
      <c r="P342">
        <f>'C_L vs. α'!X456</f>
        <v>0.19913965070149539</v>
      </c>
      <c r="Q342">
        <f>'C_L vs. α'!Y456</f>
        <v>1.5042699888815725</v>
      </c>
      <c r="R342">
        <f t="shared" si="110"/>
        <v>2.7572200902060544</v>
      </c>
      <c r="S342">
        <f>'C_L vs. α'!Z456</f>
        <v>0.53394517608710246</v>
      </c>
      <c r="T342">
        <f>'C_L vs. α'!AA456</f>
        <v>0.18106425247368804</v>
      </c>
      <c r="U342">
        <f t="shared" si="105"/>
        <v>3.8939848702372748</v>
      </c>
      <c r="V342">
        <f>'C_L vs. α'!AC443+'C_L vs. α'!AE443</f>
        <v>11.227293423318034</v>
      </c>
      <c r="W342">
        <f>'C_L vs. α'!AD443</f>
        <v>0</v>
      </c>
    </row>
    <row r="343" spans="8:90" x14ac:dyDescent="0.25">
      <c r="H343" s="5">
        <v>0.8</v>
      </c>
      <c r="I343">
        <f t="shared" si="106"/>
        <v>0.59999999999999987</v>
      </c>
      <c r="J343">
        <f t="shared" si="107"/>
        <v>795.84</v>
      </c>
      <c r="K343">
        <f t="shared" si="108"/>
        <v>282.06745744896006</v>
      </c>
      <c r="L343">
        <f>'C_L vs. α'!O457</f>
        <v>0.25167326542920682</v>
      </c>
      <c r="M343">
        <f t="shared" si="109"/>
        <v>19751.134051781926</v>
      </c>
      <c r="N343">
        <f>'C_L vs. α'!S457</f>
        <v>0.266683574276255</v>
      </c>
      <c r="O343">
        <f>'C_L vs. α'!L457</f>
        <v>0.9162240187729076</v>
      </c>
      <c r="P343">
        <f>'C_L vs. α'!X457</f>
        <v>0.22459938383969194</v>
      </c>
      <c r="Q343">
        <f>'C_L vs. α'!Y457</f>
        <v>1.7070113297128373</v>
      </c>
      <c r="R343">
        <f t="shared" si="110"/>
        <v>2.6729381444937821</v>
      </c>
      <c r="S343">
        <f>'C_L vs. α'!Z457</f>
        <v>0.57269768603406035</v>
      </c>
      <c r="T343">
        <f>'C_L vs. α'!AA457</f>
        <v>0.18106425247368804</v>
      </c>
      <c r="U343">
        <f t="shared" si="105"/>
        <v>3.8097029245250025</v>
      </c>
      <c r="V343">
        <f>'C_L vs. α'!AC444+'C_L vs. α'!AE444</f>
        <v>14.227293423318034</v>
      </c>
      <c r="W343">
        <f>'C_L vs. α'!AD444</f>
        <v>0</v>
      </c>
    </row>
    <row r="344" spans="8:90" x14ac:dyDescent="0.25">
      <c r="H344" s="5">
        <v>0.85</v>
      </c>
      <c r="I344">
        <f t="shared" si="106"/>
        <v>0.52678268764263703</v>
      </c>
      <c r="J344">
        <f t="shared" si="107"/>
        <v>845.57999999999993</v>
      </c>
      <c r="K344">
        <f t="shared" si="108"/>
        <v>318.42771563573996</v>
      </c>
      <c r="L344">
        <f>'C_L vs. α'!O458</f>
        <v>0.31267319102286617</v>
      </c>
      <c r="M344">
        <f t="shared" si="109"/>
        <v>27701.51209915393</v>
      </c>
      <c r="N344">
        <f>'C_L vs. α'!S458</f>
        <v>0.33467687582814859</v>
      </c>
      <c r="O344">
        <f>'C_L vs. α'!L458</f>
        <v>0.90076178383335359</v>
      </c>
      <c r="P344">
        <f>'C_L vs. α'!X458</f>
        <v>0.25848095999507764</v>
      </c>
      <c r="Q344">
        <f>'C_L vs. α'!Y458</f>
        <v>2.1338352284298052</v>
      </c>
      <c r="R344">
        <f t="shared" si="110"/>
        <v>2.5511695303036124</v>
      </c>
      <c r="S344">
        <f>'C_L vs. α'!Z458</f>
        <v>0.62468234732408157</v>
      </c>
      <c r="T344">
        <f>'C_L vs. α'!AA458</f>
        <v>0.18106425247368804</v>
      </c>
      <c r="U344">
        <f t="shared" si="105"/>
        <v>3.6879343103348328</v>
      </c>
      <c r="V344">
        <f>'C_L vs. α'!AC445+'C_L vs. α'!AE445</f>
        <v>0.22729342331803393</v>
      </c>
      <c r="W344">
        <f>'C_L vs. α'!AD445</f>
        <v>0</v>
      </c>
    </row>
    <row r="346" spans="8:90" x14ac:dyDescent="0.25">
      <c r="H346">
        <v>36000</v>
      </c>
    </row>
    <row r="347" spans="8:90" x14ac:dyDescent="0.25">
      <c r="H347" t="s">
        <v>177</v>
      </c>
      <c r="I347" s="238">
        <f>'Sub C_D_0'!B183</f>
        <v>7.1029999999999997E-4</v>
      </c>
    </row>
    <row r="348" spans="8:90" x14ac:dyDescent="0.25">
      <c r="H348" t="s">
        <v>142</v>
      </c>
      <c r="I348">
        <f>'Sub C_D_0'!B185</f>
        <v>968.7</v>
      </c>
      <c r="AW348" t="s">
        <v>1201</v>
      </c>
      <c r="BE348" t="s">
        <v>1202</v>
      </c>
      <c r="BM348" t="s">
        <v>1205</v>
      </c>
      <c r="BU348" t="s">
        <v>1226</v>
      </c>
      <c r="CC348" t="s">
        <v>1227</v>
      </c>
      <c r="CK348" t="s">
        <v>1207</v>
      </c>
    </row>
    <row r="349" spans="8:90" x14ac:dyDescent="0.25">
      <c r="H349" t="s">
        <v>348</v>
      </c>
      <c r="I349" s="223" t="s">
        <v>712</v>
      </c>
      <c r="J349" t="s">
        <v>1085</v>
      </c>
      <c r="K349" t="s">
        <v>184</v>
      </c>
      <c r="L349" t="s">
        <v>719</v>
      </c>
      <c r="M349" s="5" t="s">
        <v>1042</v>
      </c>
      <c r="N349" t="s">
        <v>1026</v>
      </c>
      <c r="O349" s="223" t="s">
        <v>785</v>
      </c>
      <c r="P349" t="s">
        <v>535</v>
      </c>
      <c r="Q349" t="s">
        <v>94</v>
      </c>
      <c r="R349" s="223" t="s">
        <v>1185</v>
      </c>
      <c r="S349" t="s">
        <v>750</v>
      </c>
      <c r="T349" t="s">
        <v>813</v>
      </c>
      <c r="U349" s="223" t="s">
        <v>1187</v>
      </c>
      <c r="V349" t="s">
        <v>750</v>
      </c>
      <c r="W349" t="s">
        <v>813</v>
      </c>
      <c r="Y349" t="s">
        <v>1093</v>
      </c>
      <c r="AG349" t="s">
        <v>1195</v>
      </c>
      <c r="AO349" t="s">
        <v>1198</v>
      </c>
      <c r="AW349" t="s">
        <v>1093</v>
      </c>
      <c r="BE349" t="s">
        <v>1093</v>
      </c>
      <c r="BM349" t="s">
        <v>1195</v>
      </c>
      <c r="BU349" t="s">
        <v>1195</v>
      </c>
      <c r="CC349" t="s">
        <v>1195</v>
      </c>
      <c r="CK349" t="s">
        <v>1195</v>
      </c>
    </row>
    <row r="350" spans="8:90" x14ac:dyDescent="0.25">
      <c r="H350" s="5">
        <v>0</v>
      </c>
      <c r="I350">
        <f>SQRT(1-H350^2)</f>
        <v>1</v>
      </c>
      <c r="J350">
        <f>H350*$I$348</f>
        <v>0</v>
      </c>
      <c r="K350">
        <f>$I$347*J350^2/2</f>
        <v>0</v>
      </c>
      <c r="L350">
        <f>'C_L vs. α'!O466</f>
        <v>0.10073378060434053</v>
      </c>
      <c r="M350">
        <f>(K350/36.5)*(L350/0.08)*$B$190</f>
        <v>0</v>
      </c>
      <c r="N350">
        <f>'C_L vs. α'!S466</f>
        <v>0.10381027215104761</v>
      </c>
      <c r="O350" t="e">
        <f>'C_L vs. α'!L466</f>
        <v>#NUM!</v>
      </c>
      <c r="P350" t="e">
        <f>'C_L vs. α'!X466</f>
        <v>#NUM!</v>
      </c>
      <c r="Q350">
        <f>'C_L vs. α'!Y466</f>
        <v>1.2104861657449768</v>
      </c>
      <c r="R350" t="e">
        <f>$L$208+$N350*$O350*($L$169/$I$169)*($O$204-$O$205)*$O$206</f>
        <v>#NUM!</v>
      </c>
      <c r="S350">
        <f>'C_L vs. α'!Z466</f>
        <v>0.38204298311929219</v>
      </c>
      <c r="T350">
        <f>'C_L vs. α'!AA466</f>
        <v>0.18106425247368804</v>
      </c>
      <c r="U350" t="e">
        <f t="shared" ref="U350:U367" si="111">$L$209+$N350*$O350*($L$169/$I$169)*($O$204-$O$205)*$O$206</f>
        <v>#NUM!</v>
      </c>
      <c r="V350">
        <f>'C_L vs. α'!AC451+'C_L vs. α'!AE451</f>
        <v>0.22729342331803393</v>
      </c>
      <c r="W350">
        <f>'C_L vs. α'!AD451</f>
        <v>0</v>
      </c>
      <c r="Y350" t="s">
        <v>1164</v>
      </c>
      <c r="AG350" t="s">
        <v>1164</v>
      </c>
      <c r="AO350" t="s">
        <v>1164</v>
      </c>
      <c r="AW350" t="s">
        <v>1164</v>
      </c>
      <c r="BE350" t="s">
        <v>1164</v>
      </c>
      <c r="BM350" t="s">
        <v>1164</v>
      </c>
      <c r="BU350" t="s">
        <v>1164</v>
      </c>
      <c r="CC350" t="s">
        <v>1164</v>
      </c>
      <c r="CK350" t="s">
        <v>1164</v>
      </c>
    </row>
    <row r="351" spans="8:90" x14ac:dyDescent="0.25">
      <c r="H351" s="5">
        <v>0.05</v>
      </c>
      <c r="I351">
        <f t="shared" ref="I351:I367" si="112">SQRT(1-H351^2)</f>
        <v>0.99874921777190895</v>
      </c>
      <c r="J351">
        <f t="shared" ref="J351:J367" si="113">H351*$I$348</f>
        <v>48.435000000000002</v>
      </c>
      <c r="K351">
        <f t="shared" ref="K351:K367" si="114">$I$347*J351^2/2</f>
        <v>0.83316386725875002</v>
      </c>
      <c r="L351">
        <f>'C_L vs. α'!O467</f>
        <v>0.10096966142983717</v>
      </c>
      <c r="M351">
        <f t="shared" ref="M351:M367" si="115">(K351/36.5)*(L351/0.08)*$B$190</f>
        <v>23.405789550888791</v>
      </c>
      <c r="N351">
        <f>'C_L vs. α'!S467</f>
        <v>0.1040582208604917</v>
      </c>
      <c r="O351">
        <f>'C_L vs. α'!L467</f>
        <v>0.8560556050166257</v>
      </c>
      <c r="P351">
        <f>'C_L vs. α'!X467</f>
        <v>0.10625707059841116</v>
      </c>
      <c r="Q351">
        <f>'C_L vs. α'!Y467</f>
        <v>1.210660771233947</v>
      </c>
      <c r="R351">
        <f t="shared" ref="R351:R367" si="116">$L$208+N351*O351*($L$169/$I$169)*($O$204-$O$205)*$O$206</f>
        <v>3.0039137968787659</v>
      </c>
      <c r="S351">
        <f>'C_L vs. α'!Z467</f>
        <v>0.3824586133220616</v>
      </c>
      <c r="T351">
        <f>'C_L vs. α'!AA467</f>
        <v>0.18106425247368804</v>
      </c>
      <c r="U351">
        <f t="shared" si="111"/>
        <v>4.1406785769099868</v>
      </c>
      <c r="V351">
        <f>'C_L vs. α'!AC452+'C_L vs. α'!AE452</f>
        <v>0.22729342331803393</v>
      </c>
      <c r="W351">
        <f>'C_L vs. α'!AD452</f>
        <v>0</v>
      </c>
      <c r="Y351" t="s">
        <v>1170</v>
      </c>
      <c r="Z351" t="s">
        <v>244</v>
      </c>
      <c r="AG351" t="s">
        <v>1170</v>
      </c>
      <c r="AH351" t="s">
        <v>244</v>
      </c>
      <c r="AO351" t="s">
        <v>1170</v>
      </c>
      <c r="AP351" t="s">
        <v>244</v>
      </c>
      <c r="AW351" t="s">
        <v>1170</v>
      </c>
      <c r="AX351" t="s">
        <v>244</v>
      </c>
      <c r="BE351" t="s">
        <v>1170</v>
      </c>
      <c r="BF351" t="s">
        <v>244</v>
      </c>
      <c r="BM351" t="s">
        <v>1170</v>
      </c>
      <c r="BN351" t="s">
        <v>244</v>
      </c>
      <c r="BU351" t="s">
        <v>1170</v>
      </c>
      <c r="BV351" t="s">
        <v>244</v>
      </c>
      <c r="CC351" t="s">
        <v>1170</v>
      </c>
      <c r="CD351" t="s">
        <v>244</v>
      </c>
      <c r="CK351" t="s">
        <v>1170</v>
      </c>
      <c r="CL351" t="s">
        <v>244</v>
      </c>
    </row>
    <row r="352" spans="8:90" x14ac:dyDescent="0.25">
      <c r="H352" s="5">
        <v>0.1</v>
      </c>
      <c r="I352">
        <f t="shared" si="112"/>
        <v>0.99498743710661997</v>
      </c>
      <c r="J352">
        <f t="shared" si="113"/>
        <v>96.87</v>
      </c>
      <c r="K352">
        <f t="shared" si="114"/>
        <v>3.3326554690350001</v>
      </c>
      <c r="L352">
        <f>'C_L vs. α'!O468</f>
        <v>0.10168399167415836</v>
      </c>
      <c r="M352">
        <f t="shared" si="115"/>
        <v>94.285514128360731</v>
      </c>
      <c r="N352">
        <f>'C_L vs. α'!S468</f>
        <v>0.10480923052652887</v>
      </c>
      <c r="O352">
        <f>'C_L vs. α'!L468</f>
        <v>0.88292892818411695</v>
      </c>
      <c r="P352">
        <f>'C_L vs. α'!X468</f>
        <v>0.10710759633970311</v>
      </c>
      <c r="Q352">
        <f>'C_L vs. α'!Y468</f>
        <v>1.2112007152996589</v>
      </c>
      <c r="R352">
        <f t="shared" si="116"/>
        <v>2.9965391585693699</v>
      </c>
      <c r="S352">
        <f>'C_L vs. α'!Z468</f>
        <v>0.38371367545476148</v>
      </c>
      <c r="T352">
        <f>'C_L vs. α'!AA468</f>
        <v>0.18106425247368804</v>
      </c>
      <c r="U352">
        <f t="shared" si="111"/>
        <v>4.1333039386005899</v>
      </c>
      <c r="V352">
        <f>'C_L vs. α'!AC453+'C_L vs. α'!AE453</f>
        <v>0.22729342331803393</v>
      </c>
      <c r="W352">
        <f>'C_L vs. α'!AD453</f>
        <v>0</v>
      </c>
      <c r="Y352">
        <f>$L$204</f>
        <v>-3.2184201652101736E-2</v>
      </c>
      <c r="Z352">
        <v>0</v>
      </c>
      <c r="AG352">
        <f>$L$204</f>
        <v>-3.2184201652101736E-2</v>
      </c>
      <c r="AH352">
        <v>0</v>
      </c>
      <c r="AO352">
        <f>$L$204</f>
        <v>-3.2184201652101736E-2</v>
      </c>
      <c r="AP352">
        <v>0</v>
      </c>
      <c r="AW352">
        <f>$L$204</f>
        <v>-3.2184201652101736E-2</v>
      </c>
      <c r="AX352">
        <v>0</v>
      </c>
      <c r="BE352">
        <f>$L$204</f>
        <v>-3.2184201652101736E-2</v>
      </c>
      <c r="BF352">
        <v>0</v>
      </c>
      <c r="BM352">
        <f>$L$204</f>
        <v>-3.2184201652101736E-2</v>
      </c>
      <c r="BN352">
        <v>0</v>
      </c>
      <c r="BU352">
        <f>$L$204</f>
        <v>-3.2184201652101736E-2</v>
      </c>
      <c r="BV352">
        <v>0</v>
      </c>
      <c r="CC352">
        <f>$L$204</f>
        <v>-3.2184201652101736E-2</v>
      </c>
      <c r="CD352">
        <v>0</v>
      </c>
      <c r="CK352">
        <f>$L$204</f>
        <v>-3.2184201652101736E-2</v>
      </c>
      <c r="CL352">
        <v>0</v>
      </c>
    </row>
    <row r="353" spans="8:90" x14ac:dyDescent="0.25">
      <c r="H353" s="11">
        <v>0.15</v>
      </c>
      <c r="I353" s="29">
        <f t="shared" si="112"/>
        <v>0.98868599666425949</v>
      </c>
      <c r="J353" s="29">
        <f t="shared" si="113"/>
        <v>145.30500000000001</v>
      </c>
      <c r="K353" s="29">
        <f t="shared" si="114"/>
        <v>7.4984748053287502</v>
      </c>
      <c r="L353" s="29">
        <f>'C_L vs. α'!O469</f>
        <v>0.10289731528202789</v>
      </c>
      <c r="M353" s="29">
        <f t="shared" si="115"/>
        <v>214.67375303269193</v>
      </c>
      <c r="N353" s="29">
        <f>'C_L vs. α'!S469</f>
        <v>0.10608531589764157</v>
      </c>
      <c r="O353" s="29">
        <f>'C_L vs. α'!L469</f>
        <v>0.89805061613781678</v>
      </c>
      <c r="P353" s="29">
        <f>'C_L vs. α'!X469</f>
        <v>0.10835342453251325</v>
      </c>
      <c r="Q353" s="29">
        <f>'C_L vs. α'!Y469</f>
        <v>1.2121563656765011</v>
      </c>
      <c r="R353" s="29">
        <f t="shared" si="116"/>
        <v>2.9907176840680401</v>
      </c>
      <c r="S353" s="29">
        <f>'C_L vs. α'!Z469</f>
        <v>0.38583313397868807</v>
      </c>
      <c r="T353" s="29">
        <f>'C_L vs. α'!AA469</f>
        <v>0.18106425247368804</v>
      </c>
      <c r="U353" s="29">
        <f t="shared" si="111"/>
        <v>4.1274824640992609</v>
      </c>
      <c r="V353" s="29">
        <f>'C_L vs. α'!AC454+'C_L vs. α'!AE454</f>
        <v>0.22729342331803393</v>
      </c>
      <c r="W353" s="29">
        <f>'C_L vs. α'!AD454</f>
        <v>0</v>
      </c>
      <c r="Y353">
        <f>$L$205*Z353</f>
        <v>-3.1327887410872521</v>
      </c>
      <c r="Z353">
        <f>P362*12</f>
        <v>1.8259699078326617</v>
      </c>
      <c r="AG353">
        <f>$L$205*AH353</f>
        <v>-4.6237609868046698</v>
      </c>
      <c r="AH353">
        <f>P366*12</f>
        <v>2.6949944987308152</v>
      </c>
      <c r="AO353">
        <f>$L$205*AP353</f>
        <v>-5.3209259140906244</v>
      </c>
      <c r="AP353">
        <f>P367*12</f>
        <v>3.1013424153090319</v>
      </c>
      <c r="AW353">
        <f>$L$205*AX353</f>
        <v>-2.7712483333992162</v>
      </c>
      <c r="AX353">
        <f>P360*12</f>
        <v>1.6152433126282904</v>
      </c>
      <c r="BE353">
        <f>$L$205*BF353</f>
        <v>-2.9332587149884111</v>
      </c>
      <c r="BF353">
        <f>P361*12</f>
        <v>1.7096723041713613</v>
      </c>
      <c r="BM353">
        <f>$L$205*BN353</f>
        <v>-4.0997575728966664</v>
      </c>
      <c r="BN353">
        <f>$P$365*12</f>
        <v>2.3895750962512436</v>
      </c>
      <c r="BU353">
        <f>$L$205*BV353</f>
        <v>-3.6964740956253155</v>
      </c>
      <c r="BV353">
        <f>$P$364*12</f>
        <v>2.1545182332825528</v>
      </c>
      <c r="CC353">
        <f>$L$205*CD353</f>
        <v>-3.3818626113554133</v>
      </c>
      <c r="CD353">
        <f>$P$363*12</f>
        <v>1.971144520462059</v>
      </c>
      <c r="CK353">
        <f>$L$205*CL353</f>
        <v>-3.1327887410872521</v>
      </c>
      <c r="CL353">
        <f>$P$362*12</f>
        <v>1.8259699078326617</v>
      </c>
    </row>
    <row r="354" spans="8:90" x14ac:dyDescent="0.25">
      <c r="H354" s="5">
        <v>0.2</v>
      </c>
      <c r="I354">
        <f t="shared" si="112"/>
        <v>0.9797958971132712</v>
      </c>
      <c r="J354">
        <f t="shared" si="113"/>
        <v>193.74</v>
      </c>
      <c r="K354">
        <f t="shared" si="114"/>
        <v>13.33062187614</v>
      </c>
      <c r="L354">
        <f>'C_L vs. α'!O470</f>
        <v>0.10464554001175856</v>
      </c>
      <c r="M354">
        <f t="shared" si="115"/>
        <v>388.12632662437295</v>
      </c>
      <c r="N354">
        <f>'C_L vs. α'!S470</f>
        <v>0.10792498822942134</v>
      </c>
      <c r="O354">
        <f>'C_L vs. α'!L470</f>
        <v>0.90824856835521117</v>
      </c>
      <c r="P354">
        <f>'C_L vs. α'!X470</f>
        <v>0.11006773279048564</v>
      </c>
      <c r="Q354">
        <f>'C_L vs. α'!Y470</f>
        <v>1.2136186727696732</v>
      </c>
      <c r="R354">
        <f t="shared" si="116"/>
        <v>2.9848496293338829</v>
      </c>
      <c r="S354">
        <f>'C_L vs. α'!Z470</f>
        <v>0.38886014509871991</v>
      </c>
      <c r="T354">
        <f>'C_L vs. α'!AA470</f>
        <v>0.18106425247368804</v>
      </c>
      <c r="U354">
        <f t="shared" si="111"/>
        <v>4.1216144093651028</v>
      </c>
      <c r="V354">
        <f>'C_L vs. α'!AC455+'C_L vs. α'!AE455</f>
        <v>0.22729342331803393</v>
      </c>
      <c r="W354">
        <f>'C_L vs. α'!AD455</f>
        <v>0</v>
      </c>
      <c r="Y354">
        <f>$L$205*Z354</f>
        <v>-3.9159859263590655</v>
      </c>
      <c r="Z354">
        <f>P362*15</f>
        <v>2.2824623847908274</v>
      </c>
      <c r="AG354">
        <f>$L$205*AH354</f>
        <v>-5.7797012335058371</v>
      </c>
      <c r="AH354">
        <f>P366*15</f>
        <v>3.3687431234135188</v>
      </c>
      <c r="AO354">
        <f>$L$205*AP354</f>
        <v>-6.651157392613281</v>
      </c>
      <c r="AP354">
        <f>P367*15</f>
        <v>3.87667801913629</v>
      </c>
      <c r="AW354">
        <f>$L$205*AX354</f>
        <v>-3.4640604167490197</v>
      </c>
      <c r="AX354">
        <f>P360*15</f>
        <v>2.0190541407853626</v>
      </c>
      <c r="BE354">
        <f>$L$205*BF354</f>
        <v>-3.6665733937355136</v>
      </c>
      <c r="BF354">
        <f>P361*15</f>
        <v>2.1370903802142016</v>
      </c>
      <c r="BM354">
        <f>$L$205*BN354</f>
        <v>-5.1246969661208333</v>
      </c>
      <c r="BN354">
        <f>$P$365*15</f>
        <v>2.9869688703140547</v>
      </c>
      <c r="BU354">
        <f>$L$205*BV354</f>
        <v>-4.6205926195316449</v>
      </c>
      <c r="BV354">
        <f>$P$364*15</f>
        <v>2.6931477916031912</v>
      </c>
      <c r="CC354">
        <f>$L$205*CD354</f>
        <v>-4.2273282641942664</v>
      </c>
      <c r="CD354">
        <f>$P$363*15</f>
        <v>2.4639306505775735</v>
      </c>
      <c r="CK354">
        <f>$L$205*CL354</f>
        <v>-3.9159859263590655</v>
      </c>
      <c r="CL354">
        <f>$P$362*15</f>
        <v>2.2824623847908274</v>
      </c>
    </row>
    <row r="355" spans="8:90" x14ac:dyDescent="0.25">
      <c r="H355" s="5">
        <v>0.25</v>
      </c>
      <c r="I355">
        <f t="shared" si="112"/>
        <v>0.96824583655185426</v>
      </c>
      <c r="J355">
        <f t="shared" si="113"/>
        <v>242.17500000000001</v>
      </c>
      <c r="K355">
        <f t="shared" si="114"/>
        <v>20.829096681468751</v>
      </c>
      <c r="L355">
        <f>'C_L vs. α'!O471</f>
        <v>0.10698268400095574</v>
      </c>
      <c r="M355">
        <f t="shared" si="115"/>
        <v>619.99172619183798</v>
      </c>
      <c r="N355">
        <f>'C_L vs. α'!S471</f>
        <v>0.11038625709076041</v>
      </c>
      <c r="O355">
        <f>'C_L vs. α'!L471</f>
        <v>0.91579208731839767</v>
      </c>
      <c r="P355">
        <f>'C_L vs. α'!X471</f>
        <v>0.11230917617435043</v>
      </c>
      <c r="Q355">
        <f>'C_L vs. α'!Y471</f>
        <v>1.2157311472964261</v>
      </c>
      <c r="R355">
        <f t="shared" si="116"/>
        <v>2.9783092046142312</v>
      </c>
      <c r="S355">
        <f>'C_L vs. α'!Z471</f>
        <v>0.39285856093509275</v>
      </c>
      <c r="T355">
        <f>'C_L vs. α'!AA471</f>
        <v>0.18106425247368804</v>
      </c>
      <c r="U355">
        <f t="shared" si="111"/>
        <v>4.1150739846454512</v>
      </c>
      <c r="V355">
        <f>'C_L vs. α'!AC456+'C_L vs. α'!AE456</f>
        <v>0.22729342331803393</v>
      </c>
      <c r="W355">
        <f>'C_L vs. α'!AD456</f>
        <v>0</v>
      </c>
    </row>
    <row r="356" spans="8:90" x14ac:dyDescent="0.25">
      <c r="H356" s="5">
        <v>0.3</v>
      </c>
      <c r="I356">
        <f t="shared" si="112"/>
        <v>0.95393920141694566</v>
      </c>
      <c r="J356">
        <f t="shared" si="113"/>
        <v>290.61</v>
      </c>
      <c r="K356">
        <f t="shared" si="114"/>
        <v>29.993899221315001</v>
      </c>
      <c r="L356">
        <f>'C_L vs. α'!O472</f>
        <v>0.10998526883345291</v>
      </c>
      <c r="M356">
        <f t="shared" si="115"/>
        <v>917.84514976206765</v>
      </c>
      <c r="N356">
        <f>'C_L vs. α'!S472</f>
        <v>0.11355144228561578</v>
      </c>
      <c r="O356">
        <f>'C_L vs. α'!L472</f>
        <v>0.90359663441793936</v>
      </c>
      <c r="P356">
        <f>'C_L vs. α'!X472</f>
        <v>0.11504087309189787</v>
      </c>
      <c r="Q356">
        <f>'C_L vs. α'!Y472</f>
        <v>1.2187100318108479</v>
      </c>
      <c r="R356">
        <f t="shared" si="116"/>
        <v>2.9750821213818934</v>
      </c>
      <c r="S356">
        <f>'C_L vs. α'!Z472</f>
        <v>0.39791683239406395</v>
      </c>
      <c r="T356">
        <f>'C_L vs. α'!AA472</f>
        <v>0.18106425247368804</v>
      </c>
      <c r="U356">
        <f t="shared" si="111"/>
        <v>4.1118469014131138</v>
      </c>
      <c r="V356">
        <f>'C_L vs. α'!AC457+'C_L vs. α'!AE457</f>
        <v>0.22729342331803393</v>
      </c>
      <c r="W356">
        <f>'C_L vs. α'!AD457</f>
        <v>0</v>
      </c>
    </row>
    <row r="357" spans="8:90" x14ac:dyDescent="0.25">
      <c r="H357" s="5">
        <v>0.35</v>
      </c>
      <c r="I357">
        <f t="shared" si="112"/>
        <v>0.93674969975975975</v>
      </c>
      <c r="J357">
        <f t="shared" si="113"/>
        <v>339.04500000000002</v>
      </c>
      <c r="K357">
        <f t="shared" si="114"/>
        <v>40.825029495678749</v>
      </c>
      <c r="L357">
        <f>'C_L vs. α'!O473</f>
        <v>0.11375906391372086</v>
      </c>
      <c r="M357">
        <f t="shared" si="115"/>
        <v>1292.1546226509183</v>
      </c>
      <c r="N357">
        <f>'C_L vs. α'!S473</f>
        <v>0.11753458280720043</v>
      </c>
      <c r="O357">
        <f>'C_L vs. α'!L473</f>
        <v>0.90881314836268801</v>
      </c>
      <c r="P357">
        <f>'C_L vs. α'!X473</f>
        <v>0.11856787945531404</v>
      </c>
      <c r="Q357">
        <f>'C_L vs. α'!Y473</f>
        <v>1.2228773485094071</v>
      </c>
      <c r="R357">
        <f t="shared" si="116"/>
        <v>2.9661027355294665</v>
      </c>
      <c r="S357">
        <f>'C_L vs. α'!Z473</f>
        <v>0.40415379968872978</v>
      </c>
      <c r="T357">
        <f>'C_L vs. α'!AA473</f>
        <v>0.18106425247368804</v>
      </c>
      <c r="U357">
        <f t="shared" si="111"/>
        <v>4.1028675155606864</v>
      </c>
      <c r="V357">
        <f>'C_L vs. α'!AC458+'C_L vs. α'!AE458</f>
        <v>0.22729342331803393</v>
      </c>
      <c r="W357">
        <f>'C_L vs. α'!AD458</f>
        <v>0</v>
      </c>
    </row>
    <row r="358" spans="8:90" x14ac:dyDescent="0.25">
      <c r="H358" s="5">
        <v>0.4</v>
      </c>
      <c r="I358">
        <f t="shared" si="112"/>
        <v>0.91651513899116799</v>
      </c>
      <c r="J358">
        <f t="shared" si="113"/>
        <v>387.48</v>
      </c>
      <c r="K358">
        <f t="shared" si="114"/>
        <v>53.322487504560002</v>
      </c>
      <c r="L358">
        <f>'C_L vs. α'!O474</f>
        <v>0.11844937702562958</v>
      </c>
      <c r="M358">
        <f t="shared" si="115"/>
        <v>1757.2969317464338</v>
      </c>
      <c r="N358">
        <f>'C_L vs. α'!S474</f>
        <v>0.12249278234294751</v>
      </c>
      <c r="O358">
        <f>'C_L vs. α'!L474</f>
        <v>0.91321404011526808</v>
      </c>
      <c r="P358">
        <f>'C_L vs. α'!X474</f>
        <v>0.12289347916831057</v>
      </c>
      <c r="Q358">
        <f>'C_L vs. α'!Y474</f>
        <v>1.2287153291552386</v>
      </c>
      <c r="R358">
        <f t="shared" si="116"/>
        <v>2.9553478802825905</v>
      </c>
      <c r="S358">
        <f>'C_L vs. α'!Z474</f>
        <v>0.41172716118850533</v>
      </c>
      <c r="T358">
        <f>'C_L vs. α'!AA474</f>
        <v>0.18106425247368804</v>
      </c>
      <c r="U358">
        <f t="shared" si="111"/>
        <v>4.0921126603138109</v>
      </c>
      <c r="V358">
        <f>'C_L vs. α'!AC459+'C_L vs. α'!AE459</f>
        <v>0.22729342331803393</v>
      </c>
      <c r="W358">
        <f>'C_L vs. α'!AD459</f>
        <v>0</v>
      </c>
    </row>
    <row r="359" spans="8:90" x14ac:dyDescent="0.25">
      <c r="H359" s="5">
        <v>0.45</v>
      </c>
      <c r="I359">
        <f t="shared" si="112"/>
        <v>0.89302855497458755</v>
      </c>
      <c r="J359">
        <f t="shared" si="113"/>
        <v>435.91500000000002</v>
      </c>
      <c r="K359">
        <f t="shared" si="114"/>
        <v>67.486273247958749</v>
      </c>
      <c r="L359">
        <f>'C_L vs. α'!O475</f>
        <v>0.12425694261102585</v>
      </c>
      <c r="M359">
        <f t="shared" si="115"/>
        <v>2333.1253807554081</v>
      </c>
      <c r="N359">
        <f>'C_L vs. α'!S475</f>
        <v>0.12864380245837007</v>
      </c>
      <c r="O359">
        <f>'C_L vs. α'!L475</f>
        <v>0.91700050088286134</v>
      </c>
      <c r="P359">
        <f>'C_L vs. α'!X475</f>
        <v>0.12817033856003718</v>
      </c>
      <c r="Q359">
        <f>'C_L vs. α'!Y475</f>
        <v>1.2369580304296415</v>
      </c>
      <c r="R359">
        <f t="shared" si="116"/>
        <v>2.9423352178325417</v>
      </c>
      <c r="S359">
        <f>'C_L vs. α'!Z475</f>
        <v>0.42084590260886801</v>
      </c>
      <c r="T359">
        <f>'C_L vs. α'!AA475</f>
        <v>0.18106425247368804</v>
      </c>
      <c r="U359">
        <f t="shared" si="111"/>
        <v>4.0790999978637617</v>
      </c>
      <c r="V359">
        <f>'C_L vs. α'!AC460+'C_L vs. α'!AE460</f>
        <v>0.22729342331803393</v>
      </c>
      <c r="W359">
        <f>'C_L vs. α'!AD460</f>
        <v>0</v>
      </c>
    </row>
    <row r="360" spans="8:90" x14ac:dyDescent="0.25">
      <c r="H360" s="58">
        <v>0.5</v>
      </c>
      <c r="I360" s="99">
        <f t="shared" si="112"/>
        <v>0.8660254037844386</v>
      </c>
      <c r="J360" s="99">
        <f t="shared" si="113"/>
        <v>484.35</v>
      </c>
      <c r="K360" s="99">
        <f t="shared" si="114"/>
        <v>83.316386725875006</v>
      </c>
      <c r="L360" s="99">
        <f>'C_L vs. α'!O476</f>
        <v>0.13146303448299143</v>
      </c>
      <c r="M360" s="99">
        <f t="shared" si="115"/>
        <v>3047.4462083527023</v>
      </c>
      <c r="N360" s="99">
        <f>'C_L vs. α'!S476</f>
        <v>0.136294012347947</v>
      </c>
      <c r="O360" s="99">
        <f>'C_L vs. α'!L476</f>
        <v>0.92030919694160174</v>
      </c>
      <c r="P360" s="99">
        <f>'C_L vs. α'!X476</f>
        <v>0.13460360938569085</v>
      </c>
      <c r="Q360" s="99">
        <f>'C_L vs. α'!Y476</f>
        <v>1.2487506177526941</v>
      </c>
      <c r="R360" s="99">
        <f t="shared" si="116"/>
        <v>2.9264193681408055</v>
      </c>
      <c r="S360" s="99">
        <f>'C_L vs. α'!Z476</f>
        <v>0.43178880504861844</v>
      </c>
      <c r="T360" s="99">
        <f>'C_L vs. α'!AA476</f>
        <v>0.18106425247368804</v>
      </c>
      <c r="U360" s="99">
        <f t="shared" si="111"/>
        <v>4.0631841481720263</v>
      </c>
      <c r="V360" s="99">
        <f>'C_L vs. α'!AC461+'C_L vs. α'!AE461</f>
        <v>0</v>
      </c>
      <c r="W360" s="99">
        <f>'C_L vs. α'!AD461</f>
        <v>0</v>
      </c>
    </row>
    <row r="361" spans="8:90" x14ac:dyDescent="0.25">
      <c r="H361" s="58">
        <v>0.55000000000000004</v>
      </c>
      <c r="I361" s="99">
        <f t="shared" si="112"/>
        <v>0.83516465442450327</v>
      </c>
      <c r="J361" s="99">
        <f t="shared" si="113"/>
        <v>532.78500000000008</v>
      </c>
      <c r="K361" s="99">
        <f t="shared" si="114"/>
        <v>100.81282793830879</v>
      </c>
      <c r="L361" s="99">
        <f>'C_L vs. α'!O477</f>
        <v>0.14047047884093974</v>
      </c>
      <c r="M361" s="99">
        <f t="shared" si="115"/>
        <v>3940.0599421237339</v>
      </c>
      <c r="N361" s="99">
        <f>'C_L vs. α'!S477</f>
        <v>0.14588430801061572</v>
      </c>
      <c r="O361" s="99">
        <f>'C_L vs. α'!L477</f>
        <v>0.92323691189652501</v>
      </c>
      <c r="P361" s="99">
        <f>'C_L vs. α'!X477</f>
        <v>0.14247269201428012</v>
      </c>
      <c r="Q361" s="99">
        <f>'C_L vs. α'!Y477</f>
        <v>1.2659380192107941</v>
      </c>
      <c r="R361" s="99">
        <f t="shared" si="116"/>
        <v>2.9066942563354803</v>
      </c>
      <c r="S361" s="99">
        <f>'C_L vs. α'!Z477</f>
        <v>0.44493263614763967</v>
      </c>
      <c r="T361" s="99">
        <f>'C_L vs. α'!AA477</f>
        <v>0.18106425247368804</v>
      </c>
      <c r="U361" s="99">
        <f t="shared" si="111"/>
        <v>4.0434590363667002</v>
      </c>
      <c r="V361" s="99">
        <f>'C_L vs. α'!AC462+'C_L vs. α'!AE462</f>
        <v>0</v>
      </c>
      <c r="W361" s="99">
        <f>'C_L vs. α'!AD462</f>
        <v>0</v>
      </c>
    </row>
    <row r="362" spans="8:90" x14ac:dyDescent="0.25">
      <c r="H362" s="58">
        <v>0.6</v>
      </c>
      <c r="I362" s="99">
        <f t="shared" si="112"/>
        <v>0.8</v>
      </c>
      <c r="J362" s="99">
        <f t="shared" si="113"/>
        <v>581.22</v>
      </c>
      <c r="K362" s="99">
        <f t="shared" si="114"/>
        <v>119.97559688526</v>
      </c>
      <c r="L362" s="99">
        <f>'C_L vs. α'!O478</f>
        <v>0.15187349429154923</v>
      </c>
      <c r="M362" s="99">
        <f t="shared" si="115"/>
        <v>5069.6371101842315</v>
      </c>
      <c r="N362" s="99">
        <f>'C_L vs. α'!S478</f>
        <v>0.15806885198995582</v>
      </c>
      <c r="O362" s="99">
        <f>'C_L vs. α'!L478</f>
        <v>0.92585451509826244</v>
      </c>
      <c r="P362" s="99">
        <f>'C_L vs. α'!X478</f>
        <v>0.15216415898605515</v>
      </c>
      <c r="Q362" s="99">
        <f>'C_L vs. α'!Y478</f>
        <v>1.2916153945984163</v>
      </c>
      <c r="R362" s="99">
        <f t="shared" si="116"/>
        <v>2.8818320467420619</v>
      </c>
      <c r="S362" s="99">
        <f>'C_L vs. α'!Z478</f>
        <v>0.46079638800646094</v>
      </c>
      <c r="T362" s="99">
        <f>'C_L vs. α'!AA478</f>
        <v>0.18106425247368804</v>
      </c>
      <c r="U362" s="99">
        <f t="shared" si="111"/>
        <v>4.0185968267732823</v>
      </c>
      <c r="V362" s="99">
        <f>'C_L vs. α'!AC463+'C_L vs. α'!AE463</f>
        <v>0</v>
      </c>
      <c r="W362" s="99">
        <f>'C_L vs. α'!AD463</f>
        <v>0</v>
      </c>
    </row>
    <row r="363" spans="8:90" x14ac:dyDescent="0.25">
      <c r="H363" s="5">
        <v>0.65</v>
      </c>
      <c r="I363">
        <f t="shared" si="112"/>
        <v>0.75993420767853315</v>
      </c>
      <c r="J363">
        <f t="shared" si="113"/>
        <v>629.65500000000009</v>
      </c>
      <c r="K363">
        <f t="shared" si="114"/>
        <v>140.80469356672879</v>
      </c>
      <c r="L363">
        <f>'C_L vs. α'!O479</f>
        <v>0.16658299205178798</v>
      </c>
      <c r="M363">
        <f t="shared" si="115"/>
        <v>6526.0404117114331</v>
      </c>
      <c r="N363">
        <f>'C_L vs. α'!S479</f>
        <v>0.17385749335052486</v>
      </c>
      <c r="O363">
        <f>'C_L vs. α'!L479</f>
        <v>0.91026622292216208</v>
      </c>
      <c r="P363">
        <f>'C_L vs. α'!X479</f>
        <v>0.16426204337183825</v>
      </c>
      <c r="Q363">
        <f>'C_L vs. α'!Y479</f>
        <v>1.3312457184293842</v>
      </c>
      <c r="R363">
        <f t="shared" si="116"/>
        <v>2.8564478616985074</v>
      </c>
      <c r="S363">
        <f>'C_L vs. α'!Z479</f>
        <v>0.48011331066331625</v>
      </c>
      <c r="T363">
        <f>'C_L vs. α'!AA479</f>
        <v>0.18106425247368804</v>
      </c>
      <c r="U363">
        <f t="shared" si="111"/>
        <v>3.9932126417297278</v>
      </c>
      <c r="V363">
        <f>'C_L vs. α'!AC464+'C_L vs. α'!AE464</f>
        <v>0</v>
      </c>
      <c r="W363">
        <f>'C_L vs. α'!AD464</f>
        <v>0</v>
      </c>
    </row>
    <row r="364" spans="8:90" x14ac:dyDescent="0.25">
      <c r="H364" s="5">
        <v>0.7</v>
      </c>
      <c r="I364">
        <f t="shared" si="112"/>
        <v>0.71414284285428498</v>
      </c>
      <c r="J364">
        <f t="shared" si="113"/>
        <v>678.09</v>
      </c>
      <c r="K364">
        <f t="shared" si="114"/>
        <v>163.30011798271499</v>
      </c>
      <c r="L364">
        <f>'C_L vs. α'!O480</f>
        <v>0.18606658153192498</v>
      </c>
      <c r="M364">
        <f t="shared" si="115"/>
        <v>8453.8949311214292</v>
      </c>
      <c r="N364">
        <f>'C_L vs. α'!S480</f>
        <v>0.19489118882148326</v>
      </c>
      <c r="O364">
        <f>'C_L vs. α'!L480</f>
        <v>0.91262524017107649</v>
      </c>
      <c r="P364">
        <f>'C_L vs. α'!X480</f>
        <v>0.17954318610687942</v>
      </c>
      <c r="Q364">
        <f>'C_L vs. α'!Y480</f>
        <v>1.3951127852600966</v>
      </c>
      <c r="R364">
        <f t="shared" si="116"/>
        <v>2.8146533341584354</v>
      </c>
      <c r="S364">
        <f>'C_L vs. α'!Z480</f>
        <v>0.50395361014601125</v>
      </c>
      <c r="T364">
        <f>'C_L vs. α'!AA480</f>
        <v>0.18106425247368804</v>
      </c>
      <c r="U364">
        <f t="shared" si="111"/>
        <v>3.9514181141896558</v>
      </c>
      <c r="V364" t="e">
        <f>'C_L vs. α'!AC465+'C_L vs. α'!AE465</f>
        <v>#VALUE!</v>
      </c>
      <c r="W364">
        <f>'C_L vs. α'!AD465</f>
        <v>0</v>
      </c>
    </row>
    <row r="365" spans="8:90" x14ac:dyDescent="0.25">
      <c r="H365" s="5">
        <v>0.75</v>
      </c>
      <c r="I365">
        <f t="shared" si="112"/>
        <v>0.66143782776614768</v>
      </c>
      <c r="J365">
        <f t="shared" si="113"/>
        <v>726.52500000000009</v>
      </c>
      <c r="K365">
        <f t="shared" si="114"/>
        <v>187.46187013321881</v>
      </c>
      <c r="L365">
        <f>'C_L vs. α'!O481</f>
        <v>0.21284847584675293</v>
      </c>
      <c r="M365">
        <f t="shared" si="115"/>
        <v>11101.597017393588</v>
      </c>
      <c r="N365">
        <f>'C_L vs. α'!S481</f>
        <v>0.22402223560332959</v>
      </c>
      <c r="O365">
        <f>'C_L vs. α'!L481</f>
        <v>0.91479173049114937</v>
      </c>
      <c r="P365">
        <f>'C_L vs. α'!X481</f>
        <v>0.19913125802093698</v>
      </c>
      <c r="Q365">
        <f>'C_L vs. α'!Y481</f>
        <v>1.5042699888815725</v>
      </c>
      <c r="R365">
        <f t="shared" si="116"/>
        <v>2.7569453985941332</v>
      </c>
      <c r="S365">
        <f>'C_L vs. α'!Z481</f>
        <v>0.53394517608710246</v>
      </c>
      <c r="T365">
        <f>'C_L vs. α'!AA481</f>
        <v>0.18106425247368804</v>
      </c>
      <c r="U365">
        <f t="shared" si="111"/>
        <v>3.8937101786253536</v>
      </c>
      <c r="V365" t="e">
        <f>'C_L vs. α'!AC466+'C_L vs. α'!AE466</f>
        <v>#VALUE!</v>
      </c>
      <c r="W365">
        <f>'C_L vs. α'!AD466</f>
        <v>0</v>
      </c>
    </row>
    <row r="366" spans="8:90" x14ac:dyDescent="0.25">
      <c r="H366" s="58">
        <v>0.8</v>
      </c>
      <c r="I366" s="99">
        <f t="shared" si="112"/>
        <v>0.59999999999999987</v>
      </c>
      <c r="J366" s="99">
        <f t="shared" si="113"/>
        <v>774.96</v>
      </c>
      <c r="K366" s="99">
        <f t="shared" si="114"/>
        <v>213.28995001824001</v>
      </c>
      <c r="L366" s="99">
        <f>'C_L vs. α'!O482</f>
        <v>0.25167326542920682</v>
      </c>
      <c r="M366" s="99">
        <f t="shared" si="115"/>
        <v>14935.145063554217</v>
      </c>
      <c r="N366" s="99">
        <f>'C_L vs. α'!S482</f>
        <v>0.266683574276255</v>
      </c>
      <c r="O366" s="99">
        <f>'C_L vs. α'!L482</f>
        <v>0.91679187823904584</v>
      </c>
      <c r="P366" s="99">
        <f>'C_L vs. α'!X482</f>
        <v>0.22458287489423459</v>
      </c>
      <c r="Q366" s="99">
        <f>'C_L vs. α'!Y482</f>
        <v>1.7070113297128373</v>
      </c>
      <c r="R366" s="99">
        <f t="shared" si="116"/>
        <v>2.6726153194309687</v>
      </c>
      <c r="S366" s="99">
        <f>'C_L vs. α'!Z482</f>
        <v>0.57269768603406035</v>
      </c>
      <c r="T366" s="99">
        <f>'C_L vs. α'!AA482</f>
        <v>0.18106425247368804</v>
      </c>
      <c r="U366" s="99">
        <f t="shared" si="111"/>
        <v>3.8093800994621891</v>
      </c>
      <c r="V366" s="99">
        <f>'C_L vs. α'!AC467+'C_L vs. α'!AE467</f>
        <v>-0.77270657668196607</v>
      </c>
      <c r="W366" s="99">
        <f>'C_L vs. α'!AD467</f>
        <v>0</v>
      </c>
    </row>
    <row r="367" spans="8:90" x14ac:dyDescent="0.25">
      <c r="H367" s="58">
        <v>0.85</v>
      </c>
      <c r="I367" s="99">
        <f t="shared" si="112"/>
        <v>0.52678268764263703</v>
      </c>
      <c r="J367" s="99">
        <f t="shared" si="113"/>
        <v>823.39499999999998</v>
      </c>
      <c r="K367" s="99">
        <f t="shared" si="114"/>
        <v>240.78435763777873</v>
      </c>
      <c r="L367" s="99">
        <f>'C_L vs. α'!O483</f>
        <v>0.31267319102286617</v>
      </c>
      <c r="M367" s="99">
        <f t="shared" si="115"/>
        <v>20946.954265815453</v>
      </c>
      <c r="N367" s="99">
        <f>'C_L vs. α'!S483</f>
        <v>0.33467687582814859</v>
      </c>
      <c r="O367" s="99">
        <f>'C_L vs. α'!L483</f>
        <v>0.90136216872173547</v>
      </c>
      <c r="P367" s="99">
        <f>'C_L vs. α'!X483</f>
        <v>0.25844520127575266</v>
      </c>
      <c r="Q367" s="99">
        <f>'C_L vs. α'!Y483</f>
        <v>2.1338352284298052</v>
      </c>
      <c r="R367" s="99">
        <f t="shared" si="116"/>
        <v>2.5507411933279078</v>
      </c>
      <c r="S367" s="99">
        <f>'C_L vs. α'!Z483</f>
        <v>0.62468234732408157</v>
      </c>
      <c r="T367" s="99">
        <f>'C_L vs. α'!AA483</f>
        <v>0.18106425247368804</v>
      </c>
      <c r="U367" s="99">
        <f t="shared" si="111"/>
        <v>3.6875059733591282</v>
      </c>
      <c r="V367" s="99">
        <f>'C_L vs. α'!AC468+'C_L vs. α'!AE468</f>
        <v>11.227293423318034</v>
      </c>
      <c r="W367" s="99">
        <f>'C_L vs. α'!AD468</f>
        <v>0</v>
      </c>
    </row>
    <row r="369" spans="8:34" x14ac:dyDescent="0.25">
      <c r="H369">
        <v>40000</v>
      </c>
    </row>
    <row r="370" spans="8:34" x14ac:dyDescent="0.25">
      <c r="H370" t="s">
        <v>177</v>
      </c>
      <c r="I370" s="238">
        <f>'Sub C_D_0'!B213</f>
        <v>5.8730000000000002E-4</v>
      </c>
    </row>
    <row r="371" spans="8:34" x14ac:dyDescent="0.25">
      <c r="H371" t="s">
        <v>142</v>
      </c>
      <c r="I371">
        <f>'Sub C_D_0'!B215</f>
        <v>968.1</v>
      </c>
    </row>
    <row r="372" spans="8:34" x14ac:dyDescent="0.25">
      <c r="H372" t="s">
        <v>348</v>
      </c>
      <c r="I372" s="223" t="s">
        <v>712</v>
      </c>
      <c r="J372" t="s">
        <v>1085</v>
      </c>
      <c r="K372" t="s">
        <v>184</v>
      </c>
      <c r="L372" t="s">
        <v>719</v>
      </c>
      <c r="M372" s="5" t="s">
        <v>1042</v>
      </c>
      <c r="N372" t="s">
        <v>1026</v>
      </c>
      <c r="O372" s="223" t="s">
        <v>785</v>
      </c>
      <c r="P372" t="s">
        <v>535</v>
      </c>
      <c r="Q372" t="s">
        <v>94</v>
      </c>
      <c r="R372" s="223" t="s">
        <v>1185</v>
      </c>
      <c r="S372" t="s">
        <v>750</v>
      </c>
      <c r="T372" t="s">
        <v>813</v>
      </c>
      <c r="U372" s="223" t="s">
        <v>1187</v>
      </c>
      <c r="V372" t="s">
        <v>750</v>
      </c>
      <c r="W372" t="s">
        <v>813</v>
      </c>
      <c r="Y372" t="s">
        <v>1195</v>
      </c>
      <c r="AG372" t="s">
        <v>1195</v>
      </c>
    </row>
    <row r="373" spans="8:34" x14ac:dyDescent="0.25">
      <c r="H373" s="5">
        <v>0</v>
      </c>
      <c r="I373">
        <f>SQRT(1-H373^2)</f>
        <v>1</v>
      </c>
      <c r="J373">
        <f>H373*$I$371</f>
        <v>0</v>
      </c>
      <c r="K373">
        <f>$I$370*J373^2/2</f>
        <v>0</v>
      </c>
      <c r="L373">
        <f>'C_L vs. α'!O491</f>
        <v>0.10073378060434053</v>
      </c>
      <c r="M373">
        <f>(K373/36.5)*(L373/0.08)*$B$190</f>
        <v>0</v>
      </c>
      <c r="N373">
        <f>'C_L vs. α'!S491</f>
        <v>0.10381027215104761</v>
      </c>
      <c r="O373" t="e">
        <f>'C_L vs. α'!L491</f>
        <v>#NUM!</v>
      </c>
      <c r="P373" t="e">
        <f>'C_L vs. α'!X491</f>
        <v>#NUM!</v>
      </c>
      <c r="Q373">
        <f>'C_L vs. α'!Y491</f>
        <v>1.2104861657449768</v>
      </c>
      <c r="R373" t="e">
        <f>$L$208+$N373*$O373*($L$169/$I$169)*($O$204-$O$205)*$O$206</f>
        <v>#NUM!</v>
      </c>
      <c r="S373">
        <f>'C_L vs. α'!Z491</f>
        <v>0.38204298311929219</v>
      </c>
      <c r="T373">
        <f>'C_L vs. α'!AA491</f>
        <v>0.18106425247368804</v>
      </c>
      <c r="U373" t="e">
        <f t="shared" ref="U373:U390" si="117">$L$209+$N373*$O373*($L$169/$I$169)*($O$204-$O$205)*$O$206</f>
        <v>#NUM!</v>
      </c>
      <c r="V373">
        <f>'C_L vs. α'!AC474+'C_L vs. α'!AE474</f>
        <v>0.22729342331803393</v>
      </c>
      <c r="W373">
        <f>'C_L vs. α'!AD474</f>
        <v>0</v>
      </c>
      <c r="Y373" t="s">
        <v>1164</v>
      </c>
      <c r="AG373" t="s">
        <v>1164</v>
      </c>
    </row>
    <row r="374" spans="8:34" x14ac:dyDescent="0.25">
      <c r="H374" s="5">
        <v>0.05</v>
      </c>
      <c r="I374">
        <f t="shared" ref="I374:I390" si="118">SQRT(1-H374^2)</f>
        <v>0.99874921777190895</v>
      </c>
      <c r="J374">
        <f t="shared" ref="J374:J390" si="119">H374*$I$371</f>
        <v>48.405000000000001</v>
      </c>
      <c r="K374">
        <f t="shared" ref="K374:K390" si="120">$I$370*J374^2/2</f>
        <v>0.68803487794125007</v>
      </c>
      <c r="L374">
        <f>'C_L vs. α'!O492</f>
        <v>0.10096966142983717</v>
      </c>
      <c r="M374">
        <f t="shared" ref="M374:M390" si="121">(K374/36.5)*(L374/0.08)*$B$190</f>
        <v>19.328730144946441</v>
      </c>
      <c r="N374">
        <f>'C_L vs. α'!S492</f>
        <v>0.1040582208604917</v>
      </c>
      <c r="O374">
        <f>'C_L vs. α'!L492</f>
        <v>0.860324699912421</v>
      </c>
      <c r="P374">
        <f>'C_L vs. α'!X492</f>
        <v>0.10628431328737685</v>
      </c>
      <c r="Q374">
        <f>'C_L vs. α'!Y492</f>
        <v>1.210660771233947</v>
      </c>
      <c r="R374">
        <f t="shared" ref="R374:R390" si="122">$L$208+N374*O374*($L$169/$I$169)*($O$204-$O$205)*$O$206</f>
        <v>3.0029668135966889</v>
      </c>
      <c r="S374">
        <f>'C_L vs. α'!Z492</f>
        <v>0.3824586133220616</v>
      </c>
      <c r="T374">
        <f>'C_L vs. α'!AA492</f>
        <v>0.18106425247368804</v>
      </c>
      <c r="U374">
        <f t="shared" si="117"/>
        <v>4.1397315936279089</v>
      </c>
      <c r="V374">
        <f>'C_L vs. α'!AC475+'C_L vs. α'!AE475</f>
        <v>0.22729342331803393</v>
      </c>
      <c r="W374">
        <f>'C_L vs. α'!AD475</f>
        <v>0</v>
      </c>
      <c r="Y374" t="s">
        <v>1170</v>
      </c>
      <c r="Z374" t="s">
        <v>244</v>
      </c>
      <c r="AG374" t="s">
        <v>1170</v>
      </c>
      <c r="AH374" t="s">
        <v>244</v>
      </c>
    </row>
    <row r="375" spans="8:34" x14ac:dyDescent="0.25">
      <c r="H375" s="5">
        <v>0.1</v>
      </c>
      <c r="I375">
        <f t="shared" si="118"/>
        <v>0.99498743710661997</v>
      </c>
      <c r="J375">
        <f t="shared" si="119"/>
        <v>96.81</v>
      </c>
      <c r="K375">
        <f t="shared" si="120"/>
        <v>2.7521395117650003</v>
      </c>
      <c r="L375">
        <f>'C_L vs. α'!O493</f>
        <v>0.10168399167415836</v>
      </c>
      <c r="M375">
        <f t="shared" si="121"/>
        <v>77.861900586704053</v>
      </c>
      <c r="N375">
        <f>'C_L vs. α'!S493</f>
        <v>0.10480923052652887</v>
      </c>
      <c r="O375">
        <f>'C_L vs. α'!L493</f>
        <v>0.8871028146837826</v>
      </c>
      <c r="P375">
        <f>'C_L vs. α'!X493</f>
        <v>0.10713407049224531</v>
      </c>
      <c r="Q375">
        <f>'C_L vs. α'!Y493</f>
        <v>1.2112007152996589</v>
      </c>
      <c r="R375">
        <f t="shared" si="122"/>
        <v>2.9956066125451422</v>
      </c>
      <c r="S375">
        <f>'C_L vs. α'!Z493</f>
        <v>0.38371367545476148</v>
      </c>
      <c r="T375">
        <f>'C_L vs. α'!AA493</f>
        <v>0.18106425247368804</v>
      </c>
      <c r="U375">
        <f t="shared" si="117"/>
        <v>4.1323713925763625</v>
      </c>
      <c r="V375">
        <f>'C_L vs. α'!AC476+'C_L vs. α'!AE476</f>
        <v>0.22729342331803393</v>
      </c>
      <c r="W375">
        <f>'C_L vs. α'!AD476</f>
        <v>0</v>
      </c>
      <c r="Y375">
        <f>$L$204</f>
        <v>-3.2184201652101736E-2</v>
      </c>
      <c r="Z375">
        <v>0</v>
      </c>
      <c r="AG375">
        <f>$L$204</f>
        <v>-3.2184201652101736E-2</v>
      </c>
      <c r="AH375">
        <v>0</v>
      </c>
    </row>
    <row r="376" spans="8:34" x14ac:dyDescent="0.25">
      <c r="H376" s="11">
        <v>0.15</v>
      </c>
      <c r="I376" s="29">
        <f t="shared" si="118"/>
        <v>0.98868599666425949</v>
      </c>
      <c r="J376" s="29">
        <f t="shared" si="119"/>
        <v>145.215</v>
      </c>
      <c r="K376" s="29">
        <f t="shared" si="120"/>
        <v>6.19231390147125</v>
      </c>
      <c r="L376" s="29">
        <f>'C_L vs. α'!O494</f>
        <v>0.10289731528202789</v>
      </c>
      <c r="M376" s="29">
        <f t="shared" si="121"/>
        <v>177.27968682920223</v>
      </c>
      <c r="N376" s="29">
        <f>'C_L vs. α'!S494</f>
        <v>0.10608531589764157</v>
      </c>
      <c r="O376" s="29">
        <f>'C_L vs. α'!L494</f>
        <v>0.90200824961031334</v>
      </c>
      <c r="P376" s="29">
        <f>'C_L vs. α'!X494</f>
        <v>0.10837825688305214</v>
      </c>
      <c r="Q376" s="29">
        <f>'C_L vs. α'!Y494</f>
        <v>1.2121563656765011</v>
      </c>
      <c r="R376" s="29">
        <f t="shared" si="122"/>
        <v>2.9898226883620951</v>
      </c>
      <c r="S376" s="29">
        <f>'C_L vs. α'!Z494</f>
        <v>0.38583313397868807</v>
      </c>
      <c r="T376" s="29">
        <f>'C_L vs. α'!AA494</f>
        <v>0.18106425247368804</v>
      </c>
      <c r="U376" s="29">
        <f t="shared" si="117"/>
        <v>4.126587468393315</v>
      </c>
      <c r="V376" s="29">
        <f>'C_L vs. α'!AC477+'C_L vs. α'!AE477</f>
        <v>0.22729342331803393</v>
      </c>
      <c r="W376" s="29">
        <f>'C_L vs. α'!AD477</f>
        <v>0</v>
      </c>
      <c r="Y376">
        <f>$L$205*Z376</f>
        <v>-4.621756855434473</v>
      </c>
      <c r="Z376">
        <f>P389*12</f>
        <v>2.6938263754145737</v>
      </c>
      <c r="AG376">
        <f>$L$205*AH376</f>
        <v>-3.6959929611134692</v>
      </c>
      <c r="AH376">
        <f>P387*12</f>
        <v>2.1542378003479188</v>
      </c>
    </row>
    <row r="377" spans="8:34" x14ac:dyDescent="0.25">
      <c r="H377" s="5">
        <v>0.2</v>
      </c>
      <c r="I377">
        <f t="shared" si="118"/>
        <v>0.9797958971132712</v>
      </c>
      <c r="J377">
        <f t="shared" si="119"/>
        <v>193.62</v>
      </c>
      <c r="K377">
        <f t="shared" si="120"/>
        <v>11.008558047060001</v>
      </c>
      <c r="L377">
        <f>'C_L vs. α'!O495</f>
        <v>0.10464554001175856</v>
      </c>
      <c r="M377">
        <f t="shared" si="121"/>
        <v>320.5185201362699</v>
      </c>
      <c r="N377">
        <f>'C_L vs. α'!S495</f>
        <v>0.10792498822942134</v>
      </c>
      <c r="O377">
        <f>'C_L vs. α'!L495</f>
        <v>0.91200892018377511</v>
      </c>
      <c r="P377">
        <f>'C_L vs. α'!X495</f>
        <v>0.11009093451775737</v>
      </c>
      <c r="Q377">
        <f>'C_L vs. α'!Y495</f>
        <v>1.2136186727696732</v>
      </c>
      <c r="R377">
        <f t="shared" si="122"/>
        <v>2.983984500876756</v>
      </c>
      <c r="S377">
        <f>'C_L vs. α'!Z495</f>
        <v>0.38886014509871991</v>
      </c>
      <c r="T377">
        <f>'C_L vs. α'!AA495</f>
        <v>0.18106425247368804</v>
      </c>
      <c r="U377">
        <f t="shared" si="117"/>
        <v>4.120749280907976</v>
      </c>
      <c r="V377">
        <f>'C_L vs. α'!AC478+'C_L vs. α'!AE478</f>
        <v>0.22729342331803393</v>
      </c>
      <c r="W377">
        <f>'C_L vs. α'!AD478</f>
        <v>0</v>
      </c>
      <c r="Y377">
        <f>$L$205*Z377</f>
        <v>-5.7771960692930904</v>
      </c>
      <c r="Z377">
        <f>P389*15</f>
        <v>3.3672829692682167</v>
      </c>
      <c r="AG377">
        <f>$L$205*AH377</f>
        <v>-4.6199912013918363</v>
      </c>
      <c r="AH377">
        <f>P387*15</f>
        <v>2.6927972504348983</v>
      </c>
    </row>
    <row r="378" spans="8:34" x14ac:dyDescent="0.25">
      <c r="H378" s="5">
        <v>0.25</v>
      </c>
      <c r="I378">
        <f t="shared" si="118"/>
        <v>0.96824583655185426</v>
      </c>
      <c r="J378">
        <f t="shared" si="119"/>
        <v>242.02500000000001</v>
      </c>
      <c r="K378">
        <f t="shared" si="120"/>
        <v>17.200871948531251</v>
      </c>
      <c r="L378">
        <f>'C_L vs. α'!O496</f>
        <v>0.10698268400095574</v>
      </c>
      <c r="M378">
        <f t="shared" si="121"/>
        <v>511.99523697360172</v>
      </c>
      <c r="N378">
        <f>'C_L vs. α'!S496</f>
        <v>0.11038625709076041</v>
      </c>
      <c r="O378">
        <f>'C_L vs. α'!L496</f>
        <v>0.91938263257379882</v>
      </c>
      <c r="P378">
        <f>'C_L vs. α'!X496</f>
        <v>0.11233078839786849</v>
      </c>
      <c r="Q378">
        <f>'C_L vs. α'!Y496</f>
        <v>1.2157311472964261</v>
      </c>
      <c r="R378">
        <f t="shared" si="122"/>
        <v>2.9774643042059905</v>
      </c>
      <c r="S378">
        <f>'C_L vs. α'!Z496</f>
        <v>0.39285856093509275</v>
      </c>
      <c r="T378">
        <f>'C_L vs. α'!AA496</f>
        <v>0.18106425247368804</v>
      </c>
      <c r="U378">
        <f t="shared" si="117"/>
        <v>4.1142290842372109</v>
      </c>
      <c r="V378">
        <f>'C_L vs. α'!AC479+'C_L vs. α'!AE479</f>
        <v>0.22729342331803393</v>
      </c>
      <c r="W378">
        <f>'C_L vs. α'!AD479</f>
        <v>0</v>
      </c>
    </row>
    <row r="379" spans="8:34" x14ac:dyDescent="0.25">
      <c r="H379" s="5">
        <v>0.3</v>
      </c>
      <c r="I379">
        <f t="shared" si="118"/>
        <v>0.95393920141694566</v>
      </c>
      <c r="J379">
        <f t="shared" si="119"/>
        <v>290.43</v>
      </c>
      <c r="K379">
        <f t="shared" si="120"/>
        <v>24.769255605885</v>
      </c>
      <c r="L379">
        <f>'C_L vs. α'!O497</f>
        <v>0.10998526883345291</v>
      </c>
      <c r="M379">
        <f t="shared" si="121"/>
        <v>757.96551003020033</v>
      </c>
      <c r="N379">
        <f>'C_L vs. α'!S497</f>
        <v>0.11355144228561578</v>
      </c>
      <c r="O379">
        <f>'C_L vs. α'!L497</f>
        <v>0.90733303399168641</v>
      </c>
      <c r="P379">
        <f>'C_L vs. α'!X497</f>
        <v>0.11506256822064728</v>
      </c>
      <c r="Q379">
        <f>'C_L vs. α'!Y497</f>
        <v>1.2187100318108479</v>
      </c>
      <c r="R379">
        <f t="shared" si="122"/>
        <v>2.9741776890569795</v>
      </c>
      <c r="S379">
        <f>'C_L vs. α'!Z497</f>
        <v>0.39791683239406395</v>
      </c>
      <c r="T379">
        <f>'C_L vs. α'!AA497</f>
        <v>0.18106425247368804</v>
      </c>
      <c r="U379">
        <f t="shared" si="117"/>
        <v>4.1109424690881999</v>
      </c>
      <c r="V379">
        <f>'C_L vs. α'!AC480+'C_L vs. α'!AE480</f>
        <v>0.22729342331803393</v>
      </c>
      <c r="W379">
        <f>'C_L vs. α'!AD480</f>
        <v>0</v>
      </c>
    </row>
    <row r="380" spans="8:34" x14ac:dyDescent="0.25">
      <c r="H380" s="5">
        <v>0.35</v>
      </c>
      <c r="I380">
        <f t="shared" si="118"/>
        <v>0.93674969975975975</v>
      </c>
      <c r="J380">
        <f t="shared" si="119"/>
        <v>338.83499999999998</v>
      </c>
      <c r="K380">
        <f t="shared" si="120"/>
        <v>33.713709019121247</v>
      </c>
      <c r="L380">
        <f>'C_L vs. α'!O498</f>
        <v>0.11375906391372086</v>
      </c>
      <c r="M380">
        <f t="shared" si="121"/>
        <v>1067.0739370899062</v>
      </c>
      <c r="N380">
        <f>'C_L vs. α'!S498</f>
        <v>0.11753458280720043</v>
      </c>
      <c r="O380">
        <f>'C_L vs. α'!L498</f>
        <v>0.91244615655132821</v>
      </c>
      <c r="P380">
        <f>'C_L vs. α'!X498</f>
        <v>0.1185878928284851</v>
      </c>
      <c r="Q380">
        <f>'C_L vs. α'!Y498</f>
        <v>1.2228773485094071</v>
      </c>
      <c r="R380">
        <f t="shared" si="122"/>
        <v>2.9651924824559011</v>
      </c>
      <c r="S380">
        <f>'C_L vs. α'!Z498</f>
        <v>0.40415379968872978</v>
      </c>
      <c r="T380">
        <f>'C_L vs. α'!AA498</f>
        <v>0.18106425247368804</v>
      </c>
      <c r="U380">
        <f t="shared" si="117"/>
        <v>4.1019572624871214</v>
      </c>
      <c r="V380">
        <f>'C_L vs. α'!AC481+'C_L vs. α'!AE481</f>
        <v>0.22729342331803393</v>
      </c>
      <c r="W380">
        <f>'C_L vs. α'!AD481</f>
        <v>0</v>
      </c>
    </row>
    <row r="381" spans="8:34" x14ac:dyDescent="0.25">
      <c r="H381" s="5">
        <v>0.4</v>
      </c>
      <c r="I381">
        <f t="shared" si="118"/>
        <v>0.91651513899116799</v>
      </c>
      <c r="J381">
        <f t="shared" si="119"/>
        <v>387.24</v>
      </c>
      <c r="K381">
        <f t="shared" si="120"/>
        <v>44.034232188240004</v>
      </c>
      <c r="L381">
        <f>'C_L vs. α'!O499</f>
        <v>0.11844937702562958</v>
      </c>
      <c r="M381">
        <f t="shared" si="121"/>
        <v>1451.19300950817</v>
      </c>
      <c r="N381">
        <f>'C_L vs. α'!S499</f>
        <v>0.12249278234294751</v>
      </c>
      <c r="O381">
        <f>'C_L vs. α'!L499</f>
        <v>0.91675257821074596</v>
      </c>
      <c r="P381">
        <f>'C_L vs. α'!X499</f>
        <v>0.1229114965628397</v>
      </c>
      <c r="Q381">
        <f>'C_L vs. α'!Y499</f>
        <v>1.2287153291552386</v>
      </c>
      <c r="R381">
        <f t="shared" si="122"/>
        <v>2.954423896216043</v>
      </c>
      <c r="S381">
        <f>'C_L vs. α'!Z499</f>
        <v>0.41172716118850533</v>
      </c>
      <c r="T381">
        <f>'C_L vs. α'!AA499</f>
        <v>0.18106425247368804</v>
      </c>
      <c r="U381">
        <f t="shared" si="117"/>
        <v>4.0911886762472633</v>
      </c>
      <c r="V381">
        <f>'C_L vs. α'!AC482+'C_L vs. α'!AE482</f>
        <v>0.22729342331803393</v>
      </c>
      <c r="W381">
        <f>'C_L vs. α'!AD482</f>
        <v>0</v>
      </c>
    </row>
    <row r="382" spans="8:34" x14ac:dyDescent="0.25">
      <c r="H382" s="5">
        <v>0.45</v>
      </c>
      <c r="I382">
        <f t="shared" si="118"/>
        <v>0.89302855497458755</v>
      </c>
      <c r="J382">
        <f t="shared" si="119"/>
        <v>435.64500000000004</v>
      </c>
      <c r="K382">
        <f t="shared" si="120"/>
        <v>55.730825113241259</v>
      </c>
      <c r="L382">
        <f>'C_L vs. α'!O500</f>
        <v>0.12425694261102585</v>
      </c>
      <c r="M382">
        <f t="shared" si="121"/>
        <v>1926.7177798423913</v>
      </c>
      <c r="N382">
        <f>'C_L vs. α'!S500</f>
        <v>0.12864380245837007</v>
      </c>
      <c r="O382">
        <f>'C_L vs. α'!L500</f>
        <v>0.92045263026782553</v>
      </c>
      <c r="P382">
        <f>'C_L vs. α'!X500</f>
        <v>0.12818588349115431</v>
      </c>
      <c r="Q382">
        <f>'C_L vs. α'!Y500</f>
        <v>1.2369580304296415</v>
      </c>
      <c r="R382">
        <f t="shared" si="122"/>
        <v>2.9413885316458597</v>
      </c>
      <c r="S382">
        <f>'C_L vs. α'!Z500</f>
        <v>0.42084590260886801</v>
      </c>
      <c r="T382">
        <f>'C_L vs. α'!AA500</f>
        <v>0.18106425247368804</v>
      </c>
      <c r="U382">
        <f t="shared" si="117"/>
        <v>4.0781533116770801</v>
      </c>
      <c r="V382">
        <f>'C_L vs. α'!AC483+'C_L vs. α'!AE483</f>
        <v>0.22729342331803393</v>
      </c>
      <c r="W382">
        <f>'C_L vs. α'!AD483</f>
        <v>0</v>
      </c>
    </row>
    <row r="383" spans="8:34" x14ac:dyDescent="0.25">
      <c r="H383" s="5">
        <v>0.5</v>
      </c>
      <c r="I383">
        <f t="shared" si="118"/>
        <v>0.8660254037844386</v>
      </c>
      <c r="J383">
        <f t="shared" si="119"/>
        <v>484.05</v>
      </c>
      <c r="K383">
        <f t="shared" si="120"/>
        <v>68.803487794125004</v>
      </c>
      <c r="L383">
        <f>'C_L vs. α'!O501</f>
        <v>0.13146303448299143</v>
      </c>
      <c r="M383">
        <f t="shared" si="121"/>
        <v>2516.6109122028256</v>
      </c>
      <c r="N383">
        <f>'C_L vs. α'!S501</f>
        <v>0.136294012347947</v>
      </c>
      <c r="O383">
        <f>'C_L vs. α'!L501</f>
        <v>0.92368203359269796</v>
      </c>
      <c r="P383">
        <f>'C_L vs. α'!X501</f>
        <v>0.13461595622817585</v>
      </c>
      <c r="Q383">
        <f>'C_L vs. α'!Y501</f>
        <v>1.2487506177526941</v>
      </c>
      <c r="R383">
        <f t="shared" si="122"/>
        <v>2.9254394220323827</v>
      </c>
      <c r="S383">
        <f>'C_L vs. α'!Z501</f>
        <v>0.43178880504861844</v>
      </c>
      <c r="T383">
        <f>'C_L vs. α'!AA501</f>
        <v>0.18106425247368804</v>
      </c>
      <c r="U383">
        <f t="shared" si="117"/>
        <v>4.0622042020636036</v>
      </c>
      <c r="V383">
        <f>'C_L vs. α'!AC484+'C_L vs. α'!AE484</f>
        <v>0.22729342331803393</v>
      </c>
      <c r="W383">
        <f>'C_L vs. α'!AD484</f>
        <v>0</v>
      </c>
    </row>
    <row r="384" spans="8:34" x14ac:dyDescent="0.25">
      <c r="H384" s="5">
        <v>0.55000000000000004</v>
      </c>
      <c r="I384">
        <f t="shared" si="118"/>
        <v>0.83516465442450327</v>
      </c>
      <c r="J384">
        <f t="shared" si="119"/>
        <v>532.45500000000004</v>
      </c>
      <c r="K384">
        <f t="shared" si="120"/>
        <v>83.252220230891268</v>
      </c>
      <c r="L384">
        <f>'C_L vs. α'!O502</f>
        <v>0.14047047884093974</v>
      </c>
      <c r="M384">
        <f t="shared" si="121"/>
        <v>3253.7400719016132</v>
      </c>
      <c r="N384">
        <f>'C_L vs. α'!S502</f>
        <v>0.14588430801061572</v>
      </c>
      <c r="O384">
        <f>'C_L vs. α'!L502</f>
        <v>0.92653669533221994</v>
      </c>
      <c r="P384">
        <f>'C_L vs. α'!X502</f>
        <v>0.1424807203828512</v>
      </c>
      <c r="Q384">
        <f>'C_L vs. α'!Y502</f>
        <v>1.2659380192107941</v>
      </c>
      <c r="R384">
        <f t="shared" si="122"/>
        <v>2.9056680749676262</v>
      </c>
      <c r="S384">
        <f>'C_L vs. α'!Z502</f>
        <v>0.44493263614763967</v>
      </c>
      <c r="T384">
        <f>'C_L vs. α'!AA502</f>
        <v>0.18106425247368804</v>
      </c>
      <c r="U384">
        <f t="shared" si="117"/>
        <v>4.0424328549988466</v>
      </c>
      <c r="V384">
        <f>'C_L vs. α'!AC485+'C_L vs. α'!AE485</f>
        <v>0.22729342331803393</v>
      </c>
      <c r="W384">
        <f>'C_L vs. α'!AD485</f>
        <v>0</v>
      </c>
    </row>
    <row r="385" spans="8:23" x14ac:dyDescent="0.25">
      <c r="H385" s="5">
        <v>0.6</v>
      </c>
      <c r="I385">
        <f t="shared" si="118"/>
        <v>0.8</v>
      </c>
      <c r="J385">
        <f t="shared" si="119"/>
        <v>580.86</v>
      </c>
      <c r="K385">
        <f t="shared" si="120"/>
        <v>99.077022423540001</v>
      </c>
      <c r="L385">
        <f>'C_L vs. α'!O503</f>
        <v>0.15187349429154923</v>
      </c>
      <c r="M385">
        <f t="shared" si="121"/>
        <v>4186.5559554189931</v>
      </c>
      <c r="N385">
        <f>'C_L vs. α'!S503</f>
        <v>0.15806885198995582</v>
      </c>
      <c r="O385">
        <f>'C_L vs. α'!L503</f>
        <v>0.92908671698205592</v>
      </c>
      <c r="P385">
        <f>'C_L vs. α'!X503</f>
        <v>0.15216609475301043</v>
      </c>
      <c r="Q385">
        <f>'C_L vs. α'!Y503</f>
        <v>1.2916153945984163</v>
      </c>
      <c r="R385">
        <f t="shared" si="122"/>
        <v>2.8807429288683783</v>
      </c>
      <c r="S385">
        <f>'C_L vs. α'!Z503</f>
        <v>0.46079638800646094</v>
      </c>
      <c r="T385">
        <f>'C_L vs. α'!AA503</f>
        <v>0.18106425247368804</v>
      </c>
      <c r="U385">
        <f t="shared" si="117"/>
        <v>4.0175077088995987</v>
      </c>
      <c r="V385">
        <f>'C_L vs. α'!AC486+'C_L vs. α'!AE486</f>
        <v>0</v>
      </c>
      <c r="W385">
        <f>'C_L vs. α'!AD486</f>
        <v>0</v>
      </c>
    </row>
    <row r="386" spans="8:23" x14ac:dyDescent="0.25">
      <c r="H386" s="5">
        <v>0.65</v>
      </c>
      <c r="I386">
        <f t="shared" si="118"/>
        <v>0.75993420767853315</v>
      </c>
      <c r="J386">
        <f t="shared" si="119"/>
        <v>629.26499999999999</v>
      </c>
      <c r="K386">
        <f t="shared" si="120"/>
        <v>116.27789437207124</v>
      </c>
      <c r="L386">
        <f>'C_L vs. α'!O504</f>
        <v>0.16658299205178798</v>
      </c>
      <c r="M386">
        <f t="shared" si="121"/>
        <v>5389.268059457343</v>
      </c>
      <c r="N386">
        <f>'C_L vs. α'!S504</f>
        <v>0.17385749335052486</v>
      </c>
      <c r="O386">
        <f>'C_L vs. α'!L504</f>
        <v>0.9137553883340277</v>
      </c>
      <c r="P386">
        <f>'C_L vs. α'!X504</f>
        <v>0.16425425612326591</v>
      </c>
      <c r="Q386">
        <f>'C_L vs. α'!Y504</f>
        <v>1.3312457184293842</v>
      </c>
      <c r="R386">
        <f t="shared" si="122"/>
        <v>2.8551547230864127</v>
      </c>
      <c r="S386">
        <f>'C_L vs. α'!Z504</f>
        <v>0.48011331066331625</v>
      </c>
      <c r="T386">
        <f>'C_L vs. α'!AA504</f>
        <v>0.18106425247368804</v>
      </c>
      <c r="U386">
        <f t="shared" si="117"/>
        <v>3.9919195031176331</v>
      </c>
      <c r="V386">
        <f>'C_L vs. α'!AC487+'C_L vs. α'!AE487</f>
        <v>0</v>
      </c>
      <c r="W386">
        <f>'C_L vs. α'!AD487</f>
        <v>0</v>
      </c>
    </row>
    <row r="387" spans="8:23" x14ac:dyDescent="0.25">
      <c r="H387" s="5">
        <v>0.7</v>
      </c>
      <c r="I387">
        <f t="shared" si="118"/>
        <v>0.71414284285428498</v>
      </c>
      <c r="J387">
        <f t="shared" si="119"/>
        <v>677.67</v>
      </c>
      <c r="K387">
        <f t="shared" si="120"/>
        <v>134.85483607648499</v>
      </c>
      <c r="L387">
        <f>'C_L vs. α'!O505</f>
        <v>0.18606658153192498</v>
      </c>
      <c r="M387">
        <f t="shared" si="121"/>
        <v>6981.3091945523238</v>
      </c>
      <c r="N387">
        <f>'C_L vs. α'!S505</f>
        <v>0.19489118882148326</v>
      </c>
      <c r="O387">
        <f>'C_L vs. α'!L505</f>
        <v>0.91606506959231171</v>
      </c>
      <c r="P387">
        <f>'C_L vs. α'!X505</f>
        <v>0.17951981669565989</v>
      </c>
      <c r="Q387">
        <f>'C_L vs. α'!Y505</f>
        <v>1.3951127852600966</v>
      </c>
      <c r="R387">
        <f t="shared" si="122"/>
        <v>2.8132242453482164</v>
      </c>
      <c r="S387">
        <f>'C_L vs. α'!Z505</f>
        <v>0.50395361014601125</v>
      </c>
      <c r="T387">
        <f>'C_L vs. α'!AA505</f>
        <v>0.18106425247368804</v>
      </c>
      <c r="U387">
        <f t="shared" si="117"/>
        <v>3.9499890253794367</v>
      </c>
      <c r="V387">
        <f>'C_L vs. α'!AC488+'C_L vs. α'!AE488</f>
        <v>0</v>
      </c>
      <c r="W387">
        <f>'C_L vs. α'!AD488</f>
        <v>0</v>
      </c>
    </row>
    <row r="388" spans="8:23" x14ac:dyDescent="0.25">
      <c r="H388" s="5">
        <v>0.75</v>
      </c>
      <c r="I388">
        <f t="shared" si="118"/>
        <v>0.66143782776614768</v>
      </c>
      <c r="J388">
        <f t="shared" si="119"/>
        <v>726.07500000000005</v>
      </c>
      <c r="K388">
        <f t="shared" si="120"/>
        <v>154.80784753678125</v>
      </c>
      <c r="L388">
        <f>'C_L vs. α'!O506</f>
        <v>0.21284847584675293</v>
      </c>
      <c r="M388">
        <f t="shared" si="121"/>
        <v>9167.8074973973507</v>
      </c>
      <c r="N388">
        <f>'C_L vs. α'!S506</f>
        <v>0.22402223560332959</v>
      </c>
      <c r="O388">
        <f>'C_L vs. α'!L506</f>
        <v>0.91818467334573861</v>
      </c>
      <c r="P388">
        <f>'C_L vs. α'!X506</f>
        <v>0.19908175256385252</v>
      </c>
      <c r="Q388">
        <f>'C_L vs. α'!Y506</f>
        <v>1.5042699888815725</v>
      </c>
      <c r="R388">
        <f t="shared" si="122"/>
        <v>2.7553250898368988</v>
      </c>
      <c r="S388">
        <f>'C_L vs. α'!Z506</f>
        <v>0.53394517608710246</v>
      </c>
      <c r="T388">
        <f>'C_L vs. α'!AA506</f>
        <v>0.18106425247368804</v>
      </c>
      <c r="U388">
        <f t="shared" si="117"/>
        <v>3.8920898698681192</v>
      </c>
      <c r="V388">
        <f>'C_L vs. α'!AC489+'C_L vs. α'!AE489</f>
        <v>0</v>
      </c>
      <c r="W388">
        <f>'C_L vs. α'!AD489</f>
        <v>0</v>
      </c>
    </row>
    <row r="389" spans="8:23" x14ac:dyDescent="0.25">
      <c r="H389" s="58">
        <v>0.8</v>
      </c>
      <c r="I389" s="99">
        <f t="shared" si="118"/>
        <v>0.59999999999999987</v>
      </c>
      <c r="J389" s="99">
        <f t="shared" si="119"/>
        <v>774.48</v>
      </c>
      <c r="K389" s="99">
        <f t="shared" si="120"/>
        <v>176.13692875296002</v>
      </c>
      <c r="L389" s="99">
        <f>'C_L vs. α'!O507</f>
        <v>0.25167326542920682</v>
      </c>
      <c r="M389" s="99">
        <f t="shared" si="121"/>
        <v>12333.589002901483</v>
      </c>
      <c r="N389" s="99">
        <f>'C_L vs. α'!S507</f>
        <v>0.266683574276255</v>
      </c>
      <c r="O389" s="99">
        <f>'C_L vs. α'!L507</f>
        <v>0.92014021386541955</v>
      </c>
      <c r="P389" s="99">
        <f>'C_L vs. α'!X507</f>
        <v>0.22448553128454779</v>
      </c>
      <c r="Q389" s="99">
        <f>'C_L vs. α'!Y507</f>
        <v>1.7070113297128373</v>
      </c>
      <c r="R389" s="99">
        <f t="shared" si="122"/>
        <v>2.6707118085742163</v>
      </c>
      <c r="S389" s="99">
        <f>'C_L vs. α'!Z507</f>
        <v>0.57269768603406035</v>
      </c>
      <c r="T389" s="99">
        <f>'C_L vs. α'!AA507</f>
        <v>0.18106425247368804</v>
      </c>
      <c r="U389" s="99">
        <f t="shared" si="117"/>
        <v>3.8074765886054367</v>
      </c>
      <c r="V389" s="99" t="e">
        <f>'C_L vs. α'!AC490+'C_L vs. α'!AE490</f>
        <v>#VALUE!</v>
      </c>
      <c r="W389" s="99">
        <f>'C_L vs. α'!AD490</f>
        <v>0</v>
      </c>
    </row>
    <row r="390" spans="8:23" x14ac:dyDescent="0.25">
      <c r="H390" s="5">
        <v>0.85</v>
      </c>
      <c r="I390">
        <f t="shared" si="118"/>
        <v>0.52678268764263703</v>
      </c>
      <c r="J390">
        <f t="shared" si="119"/>
        <v>822.88499999999999</v>
      </c>
      <c r="K390">
        <f t="shared" si="120"/>
        <v>198.84207972502125</v>
      </c>
      <c r="L390">
        <f>'C_L vs. α'!O508</f>
        <v>0.31267319102286617</v>
      </c>
      <c r="M390">
        <f t="shared" si="121"/>
        <v>17298.19989546591</v>
      </c>
      <c r="N390">
        <f>'C_L vs. α'!S508</f>
        <v>0.33467687582814859</v>
      </c>
      <c r="O390">
        <f>'C_L vs. α'!L508</f>
        <v>0.90491424410805277</v>
      </c>
      <c r="P390">
        <f>'C_L vs. α'!X508</f>
        <v>0.25823364087638484</v>
      </c>
      <c r="Q390">
        <f>'C_L vs. α'!Y508</f>
        <v>2.1338352284298052</v>
      </c>
      <c r="R390">
        <f t="shared" si="122"/>
        <v>2.548207010243202</v>
      </c>
      <c r="S390">
        <f>'C_L vs. α'!Z508</f>
        <v>0.62468234732408157</v>
      </c>
      <c r="T390">
        <f>'C_L vs. α'!AA508</f>
        <v>0.18106425247368804</v>
      </c>
      <c r="U390">
        <f t="shared" si="117"/>
        <v>3.6849717902744223</v>
      </c>
      <c r="V390" t="e">
        <f>'C_L vs. α'!AC491+'C_L vs. α'!AE491</f>
        <v>#VALUE!</v>
      </c>
      <c r="W390">
        <f>'C_L vs. α'!AD491</f>
        <v>0</v>
      </c>
    </row>
    <row r="392" spans="8:23" x14ac:dyDescent="0.25">
      <c r="H392">
        <v>45000</v>
      </c>
    </row>
    <row r="393" spans="8:23" x14ac:dyDescent="0.25">
      <c r="H393" t="s">
        <v>177</v>
      </c>
      <c r="I393" s="238">
        <f>'Sub C_D_0'!B243</f>
        <v>4.6230000000000002E-4</v>
      </c>
    </row>
    <row r="394" spans="8:23" x14ac:dyDescent="0.25">
      <c r="H394" t="s">
        <v>142</v>
      </c>
      <c r="I394">
        <f>'Sub C_D_0'!B245</f>
        <v>968.1</v>
      </c>
    </row>
    <row r="395" spans="8:23" x14ac:dyDescent="0.25">
      <c r="H395" t="s">
        <v>348</v>
      </c>
      <c r="I395" s="223" t="s">
        <v>712</v>
      </c>
      <c r="J395" t="s">
        <v>1085</v>
      </c>
      <c r="K395" t="s">
        <v>184</v>
      </c>
      <c r="L395" t="s">
        <v>719</v>
      </c>
      <c r="M395" s="5" t="s">
        <v>1042</v>
      </c>
      <c r="N395" t="s">
        <v>1026</v>
      </c>
      <c r="O395" s="223" t="s">
        <v>785</v>
      </c>
      <c r="P395" t="s">
        <v>535</v>
      </c>
      <c r="Q395" t="s">
        <v>94</v>
      </c>
      <c r="R395" s="223" t="s">
        <v>1185</v>
      </c>
      <c r="S395" t="s">
        <v>750</v>
      </c>
      <c r="T395" t="s">
        <v>813</v>
      </c>
      <c r="U395" s="223" t="s">
        <v>1187</v>
      </c>
      <c r="V395" t="s">
        <v>750</v>
      </c>
      <c r="W395" t="s">
        <v>813</v>
      </c>
    </row>
    <row r="396" spans="8:23" x14ac:dyDescent="0.25">
      <c r="H396" s="5">
        <v>0</v>
      </c>
      <c r="I396">
        <f>SQRT(1-H396^2)</f>
        <v>1</v>
      </c>
      <c r="J396">
        <f>H396*$I$394</f>
        <v>0</v>
      </c>
      <c r="K396">
        <f>$I$393*J396^2/2</f>
        <v>0</v>
      </c>
      <c r="L396">
        <f>'C_L vs. α'!O516</f>
        <v>0.10073378060434053</v>
      </c>
      <c r="M396">
        <f>(K396/36.5)*(L396/0.08)*$B$190</f>
        <v>0</v>
      </c>
      <c r="N396">
        <f>'C_L vs. α'!S516</f>
        <v>0.10381027215104761</v>
      </c>
      <c r="O396" t="e">
        <f>'C_L vs. α'!L516</f>
        <v>#NUM!</v>
      </c>
      <c r="P396" t="e">
        <f>'C_L vs. α'!X516</f>
        <v>#NUM!</v>
      </c>
      <c r="Q396">
        <f>'C_L vs. α'!Y516</f>
        <v>1.2104861657449768</v>
      </c>
      <c r="R396" t="e">
        <f>$L$208+$N396*$O396*($L$169/$I$169)*($O$204-$O$205)*$O$206</f>
        <v>#NUM!</v>
      </c>
      <c r="S396">
        <f>'C_L vs. α'!Z516</f>
        <v>0.38204298311929219</v>
      </c>
      <c r="T396">
        <f>'C_L vs. α'!AA516</f>
        <v>0.18106425247368804</v>
      </c>
      <c r="U396" t="e">
        <f t="shared" ref="U396:U413" si="123">$L$209+$N396*$O396*($L$169/$I$169)*($O$204-$O$205)*$O$206</f>
        <v>#NUM!</v>
      </c>
      <c r="V396">
        <f>'C_L vs. α'!AC497+'C_L vs. α'!AE497</f>
        <v>0.22729342331803393</v>
      </c>
      <c r="W396">
        <f>'C_L vs. α'!AD497</f>
        <v>0</v>
      </c>
    </row>
    <row r="397" spans="8:23" x14ac:dyDescent="0.25">
      <c r="H397" s="5">
        <v>0.05</v>
      </c>
      <c r="I397">
        <f t="shared" ref="I397:I413" si="124">SQRT(1-H397^2)</f>
        <v>0.99874921777190895</v>
      </c>
      <c r="J397">
        <f t="shared" ref="J397:J413" si="125">H397*$I$394</f>
        <v>48.405000000000001</v>
      </c>
      <c r="K397">
        <f t="shared" ref="K397:K413" si="126">$I$393*J397^2/2</f>
        <v>0.54159462637875</v>
      </c>
      <c r="L397">
        <f>'C_L vs. α'!O517</f>
        <v>0.10096966142983717</v>
      </c>
      <c r="M397">
        <f t="shared" ref="M397:M413" si="127">(K397/36.5)*(L397/0.08)*$B$190</f>
        <v>15.214833894106484</v>
      </c>
      <c r="N397">
        <f>'C_L vs. α'!S517</f>
        <v>0.1040582208604917</v>
      </c>
      <c r="O397">
        <f>'C_L vs. α'!L517</f>
        <v>0.86783856926734448</v>
      </c>
      <c r="P397">
        <f>'C_L vs. α'!X517</f>
        <v>0.10633226209403525</v>
      </c>
      <c r="Q397">
        <f>'C_L vs. α'!Y517</f>
        <v>1.210660771233947</v>
      </c>
      <c r="R397">
        <f t="shared" ref="R397:R413" si="128">$L$208+N397*O397*($L$169/$I$169)*($O$204-$O$205)*$O$206</f>
        <v>3.0013000648275687</v>
      </c>
      <c r="S397">
        <f>'C_L vs. α'!Z517</f>
        <v>0.3824586133220616</v>
      </c>
      <c r="T397">
        <f>'C_L vs. α'!AA517</f>
        <v>0.18106425247368804</v>
      </c>
      <c r="U397">
        <f t="shared" si="123"/>
        <v>4.1380648448587891</v>
      </c>
      <c r="V397">
        <f>'C_L vs. α'!AC498+'C_L vs. α'!AE498</f>
        <v>0.22729342331803393</v>
      </c>
      <c r="W397">
        <f>'C_L vs. α'!AD498</f>
        <v>0</v>
      </c>
    </row>
    <row r="398" spans="8:23" x14ac:dyDescent="0.25">
      <c r="H398" s="5">
        <v>0.1</v>
      </c>
      <c r="I398">
        <f t="shared" si="124"/>
        <v>0.99498743710661997</v>
      </c>
      <c r="J398">
        <f t="shared" si="125"/>
        <v>96.81</v>
      </c>
      <c r="K398">
        <f t="shared" si="126"/>
        <v>2.166378505515</v>
      </c>
      <c r="L398">
        <f>'C_L vs. α'!O518</f>
        <v>0.10168399167415836</v>
      </c>
      <c r="M398">
        <f t="shared" si="127"/>
        <v>61.28989722668701</v>
      </c>
      <c r="N398">
        <f>'C_L vs. α'!S518</f>
        <v>0.10480923052652887</v>
      </c>
      <c r="O398">
        <f>'C_L vs. α'!L518</f>
        <v>0.89429559334766329</v>
      </c>
      <c r="P398">
        <f>'C_L vs. α'!X518</f>
        <v>0.10717969289227106</v>
      </c>
      <c r="Q398">
        <f>'C_L vs. α'!Y518</f>
        <v>1.2112007152996589</v>
      </c>
      <c r="R398">
        <f t="shared" si="128"/>
        <v>2.9939995738423195</v>
      </c>
      <c r="S398">
        <f>'C_L vs. α'!Z518</f>
        <v>0.38371367545476148</v>
      </c>
      <c r="T398">
        <f>'C_L vs. α'!AA518</f>
        <v>0.18106425247368804</v>
      </c>
      <c r="U398">
        <f t="shared" si="123"/>
        <v>4.1307643538735395</v>
      </c>
      <c r="V398">
        <f>'C_L vs. α'!AC499+'C_L vs. α'!AE499</f>
        <v>0.22729342331803393</v>
      </c>
      <c r="W398">
        <f>'C_L vs. α'!AD499</f>
        <v>0</v>
      </c>
    </row>
    <row r="399" spans="8:23" x14ac:dyDescent="0.25">
      <c r="H399" s="11">
        <v>0.15</v>
      </c>
      <c r="I399" s="29">
        <f t="shared" si="124"/>
        <v>0.98868599666425949</v>
      </c>
      <c r="J399" s="29">
        <f t="shared" si="125"/>
        <v>145.215</v>
      </c>
      <c r="K399" s="29">
        <f t="shared" si="126"/>
        <v>4.8743516374087505</v>
      </c>
      <c r="L399" s="29">
        <f>'C_L vs. α'!O519</f>
        <v>0.10289731528202789</v>
      </c>
      <c r="M399" s="29">
        <f t="shared" si="127"/>
        <v>139.54775961372414</v>
      </c>
      <c r="N399" s="29">
        <f>'C_L vs. α'!S519</f>
        <v>0.10608531589764157</v>
      </c>
      <c r="O399" s="29">
        <f>'C_L vs. α'!L519</f>
        <v>0.90877001980866168</v>
      </c>
      <c r="P399" s="29">
        <f>'C_L vs. α'!X519</f>
        <v>0.10842068391652951</v>
      </c>
      <c r="Q399" s="29">
        <f>'C_L vs. α'!Y519</f>
        <v>1.2121563656765011</v>
      </c>
      <c r="R399" s="29">
        <f t="shared" si="128"/>
        <v>2.9882935535055788</v>
      </c>
      <c r="S399" s="29">
        <f>'C_L vs. α'!Z519</f>
        <v>0.38583313397868807</v>
      </c>
      <c r="T399" s="29">
        <f>'C_L vs. α'!AA519</f>
        <v>0.18106425247368804</v>
      </c>
      <c r="U399" s="29">
        <f t="shared" si="123"/>
        <v>4.1250583335367992</v>
      </c>
      <c r="V399" s="29">
        <f>'C_L vs. α'!AC500+'C_L vs. α'!AE500</f>
        <v>0.22729342331803393</v>
      </c>
      <c r="W399" s="29">
        <f>'C_L vs. α'!AD500</f>
        <v>0</v>
      </c>
    </row>
    <row r="400" spans="8:23" x14ac:dyDescent="0.25">
      <c r="H400" s="5">
        <v>0.2</v>
      </c>
      <c r="I400">
        <f t="shared" si="124"/>
        <v>0.9797958971132712</v>
      </c>
      <c r="J400">
        <f t="shared" si="125"/>
        <v>193.62</v>
      </c>
      <c r="K400">
        <f t="shared" si="126"/>
        <v>8.66551402206</v>
      </c>
      <c r="L400">
        <f>'C_L vs. α'!O520</f>
        <v>0.10464554001175856</v>
      </c>
      <c r="M400">
        <f t="shared" si="127"/>
        <v>252.29986694874438</v>
      </c>
      <c r="N400">
        <f>'C_L vs. α'!S520</f>
        <v>0.10792498822942134</v>
      </c>
      <c r="O400">
        <f>'C_L vs. α'!L520</f>
        <v>0.91840105724400023</v>
      </c>
      <c r="P400">
        <f>'C_L vs. α'!X520</f>
        <v>0.1101303746094074</v>
      </c>
      <c r="Q400">
        <f>'C_L vs. α'!Y520</f>
        <v>1.2136186727696732</v>
      </c>
      <c r="R400">
        <f t="shared" si="128"/>
        <v>2.9825138885711069</v>
      </c>
      <c r="S400">
        <f>'C_L vs. α'!Z520</f>
        <v>0.38886014509871991</v>
      </c>
      <c r="T400">
        <f>'C_L vs. α'!AA520</f>
        <v>0.18106425247368804</v>
      </c>
      <c r="U400">
        <f t="shared" si="123"/>
        <v>4.1192786686023268</v>
      </c>
      <c r="V400">
        <f>'C_L vs. α'!AC501+'C_L vs. α'!AE501</f>
        <v>0.22729342331803393</v>
      </c>
      <c r="W400">
        <f>'C_L vs. α'!AD501</f>
        <v>0</v>
      </c>
    </row>
    <row r="401" spans="8:23" x14ac:dyDescent="0.25">
      <c r="H401" s="5">
        <v>0.25</v>
      </c>
      <c r="I401">
        <f t="shared" si="124"/>
        <v>0.96824583655185426</v>
      </c>
      <c r="J401">
        <f t="shared" si="125"/>
        <v>242.02500000000001</v>
      </c>
      <c r="K401">
        <f t="shared" si="126"/>
        <v>13.539865659468751</v>
      </c>
      <c r="L401">
        <f>'C_L vs. α'!O521</f>
        <v>0.10698268400095574</v>
      </c>
      <c r="M401">
        <f t="shared" si="127"/>
        <v>403.02298323326414</v>
      </c>
      <c r="N401">
        <f>'C_L vs. α'!S521</f>
        <v>0.11038625709076041</v>
      </c>
      <c r="O401">
        <f>'C_L vs. α'!L521</f>
        <v>0.92546470976179784</v>
      </c>
      <c r="P401">
        <f>'C_L vs. α'!X521</f>
        <v>0.11236739765977473</v>
      </c>
      <c r="Q401">
        <f>'C_L vs. α'!Y521</f>
        <v>1.2157311472964261</v>
      </c>
      <c r="R401">
        <f t="shared" si="128"/>
        <v>2.9760331150317669</v>
      </c>
      <c r="S401">
        <f>'C_L vs. α'!Z521</f>
        <v>0.39285856093509275</v>
      </c>
      <c r="T401">
        <f>'C_L vs. α'!AA521</f>
        <v>0.18106425247368804</v>
      </c>
      <c r="U401">
        <f t="shared" si="123"/>
        <v>4.1127978950629869</v>
      </c>
      <c r="V401">
        <f>'C_L vs. α'!AC502+'C_L vs. α'!AE502</f>
        <v>0.22729342331803393</v>
      </c>
      <c r="W401">
        <f>'C_L vs. α'!AD502</f>
        <v>0</v>
      </c>
    </row>
    <row r="402" spans="8:23" x14ac:dyDescent="0.25">
      <c r="H402" s="5">
        <v>0.3</v>
      </c>
      <c r="I402">
        <f t="shared" si="124"/>
        <v>0.95393920141694566</v>
      </c>
      <c r="J402">
        <f t="shared" si="125"/>
        <v>290.43</v>
      </c>
      <c r="K402">
        <f t="shared" si="126"/>
        <v>19.497406549635002</v>
      </c>
      <c r="L402">
        <f>'C_L vs. α'!O522</f>
        <v>0.10998526883345291</v>
      </c>
      <c r="M402">
        <f t="shared" si="127"/>
        <v>596.64133370843126</v>
      </c>
      <c r="N402">
        <f>'C_L vs. α'!S522</f>
        <v>0.11355144228561578</v>
      </c>
      <c r="O402">
        <f>'C_L vs. α'!L522</f>
        <v>0.91370495158898513</v>
      </c>
      <c r="P402">
        <f>'C_L vs. α'!X522</f>
        <v>0.11509956629056074</v>
      </c>
      <c r="Q402">
        <f>'C_L vs. α'!Y522</f>
        <v>1.2187100318108479</v>
      </c>
      <c r="R402">
        <f t="shared" si="128"/>
        <v>2.9726353036314008</v>
      </c>
      <c r="S402">
        <f>'C_L vs. α'!Z522</f>
        <v>0.39791683239406395</v>
      </c>
      <c r="T402">
        <f>'C_L vs. α'!AA522</f>
        <v>0.18106425247368804</v>
      </c>
      <c r="U402">
        <f t="shared" si="123"/>
        <v>4.1094000836626217</v>
      </c>
      <c r="V402">
        <f>'C_L vs. α'!AC503+'C_L vs. α'!AE503</f>
        <v>0.22729342331803393</v>
      </c>
      <c r="W402">
        <f>'C_L vs. α'!AD503</f>
        <v>0</v>
      </c>
    </row>
    <row r="403" spans="8:23" x14ac:dyDescent="0.25">
      <c r="H403" s="5">
        <v>0.35</v>
      </c>
      <c r="I403">
        <f t="shared" si="124"/>
        <v>0.93674969975975975</v>
      </c>
      <c r="J403">
        <f t="shared" si="125"/>
        <v>338.83499999999998</v>
      </c>
      <c r="K403">
        <f t="shared" si="126"/>
        <v>26.538136692558748</v>
      </c>
      <c r="L403">
        <f>'C_L vs. α'!O523</f>
        <v>0.11375906391372086</v>
      </c>
      <c r="M403">
        <f t="shared" si="127"/>
        <v>839.95961368408598</v>
      </c>
      <c r="N403">
        <f>'C_L vs. α'!S523</f>
        <v>0.11753458280720043</v>
      </c>
      <c r="O403">
        <f>'C_L vs. α'!L523</f>
        <v>0.91862654072326566</v>
      </c>
      <c r="P403">
        <f>'C_L vs. α'!X523</f>
        <v>0.1186219390866687</v>
      </c>
      <c r="Q403">
        <f>'C_L vs. α'!Y523</f>
        <v>1.2228773485094071</v>
      </c>
      <c r="R403">
        <f t="shared" si="128"/>
        <v>2.9636439823160146</v>
      </c>
      <c r="S403">
        <f>'C_L vs. α'!Z523</f>
        <v>0.40415379968872978</v>
      </c>
      <c r="T403">
        <f>'C_L vs. α'!AA523</f>
        <v>0.18106425247368804</v>
      </c>
      <c r="U403">
        <f t="shared" si="123"/>
        <v>4.1004087623472349</v>
      </c>
      <c r="V403">
        <f>'C_L vs. α'!AC504+'C_L vs. α'!AE504</f>
        <v>0.22729342331803393</v>
      </c>
      <c r="W403">
        <f>'C_L vs. α'!AD504</f>
        <v>0</v>
      </c>
    </row>
    <row r="404" spans="8:23" x14ac:dyDescent="0.25">
      <c r="H404" s="5">
        <v>0.4</v>
      </c>
      <c r="I404">
        <f t="shared" si="124"/>
        <v>0.91651513899116799</v>
      </c>
      <c r="J404">
        <f t="shared" si="125"/>
        <v>387.24</v>
      </c>
      <c r="K404">
        <f t="shared" si="126"/>
        <v>34.66205608824</v>
      </c>
      <c r="L404">
        <f>'C_L vs. α'!O524</f>
        <v>0.11844937702562958</v>
      </c>
      <c r="M404">
        <f t="shared" si="127"/>
        <v>1142.323392296317</v>
      </c>
      <c r="N404">
        <f>'C_L vs. α'!S524</f>
        <v>0.12249278234294751</v>
      </c>
      <c r="O404">
        <f>'C_L vs. α'!L524</f>
        <v>0.92276021131349395</v>
      </c>
      <c r="P404">
        <f>'C_L vs. α'!X524</f>
        <v>0.12294208600200296</v>
      </c>
      <c r="Q404">
        <f>'C_L vs. α'!Y524</f>
        <v>1.2287153291552386</v>
      </c>
      <c r="R404">
        <f t="shared" si="128"/>
        <v>2.9528551813640829</v>
      </c>
      <c r="S404">
        <f>'C_L vs. α'!Z524</f>
        <v>0.41172716118850533</v>
      </c>
      <c r="T404">
        <f>'C_L vs. α'!AA524</f>
        <v>0.18106425247368804</v>
      </c>
      <c r="U404">
        <f t="shared" si="123"/>
        <v>4.0896199613953037</v>
      </c>
      <c r="V404">
        <f>'C_L vs. α'!AC505+'C_L vs. α'!AE505</f>
        <v>0.22729342331803393</v>
      </c>
      <c r="W404">
        <f>'C_L vs. α'!AD505</f>
        <v>0</v>
      </c>
    </row>
    <row r="405" spans="8:23" x14ac:dyDescent="0.25">
      <c r="H405" s="5">
        <v>0.45</v>
      </c>
      <c r="I405">
        <f t="shared" si="124"/>
        <v>0.89302855497458755</v>
      </c>
      <c r="J405">
        <f t="shared" si="125"/>
        <v>435.64500000000004</v>
      </c>
      <c r="K405">
        <f t="shared" si="126"/>
        <v>43.869164736678762</v>
      </c>
      <c r="L405">
        <f>'C_L vs. α'!O525</f>
        <v>0.12425694261102585</v>
      </c>
      <c r="M405">
        <f t="shared" si="127"/>
        <v>1516.6382251338971</v>
      </c>
      <c r="N405">
        <f>'C_L vs. α'!S525</f>
        <v>0.12864380245837007</v>
      </c>
      <c r="O405">
        <f>'C_L vs. α'!L525</f>
        <v>0.92630372599104127</v>
      </c>
      <c r="P405">
        <f>'C_L vs. α'!X525</f>
        <v>0.12821223096247833</v>
      </c>
      <c r="Q405">
        <f>'C_L vs. α'!Y525</f>
        <v>1.2369580304296415</v>
      </c>
      <c r="R405">
        <f t="shared" si="128"/>
        <v>2.9397839708428233</v>
      </c>
      <c r="S405">
        <f>'C_L vs. α'!Z525</f>
        <v>0.42084590260886801</v>
      </c>
      <c r="T405">
        <f>'C_L vs. α'!AA525</f>
        <v>0.18106425247368804</v>
      </c>
      <c r="U405">
        <f t="shared" si="123"/>
        <v>4.0765487508740437</v>
      </c>
      <c r="V405">
        <f>'C_L vs. α'!AC506+'C_L vs. α'!AE506</f>
        <v>0.22729342331803393</v>
      </c>
      <c r="W405">
        <f>'C_L vs. α'!AD506</f>
        <v>0</v>
      </c>
    </row>
    <row r="406" spans="8:23" x14ac:dyDescent="0.25">
      <c r="H406" s="5">
        <v>0.5</v>
      </c>
      <c r="I406">
        <f t="shared" si="124"/>
        <v>0.8660254037844386</v>
      </c>
      <c r="J406">
        <f t="shared" si="125"/>
        <v>484.05</v>
      </c>
      <c r="K406">
        <f t="shared" si="126"/>
        <v>54.159462637875002</v>
      </c>
      <c r="L406">
        <f>'C_L vs. α'!O526</f>
        <v>0.13146303448299143</v>
      </c>
      <c r="M406">
        <f t="shared" si="127"/>
        <v>1980.9794393178377</v>
      </c>
      <c r="N406">
        <f>'C_L vs. α'!S526</f>
        <v>0.136294012347947</v>
      </c>
      <c r="O406">
        <f>'C_L vs. α'!L526</f>
        <v>0.92939050390444433</v>
      </c>
      <c r="P406">
        <f>'C_L vs. α'!X526</f>
        <v>0.13463685305510828</v>
      </c>
      <c r="Q406">
        <f>'C_L vs. α'!Y526</f>
        <v>1.2487506177526941</v>
      </c>
      <c r="R406">
        <f t="shared" si="128"/>
        <v>2.9237808794328699</v>
      </c>
      <c r="S406">
        <f>'C_L vs. α'!Z526</f>
        <v>0.43178880504861844</v>
      </c>
      <c r="T406">
        <f>'C_L vs. α'!AA526</f>
        <v>0.18106425247368804</v>
      </c>
      <c r="U406">
        <f t="shared" si="123"/>
        <v>4.0605456594640899</v>
      </c>
      <c r="V406">
        <f>'C_L vs. α'!AC507+'C_L vs. α'!AE507</f>
        <v>0.22729342331803393</v>
      </c>
      <c r="W406">
        <f>'C_L vs. α'!AD507</f>
        <v>0</v>
      </c>
    </row>
    <row r="407" spans="8:23" x14ac:dyDescent="0.25">
      <c r="H407" s="5">
        <v>0.55000000000000004</v>
      </c>
      <c r="I407">
        <f t="shared" si="124"/>
        <v>0.83516465442450327</v>
      </c>
      <c r="J407">
        <f t="shared" si="125"/>
        <v>532.45500000000004</v>
      </c>
      <c r="K407">
        <f t="shared" si="126"/>
        <v>65.53294979182877</v>
      </c>
      <c r="L407">
        <f>'C_L vs. α'!O527</f>
        <v>0.14047047884093974</v>
      </c>
      <c r="M407">
        <f t="shared" si="127"/>
        <v>2561.2191984337064</v>
      </c>
      <c r="N407">
        <f>'C_L vs. α'!S527</f>
        <v>0.14588430801061572</v>
      </c>
      <c r="O407">
        <f>'C_L vs. α'!L527</f>
        <v>0.9321145034352416</v>
      </c>
      <c r="P407">
        <f>'C_L vs. α'!X527</f>
        <v>0.14249429118231199</v>
      </c>
      <c r="Q407">
        <f>'C_L vs. α'!Y527</f>
        <v>1.2659380192107941</v>
      </c>
      <c r="R407">
        <f t="shared" si="128"/>
        <v>2.9039334633301261</v>
      </c>
      <c r="S407">
        <f>'C_L vs. α'!Z527</f>
        <v>0.44493263614763967</v>
      </c>
      <c r="T407">
        <f>'C_L vs. α'!AA527</f>
        <v>0.18106425247368804</v>
      </c>
      <c r="U407">
        <f t="shared" si="123"/>
        <v>4.040698243361347</v>
      </c>
      <c r="V407">
        <f>'C_L vs. α'!AC508+'C_L vs. α'!AE508</f>
        <v>0.22729342331803393</v>
      </c>
      <c r="W407">
        <f>'C_L vs. α'!AD508</f>
        <v>0</v>
      </c>
    </row>
    <row r="408" spans="8:23" x14ac:dyDescent="0.25">
      <c r="H408" s="5">
        <v>0.6</v>
      </c>
      <c r="I408">
        <f t="shared" si="124"/>
        <v>0.8</v>
      </c>
      <c r="J408">
        <f t="shared" si="125"/>
        <v>580.86</v>
      </c>
      <c r="K408">
        <f t="shared" si="126"/>
        <v>77.989626198540009</v>
      </c>
      <c r="L408">
        <f>'C_L vs. α'!O528</f>
        <v>0.15187349429154923</v>
      </c>
      <c r="M408">
        <f t="shared" si="127"/>
        <v>3295.4960296104223</v>
      </c>
      <c r="N408">
        <f>'C_L vs. α'!S528</f>
        <v>0.15806885198995582</v>
      </c>
      <c r="O408">
        <f>'C_L vs. α'!L528</f>
        <v>0.9345442050299565</v>
      </c>
      <c r="P408">
        <f>'C_L vs. α'!X528</f>
        <v>0.15216936324470795</v>
      </c>
      <c r="Q408">
        <f>'C_L vs. α'!Y528</f>
        <v>1.2916153945984163</v>
      </c>
      <c r="R408">
        <f t="shared" si="128"/>
        <v>2.8789039819238247</v>
      </c>
      <c r="S408">
        <f>'C_L vs. α'!Z528</f>
        <v>0.46079638800646094</v>
      </c>
      <c r="T408">
        <f>'C_L vs. α'!AA528</f>
        <v>0.18106425247368804</v>
      </c>
      <c r="U408">
        <f t="shared" si="123"/>
        <v>4.0156687619550455</v>
      </c>
      <c r="V408">
        <f>'C_L vs. α'!AC509+'C_L vs. α'!AE509</f>
        <v>0.22729342331803393</v>
      </c>
      <c r="W408">
        <f>'C_L vs. α'!AD509</f>
        <v>0</v>
      </c>
    </row>
    <row r="409" spans="8:23" x14ac:dyDescent="0.25">
      <c r="H409" s="5">
        <v>0.65</v>
      </c>
      <c r="I409">
        <f t="shared" si="124"/>
        <v>0.75993420767853315</v>
      </c>
      <c r="J409">
        <f t="shared" si="125"/>
        <v>629.26499999999999</v>
      </c>
      <c r="K409">
        <f t="shared" si="126"/>
        <v>91.52949185800874</v>
      </c>
      <c r="L409">
        <f>'C_L vs. α'!O529</f>
        <v>0.16658299205178798</v>
      </c>
      <c r="M409">
        <f t="shared" si="127"/>
        <v>4242.2247980370003</v>
      </c>
      <c r="N409">
        <f>'C_L vs. α'!S529</f>
        <v>0.17385749335052486</v>
      </c>
      <c r="O409">
        <f>'C_L vs. α'!L529</f>
        <v>0.91969327629694142</v>
      </c>
      <c r="P409">
        <f>'C_L vs. α'!X529</f>
        <v>0.16424100372502631</v>
      </c>
      <c r="Q409">
        <f>'C_L vs. α'!Y529</f>
        <v>1.3312457184293842</v>
      </c>
      <c r="R409">
        <f t="shared" si="128"/>
        <v>2.8529540500621344</v>
      </c>
      <c r="S409">
        <f>'C_L vs. α'!Z529</f>
        <v>0.48011331066331625</v>
      </c>
      <c r="T409">
        <f>'C_L vs. α'!AA529</f>
        <v>0.18106425247368804</v>
      </c>
      <c r="U409">
        <f t="shared" si="123"/>
        <v>3.9897188300933548</v>
      </c>
      <c r="V409">
        <f>'C_L vs. α'!AC510+'C_L vs. α'!AE510</f>
        <v>0.22729342331803393</v>
      </c>
      <c r="W409">
        <f>'C_L vs. α'!AD510</f>
        <v>0</v>
      </c>
    </row>
    <row r="410" spans="8:23" x14ac:dyDescent="0.25">
      <c r="H410" s="5">
        <v>0.7</v>
      </c>
      <c r="I410">
        <f t="shared" si="124"/>
        <v>0.71414284285428498</v>
      </c>
      <c r="J410">
        <f t="shared" si="125"/>
        <v>677.67</v>
      </c>
      <c r="K410">
        <f t="shared" si="126"/>
        <v>106.15254677023499</v>
      </c>
      <c r="L410">
        <f>'C_L vs. α'!O530</f>
        <v>0.18606658153192498</v>
      </c>
      <c r="M410">
        <f t="shared" si="127"/>
        <v>5495.4184243853906</v>
      </c>
      <c r="N410">
        <f>'C_L vs. α'!S530</f>
        <v>0.19489118882148326</v>
      </c>
      <c r="O410">
        <f>'C_L vs. α'!L530</f>
        <v>0.92191292462508734</v>
      </c>
      <c r="P410">
        <f>'C_L vs. α'!X530</f>
        <v>0.17948008771137672</v>
      </c>
      <c r="Q410">
        <f>'C_L vs. α'!Y530</f>
        <v>1.3951127852600966</v>
      </c>
      <c r="R410">
        <f t="shared" si="128"/>
        <v>2.8107947341231734</v>
      </c>
      <c r="S410">
        <f>'C_L vs. α'!Z530</f>
        <v>0.50395361014601125</v>
      </c>
      <c r="T410">
        <f>'C_L vs. α'!AA530</f>
        <v>0.18106425247368804</v>
      </c>
      <c r="U410">
        <f t="shared" si="123"/>
        <v>3.9475595141543938</v>
      </c>
      <c r="V410">
        <f>'C_L vs. α'!AC511+'C_L vs. α'!AE511</f>
        <v>0</v>
      </c>
      <c r="W410">
        <f>'C_L vs. α'!AD511</f>
        <v>0</v>
      </c>
    </row>
    <row r="411" spans="8:23" x14ac:dyDescent="0.25">
      <c r="H411" s="5">
        <v>0.75</v>
      </c>
      <c r="I411">
        <f t="shared" si="124"/>
        <v>0.66143782776614768</v>
      </c>
      <c r="J411">
        <f t="shared" si="125"/>
        <v>726.07500000000005</v>
      </c>
      <c r="K411">
        <f t="shared" si="126"/>
        <v>121.85879093521876</v>
      </c>
      <c r="L411">
        <f>'C_L vs. α'!O531</f>
        <v>0.21284847584675293</v>
      </c>
      <c r="M411">
        <f t="shared" si="127"/>
        <v>7216.5458982577829</v>
      </c>
      <c r="N411">
        <f>'C_L vs. α'!S531</f>
        <v>0.22402223560332959</v>
      </c>
      <c r="O411">
        <f>'C_L vs. α'!L531</f>
        <v>0.92394740211487703</v>
      </c>
      <c r="P411">
        <f>'C_L vs. α'!X531</f>
        <v>0.19899767023945256</v>
      </c>
      <c r="Q411">
        <f>'C_L vs. α'!Y531</f>
        <v>1.5042699888815725</v>
      </c>
      <c r="R411">
        <f t="shared" si="128"/>
        <v>2.7525730836020843</v>
      </c>
      <c r="S411">
        <f>'C_L vs. α'!Z531</f>
        <v>0.53394517608710246</v>
      </c>
      <c r="T411">
        <f>'C_L vs. α'!AA531</f>
        <v>0.18106425247368804</v>
      </c>
      <c r="U411">
        <f t="shared" si="123"/>
        <v>3.8893378636333047</v>
      </c>
      <c r="V411">
        <f>'C_L vs. α'!AC512+'C_L vs. α'!AE512</f>
        <v>0</v>
      </c>
      <c r="W411">
        <f>'C_L vs. α'!AD512</f>
        <v>0</v>
      </c>
    </row>
    <row r="412" spans="8:23" x14ac:dyDescent="0.25">
      <c r="H412" s="5">
        <v>0.8</v>
      </c>
      <c r="I412">
        <f t="shared" si="124"/>
        <v>0.59999999999999987</v>
      </c>
      <c r="J412">
        <f t="shared" si="125"/>
        <v>774.48</v>
      </c>
      <c r="K412">
        <f t="shared" si="126"/>
        <v>138.64822435296</v>
      </c>
      <c r="L412">
        <f>'C_L vs. α'!O532</f>
        <v>0.25167326542920682</v>
      </c>
      <c r="M412">
        <f t="shared" si="127"/>
        <v>9708.5274919825551</v>
      </c>
      <c r="N412">
        <f>'C_L vs. α'!S532</f>
        <v>0.266683574276255</v>
      </c>
      <c r="O412">
        <f>'C_L vs. α'!L532</f>
        <v>0.92582230776548646</v>
      </c>
      <c r="P412">
        <f>'C_L vs. α'!X532</f>
        <v>0.22432034009927498</v>
      </c>
      <c r="Q412">
        <f>'C_L vs. α'!Y532</f>
        <v>1.7070113297128373</v>
      </c>
      <c r="R412">
        <f t="shared" si="128"/>
        <v>2.6674815686476472</v>
      </c>
      <c r="S412">
        <f>'C_L vs. α'!Z532</f>
        <v>0.57269768603406035</v>
      </c>
      <c r="T412">
        <f>'C_L vs. α'!AA532</f>
        <v>0.18106425247368804</v>
      </c>
      <c r="U412">
        <f t="shared" si="123"/>
        <v>3.8042463486788676</v>
      </c>
      <c r="V412">
        <f>'C_L vs. α'!AC513+'C_L vs. α'!AE513</f>
        <v>0</v>
      </c>
      <c r="W412">
        <f>'C_L vs. α'!AD513</f>
        <v>0</v>
      </c>
    </row>
    <row r="413" spans="8:23" x14ac:dyDescent="0.25">
      <c r="H413" s="5">
        <v>0.85</v>
      </c>
      <c r="I413">
        <f t="shared" si="124"/>
        <v>0.52678268764263703</v>
      </c>
      <c r="J413">
        <f t="shared" si="125"/>
        <v>822.88499999999999</v>
      </c>
      <c r="K413">
        <f t="shared" si="126"/>
        <v>156.52084702345874</v>
      </c>
      <c r="L413">
        <f>'C_L vs. α'!O533</f>
        <v>0.31267319102286617</v>
      </c>
      <c r="M413">
        <f t="shared" si="127"/>
        <v>13616.478480629814</v>
      </c>
      <c r="N413">
        <f>'C_L vs. α'!S533</f>
        <v>0.33467687582814859</v>
      </c>
      <c r="O413">
        <f>'C_L vs. α'!L533</f>
        <v>0.91098888631304509</v>
      </c>
      <c r="P413">
        <f>'C_L vs. α'!X533</f>
        <v>0.2578718372570542</v>
      </c>
      <c r="Q413">
        <f>'C_L vs. α'!Y533</f>
        <v>2.1338352284298052</v>
      </c>
      <c r="R413">
        <f t="shared" si="128"/>
        <v>2.5438731338900054</v>
      </c>
      <c r="S413">
        <f>'C_L vs. α'!Z533</f>
        <v>0.62468234732408157</v>
      </c>
      <c r="T413">
        <f>'C_L vs. α'!AA533</f>
        <v>0.18106425247368804</v>
      </c>
      <c r="U413">
        <f t="shared" si="123"/>
        <v>3.6806379139212257</v>
      </c>
      <c r="V413">
        <f>'C_L vs. α'!AC514+'C_L vs. α'!AE514</f>
        <v>0</v>
      </c>
      <c r="W413">
        <f>'C_L vs. α'!AD514</f>
        <v>0</v>
      </c>
    </row>
  </sheetData>
  <mergeCells count="20">
    <mergeCell ref="X90:Y90"/>
    <mergeCell ref="AB90:AC90"/>
    <mergeCell ref="AF90:AG90"/>
    <mergeCell ref="AJ90:AK90"/>
    <mergeCell ref="AN90:AO90"/>
    <mergeCell ref="T90:U90"/>
    <mergeCell ref="A198:E198"/>
    <mergeCell ref="A209:E209"/>
    <mergeCell ref="A112:D112"/>
    <mergeCell ref="G3:I3"/>
    <mergeCell ref="A59:E59"/>
    <mergeCell ref="A63:E63"/>
    <mergeCell ref="A3:D3"/>
    <mergeCell ref="A4:E4"/>
    <mergeCell ref="A34:E34"/>
    <mergeCell ref="A67:D67"/>
    <mergeCell ref="A19:E19"/>
    <mergeCell ref="H67:I67"/>
    <mergeCell ref="A84:D84"/>
    <mergeCell ref="A98:D98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DADE4-837F-408A-9E5C-C65847844F06}">
  <dimension ref="A1"/>
  <sheetViews>
    <sheetView topLeftCell="A166" zoomScale="130" zoomScaleNormal="130" workbookViewId="0">
      <selection activeCell="AB179" sqref="AB1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3776-DF35-41CE-B565-38DBD54DB0C4}">
  <dimension ref="A1:AH45"/>
  <sheetViews>
    <sheetView workbookViewId="0">
      <selection activeCell="AJ34" sqref="AJ34"/>
    </sheetView>
  </sheetViews>
  <sheetFormatPr defaultRowHeight="15" x14ac:dyDescent="0.25"/>
  <cols>
    <col min="1" max="1" width="20.85546875" customWidth="1"/>
    <col min="5" max="5" width="20.140625" bestFit="1" customWidth="1"/>
    <col min="11" max="11" width="14.5703125" customWidth="1"/>
    <col min="12" max="12" width="15.140625" customWidth="1"/>
    <col min="13" max="13" width="14.42578125" customWidth="1"/>
    <col min="14" max="14" width="14.28515625" customWidth="1"/>
    <col min="15" max="15" width="15.28515625" customWidth="1"/>
    <col min="16" max="16" width="15.7109375" customWidth="1"/>
    <col min="17" max="17" width="11" customWidth="1"/>
    <col min="31" max="31" width="11.140625" customWidth="1"/>
    <col min="32" max="32" width="14.42578125" customWidth="1"/>
    <col min="33" max="33" width="15.28515625" customWidth="1"/>
  </cols>
  <sheetData>
    <row r="1" spans="1:17" x14ac:dyDescent="0.25">
      <c r="A1" t="s">
        <v>1141</v>
      </c>
      <c r="J1" t="s">
        <v>560</v>
      </c>
      <c r="N1" t="s">
        <v>360</v>
      </c>
    </row>
    <row r="2" spans="1:17" x14ac:dyDescent="0.25">
      <c r="A2" s="295" t="s">
        <v>927</v>
      </c>
      <c r="B2" s="296"/>
      <c r="C2" s="296"/>
      <c r="D2" s="295" t="s">
        <v>940</v>
      </c>
      <c r="E2" s="296"/>
      <c r="F2" s="297"/>
      <c r="H2" t="s">
        <v>348</v>
      </c>
      <c r="I2" s="223" t="s">
        <v>712</v>
      </c>
      <c r="J2" t="s">
        <v>1133</v>
      </c>
      <c r="K2" s="86" t="s">
        <v>1143</v>
      </c>
      <c r="L2" s="86" t="s">
        <v>1148</v>
      </c>
      <c r="M2" s="252" t="s">
        <v>1149</v>
      </c>
      <c r="N2" t="s">
        <v>1133</v>
      </c>
      <c r="O2" s="86" t="s">
        <v>1143</v>
      </c>
      <c r="P2" s="86" t="s">
        <v>1148</v>
      </c>
      <c r="Q2" s="252" t="s">
        <v>1149</v>
      </c>
    </row>
    <row r="3" spans="1:17" x14ac:dyDescent="0.25">
      <c r="A3" s="14" t="s">
        <v>153</v>
      </c>
      <c r="B3" s="5">
        <v>542</v>
      </c>
      <c r="C3" s="5" t="s">
        <v>150</v>
      </c>
      <c r="D3" s="14" t="s">
        <v>153</v>
      </c>
      <c r="E3" s="5">
        <v>95.093999999999994</v>
      </c>
      <c r="F3" s="6" t="s">
        <v>150</v>
      </c>
      <c r="H3" s="5">
        <v>0</v>
      </c>
      <c r="I3">
        <f>SQRT(1-H3^2)</f>
        <v>1</v>
      </c>
      <c r="J3">
        <v>0.37135929660039901</v>
      </c>
      <c r="K3">
        <f>(J3^2/(PI()*$E$5*$B$15))*($B$3/$E$3)</f>
        <v>0.13168348090694093</v>
      </c>
      <c r="L3">
        <f>$B$16*COS($E$13)*($B$18/$E$3)*($E$3/$B$3)</f>
        <v>-1.1315692235752337E-3</v>
      </c>
      <c r="M3" s="253">
        <f>K3+L3</f>
        <v>0.13055191168336569</v>
      </c>
      <c r="N3">
        <v>0.7765504487682463</v>
      </c>
      <c r="O3">
        <f t="shared" ref="O3:O20" si="0">(N3^2/(PI()*$E$5*$B$15))*($B$3/$E$3)</f>
        <v>0.5758137710038097</v>
      </c>
      <c r="P3">
        <f>$B$17*COS($E$13)*($B$18/$E$3)*($E$3/$B$3)</f>
        <v>-1.1315692235752337E-3</v>
      </c>
      <c r="Q3" s="253">
        <f>O3+P3</f>
        <v>0.57468220178023444</v>
      </c>
    </row>
    <row r="4" spans="1:17" x14ac:dyDescent="0.25">
      <c r="A4" s="14" t="s">
        <v>143</v>
      </c>
      <c r="B4" s="5">
        <v>46.5</v>
      </c>
      <c r="C4" s="5" t="s">
        <v>124</v>
      </c>
      <c r="D4" s="14" t="s">
        <v>143</v>
      </c>
      <c r="E4" s="5">
        <v>30</v>
      </c>
      <c r="F4" s="6" t="s">
        <v>124</v>
      </c>
      <c r="H4" s="5">
        <v>0.05</v>
      </c>
      <c r="I4">
        <f t="shared" ref="I4:I20" si="1">SQRT(1-H4^2)</f>
        <v>0.99874921777190895</v>
      </c>
      <c r="J4">
        <v>0.37163324498743167</v>
      </c>
      <c r="K4">
        <f t="shared" ref="K4:K20" si="2">(J4^2/(PI()*$E$5*$B$15))*($B$3/$E$3)</f>
        <v>0.13187783598802327</v>
      </c>
      <c r="L4">
        <f t="shared" ref="L4:L20" si="3">$B$16*COS($E$13)*($B$18/$E$3)*($E$3/$B$3)</f>
        <v>-1.1315692235752337E-3</v>
      </c>
      <c r="M4" s="253">
        <f t="shared" ref="M4:M20" si="4">K4+L4</f>
        <v>0.13074626676444803</v>
      </c>
      <c r="N4">
        <v>0.77702394092791016</v>
      </c>
      <c r="O4">
        <f t="shared" si="0"/>
        <v>0.57651617592004845</v>
      </c>
      <c r="P4">
        <f t="shared" ref="P4:P20" si="5">$B$17*COS($E$13)*($B$18/$E$3)*($E$3/$B$3)</f>
        <v>-1.1315692235752337E-3</v>
      </c>
      <c r="Q4" s="253">
        <f t="shared" ref="Q4:Q20" si="6">O4+P4</f>
        <v>0.57538460669647318</v>
      </c>
    </row>
    <row r="5" spans="1:17" x14ac:dyDescent="0.25">
      <c r="A5" s="14" t="s">
        <v>268</v>
      </c>
      <c r="B5" s="5">
        <v>4</v>
      </c>
      <c r="C5" s="5"/>
      <c r="D5" s="14" t="s">
        <v>268</v>
      </c>
      <c r="E5" s="5">
        <v>3.8</v>
      </c>
      <c r="F5" s="6"/>
      <c r="H5" s="58">
        <v>0.1</v>
      </c>
      <c r="I5">
        <f t="shared" si="1"/>
        <v>0.99498743710661997</v>
      </c>
      <c r="J5">
        <v>0.372459127611872</v>
      </c>
      <c r="K5">
        <f t="shared" si="2"/>
        <v>0.13246463298020927</v>
      </c>
      <c r="L5">
        <f t="shared" si="3"/>
        <v>-1.1315692235752337E-3</v>
      </c>
      <c r="M5" s="253">
        <f t="shared" si="4"/>
        <v>0.13133306375663403</v>
      </c>
      <c r="N5">
        <v>0.77845035723651768</v>
      </c>
      <c r="O5">
        <f t="shared" si="0"/>
        <v>0.57863478989244177</v>
      </c>
      <c r="P5">
        <f t="shared" si="5"/>
        <v>-1.1315692235752337E-3</v>
      </c>
      <c r="Q5" s="253">
        <f t="shared" si="6"/>
        <v>0.5775032206688665</v>
      </c>
    </row>
    <row r="6" spans="1:17" x14ac:dyDescent="0.25">
      <c r="A6" s="14" t="s">
        <v>550</v>
      </c>
      <c r="B6" s="11">
        <v>30</v>
      </c>
      <c r="C6" s="5" t="s">
        <v>490</v>
      </c>
      <c r="D6" s="14" t="s">
        <v>550</v>
      </c>
      <c r="E6" s="11">
        <v>30</v>
      </c>
      <c r="F6" s="6" t="s">
        <v>490</v>
      </c>
      <c r="H6" s="58">
        <v>0.15</v>
      </c>
      <c r="I6" s="29">
        <f t="shared" si="1"/>
        <v>0.98868599666425949</v>
      </c>
      <c r="J6">
        <v>0.37384923047817459</v>
      </c>
      <c r="K6">
        <f t="shared" si="2"/>
        <v>0.13345525491785276</v>
      </c>
      <c r="L6">
        <f t="shared" si="3"/>
        <v>-1.1315692235752337E-3</v>
      </c>
      <c r="M6" s="253">
        <f t="shared" si="4"/>
        <v>0.13232368569427752</v>
      </c>
      <c r="N6">
        <v>0.78084773707260957</v>
      </c>
      <c r="O6">
        <f t="shared" si="0"/>
        <v>0.58220430063614403</v>
      </c>
      <c r="P6">
        <f t="shared" si="5"/>
        <v>-1.1315692235752337E-3</v>
      </c>
      <c r="Q6" s="253">
        <f t="shared" si="6"/>
        <v>0.58107273141256877</v>
      </c>
    </row>
    <row r="7" spans="1:17" x14ac:dyDescent="0.25">
      <c r="A7" s="14" t="s">
        <v>449</v>
      </c>
      <c r="B7" s="5">
        <f>200/12</f>
        <v>16.666666666666668</v>
      </c>
      <c r="C7" s="5" t="s">
        <v>124</v>
      </c>
      <c r="D7" s="14" t="s">
        <v>449</v>
      </c>
      <c r="E7" s="11">
        <v>8</v>
      </c>
      <c r="F7" s="6" t="s">
        <v>124</v>
      </c>
      <c r="H7" s="58">
        <v>0.2</v>
      </c>
      <c r="I7">
        <f t="shared" si="1"/>
        <v>0.9797958971132712</v>
      </c>
      <c r="J7">
        <v>0.37582462413821283</v>
      </c>
      <c r="K7">
        <f t="shared" si="2"/>
        <v>0.13486931778336014</v>
      </c>
      <c r="L7">
        <f t="shared" si="3"/>
        <v>-1.1315692235752337E-3</v>
      </c>
      <c r="M7" s="253">
        <f t="shared" si="4"/>
        <v>0.1337377485597849</v>
      </c>
      <c r="N7">
        <v>0.7842468956564389</v>
      </c>
      <c r="O7">
        <f t="shared" si="0"/>
        <v>0.58728419552065914</v>
      </c>
      <c r="P7">
        <f t="shared" si="5"/>
        <v>-1.1315692235752337E-3</v>
      </c>
      <c r="Q7" s="253">
        <f t="shared" si="6"/>
        <v>0.58615262629708387</v>
      </c>
    </row>
    <row r="8" spans="1:17" x14ac:dyDescent="0.25">
      <c r="A8" s="14" t="s">
        <v>450</v>
      </c>
      <c r="B8" s="5">
        <f>B7*B9</f>
        <v>6.6666666666666679</v>
      </c>
      <c r="C8" s="5" t="s">
        <v>124</v>
      </c>
      <c r="D8" s="14" t="s">
        <v>450</v>
      </c>
      <c r="E8" s="11">
        <v>4</v>
      </c>
      <c r="F8" s="6" t="s">
        <v>124</v>
      </c>
      <c r="H8" s="5">
        <v>0.25</v>
      </c>
      <c r="I8">
        <f t="shared" si="1"/>
        <v>0.96824583655185426</v>
      </c>
      <c r="J8">
        <v>0.37841610983858281</v>
      </c>
      <c r="K8">
        <f t="shared" si="2"/>
        <v>0.13673570390905937</v>
      </c>
      <c r="L8">
        <f t="shared" si="3"/>
        <v>-1.1315692235752337E-3</v>
      </c>
      <c r="M8" s="253">
        <f t="shared" si="4"/>
        <v>0.13560413468548413</v>
      </c>
      <c r="N8">
        <v>0.7886926087672006</v>
      </c>
      <c r="O8">
        <f t="shared" si="0"/>
        <v>0.59396142266965379</v>
      </c>
      <c r="P8">
        <f t="shared" si="5"/>
        <v>-1.1315692235752337E-3</v>
      </c>
      <c r="Q8" s="253">
        <f t="shared" si="6"/>
        <v>0.59282985344607853</v>
      </c>
    </row>
    <row r="9" spans="1:17" x14ac:dyDescent="0.25">
      <c r="A9" s="14" t="s">
        <v>484</v>
      </c>
      <c r="B9" s="5">
        <v>0.4</v>
      </c>
      <c r="C9" s="5"/>
      <c r="D9" s="14" t="s">
        <v>484</v>
      </c>
      <c r="E9" s="11">
        <v>0.65100000000000002</v>
      </c>
      <c r="F9" s="6"/>
      <c r="H9" s="5">
        <v>0.3</v>
      </c>
      <c r="I9">
        <f t="shared" si="1"/>
        <v>0.95393920141694566</v>
      </c>
      <c r="J9">
        <v>0.38166566344405889</v>
      </c>
      <c r="K9">
        <f t="shared" si="2"/>
        <v>0.1390941541671179</v>
      </c>
      <c r="L9">
        <f t="shared" si="3"/>
        <v>-1.1315692235752337E-3</v>
      </c>
      <c r="M9" s="253">
        <f t="shared" si="4"/>
        <v>0.13796258494354266</v>
      </c>
      <c r="N9">
        <v>0.79424540018362821</v>
      </c>
      <c r="O9">
        <f t="shared" si="0"/>
        <v>0.60235443699750146</v>
      </c>
      <c r="P9">
        <f t="shared" si="5"/>
        <v>-1.1315692235752337E-3</v>
      </c>
      <c r="Q9" s="253">
        <f t="shared" si="6"/>
        <v>0.6012228677739262</v>
      </c>
    </row>
    <row r="10" spans="1:17" x14ac:dyDescent="0.25">
      <c r="A10" s="14" t="s">
        <v>941</v>
      </c>
      <c r="B10" s="5">
        <v>12.381</v>
      </c>
      <c r="C10" s="5" t="s">
        <v>124</v>
      </c>
      <c r="D10" s="14" t="s">
        <v>941</v>
      </c>
      <c r="E10" s="11">
        <v>7.67</v>
      </c>
      <c r="F10" s="6" t="s">
        <v>124</v>
      </c>
      <c r="H10" s="5">
        <v>0.35</v>
      </c>
      <c r="I10">
        <f t="shared" si="1"/>
        <v>0.93674969975975975</v>
      </c>
      <c r="J10">
        <v>0.38562851872940213</v>
      </c>
      <c r="K10">
        <f t="shared" si="2"/>
        <v>0.14199759389856495</v>
      </c>
      <c r="L10">
        <f t="shared" si="3"/>
        <v>-1.1315692235752337E-3</v>
      </c>
      <c r="M10" s="253">
        <f t="shared" si="4"/>
        <v>0.14086602467498971</v>
      </c>
      <c r="N10">
        <v>0.80098408144556366</v>
      </c>
      <c r="O10">
        <f t="shared" si="0"/>
        <v>0.61261900743368991</v>
      </c>
      <c r="P10">
        <f t="shared" si="5"/>
        <v>-1.1315692235752337E-3</v>
      </c>
      <c r="Q10" s="253">
        <f t="shared" si="6"/>
        <v>0.61148743821011464</v>
      </c>
    </row>
    <row r="11" spans="1:17" x14ac:dyDescent="0.25">
      <c r="A11" s="18" t="s">
        <v>942</v>
      </c>
      <c r="B11" s="5">
        <v>9.9642999999999997</v>
      </c>
      <c r="C11" s="11" t="s">
        <v>124</v>
      </c>
      <c r="D11" s="18" t="s">
        <v>942</v>
      </c>
      <c r="E11" s="11">
        <v>4.6012000000000004</v>
      </c>
      <c r="F11" s="124" t="s">
        <v>124</v>
      </c>
      <c r="H11" s="5">
        <v>0.4</v>
      </c>
      <c r="I11">
        <f t="shared" si="1"/>
        <v>0.91651513899116799</v>
      </c>
      <c r="J11">
        <v>0.39037610997113531</v>
      </c>
      <c r="K11">
        <f t="shared" si="2"/>
        <v>0.14551546829219508</v>
      </c>
      <c r="L11">
        <f t="shared" si="3"/>
        <v>-1.1315692235752337E-3</v>
      </c>
      <c r="M11" s="253">
        <f t="shared" si="4"/>
        <v>0.14438389906861984</v>
      </c>
      <c r="N11">
        <v>0.80900927080904994</v>
      </c>
      <c r="O11">
        <f t="shared" si="0"/>
        <v>0.62495636264123411</v>
      </c>
      <c r="P11">
        <f t="shared" si="5"/>
        <v>-1.1315692235752337E-3</v>
      </c>
      <c r="Q11" s="253">
        <f t="shared" si="6"/>
        <v>0.62382479341765884</v>
      </c>
    </row>
    <row r="12" spans="1:17" x14ac:dyDescent="0.25">
      <c r="A12" s="18" t="s">
        <v>752</v>
      </c>
      <c r="B12" s="5">
        <v>0.25</v>
      </c>
      <c r="C12" s="5"/>
      <c r="D12" s="18" t="s">
        <v>752</v>
      </c>
      <c r="E12" s="5"/>
      <c r="F12" s="6"/>
      <c r="H12" s="5">
        <v>0.45</v>
      </c>
      <c r="I12">
        <f t="shared" si="1"/>
        <v>0.89302855497458755</v>
      </c>
      <c r="J12">
        <v>0.3960002134607436</v>
      </c>
      <c r="K12">
        <f t="shared" si="2"/>
        <v>0.14973852029880247</v>
      </c>
      <c r="L12">
        <f t="shared" si="3"/>
        <v>-1.1315692235752337E-3</v>
      </c>
      <c r="M12" s="253">
        <f t="shared" si="4"/>
        <v>0.14860695107522723</v>
      </c>
      <c r="N12">
        <v>0.8184482315810776</v>
      </c>
      <c r="O12">
        <f t="shared" si="0"/>
        <v>0.6396245529168757</v>
      </c>
      <c r="P12">
        <f t="shared" si="5"/>
        <v>-1.1315692235752337E-3</v>
      </c>
      <c r="Q12" s="253">
        <f t="shared" si="6"/>
        <v>0.63849298369330043</v>
      </c>
    </row>
    <row r="13" spans="1:17" x14ac:dyDescent="0.25">
      <c r="A13" s="209" t="s">
        <v>791</v>
      </c>
      <c r="B13" s="5">
        <v>25.2</v>
      </c>
      <c r="C13" s="11" t="s">
        <v>490</v>
      </c>
      <c r="D13" s="209" t="s">
        <v>791</v>
      </c>
      <c r="E13" s="11">
        <v>23.4</v>
      </c>
      <c r="F13" s="124" t="s">
        <v>490</v>
      </c>
      <c r="H13" s="5">
        <v>0.5</v>
      </c>
      <c r="I13">
        <f t="shared" si="1"/>
        <v>0.8660254037844386</v>
      </c>
      <c r="J13">
        <v>0.40261881804007804</v>
      </c>
      <c r="K13">
        <f t="shared" si="2"/>
        <v>0.15478570023530472</v>
      </c>
      <c r="L13">
        <f t="shared" si="3"/>
        <v>-1.1315692235752337E-3</v>
      </c>
      <c r="M13" s="253">
        <f t="shared" si="4"/>
        <v>0.15365413101172948</v>
      </c>
      <c r="N13">
        <v>0.82946154259024052</v>
      </c>
      <c r="O13">
        <f t="shared" si="0"/>
        <v>0.65695437205999196</v>
      </c>
      <c r="P13">
        <f t="shared" si="5"/>
        <v>-1.1315692235752337E-3</v>
      </c>
      <c r="Q13" s="253">
        <f t="shared" si="6"/>
        <v>0.6558228028364167</v>
      </c>
    </row>
    <row r="14" spans="1:17" x14ac:dyDescent="0.25">
      <c r="A14" s="210" t="s">
        <v>410</v>
      </c>
      <c r="B14" s="8">
        <v>24.1</v>
      </c>
      <c r="C14" s="20" t="s">
        <v>490</v>
      </c>
      <c r="D14" s="210" t="s">
        <v>410</v>
      </c>
      <c r="E14" s="8">
        <v>22</v>
      </c>
      <c r="F14" s="150" t="s">
        <v>490</v>
      </c>
      <c r="H14" s="5">
        <v>0.55000000000000004</v>
      </c>
      <c r="I14">
        <f t="shared" si="1"/>
        <v>0.83516465442450327</v>
      </c>
      <c r="J14">
        <v>0.41038456939061924</v>
      </c>
      <c r="K14">
        <f t="shared" si="2"/>
        <v>0.16081432888486449</v>
      </c>
      <c r="L14">
        <f t="shared" si="3"/>
        <v>-1.1315692235752337E-3</v>
      </c>
      <c r="M14" s="253">
        <f t="shared" si="4"/>
        <v>0.15968275966128925</v>
      </c>
      <c r="N14">
        <v>0.84225238526983726</v>
      </c>
      <c r="O14">
        <f t="shared" si="0"/>
        <v>0.67737193087417324</v>
      </c>
      <c r="P14">
        <f t="shared" si="5"/>
        <v>-1.1315692235752337E-3</v>
      </c>
      <c r="Q14" s="253">
        <f t="shared" si="6"/>
        <v>0.67624036165059798</v>
      </c>
    </row>
    <row r="15" spans="1:17" x14ac:dyDescent="0.25">
      <c r="A15" s="18" t="s">
        <v>1142</v>
      </c>
      <c r="B15" s="11">
        <v>0.5</v>
      </c>
      <c r="C15" s="11" t="s">
        <v>1144</v>
      </c>
      <c r="H15" s="5">
        <v>0.6</v>
      </c>
      <c r="I15">
        <f t="shared" si="1"/>
        <v>0.8</v>
      </c>
      <c r="J15">
        <v>0.41949717255684954</v>
      </c>
      <c r="K15">
        <f t="shared" si="2"/>
        <v>0.16803539572718451</v>
      </c>
      <c r="L15">
        <f t="shared" si="3"/>
        <v>-1.1315692235752337E-3</v>
      </c>
      <c r="M15" s="253">
        <f t="shared" si="4"/>
        <v>0.16690382650360927</v>
      </c>
      <c r="N15">
        <v>0.85707967385153416</v>
      </c>
      <c r="O15">
        <f t="shared" si="0"/>
        <v>0.70143121429023758</v>
      </c>
      <c r="P15">
        <f t="shared" si="5"/>
        <v>-1.1315692235752337E-3</v>
      </c>
      <c r="Q15" s="253">
        <f t="shared" si="6"/>
        <v>0.70029964506666231</v>
      </c>
    </row>
    <row r="16" spans="1:17" x14ac:dyDescent="0.25">
      <c r="A16" s="86" t="s">
        <v>1145</v>
      </c>
      <c r="B16" s="11">
        <v>0.04</v>
      </c>
      <c r="H16" s="5">
        <v>0.65</v>
      </c>
      <c r="I16">
        <f t="shared" si="1"/>
        <v>0.75993420767853315</v>
      </c>
      <c r="J16">
        <v>0.43022210214915008</v>
      </c>
      <c r="K16">
        <f t="shared" si="2"/>
        <v>0.17673726624163982</v>
      </c>
      <c r="L16">
        <f t="shared" si="3"/>
        <v>-1.1315692235752337E-3</v>
      </c>
      <c r="M16" s="253">
        <f t="shared" si="4"/>
        <v>0.17560569701806458</v>
      </c>
      <c r="N16">
        <v>0.87427699942240544</v>
      </c>
      <c r="O16">
        <f t="shared" si="0"/>
        <v>0.72986208468026015</v>
      </c>
      <c r="P16">
        <f t="shared" si="5"/>
        <v>-1.1315692235752337E-3</v>
      </c>
      <c r="Q16" s="253">
        <f t="shared" si="6"/>
        <v>0.72873051545668488</v>
      </c>
    </row>
    <row r="17" spans="1:34" x14ac:dyDescent="0.25">
      <c r="A17" s="86" t="s">
        <v>1146</v>
      </c>
      <c r="B17" s="11">
        <v>0.04</v>
      </c>
      <c r="H17" s="5">
        <v>0.7</v>
      </c>
      <c r="I17">
        <f t="shared" si="1"/>
        <v>0.71414284285428498</v>
      </c>
      <c r="J17">
        <v>0.44291977782690578</v>
      </c>
      <c r="K17">
        <f t="shared" si="2"/>
        <v>0.18732375027415898</v>
      </c>
      <c r="L17">
        <f t="shared" si="3"/>
        <v>-1.1315692235752337E-3</v>
      </c>
      <c r="M17" s="253">
        <f t="shared" si="4"/>
        <v>0.18619218105058374</v>
      </c>
      <c r="N17">
        <v>0.89428066045942145</v>
      </c>
      <c r="O17">
        <f t="shared" si="0"/>
        <v>0.76364299957596138</v>
      </c>
      <c r="P17">
        <f t="shared" si="5"/>
        <v>-1.1315692235752337E-3</v>
      </c>
      <c r="Q17" s="253">
        <f t="shared" si="6"/>
        <v>0.76251143035238611</v>
      </c>
    </row>
    <row r="18" spans="1:34" x14ac:dyDescent="0.25">
      <c r="A18" s="251" t="s">
        <v>1147</v>
      </c>
      <c r="B18">
        <f>E3</f>
        <v>95.093999999999994</v>
      </c>
      <c r="H18" s="5">
        <v>0.75</v>
      </c>
      <c r="I18">
        <f t="shared" si="1"/>
        <v>0.66143782776614768</v>
      </c>
      <c r="J18">
        <v>0.45809294232671399</v>
      </c>
      <c r="K18">
        <f t="shared" si="2"/>
        <v>0.20037793594994727</v>
      </c>
      <c r="L18">
        <f t="shared" si="3"/>
        <v>-1.1315692235752337E-3</v>
      </c>
      <c r="M18" s="253">
        <f t="shared" si="4"/>
        <v>0.19924636672637203</v>
      </c>
      <c r="N18">
        <v>0.91767243105119523</v>
      </c>
      <c r="O18">
        <f t="shared" si="0"/>
        <v>0.80411482038027804</v>
      </c>
      <c r="P18">
        <f t="shared" si="5"/>
        <v>-1.1315692235752337E-3</v>
      </c>
      <c r="Q18" s="253">
        <f t="shared" si="6"/>
        <v>0.80298325115670277</v>
      </c>
    </row>
    <row r="19" spans="1:34" x14ac:dyDescent="0.25">
      <c r="H19" s="5">
        <v>0.8</v>
      </c>
      <c r="I19">
        <f t="shared" si="1"/>
        <v>0.59999999999999987</v>
      </c>
      <c r="J19">
        <v>0.47646754877845915</v>
      </c>
      <c r="K19">
        <f t="shared" si="2"/>
        <v>0.21677507804946397</v>
      </c>
      <c r="L19">
        <f t="shared" si="3"/>
        <v>-1.1315692235752337E-3</v>
      </c>
      <c r="M19" s="253">
        <f t="shared" si="4"/>
        <v>0.21564350882588873</v>
      </c>
      <c r="N19">
        <v>0.94524729055870171</v>
      </c>
      <c r="O19">
        <f t="shared" si="0"/>
        <v>0.85316607790594956</v>
      </c>
      <c r="P19">
        <f t="shared" si="5"/>
        <v>-1.1315692235752337E-3</v>
      </c>
      <c r="Q19" s="253">
        <f t="shared" si="6"/>
        <v>0.85203450868237429</v>
      </c>
    </row>
    <row r="20" spans="1:34" x14ac:dyDescent="0.25">
      <c r="H20" s="5">
        <v>0.85</v>
      </c>
      <c r="I20">
        <f t="shared" si="1"/>
        <v>0.52678268764263703</v>
      </c>
      <c r="J20">
        <v>0.49913981921273165</v>
      </c>
      <c r="K20">
        <f t="shared" si="2"/>
        <v>0.23789599562976879</v>
      </c>
      <c r="L20">
        <f t="shared" si="3"/>
        <v>-1.1315692235752337E-3</v>
      </c>
      <c r="M20" s="253">
        <f t="shared" si="4"/>
        <v>0.23676442640619355</v>
      </c>
      <c r="N20">
        <v>0.97812567748273527</v>
      </c>
      <c r="O20">
        <f t="shared" si="0"/>
        <v>0.91354935889318534</v>
      </c>
      <c r="P20">
        <f t="shared" si="5"/>
        <v>-1.1315692235752337E-3</v>
      </c>
      <c r="Q20" s="253">
        <f t="shared" si="6"/>
        <v>0.91241778966961007</v>
      </c>
    </row>
    <row r="22" spans="1:34" x14ac:dyDescent="0.25">
      <c r="A22" t="s">
        <v>1208</v>
      </c>
      <c r="B22" t="s">
        <v>1209</v>
      </c>
      <c r="E22" t="s">
        <v>1142</v>
      </c>
      <c r="F22">
        <v>0.5</v>
      </c>
      <c r="G22" t="s">
        <v>1144</v>
      </c>
      <c r="H22" t="s">
        <v>181</v>
      </c>
      <c r="I22" t="s">
        <v>1150</v>
      </c>
    </row>
    <row r="23" spans="1:34" x14ac:dyDescent="0.25">
      <c r="A23" t="s">
        <v>1210</v>
      </c>
      <c r="B23" t="s">
        <v>1211</v>
      </c>
      <c r="E23" t="s">
        <v>717</v>
      </c>
      <c r="F23">
        <v>0.75</v>
      </c>
      <c r="H23" t="s">
        <v>428</v>
      </c>
      <c r="I23">
        <v>1.3</v>
      </c>
    </row>
    <row r="24" spans="1:34" x14ac:dyDescent="0.25">
      <c r="E24" t="s">
        <v>1216</v>
      </c>
      <c r="F24">
        <v>0.7</v>
      </c>
      <c r="G24" t="s">
        <v>1217</v>
      </c>
      <c r="H24" t="s">
        <v>142</v>
      </c>
      <c r="I24">
        <v>1116.4000000000001</v>
      </c>
      <c r="W24" t="s">
        <v>706</v>
      </c>
      <c r="AA24" t="s">
        <v>1158</v>
      </c>
      <c r="AB24" t="s">
        <v>1215</v>
      </c>
      <c r="AC24" t="s">
        <v>1214</v>
      </c>
    </row>
    <row r="25" spans="1:34" x14ac:dyDescent="0.25">
      <c r="E25" t="s">
        <v>802</v>
      </c>
      <c r="F25">
        <v>4.0999999999999996</v>
      </c>
      <c r="G25" t="s">
        <v>1218</v>
      </c>
      <c r="H25" t="s">
        <v>348</v>
      </c>
      <c r="I25" t="s">
        <v>712</v>
      </c>
      <c r="J25" t="s">
        <v>1085</v>
      </c>
      <c r="K25" t="s">
        <v>356</v>
      </c>
      <c r="L25" t="s">
        <v>779</v>
      </c>
      <c r="M25" t="s">
        <v>785</v>
      </c>
      <c r="N25" t="s">
        <v>1155</v>
      </c>
      <c r="O25" t="s">
        <v>1152</v>
      </c>
      <c r="P25" t="s">
        <v>719</v>
      </c>
      <c r="Q25" t="s">
        <v>759</v>
      </c>
      <c r="R25" t="s">
        <v>805</v>
      </c>
      <c r="S25" t="s">
        <v>788</v>
      </c>
      <c r="T25" t="s">
        <v>1026</v>
      </c>
      <c r="U25" t="s">
        <v>1013</v>
      </c>
      <c r="V25" t="s">
        <v>1156</v>
      </c>
      <c r="W25" t="s">
        <v>1157</v>
      </c>
      <c r="X25" t="s">
        <v>695</v>
      </c>
      <c r="Y25" t="s">
        <v>786</v>
      </c>
      <c r="Z25" t="s">
        <v>535</v>
      </c>
      <c r="AA25" t="s">
        <v>94</v>
      </c>
      <c r="AB25" t="s">
        <v>1212</v>
      </c>
      <c r="AC25" s="223" t="s">
        <v>1213</v>
      </c>
      <c r="AD25" s="223" t="s">
        <v>1219</v>
      </c>
      <c r="AE25" s="223" t="s">
        <v>1221</v>
      </c>
      <c r="AF25" s="223" t="s">
        <v>1222</v>
      </c>
      <c r="AG25" s="223" t="s">
        <v>1224</v>
      </c>
      <c r="AH25" s="223" t="s">
        <v>1225</v>
      </c>
    </row>
    <row r="26" spans="1:34" x14ac:dyDescent="0.25">
      <c r="E26" t="s">
        <v>526</v>
      </c>
      <c r="F26">
        <v>1</v>
      </c>
      <c r="G26" t="s">
        <v>1218</v>
      </c>
      <c r="H26">
        <v>0</v>
      </c>
      <c r="I26">
        <v>1</v>
      </c>
      <c r="J26">
        <v>0</v>
      </c>
      <c r="K26" t="e">
        <v>#NUM!</v>
      </c>
      <c r="L26" t="e">
        <v>#NUM!</v>
      </c>
      <c r="M26" t="e">
        <v>#NUM!</v>
      </c>
      <c r="N26">
        <v>0.108</v>
      </c>
      <c r="O26">
        <v>1.7188733853924696E-2</v>
      </c>
      <c r="P26">
        <v>0.10073378060434053</v>
      </c>
      <c r="Q26">
        <v>0.10055878899970652</v>
      </c>
      <c r="R26">
        <v>0.109</v>
      </c>
      <c r="S26">
        <v>1.7347888797016594E-2</v>
      </c>
      <c r="T26">
        <v>9.988412088701884E-2</v>
      </c>
      <c r="U26" t="e">
        <v>#NUM!</v>
      </c>
      <c r="V26">
        <v>0</v>
      </c>
      <c r="W26">
        <v>1</v>
      </c>
      <c r="X26">
        <v>-1</v>
      </c>
      <c r="Y26">
        <v>0.46389101672905508</v>
      </c>
      <c r="Z26" t="e">
        <v>#NUM!</v>
      </c>
      <c r="AA26">
        <v>1.1684680068933755</v>
      </c>
      <c r="AB26" t="e">
        <f>M26*($E$3/$B$3)*T26</f>
        <v>#NUM!</v>
      </c>
      <c r="AC26">
        <f>$F$23*$F$24*$F$25*($F$26/R26)*$F$27</f>
        <v>20.932568807339443</v>
      </c>
      <c r="AD26" t="e">
        <f>AC26*AB26</f>
        <v>#NUM!</v>
      </c>
      <c r="AE26" t="e">
        <f>AB26*$F$28+AD26*$F$29</f>
        <v>#NUM!</v>
      </c>
      <c r="AF26" t="e">
        <f>(AE26^2/(PI()*$E$5*$F$22))*$B$3/$E$3</f>
        <v>#NUM!</v>
      </c>
      <c r="AG26">
        <f>$F$30*COS(RADIANS($B$13))*($F$31/$E$3)*($E$3/$B$3)</f>
        <v>3.1750414659484751E-3</v>
      </c>
      <c r="AH26" t="e">
        <f>AF26+AG26</f>
        <v>#NUM!</v>
      </c>
    </row>
    <row r="27" spans="1:34" x14ac:dyDescent="0.25">
      <c r="E27" t="s">
        <v>720</v>
      </c>
      <c r="F27">
        <v>1.06</v>
      </c>
      <c r="H27">
        <v>0.05</v>
      </c>
      <c r="I27">
        <v>0.99874921777190895</v>
      </c>
      <c r="J27">
        <v>55.820000000000007</v>
      </c>
      <c r="K27">
        <v>5.991432792410753E-3</v>
      </c>
      <c r="L27">
        <v>0.55690014754448192</v>
      </c>
      <c r="M27">
        <v>0.84339817807632833</v>
      </c>
      <c r="N27">
        <v>0.10813525365349991</v>
      </c>
      <c r="O27">
        <v>1.7210260141450447E-2</v>
      </c>
      <c r="P27">
        <v>0.10096966142983717</v>
      </c>
      <c r="Q27">
        <v>0.10079426006033672</v>
      </c>
      <c r="R27">
        <v>0.10913650600214343</v>
      </c>
      <c r="S27">
        <v>1.7369614402019434E-2</v>
      </c>
      <c r="T27">
        <v>0.10011418218608759</v>
      </c>
      <c r="U27">
        <v>0</v>
      </c>
      <c r="V27">
        <v>4.988694906955652E-2</v>
      </c>
      <c r="W27">
        <v>1</v>
      </c>
      <c r="X27">
        <v>-1</v>
      </c>
      <c r="Y27">
        <v>0.46497727592939536</v>
      </c>
      <c r="Z27">
        <v>0.10872026466028532</v>
      </c>
      <c r="AA27">
        <v>1.1684321744061936</v>
      </c>
      <c r="AB27">
        <f t="shared" ref="AB27:AB45" si="7">M27*($E$3/$B$3)*T27</f>
        <v>1.48143326317905E-2</v>
      </c>
      <c r="AC27">
        <f t="shared" ref="AC27:AC45" si="8">$F$23*$F$24*$F$25*($F$26/R27)*$F$27</f>
        <v>20.906386722286932</v>
      </c>
      <c r="AD27">
        <f t="shared" ref="AD27:AD45" si="9">AC27*AB27</f>
        <v>0.30971416703280691</v>
      </c>
      <c r="AE27">
        <f t="shared" ref="AE27:AE45" si="10">AB27*$F$28+AD27*$F$29</f>
        <v>0.3245284996645974</v>
      </c>
      <c r="AF27">
        <f t="shared" ref="AF27:AF45" si="11">(AE27^2/(PI()*$E$5*$F$22))*$B$3/$E$3</f>
        <v>0.10056535269352548</v>
      </c>
      <c r="AG27">
        <f t="shared" ref="AG27:AG45" si="12">$F$30*COS(RADIANS($B$13))*($F$31/$E$3)*($E$3/$B$3)</f>
        <v>3.1750414659484751E-3</v>
      </c>
      <c r="AH27">
        <f t="shared" ref="AH27:AH45" si="13">AF27+AG27</f>
        <v>0.10374039415947396</v>
      </c>
    </row>
    <row r="28" spans="1:34" x14ac:dyDescent="0.25">
      <c r="E28" s="99" t="s">
        <v>766</v>
      </c>
      <c r="F28" s="99">
        <v>1</v>
      </c>
      <c r="H28">
        <v>0.1</v>
      </c>
      <c r="I28">
        <v>0.99498743710661997</v>
      </c>
      <c r="J28">
        <v>111.64000000000001</v>
      </c>
      <c r="K28">
        <v>5.3400457763006929E-3</v>
      </c>
      <c r="L28">
        <v>0.5257562896527006</v>
      </c>
      <c r="M28">
        <v>0.87009470598219829</v>
      </c>
      <c r="N28">
        <v>0.1085440840479949</v>
      </c>
      <c r="O28">
        <v>1.7275327519620534E-2</v>
      </c>
      <c r="P28">
        <v>0.10168399167415836</v>
      </c>
      <c r="Q28">
        <v>0.10150734939227536</v>
      </c>
      <c r="R28">
        <v>0.10954912186325412</v>
      </c>
      <c r="S28">
        <v>1.7435284255913317E-2</v>
      </c>
      <c r="T28">
        <v>0.10081078923650819</v>
      </c>
      <c r="U28">
        <v>0</v>
      </c>
      <c r="V28">
        <v>9.977389813911304E-2</v>
      </c>
      <c r="W28">
        <v>1</v>
      </c>
      <c r="X28">
        <v>-1</v>
      </c>
      <c r="Y28">
        <v>0.46826685149511371</v>
      </c>
      <c r="Z28">
        <v>0.10969051057632151</v>
      </c>
      <c r="AA28">
        <v>1.1683312795848799</v>
      </c>
      <c r="AB28">
        <f t="shared" si="7"/>
        <v>1.5389601357476686E-2</v>
      </c>
      <c r="AC28">
        <f t="shared" si="8"/>
        <v>20.82764298967265</v>
      </c>
      <c r="AD28">
        <f t="shared" si="9"/>
        <v>0.32052912282690599</v>
      </c>
      <c r="AE28">
        <f t="shared" si="10"/>
        <v>0.33591872418438268</v>
      </c>
      <c r="AF28">
        <f t="shared" si="11"/>
        <v>0.10774847234876618</v>
      </c>
      <c r="AG28">
        <f t="shared" si="12"/>
        <v>3.1750414659484751E-3</v>
      </c>
      <c r="AH28">
        <f t="shared" si="13"/>
        <v>0.11092351381471466</v>
      </c>
    </row>
    <row r="29" spans="1:34" x14ac:dyDescent="0.25">
      <c r="E29" s="282" t="s">
        <v>1220</v>
      </c>
      <c r="F29" s="99">
        <v>1</v>
      </c>
      <c r="H29" s="99">
        <v>0.15</v>
      </c>
      <c r="I29" s="99">
        <v>0.98868599666425949</v>
      </c>
      <c r="J29" s="99">
        <v>167.46</v>
      </c>
      <c r="K29" s="99">
        <v>5.0038774839456486E-3</v>
      </c>
      <c r="L29" s="99">
        <v>0.50893851797108625</v>
      </c>
      <c r="M29" s="99">
        <v>0.88570573755052229</v>
      </c>
      <c r="N29" s="99">
        <v>0.10923589528362149</v>
      </c>
      <c r="O29" s="99">
        <v>1.7385432697457015E-2</v>
      </c>
      <c r="P29" s="99">
        <v>0.10289731528202789</v>
      </c>
      <c r="Q29" s="99">
        <v>0.10271856525194158</v>
      </c>
      <c r="R29" s="99">
        <v>0.11024733875846984</v>
      </c>
      <c r="S29" s="99">
        <v>1.7546408926137177E-2</v>
      </c>
      <c r="T29" s="99">
        <v>0.10199366656032678</v>
      </c>
      <c r="U29" s="99">
        <v>0</v>
      </c>
      <c r="V29" s="99">
        <v>0.14966084720866954</v>
      </c>
      <c r="W29" s="99">
        <v>1</v>
      </c>
      <c r="X29" s="99">
        <v>-1</v>
      </c>
      <c r="Y29" s="99">
        <v>0.47385435073021842</v>
      </c>
      <c r="Z29" s="99">
        <v>0.1110577284921274</v>
      </c>
      <c r="AA29" s="99">
        <v>1.1681861475962922</v>
      </c>
      <c r="AB29">
        <f t="shared" si="7"/>
        <v>1.5849533777879662E-2</v>
      </c>
      <c r="AC29">
        <f t="shared" si="8"/>
        <v>20.695737654027589</v>
      </c>
      <c r="AD29">
        <f>AC29*AB29</f>
        <v>0.32801779300564626</v>
      </c>
      <c r="AE29">
        <f>AB29*$F$28+AD29*$F$29</f>
        <v>0.34386732678352594</v>
      </c>
      <c r="AF29">
        <f>(AE29^2/(PI()*$E$5*$F$22))*$B$3/$E$3</f>
        <v>0.11290794993615952</v>
      </c>
      <c r="AG29">
        <f>$F$30*COS(RADIANS($B$13))*($F$31/$E$3)*($E$3/$B$3)</f>
        <v>3.1750414659484751E-3</v>
      </c>
      <c r="AH29">
        <f>AF29+AG29</f>
        <v>0.116082991402108</v>
      </c>
    </row>
    <row r="30" spans="1:34" x14ac:dyDescent="0.25">
      <c r="E30" s="86" t="s">
        <v>1223</v>
      </c>
      <c r="F30">
        <v>0.02</v>
      </c>
      <c r="H30">
        <v>0.2</v>
      </c>
      <c r="I30">
        <v>0.9797958971132712</v>
      </c>
      <c r="J30">
        <v>223.28000000000003</v>
      </c>
      <c r="K30">
        <v>4.782932744973145E-3</v>
      </c>
      <c r="L30">
        <v>0.49757565567287787</v>
      </c>
      <c r="M30">
        <v>0.89642086182604741</v>
      </c>
      <c r="N30">
        <v>0.11022703842524302</v>
      </c>
      <c r="O30">
        <v>1.7543178027757716E-2</v>
      </c>
      <c r="P30">
        <v>0.10464554001175856</v>
      </c>
      <c r="Q30">
        <v>0.10446375301980225</v>
      </c>
      <c r="R30">
        <v>0.11124765915140268</v>
      </c>
      <c r="S30">
        <v>1.7705614861348064E-2</v>
      </c>
      <c r="T30">
        <v>0.10369726663091859</v>
      </c>
      <c r="U30">
        <v>0</v>
      </c>
      <c r="V30">
        <v>0.19954779627822608</v>
      </c>
      <c r="W30">
        <v>1</v>
      </c>
      <c r="X30">
        <v>-1</v>
      </c>
      <c r="Y30">
        <v>0.48190513312397182</v>
      </c>
      <c r="Z30">
        <v>0.11291347428000237</v>
      </c>
      <c r="AA30">
        <v>1.1680350907922565</v>
      </c>
      <c r="AB30">
        <f t="shared" si="7"/>
        <v>1.6309216323932427E-2</v>
      </c>
      <c r="AC30">
        <f t="shared" si="8"/>
        <v>20.509645033472427</v>
      </c>
      <c r="AD30">
        <f t="shared" si="9"/>
        <v>0.33449623757796815</v>
      </c>
      <c r="AE30">
        <f t="shared" si="10"/>
        <v>0.3508054539019006</v>
      </c>
      <c r="AF30">
        <f t="shared" si="11"/>
        <v>0.11751014722219026</v>
      </c>
      <c r="AG30">
        <f t="shared" si="12"/>
        <v>3.1750414659484751E-3</v>
      </c>
      <c r="AH30">
        <f t="shared" si="13"/>
        <v>0.12068518868813874</v>
      </c>
    </row>
    <row r="31" spans="1:34" x14ac:dyDescent="0.25">
      <c r="E31" s="251" t="s">
        <v>1147</v>
      </c>
      <c r="F31">
        <f>E3</f>
        <v>95.093999999999994</v>
      </c>
      <c r="H31">
        <v>0.25</v>
      </c>
      <c r="I31">
        <v>0.96824583655185426</v>
      </c>
      <c r="J31">
        <v>279.10000000000002</v>
      </c>
      <c r="K31">
        <v>4.6207732954284481E-3</v>
      </c>
      <c r="L31">
        <v>0.489068078978113</v>
      </c>
      <c r="M31">
        <v>0.90443392635913278</v>
      </c>
      <c r="N31">
        <v>0.1115419203707736</v>
      </c>
      <c r="O31">
        <v>1.7752447988971194E-2</v>
      </c>
      <c r="P31">
        <v>0.10698268400095574</v>
      </c>
      <c r="Q31">
        <v>0.10679683699482667</v>
      </c>
      <c r="R31">
        <v>0.11257471592976225</v>
      </c>
      <c r="S31">
        <v>1.7916822507387593E-2</v>
      </c>
      <c r="T31">
        <v>0.10597336581537453</v>
      </c>
      <c r="U31">
        <v>0</v>
      </c>
      <c r="V31">
        <v>0.24943474534778259</v>
      </c>
      <c r="W31">
        <v>1</v>
      </c>
      <c r="X31">
        <v>-1</v>
      </c>
      <c r="Y31">
        <v>0.49266795861197071</v>
      </c>
      <c r="Z31">
        <v>0.11532822500089836</v>
      </c>
      <c r="AA31">
        <v>1.1679401240886484</v>
      </c>
      <c r="AB31">
        <f t="shared" si="7"/>
        <v>1.6816182125478075E-2</v>
      </c>
      <c r="AC31">
        <f t="shared" si="8"/>
        <v>20.267872596041631</v>
      </c>
      <c r="AD31">
        <f t="shared" si="9"/>
        <v>0.34082823687102215</v>
      </c>
      <c r="AE31">
        <f t="shared" si="10"/>
        <v>0.35764441899650024</v>
      </c>
      <c r="AF31">
        <f t="shared" si="11"/>
        <v>0.12213653690683687</v>
      </c>
      <c r="AG31">
        <f t="shared" si="12"/>
        <v>3.1750414659484751E-3</v>
      </c>
      <c r="AH31">
        <f t="shared" si="13"/>
        <v>0.12531157837278534</v>
      </c>
    </row>
    <row r="32" spans="1:34" x14ac:dyDescent="0.25">
      <c r="H32">
        <v>0.3</v>
      </c>
      <c r="I32">
        <v>0.95393920141694566</v>
      </c>
      <c r="J32">
        <v>334.92</v>
      </c>
      <c r="K32">
        <v>4.8754458521831183E-3</v>
      </c>
      <c r="L32">
        <v>0.50236474706657741</v>
      </c>
      <c r="M32">
        <v>0.89190003395409512</v>
      </c>
      <c r="N32">
        <v>0.11321476236596717</v>
      </c>
      <c r="O32">
        <v>1.8018689061517958E-2</v>
      </c>
      <c r="P32">
        <v>0.10998526883345291</v>
      </c>
      <c r="Q32">
        <v>0.10979420582992221</v>
      </c>
      <c r="R32">
        <v>0.11426304720268909</v>
      </c>
      <c r="S32">
        <v>1.8185528775050534E-2</v>
      </c>
      <c r="T32">
        <v>0.10889520951719339</v>
      </c>
      <c r="U32">
        <v>0</v>
      </c>
      <c r="V32">
        <v>0.29932169441733908</v>
      </c>
      <c r="W32">
        <v>1</v>
      </c>
      <c r="X32">
        <v>-1</v>
      </c>
      <c r="Y32">
        <v>0.50649521817083942</v>
      </c>
      <c r="Z32">
        <v>0.11820370534142176</v>
      </c>
      <c r="AA32">
        <v>1.1679975460489183</v>
      </c>
      <c r="AB32">
        <f t="shared" si="7"/>
        <v>1.7040360744489631E-2</v>
      </c>
      <c r="AC32">
        <f t="shared" si="8"/>
        <v>19.968397971678659</v>
      </c>
      <c r="AD32">
        <f t="shared" si="9"/>
        <v>0.34026870492693939</v>
      </c>
      <c r="AE32">
        <f t="shared" si="10"/>
        <v>0.357309065671429</v>
      </c>
      <c r="AF32">
        <f t="shared" si="11"/>
        <v>0.12190759615688328</v>
      </c>
      <c r="AG32">
        <f t="shared" si="12"/>
        <v>3.1750414659484751E-3</v>
      </c>
      <c r="AH32">
        <f t="shared" si="13"/>
        <v>0.12508263762283175</v>
      </c>
    </row>
    <row r="33" spans="8:34" x14ac:dyDescent="0.25">
      <c r="H33">
        <v>0.35</v>
      </c>
      <c r="I33">
        <v>0.93674969975975975</v>
      </c>
      <c r="J33">
        <v>390.74</v>
      </c>
      <c r="K33">
        <v>4.7631173490149436E-3</v>
      </c>
      <c r="L33">
        <v>0.49654387325390509</v>
      </c>
      <c r="M33">
        <v>0.89739458654438997</v>
      </c>
      <c r="N33">
        <v>0.11529227073966274</v>
      </c>
      <c r="O33">
        <v>1.8349334788506415E-2</v>
      </c>
      <c r="P33">
        <v>0.11375906391372086</v>
      </c>
      <c r="Q33">
        <v>0.11356144519022517</v>
      </c>
      <c r="R33">
        <v>0.11635979176502999</v>
      </c>
      <c r="S33">
        <v>1.8519236036548141E-2</v>
      </c>
      <c r="T33">
        <v>0.11256386181437546</v>
      </c>
      <c r="U33">
        <v>0</v>
      </c>
      <c r="V33">
        <v>0.34920864348689562</v>
      </c>
      <c r="W33">
        <v>1</v>
      </c>
      <c r="X33">
        <v>-1</v>
      </c>
      <c r="Y33">
        <v>0.52387399246293787</v>
      </c>
      <c r="Z33">
        <v>0.12199980740920865</v>
      </c>
      <c r="AA33">
        <v>1.1683554895058139</v>
      </c>
      <c r="AB33">
        <f t="shared" si="7"/>
        <v>1.7722960068142536E-2</v>
      </c>
      <c r="AC33">
        <f t="shared" si="8"/>
        <v>19.608577545475736</v>
      </c>
      <c r="AD33">
        <f t="shared" si="9"/>
        <v>0.34752203683154287</v>
      </c>
      <c r="AE33">
        <f t="shared" si="10"/>
        <v>0.36524499689968543</v>
      </c>
      <c r="AF33">
        <f t="shared" si="11"/>
        <v>0.1273829342325879</v>
      </c>
      <c r="AG33">
        <f t="shared" si="12"/>
        <v>3.1750414659484751E-3</v>
      </c>
      <c r="AH33">
        <f t="shared" si="13"/>
        <v>0.13055797569853636</v>
      </c>
    </row>
    <row r="34" spans="8:34" x14ac:dyDescent="0.25">
      <c r="H34">
        <v>0.4</v>
      </c>
      <c r="I34">
        <v>0.91651513899116799</v>
      </c>
      <c r="J34">
        <v>446.56000000000006</v>
      </c>
      <c r="K34">
        <v>4.6686961927166646E-3</v>
      </c>
      <c r="L34">
        <v>0.49159764514555393</v>
      </c>
      <c r="M34">
        <v>0.90205628988462949</v>
      </c>
      <c r="N34">
        <v>0.11783766072743589</v>
      </c>
      <c r="O34">
        <v>1.8754446187157128E-2</v>
      </c>
      <c r="P34">
        <v>0.11844937702562958</v>
      </c>
      <c r="Q34">
        <v>0.1182436104354226</v>
      </c>
      <c r="R34">
        <v>0.11892875017861584</v>
      </c>
      <c r="S34">
        <v>1.8928098466667844E-2</v>
      </c>
      <c r="T34">
        <v>0.11711786719936465</v>
      </c>
      <c r="U34">
        <v>0</v>
      </c>
      <c r="V34">
        <v>0.39909559255645216</v>
      </c>
      <c r="W34">
        <v>1</v>
      </c>
      <c r="X34">
        <v>-1</v>
      </c>
      <c r="Y34">
        <v>0.54547344108094398</v>
      </c>
      <c r="Z34">
        <v>0.12666861002448063</v>
      </c>
      <c r="AA34">
        <v>1.1692431995991097</v>
      </c>
      <c r="AB34">
        <f t="shared" si="7"/>
        <v>1.8535769634879299E-2</v>
      </c>
      <c r="AC34">
        <f t="shared" si="8"/>
        <v>19.185016209900898</v>
      </c>
      <c r="AD34">
        <f t="shared" si="9"/>
        <v>0.35560904090814821</v>
      </c>
      <c r="AE34">
        <f t="shared" si="10"/>
        <v>0.37414481054302751</v>
      </c>
      <c r="AF34">
        <f t="shared" si="11"/>
        <v>0.13366636840294871</v>
      </c>
      <c r="AG34">
        <f t="shared" si="12"/>
        <v>3.1750414659484751E-3</v>
      </c>
      <c r="AH34">
        <f t="shared" si="13"/>
        <v>0.13684140986889717</v>
      </c>
    </row>
    <row r="35" spans="8:34" x14ac:dyDescent="0.25">
      <c r="H35">
        <v>0.45</v>
      </c>
      <c r="I35">
        <v>0.89302855497458755</v>
      </c>
      <c r="J35">
        <v>502.38000000000005</v>
      </c>
      <c r="K35">
        <v>4.5875531535829756E-3</v>
      </c>
      <c r="L35">
        <v>0.4873068783791859</v>
      </c>
      <c r="M35">
        <v>0.90608572839323032</v>
      </c>
      <c r="N35">
        <v>0.12093678236646453</v>
      </c>
      <c r="O35">
        <v>1.9247686715251594E-2</v>
      </c>
      <c r="P35">
        <v>0.12425694261102585</v>
      </c>
      <c r="Q35">
        <v>0.12404108729770424</v>
      </c>
      <c r="R35">
        <v>0.12205656738837624</v>
      </c>
      <c r="S35">
        <v>1.942590603668911E-2</v>
      </c>
      <c r="T35">
        <v>0.12274811933184483</v>
      </c>
      <c r="U35">
        <v>0</v>
      </c>
      <c r="V35">
        <v>0.4489825416260087</v>
      </c>
      <c r="W35">
        <v>1</v>
      </c>
      <c r="X35">
        <v>-1</v>
      </c>
      <c r="Y35">
        <v>0.57221796995663332</v>
      </c>
      <c r="Z35">
        <v>0.13238866563138682</v>
      </c>
      <c r="AA35">
        <v>1.1710209277009629</v>
      </c>
      <c r="AB35">
        <f t="shared" si="7"/>
        <v>1.9513625508851655E-2</v>
      </c>
      <c r="AC35">
        <f t="shared" si="8"/>
        <v>18.69338167392447</v>
      </c>
      <c r="AD35">
        <f t="shared" si="9"/>
        <v>0.3647756494789926</v>
      </c>
      <c r="AE35">
        <f t="shared" si="10"/>
        <v>0.38428927498784426</v>
      </c>
      <c r="AF35">
        <f t="shared" si="11"/>
        <v>0.14101302371531568</v>
      </c>
      <c r="AG35">
        <f t="shared" si="12"/>
        <v>3.1750414659484751E-3</v>
      </c>
      <c r="AH35">
        <f t="shared" si="13"/>
        <v>0.14418806518126415</v>
      </c>
    </row>
    <row r="36" spans="8:34" x14ac:dyDescent="0.25">
      <c r="H36">
        <v>0.5</v>
      </c>
      <c r="I36">
        <v>0.8660254037844386</v>
      </c>
      <c r="J36">
        <v>558.20000000000005</v>
      </c>
      <c r="K36">
        <v>4.5166171076214462E-3</v>
      </c>
      <c r="L36">
        <v>0.48352465585913557</v>
      </c>
      <c r="M36">
        <v>0.90962046173352107</v>
      </c>
      <c r="N36">
        <v>0.12470765814495917</v>
      </c>
      <c r="O36">
        <v>1.9847840235184516E-2</v>
      </c>
      <c r="P36">
        <v>0.13146303448299143</v>
      </c>
      <c r="Q36">
        <v>0.13123466096999292</v>
      </c>
      <c r="R36">
        <v>0.12586235868333842</v>
      </c>
      <c r="S36">
        <v>2.0031616533658446E-2</v>
      </c>
      <c r="T36">
        <v>0.12972127288892826</v>
      </c>
      <c r="U36">
        <v>0</v>
      </c>
      <c r="V36">
        <v>0.49886949069556519</v>
      </c>
      <c r="W36">
        <v>1</v>
      </c>
      <c r="X36">
        <v>-1</v>
      </c>
      <c r="Y36">
        <v>0.60540287838629925</v>
      </c>
      <c r="Z36">
        <v>0.13940385412752823</v>
      </c>
      <c r="AA36">
        <v>1.1742676654529796</v>
      </c>
      <c r="AB36">
        <f t="shared" si="7"/>
        <v>2.0702617201381186E-2</v>
      </c>
      <c r="AC36">
        <f t="shared" si="8"/>
        <v>18.128136353621688</v>
      </c>
      <c r="AD36">
        <f t="shared" si="9"/>
        <v>0.37529986750347194</v>
      </c>
      <c r="AE36">
        <f t="shared" si="10"/>
        <v>0.39600248470485311</v>
      </c>
      <c r="AF36">
        <f t="shared" si="11"/>
        <v>0.14974023794286392</v>
      </c>
      <c r="AG36">
        <f t="shared" si="12"/>
        <v>3.1750414659484751E-3</v>
      </c>
      <c r="AH36">
        <f t="shared" si="13"/>
        <v>0.15291527940881239</v>
      </c>
    </row>
    <row r="37" spans="8:34" x14ac:dyDescent="0.25">
      <c r="H37">
        <v>0.55000000000000004</v>
      </c>
      <c r="I37">
        <v>0.83516465442450327</v>
      </c>
      <c r="J37">
        <v>614.0200000000001</v>
      </c>
      <c r="K37">
        <v>4.4537521193004333E-3</v>
      </c>
      <c r="L37">
        <v>0.48014787144297988</v>
      </c>
      <c r="M37">
        <v>0.91275865506590859</v>
      </c>
      <c r="N37">
        <v>0.12931581745927792</v>
      </c>
      <c r="O37">
        <v>2.0581251568613304E-2</v>
      </c>
      <c r="P37">
        <v>0.14047047884093974</v>
      </c>
      <c r="Q37">
        <v>0.14022645787450116</v>
      </c>
      <c r="R37">
        <v>0.13051318613945642</v>
      </c>
      <c r="S37">
        <v>2.0771818712767131E-2</v>
      </c>
      <c r="T37">
        <v>0.13841781090753918</v>
      </c>
      <c r="U37">
        <v>0</v>
      </c>
      <c r="V37">
        <v>0.54875643976512178</v>
      </c>
      <c r="W37">
        <v>1</v>
      </c>
      <c r="X37">
        <v>-1</v>
      </c>
      <c r="Y37">
        <v>0.64688322883349569</v>
      </c>
      <c r="Z37">
        <v>0.1480539044169483</v>
      </c>
      <c r="AA37">
        <v>1.1799417009238362</v>
      </c>
      <c r="AB37">
        <f t="shared" si="7"/>
        <v>2.2166736846254972E-2</v>
      </c>
      <c r="AC37">
        <f t="shared" si="8"/>
        <v>17.482141594198787</v>
      </c>
      <c r="AD37">
        <f t="shared" si="9"/>
        <v>0.38752203222757287</v>
      </c>
      <c r="AE37">
        <f t="shared" si="10"/>
        <v>0.40968876907382784</v>
      </c>
      <c r="AF37">
        <f t="shared" si="11"/>
        <v>0.16026947505000391</v>
      </c>
      <c r="AG37">
        <f t="shared" si="12"/>
        <v>3.1750414659484751E-3</v>
      </c>
      <c r="AH37">
        <f t="shared" si="13"/>
        <v>0.16344451651595238</v>
      </c>
    </row>
    <row r="38" spans="8:34" x14ac:dyDescent="0.25">
      <c r="H38">
        <v>0.6</v>
      </c>
      <c r="I38">
        <v>0.8</v>
      </c>
      <c r="J38">
        <v>669.84</v>
      </c>
      <c r="K38">
        <v>4.3974161073805709E-3</v>
      </c>
      <c r="L38">
        <v>0.47710148502543931</v>
      </c>
      <c r="M38">
        <v>0.91557264609749189</v>
      </c>
      <c r="N38">
        <v>0.13499999999999998</v>
      </c>
      <c r="O38">
        <v>2.1485917317405869E-2</v>
      </c>
      <c r="P38">
        <v>0.15187349429154923</v>
      </c>
      <c r="Q38">
        <v>0.15160966435974274</v>
      </c>
      <c r="R38">
        <v>0.13624999999999998</v>
      </c>
      <c r="S38">
        <v>2.1684860996270736E-2</v>
      </c>
      <c r="T38">
        <v>0.14939654166409835</v>
      </c>
      <c r="U38">
        <v>0</v>
      </c>
      <c r="V38">
        <v>0.59864338883467816</v>
      </c>
      <c r="W38">
        <v>1</v>
      </c>
      <c r="X38">
        <v>-1</v>
      </c>
      <c r="Y38">
        <v>0.69939546851540846</v>
      </c>
      <c r="Z38">
        <v>0.15882377345579726</v>
      </c>
      <c r="AA38">
        <v>1.1896892258902101</v>
      </c>
      <c r="AB38">
        <f t="shared" si="7"/>
        <v>2.3998670480535635E-2</v>
      </c>
      <c r="AC38">
        <f t="shared" si="8"/>
        <v>16.746055045871561</v>
      </c>
      <c r="AD38">
        <f t="shared" si="9"/>
        <v>0.40188305689478265</v>
      </c>
      <c r="AE38">
        <f t="shared" si="10"/>
        <v>0.42588172737531826</v>
      </c>
      <c r="AF38">
        <f t="shared" si="11"/>
        <v>0.17318916202587267</v>
      </c>
      <c r="AG38">
        <f t="shared" si="12"/>
        <v>3.1750414659484751E-3</v>
      </c>
      <c r="AH38">
        <f t="shared" si="13"/>
        <v>0.17636420349182114</v>
      </c>
    </row>
    <row r="39" spans="8:34" x14ac:dyDescent="0.25">
      <c r="H39">
        <v>0.65</v>
      </c>
      <c r="I39">
        <v>0.75993420767853315</v>
      </c>
      <c r="J39">
        <v>725.66000000000008</v>
      </c>
      <c r="K39">
        <v>4.7244146107680096E-3</v>
      </c>
      <c r="L39">
        <v>0.49452242346039171</v>
      </c>
      <c r="M39">
        <v>0.89930127243626701</v>
      </c>
      <c r="N39">
        <v>0.1421175661113101</v>
      </c>
      <c r="O39">
        <v>2.2618713146804234E-2</v>
      </c>
      <c r="P39">
        <v>0.16658299205178798</v>
      </c>
      <c r="Q39">
        <v>0.16629360923592432</v>
      </c>
      <c r="R39">
        <v>0.14343346950122965</v>
      </c>
      <c r="S39">
        <v>2.2828145675941311E-2</v>
      </c>
      <c r="T39">
        <v>0.16350964239509694</v>
      </c>
      <c r="U39">
        <v>0</v>
      </c>
      <c r="V39">
        <v>0.64853033790423475</v>
      </c>
      <c r="W39">
        <v>1</v>
      </c>
      <c r="X39">
        <v>-1</v>
      </c>
      <c r="Y39">
        <v>0.76713445171085193</v>
      </c>
      <c r="Z39">
        <v>0.17230130106096794</v>
      </c>
      <c r="AA39">
        <v>1.2064744061545054</v>
      </c>
      <c r="AB39">
        <f t="shared" si="7"/>
        <v>2.5798972278990407E-2</v>
      </c>
      <c r="AC39">
        <f t="shared" si="8"/>
        <v>15.90737509128188</v>
      </c>
      <c r="AD39">
        <f t="shared" si="9"/>
        <v>0.41039392901148369</v>
      </c>
      <c r="AE39">
        <f t="shared" si="10"/>
        <v>0.43619290129047411</v>
      </c>
      <c r="AF39">
        <f t="shared" si="11"/>
        <v>0.18167697248659623</v>
      </c>
      <c r="AG39">
        <f t="shared" si="12"/>
        <v>3.1750414659484751E-3</v>
      </c>
      <c r="AH39">
        <f t="shared" si="13"/>
        <v>0.18485201395254469</v>
      </c>
    </row>
    <row r="40" spans="8:34" x14ac:dyDescent="0.25">
      <c r="H40">
        <v>0.7</v>
      </c>
      <c r="I40">
        <v>0.71414284285428498</v>
      </c>
      <c r="J40">
        <v>781.48</v>
      </c>
      <c r="K40">
        <v>4.6739264215611776E-3</v>
      </c>
      <c r="L40">
        <v>0.49187293061883475</v>
      </c>
      <c r="M40">
        <v>0.90179722169654875</v>
      </c>
      <c r="N40">
        <v>0.15123024907502505</v>
      </c>
      <c r="O40">
        <v>2.4069041685308771E-2</v>
      </c>
      <c r="P40">
        <v>0.18606658153192498</v>
      </c>
      <c r="Q40">
        <v>0.18574335242768911</v>
      </c>
      <c r="R40">
        <v>0.15263052915905306</v>
      </c>
      <c r="S40">
        <v>2.4291903182394964E-2</v>
      </c>
      <c r="T40">
        <v>0.18212155114907855</v>
      </c>
      <c r="U40">
        <v>0</v>
      </c>
      <c r="V40">
        <v>0.69841728697379124</v>
      </c>
      <c r="W40">
        <v>1</v>
      </c>
      <c r="X40">
        <v>-1</v>
      </c>
      <c r="Y40">
        <v>0.85685869395856951</v>
      </c>
      <c r="Z40">
        <v>0.18986802081631546</v>
      </c>
      <c r="AA40">
        <v>1.2359663613377154</v>
      </c>
      <c r="AB40">
        <f t="shared" si="7"/>
        <v>2.8815360867480953E-2</v>
      </c>
      <c r="AC40">
        <f t="shared" si="8"/>
        <v>14.948844196316323</v>
      </c>
      <c r="AD40">
        <f t="shared" si="9"/>
        <v>0.43075634006860314</v>
      </c>
      <c r="AE40">
        <f t="shared" si="10"/>
        <v>0.45957170093608407</v>
      </c>
      <c r="AF40">
        <f t="shared" si="11"/>
        <v>0.20167369419891268</v>
      </c>
      <c r="AG40">
        <f t="shared" si="12"/>
        <v>3.1750414659484751E-3</v>
      </c>
      <c r="AH40">
        <f t="shared" si="13"/>
        <v>0.20484873566486114</v>
      </c>
    </row>
    <row r="41" spans="8:34" x14ac:dyDescent="0.25">
      <c r="H41">
        <v>0.75</v>
      </c>
      <c r="I41">
        <v>0.66143782776614768</v>
      </c>
      <c r="J41">
        <v>837.30000000000007</v>
      </c>
      <c r="K41">
        <v>4.6275935043221016E-3</v>
      </c>
      <c r="L41">
        <v>0.48942887535882568</v>
      </c>
      <c r="M41">
        <v>0.90409514976952488</v>
      </c>
      <c r="N41">
        <v>0.16328065233998615</v>
      </c>
      <c r="O41">
        <v>2.5986922931178043E-2</v>
      </c>
      <c r="P41">
        <v>0.21284847584675293</v>
      </c>
      <c r="Q41">
        <v>0.21247872206496424</v>
      </c>
      <c r="R41">
        <v>0.16479251023202307</v>
      </c>
      <c r="S41">
        <v>2.6227542587948214E-2</v>
      </c>
      <c r="T41">
        <v>0.20756139796413578</v>
      </c>
      <c r="U41">
        <v>0</v>
      </c>
      <c r="V41">
        <v>0.74830423604334784</v>
      </c>
      <c r="W41">
        <v>0.8</v>
      </c>
      <c r="X41">
        <v>-0.8</v>
      </c>
      <c r="Y41">
        <v>0.98019249627493255</v>
      </c>
      <c r="Z41">
        <v>0.21313086726482533</v>
      </c>
      <c r="AA41">
        <v>1.2899014691093269</v>
      </c>
      <c r="AB41">
        <f t="shared" si="7"/>
        <v>3.2924148792953405E-2</v>
      </c>
      <c r="AC41">
        <f t="shared" si="8"/>
        <v>13.845592841492021</v>
      </c>
      <c r="AD41">
        <f t="shared" si="9"/>
        <v>0.4558543588399338</v>
      </c>
      <c r="AE41">
        <f t="shared" si="10"/>
        <v>0.48877850763288722</v>
      </c>
      <c r="AF41">
        <f t="shared" si="11"/>
        <v>0.22812185748411665</v>
      </c>
      <c r="AG41">
        <f t="shared" si="12"/>
        <v>3.1750414659484751E-3</v>
      </c>
      <c r="AH41">
        <f t="shared" si="13"/>
        <v>0.23129689895006511</v>
      </c>
    </row>
    <row r="42" spans="8:34" x14ac:dyDescent="0.25">
      <c r="H42">
        <v>0.8</v>
      </c>
      <c r="I42">
        <v>0.59999999999999987</v>
      </c>
      <c r="J42">
        <v>893.12000000000012</v>
      </c>
      <c r="K42">
        <v>4.5848268947219616E-3</v>
      </c>
      <c r="L42">
        <v>0.48716206020640607</v>
      </c>
      <c r="M42">
        <v>0.90622140062891798</v>
      </c>
      <c r="N42">
        <v>0.18000000000000005</v>
      </c>
      <c r="O42">
        <v>2.8647889756541169E-2</v>
      </c>
      <c r="P42">
        <v>0.25167326542920682</v>
      </c>
      <c r="Q42">
        <v>0.251236066425092</v>
      </c>
      <c r="R42">
        <v>0.1816666666666667</v>
      </c>
      <c r="S42">
        <v>2.8913147995027658E-2</v>
      </c>
      <c r="T42">
        <v>0.24416699001679928</v>
      </c>
      <c r="U42">
        <v>0</v>
      </c>
      <c r="V42">
        <v>0.79819118511290432</v>
      </c>
      <c r="W42">
        <v>0</v>
      </c>
      <c r="X42">
        <v>0</v>
      </c>
      <c r="Y42">
        <v>1.1589852607839628</v>
      </c>
      <c r="Z42">
        <v>0.24506398060350018</v>
      </c>
      <c r="AA42">
        <v>1.3953510934991353</v>
      </c>
      <c r="AB42">
        <f t="shared" si="7"/>
        <v>3.8821748576924699E-2</v>
      </c>
      <c r="AC42">
        <f t="shared" si="8"/>
        <v>12.559541284403664</v>
      </c>
      <c r="AD42">
        <f t="shared" si="9"/>
        <v>0.48758335398462499</v>
      </c>
      <c r="AE42">
        <f t="shared" si="10"/>
        <v>0.52640510256154971</v>
      </c>
      <c r="AF42">
        <f t="shared" si="11"/>
        <v>0.26459575829405585</v>
      </c>
      <c r="AG42">
        <f t="shared" si="12"/>
        <v>3.1750414659484751E-3</v>
      </c>
      <c r="AH42">
        <f t="shared" si="13"/>
        <v>0.26777079976000434</v>
      </c>
    </row>
    <row r="43" spans="8:34" x14ac:dyDescent="0.25">
      <c r="H43">
        <v>0.85</v>
      </c>
      <c r="I43">
        <v>0.52678268764263703</v>
      </c>
      <c r="J43">
        <v>948.94</v>
      </c>
      <c r="K43">
        <v>4.9087639081257673E-3</v>
      </c>
      <c r="L43">
        <v>0.50407836656147187</v>
      </c>
      <c r="M43">
        <v>0.89028322788960201</v>
      </c>
      <c r="N43">
        <v>0.20501812708253975</v>
      </c>
      <c r="O43">
        <v>3.2629648348628582E-2</v>
      </c>
      <c r="P43">
        <v>0.31267319102286617</v>
      </c>
      <c r="Q43">
        <v>0.31213002483675789</v>
      </c>
      <c r="R43">
        <v>0.20691644307404475</v>
      </c>
      <c r="S43">
        <v>3.293177472222699E-2</v>
      </c>
      <c r="T43">
        <v>0.30109789389129216</v>
      </c>
      <c r="U43">
        <v>0</v>
      </c>
      <c r="V43">
        <v>0.84807813418246081</v>
      </c>
      <c r="W43">
        <v>0</v>
      </c>
      <c r="X43">
        <v>0</v>
      </c>
      <c r="Y43">
        <v>1.4398971588014193</v>
      </c>
      <c r="Z43">
        <v>0.29144095832892614</v>
      </c>
      <c r="AA43">
        <v>1.6253424551153759</v>
      </c>
      <c r="AB43">
        <f t="shared" si="7"/>
        <v>4.7031598394958796E-2</v>
      </c>
      <c r="AC43">
        <f t="shared" si="8"/>
        <v>11.026914855594702</v>
      </c>
      <c r="AD43">
        <f t="shared" si="9"/>
        <v>0.51861343102373514</v>
      </c>
      <c r="AE43">
        <f t="shared" si="10"/>
        <v>0.56564502941869388</v>
      </c>
      <c r="AF43">
        <f t="shared" si="11"/>
        <v>0.30551367010317293</v>
      </c>
      <c r="AG43">
        <f t="shared" si="12"/>
        <v>3.1750414659484751E-3</v>
      </c>
      <c r="AH43">
        <f t="shared" si="13"/>
        <v>0.30868871156912142</v>
      </c>
    </row>
    <row r="44" spans="8:34" x14ac:dyDescent="0.25">
      <c r="H44">
        <v>0.9</v>
      </c>
      <c r="I44">
        <v>0.43588989435406728</v>
      </c>
      <c r="J44">
        <v>1004.7600000000001</v>
      </c>
      <c r="K44">
        <v>4.8688344602771938E-3</v>
      </c>
      <c r="L44">
        <v>0.50202401341192449</v>
      </c>
      <c r="M44">
        <v>0.89222161792644783</v>
      </c>
      <c r="N44">
        <v>0.24776899258020674</v>
      </c>
      <c r="O44">
        <v>3.9433659914039042E-2</v>
      </c>
      <c r="P44">
        <v>0.42233542912549932</v>
      </c>
      <c r="Q44">
        <v>0.42160176109484387</v>
      </c>
      <c r="R44">
        <v>0.25006314991891238</v>
      </c>
      <c r="S44">
        <v>3.9798786394724589E-2</v>
      </c>
      <c r="T44">
        <v>0.40197459392232476</v>
      </c>
      <c r="U44">
        <v>0</v>
      </c>
      <c r="V44">
        <v>0.8979650832520174</v>
      </c>
      <c r="W44">
        <v>0</v>
      </c>
      <c r="X44">
        <v>0</v>
      </c>
      <c r="Y44">
        <v>1.9449047821132581</v>
      </c>
      <c r="Z44">
        <v>0.36214336045289697</v>
      </c>
      <c r="AA44">
        <v>2.2329718001249761</v>
      </c>
      <c r="AB44">
        <f t="shared" si="7"/>
        <v>6.2925282808887401E-2</v>
      </c>
      <c r="AC44">
        <f t="shared" si="8"/>
        <v>9.1242952059904336</v>
      </c>
      <c r="AD44">
        <f t="shared" si="9"/>
        <v>0.57414885626872358</v>
      </c>
      <c r="AE44">
        <f t="shared" si="10"/>
        <v>0.63707413907761101</v>
      </c>
      <c r="AF44">
        <f t="shared" si="11"/>
        <v>0.38754545599628976</v>
      </c>
      <c r="AG44">
        <f t="shared" si="12"/>
        <v>3.1750414659484751E-3</v>
      </c>
      <c r="AH44">
        <f t="shared" si="13"/>
        <v>0.39072049746223825</v>
      </c>
    </row>
    <row r="45" spans="8:34" x14ac:dyDescent="0.25">
      <c r="H45">
        <v>0.95</v>
      </c>
      <c r="I45">
        <v>0.31224989991991997</v>
      </c>
      <c r="J45">
        <v>1060.58</v>
      </c>
      <c r="K45">
        <v>4.8314780342310947E-3</v>
      </c>
      <c r="L45">
        <v>0.50009440025616481</v>
      </c>
      <c r="M45">
        <v>0.89404313961962245</v>
      </c>
      <c r="N45">
        <v>0.34587681221898814</v>
      </c>
      <c r="O45">
        <v>5.5048004365519231E-2</v>
      </c>
      <c r="P45">
        <v>0.6830453188898814</v>
      </c>
      <c r="Q45">
        <v>0.68185875371111815</v>
      </c>
      <c r="R45">
        <v>0.34907937529508987</v>
      </c>
      <c r="S45">
        <v>5.5557708109644402E-2</v>
      </c>
      <c r="T45">
        <v>0.63681037801912754</v>
      </c>
      <c r="U45">
        <v>0</v>
      </c>
      <c r="V45">
        <v>0.94785203232157378</v>
      </c>
      <c r="W45">
        <v>0</v>
      </c>
      <c r="X45">
        <v>0</v>
      </c>
      <c r="Y45">
        <v>3.1455047706031949</v>
      </c>
      <c r="Z45">
        <v>0.4675440731614503</v>
      </c>
      <c r="AA45">
        <v>4.6559963660946995</v>
      </c>
      <c r="AB45">
        <f t="shared" si="7"/>
        <v>9.9890097419552501E-2</v>
      </c>
      <c r="AC45">
        <f t="shared" si="8"/>
        <v>6.5361925151585805</v>
      </c>
      <c r="AD45">
        <f t="shared" si="9"/>
        <v>0.65290090709214044</v>
      </c>
      <c r="AE45">
        <f t="shared" si="10"/>
        <v>0.7527910045116929</v>
      </c>
      <c r="AF45">
        <f t="shared" si="11"/>
        <v>0.54111744932860018</v>
      </c>
      <c r="AG45">
        <f t="shared" si="12"/>
        <v>3.1750414659484751E-3</v>
      </c>
      <c r="AH45">
        <f t="shared" si="13"/>
        <v>0.54429249079454867</v>
      </c>
    </row>
  </sheetData>
  <mergeCells count="2">
    <mergeCell ref="A2:C2"/>
    <mergeCell ref="D2:F2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30C21-6F9D-4671-8C82-9518D4F5E033}">
  <dimension ref="B2:S10"/>
  <sheetViews>
    <sheetView zoomScale="250" zoomScaleNormal="250" workbookViewId="0">
      <selection activeCell="K16" sqref="K16"/>
    </sheetView>
  </sheetViews>
  <sheetFormatPr defaultRowHeight="15" x14ac:dyDescent="0.25"/>
  <cols>
    <col min="3" max="3" width="9.85546875" customWidth="1"/>
    <col min="9" max="9" width="10.140625" customWidth="1"/>
    <col min="12" max="12" width="9.85546875" customWidth="1"/>
  </cols>
  <sheetData>
    <row r="2" spans="2:19" x14ac:dyDescent="0.25">
      <c r="B2" t="s">
        <v>1096</v>
      </c>
      <c r="C2" s="132">
        <v>-150300000</v>
      </c>
      <c r="E2" t="s">
        <v>1102</v>
      </c>
      <c r="F2" s="132">
        <v>-1.5981000000000001E-9</v>
      </c>
      <c r="H2" t="s">
        <v>1105</v>
      </c>
      <c r="I2">
        <v>-1.6999999999999999E-3</v>
      </c>
      <c r="K2" t="s">
        <v>1109</v>
      </c>
      <c r="L2" s="132">
        <v>-307890</v>
      </c>
      <c r="N2" s="302" t="s">
        <v>1113</v>
      </c>
      <c r="O2" s="302"/>
      <c r="P2" s="302"/>
      <c r="R2" t="s">
        <v>1106</v>
      </c>
      <c r="S2">
        <v>7.8444000000000003</v>
      </c>
    </row>
    <row r="3" spans="2:19" x14ac:dyDescent="0.25">
      <c r="B3" t="s">
        <v>1097</v>
      </c>
      <c r="C3" s="132">
        <v>-4892100</v>
      </c>
      <c r="E3" t="s">
        <v>1103</v>
      </c>
      <c r="F3" s="132">
        <v>1.4992000000000001E-7</v>
      </c>
      <c r="H3" t="s">
        <v>1108</v>
      </c>
      <c r="I3">
        <v>0</v>
      </c>
      <c r="K3" t="s">
        <v>1110</v>
      </c>
      <c r="L3">
        <v>0</v>
      </c>
      <c r="N3" t="s">
        <v>1114</v>
      </c>
      <c r="O3">
        <v>311</v>
      </c>
      <c r="P3" t="s">
        <v>1118</v>
      </c>
      <c r="R3" t="s">
        <v>1112</v>
      </c>
      <c r="S3">
        <v>-42.7087</v>
      </c>
    </row>
    <row r="4" spans="2:19" x14ac:dyDescent="0.25">
      <c r="B4" t="s">
        <v>1098</v>
      </c>
      <c r="C4" s="132">
        <v>28714</v>
      </c>
      <c r="E4" t="s">
        <v>1104</v>
      </c>
      <c r="F4" s="132">
        <v>1.5781E-6</v>
      </c>
      <c r="H4" t="s">
        <v>1107</v>
      </c>
      <c r="I4" s="132">
        <v>-2146</v>
      </c>
      <c r="K4" t="s">
        <v>1111</v>
      </c>
      <c r="L4">
        <v>0</v>
      </c>
      <c r="N4" t="s">
        <v>1115</v>
      </c>
      <c r="O4">
        <v>470</v>
      </c>
      <c r="P4" t="s">
        <v>1116</v>
      </c>
      <c r="R4" t="s">
        <v>1119</v>
      </c>
      <c r="S4">
        <v>330.6037</v>
      </c>
    </row>
    <row r="5" spans="2:19" x14ac:dyDescent="0.25">
      <c r="B5" t="s">
        <v>1099</v>
      </c>
      <c r="C5">
        <v>0.2402</v>
      </c>
      <c r="H5" t="s">
        <v>1106</v>
      </c>
      <c r="I5" s="132">
        <v>2146</v>
      </c>
      <c r="K5" t="s">
        <v>1112</v>
      </c>
      <c r="L5" s="132">
        <v>307890</v>
      </c>
      <c r="N5" t="s">
        <v>187</v>
      </c>
      <c r="O5">
        <v>9.81</v>
      </c>
      <c r="P5" t="s">
        <v>1117</v>
      </c>
      <c r="R5" t="s">
        <v>1120</v>
      </c>
      <c r="S5" s="132">
        <v>47432</v>
      </c>
    </row>
    <row r="6" spans="2:19" x14ac:dyDescent="0.25">
      <c r="B6" t="s">
        <v>1100</v>
      </c>
      <c r="C6">
        <v>-0.73340000000000005</v>
      </c>
    </row>
    <row r="7" spans="2:19" x14ac:dyDescent="0.25">
      <c r="B7" t="s">
        <v>1101</v>
      </c>
      <c r="C7">
        <v>4.53E-2</v>
      </c>
      <c r="H7" t="s">
        <v>1121</v>
      </c>
      <c r="I7">
        <v>37.7425</v>
      </c>
    </row>
    <row r="8" spans="2:19" x14ac:dyDescent="0.25">
      <c r="H8" t="s">
        <v>1122</v>
      </c>
      <c r="I8">
        <v>43.927900000000001</v>
      </c>
    </row>
    <row r="9" spans="2:19" x14ac:dyDescent="0.25">
      <c r="H9" t="s">
        <v>1123</v>
      </c>
      <c r="I9">
        <v>29.898099999999999</v>
      </c>
    </row>
    <row r="10" spans="2:19" x14ac:dyDescent="0.25">
      <c r="H10" t="s">
        <v>1124</v>
      </c>
      <c r="I10">
        <v>1.2192000000000001</v>
      </c>
    </row>
  </sheetData>
  <mergeCells count="1">
    <mergeCell ref="N2:P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QUESTIONS</vt:lpstr>
      <vt:lpstr>Weight Estimates</vt:lpstr>
      <vt:lpstr>Wing Sizing</vt:lpstr>
      <vt:lpstr>Necessary Graphs</vt:lpstr>
      <vt:lpstr>Roskam Notes</vt:lpstr>
      <vt:lpstr>C1 Drag</vt:lpstr>
      <vt:lpstr>C1 C_L_max</vt:lpstr>
      <vt:lpstr>Airfoil</vt:lpstr>
      <vt:lpstr>Sub C_L_α</vt:lpstr>
      <vt:lpstr>Sub C_D_0</vt:lpstr>
      <vt:lpstr>Subsonic C_D_0 Notes</vt:lpstr>
      <vt:lpstr>wetted areas</vt:lpstr>
      <vt:lpstr>RCR Cruves</vt:lpstr>
      <vt:lpstr>CC L&amp;D</vt:lpstr>
      <vt:lpstr>WCB L&amp;D</vt:lpstr>
      <vt:lpstr>WCR L&amp;D</vt:lpstr>
      <vt:lpstr>WTO L&amp;D</vt:lpstr>
      <vt:lpstr>WL L&amp;D</vt:lpstr>
      <vt:lpstr>FC L&amp;D</vt:lpstr>
      <vt:lpstr>C_L vs. α</vt:lpstr>
      <vt:lpstr>C_L vs. α curves</vt:lpstr>
      <vt:lpstr>C_L vs. C_m</vt:lpstr>
      <vt:lpstr>C_L vs. C_m curves</vt:lpstr>
      <vt:lpstr>trim</vt:lpstr>
      <vt:lpstr>596hw4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de Leon</dc:creator>
  <cp:lastModifiedBy>Julian de Leon</cp:lastModifiedBy>
  <dcterms:created xsi:type="dcterms:W3CDTF">2020-12-28T22:10:34Z</dcterms:created>
  <dcterms:modified xsi:type="dcterms:W3CDTF">2021-05-09T06:29:52Z</dcterms:modified>
</cp:coreProperties>
</file>