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SEPTIMO SEMESTRE ING.SISTEMAS\Ing. del software y requerimientos\"/>
    </mc:Choice>
  </mc:AlternateContent>
  <xr:revisionPtr revIDLastSave="0" documentId="13_ncr:1_{6C4446B4-5F4B-47FA-86EC-FB2C2F00BEA6}" xr6:coauthVersionLast="45" xr6:coauthVersionMax="45" xr10:uidLastSave="{00000000-0000-0000-0000-000000000000}"/>
  <bookViews>
    <workbookView xWindow="-108" yWindow="-108" windowWidth="23256" windowHeight="13176" xr2:uid="{D8C3B442-A586-4796-B9C3-8750C1C49CC0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N8" i="3"/>
  <c r="M8" i="3"/>
  <c r="K8" i="3"/>
  <c r="M94" i="3" l="1"/>
  <c r="M93" i="3"/>
  <c r="P93" i="3"/>
  <c r="Q92" i="3"/>
  <c r="O92" i="3"/>
  <c r="M82" i="3"/>
  <c r="M81" i="3"/>
  <c r="M51" i="3"/>
  <c r="M50" i="3"/>
  <c r="N76" i="3"/>
  <c r="N63" i="3"/>
  <c r="N50" i="3"/>
  <c r="K52" i="3"/>
  <c r="K50" i="3"/>
  <c r="K42" i="3"/>
  <c r="L78" i="3"/>
  <c r="L75" i="3"/>
  <c r="L64" i="3"/>
  <c r="L65" i="3"/>
  <c r="J64" i="3"/>
  <c r="K64" i="3" s="1"/>
  <c r="J65" i="3"/>
  <c r="K65" i="3" s="1"/>
  <c r="J66" i="3"/>
  <c r="L66" i="3" s="1"/>
  <c r="J67" i="3"/>
  <c r="L67" i="3" s="1"/>
  <c r="J75" i="3"/>
  <c r="K75" i="3" s="1"/>
  <c r="J76" i="3"/>
  <c r="K76" i="3" s="1"/>
  <c r="J77" i="3"/>
  <c r="K77" i="3" s="1"/>
  <c r="J78" i="3"/>
  <c r="K78" i="3" s="1"/>
  <c r="J86" i="3"/>
  <c r="L86" i="3" s="1"/>
  <c r="J87" i="3"/>
  <c r="L87" i="3" s="1"/>
  <c r="J88" i="3"/>
  <c r="L88" i="3" s="1"/>
  <c r="J89" i="3"/>
  <c r="L89" i="3" s="1"/>
  <c r="J90" i="3"/>
  <c r="L90" i="3" s="1"/>
  <c r="J63" i="3"/>
  <c r="M63" i="3" s="1"/>
  <c r="J51" i="3"/>
  <c r="L51" i="3" s="1"/>
  <c r="J52" i="3"/>
  <c r="L52" i="3" s="1"/>
  <c r="J53" i="3"/>
  <c r="K53" i="3" s="1"/>
  <c r="J54" i="3"/>
  <c r="L54" i="3" s="1"/>
  <c r="J55" i="3"/>
  <c r="L55" i="3" s="1"/>
  <c r="L50" i="3"/>
  <c r="M42" i="3"/>
  <c r="J41" i="3"/>
  <c r="M41" i="3" s="1"/>
  <c r="J40" i="3"/>
  <c r="N40" i="3" s="1"/>
  <c r="N51" i="3" l="1"/>
  <c r="N78" i="3"/>
  <c r="M53" i="3"/>
  <c r="K63" i="3"/>
  <c r="L63" i="3"/>
  <c r="O69" i="3" s="1"/>
  <c r="N77" i="3"/>
  <c r="M52" i="3"/>
  <c r="N67" i="3"/>
  <c r="N86" i="3"/>
  <c r="L76" i="3"/>
  <c r="O80" i="3" s="1"/>
  <c r="P81" i="3" s="1"/>
  <c r="N55" i="3"/>
  <c r="N66" i="3"/>
  <c r="N90" i="3"/>
  <c r="M67" i="3"/>
  <c r="N65" i="3"/>
  <c r="N89" i="3"/>
  <c r="M66" i="3"/>
  <c r="K90" i="3"/>
  <c r="K40" i="3"/>
  <c r="N53" i="3"/>
  <c r="N64" i="3"/>
  <c r="Q69" i="3" s="1"/>
  <c r="N88" i="3"/>
  <c r="M55" i="3"/>
  <c r="M65" i="3"/>
  <c r="L53" i="3"/>
  <c r="O57" i="3" s="1"/>
  <c r="N52" i="3"/>
  <c r="N75" i="3"/>
  <c r="Q80" i="3" s="1"/>
  <c r="N87" i="3"/>
  <c r="M54" i="3"/>
  <c r="M64" i="3"/>
  <c r="L77" i="3"/>
  <c r="K51" i="3"/>
  <c r="K89" i="3"/>
  <c r="K88" i="3"/>
  <c r="K67" i="3"/>
  <c r="K87" i="3"/>
  <c r="K66" i="3"/>
  <c r="K86" i="3"/>
  <c r="K55" i="3"/>
  <c r="K54" i="3"/>
  <c r="K41" i="3"/>
  <c r="L42" i="3"/>
  <c r="M40" i="3"/>
  <c r="L41" i="3"/>
  <c r="L40" i="3"/>
  <c r="J20" i="3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36" i="3"/>
  <c r="J37" i="3"/>
  <c r="J38" i="3"/>
  <c r="J39" i="3"/>
  <c r="J18" i="3"/>
  <c r="K18" i="3" s="1"/>
  <c r="J19" i="3"/>
  <c r="K19" i="3" s="1"/>
  <c r="J9" i="3"/>
  <c r="J7" i="3"/>
  <c r="J6" i="3"/>
  <c r="U5" i="3"/>
  <c r="U6" i="3" s="1"/>
  <c r="T5" i="3"/>
  <c r="T6" i="3" s="1"/>
  <c r="J5" i="3"/>
  <c r="AA4" i="3"/>
  <c r="Y4" i="3"/>
  <c r="X4" i="3"/>
  <c r="W4" i="3"/>
  <c r="N41" i="3" s="1"/>
  <c r="V4" i="3"/>
  <c r="V5" i="3" s="1"/>
  <c r="V6" i="3" s="1"/>
  <c r="J4" i="3"/>
  <c r="AA3" i="3"/>
  <c r="Z3" i="3"/>
  <c r="J3" i="3"/>
  <c r="AA2" i="3"/>
  <c r="Z2" i="3"/>
  <c r="Y2" i="3"/>
  <c r="X2" i="3"/>
  <c r="W2" i="3"/>
  <c r="J2" i="3"/>
  <c r="K2" i="3" s="1"/>
  <c r="Q57" i="3" l="1"/>
  <c r="P59" i="3" s="1"/>
  <c r="M59" i="3" s="1"/>
  <c r="M60" i="3" s="1"/>
  <c r="N54" i="3"/>
  <c r="P71" i="3"/>
  <c r="M71" i="3" s="1"/>
  <c r="M72" i="3" s="1"/>
  <c r="M20" i="3"/>
  <c r="K20" i="3"/>
  <c r="M39" i="3"/>
  <c r="K39" i="3"/>
  <c r="M38" i="3"/>
  <c r="K38" i="3"/>
  <c r="M37" i="3"/>
  <c r="K37" i="3"/>
  <c r="M36" i="3"/>
  <c r="K36" i="3"/>
  <c r="N42" i="3"/>
  <c r="W5" i="3"/>
  <c r="W6" i="3" s="1"/>
  <c r="X5" i="3"/>
  <c r="X6" i="3" s="1"/>
  <c r="L9" i="3"/>
  <c r="K9" i="3"/>
  <c r="M9" i="3"/>
  <c r="N3" i="3"/>
  <c r="K3" i="3"/>
  <c r="L23" i="3"/>
  <c r="M23" i="3"/>
  <c r="N26" i="3"/>
  <c r="M26" i="3"/>
  <c r="N5" i="3"/>
  <c r="K5" i="3"/>
  <c r="N24" i="3"/>
  <c r="M24" i="3"/>
  <c r="N6" i="3"/>
  <c r="K6" i="3"/>
  <c r="N22" i="3"/>
  <c r="M22" i="3"/>
  <c r="L27" i="3"/>
  <c r="M27" i="3"/>
  <c r="L19" i="3"/>
  <c r="M19" i="3"/>
  <c r="M18" i="3"/>
  <c r="L18" i="3"/>
  <c r="L39" i="3"/>
  <c r="N39" i="3"/>
  <c r="L38" i="3"/>
  <c r="N38" i="3"/>
  <c r="N37" i="3"/>
  <c r="L37" i="3"/>
  <c r="M7" i="3"/>
  <c r="K7" i="3"/>
  <c r="L36" i="3"/>
  <c r="N36" i="3"/>
  <c r="N21" i="3"/>
  <c r="M21" i="3"/>
  <c r="L25" i="3"/>
  <c r="M25" i="3"/>
  <c r="L4" i="3"/>
  <c r="K4" i="3"/>
  <c r="L28" i="3"/>
  <c r="M28" i="3"/>
  <c r="L20" i="3"/>
  <c r="N20" i="3"/>
  <c r="L2" i="3"/>
  <c r="N28" i="3"/>
  <c r="N27" i="3"/>
  <c r="N19" i="3"/>
  <c r="L26" i="3"/>
  <c r="Y5" i="3"/>
  <c r="Y6" i="3" s="1"/>
  <c r="Z5" i="3"/>
  <c r="Z6" i="3" s="1"/>
  <c r="L24" i="3"/>
  <c r="N9" i="3"/>
  <c r="L22" i="3"/>
  <c r="L21" i="3"/>
  <c r="N25" i="3"/>
  <c r="N23" i="3"/>
  <c r="N18" i="3"/>
  <c r="N7" i="3"/>
  <c r="L7" i="3"/>
  <c r="L5" i="3"/>
  <c r="M5" i="3"/>
  <c r="M4" i="3"/>
  <c r="L6" i="3"/>
  <c r="M6" i="3"/>
  <c r="M2" i="3"/>
  <c r="L3" i="3"/>
  <c r="N4" i="3"/>
  <c r="N2" i="3"/>
  <c r="M3" i="3"/>
  <c r="Q44" i="3" l="1"/>
  <c r="O44" i="3"/>
  <c r="O30" i="3"/>
  <c r="Q30" i="3"/>
  <c r="Q11" i="3"/>
  <c r="Q100" i="3" s="1"/>
  <c r="Q105" i="3" s="1"/>
  <c r="O11" i="3"/>
  <c r="O100" i="3" s="1"/>
  <c r="O105" i="3" l="1"/>
  <c r="P101" i="3"/>
  <c r="P47" i="3"/>
  <c r="M46" i="3" s="1"/>
  <c r="M47" i="3" s="1"/>
  <c r="P33" i="3"/>
  <c r="M32" i="3" s="1"/>
  <c r="P14" i="3"/>
  <c r="M13" i="3" l="1"/>
  <c r="M14" i="3" s="1"/>
  <c r="M33" i="3"/>
  <c r="J51" i="1"/>
  <c r="J44" i="1"/>
  <c r="J37" i="1"/>
  <c r="J36" i="1"/>
  <c r="J35" i="1"/>
  <c r="J34" i="1"/>
  <c r="J20" i="1"/>
  <c r="J49" i="1"/>
  <c r="J48" i="1"/>
  <c r="J47" i="1"/>
  <c r="J46" i="1"/>
  <c r="J45" i="1"/>
  <c r="J43" i="1"/>
  <c r="J42" i="1"/>
  <c r="J41" i="1"/>
  <c r="J40" i="1"/>
  <c r="J30" i="1"/>
  <c r="J26" i="1"/>
  <c r="J27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 l="1"/>
  <c r="J8" i="1"/>
  <c r="J7" i="1"/>
  <c r="J6" i="1"/>
</calcChain>
</file>

<file path=xl/sharedStrings.xml><?xml version="1.0" encoding="utf-8"?>
<sst xmlns="http://schemas.openxmlformats.org/spreadsheetml/2006/main" count="439" uniqueCount="147">
  <si>
    <t>TIPO APLICACIÓN</t>
  </si>
  <si>
    <t>Alcance</t>
  </si>
  <si>
    <t>CAPAS</t>
  </si>
  <si>
    <t>Tipo Elemento</t>
  </si>
  <si>
    <t>Elemento</t>
  </si>
  <si>
    <t>PROYECTO COOPETRANS</t>
  </si>
  <si>
    <t>Ref Requerimientos</t>
  </si>
  <si>
    <t>Esfuerzo HH x Und</t>
  </si>
  <si>
    <t>TOTAL HH</t>
  </si>
  <si>
    <t>PERFIL PRO</t>
  </si>
  <si>
    <t>WEB</t>
  </si>
  <si>
    <t>Usuario Final</t>
  </si>
  <si>
    <t>FRONT-END</t>
  </si>
  <si>
    <t>Presentacion</t>
  </si>
  <si>
    <t>Look and Feel (CSS, JS, HTML, WIDGETS)</t>
  </si>
  <si>
    <t>Ing Multimedia</t>
  </si>
  <si>
    <t>Interfaz de Usuario</t>
  </si>
  <si>
    <t>Parrilla de Opciones</t>
  </si>
  <si>
    <t>Ing Sistemas</t>
  </si>
  <si>
    <t>Captura de Informacion</t>
  </si>
  <si>
    <t>Bandejas de Gestion</t>
  </si>
  <si>
    <t>Lanzamiento de Procesos</t>
  </si>
  <si>
    <t>Consulta de Informacion</t>
  </si>
  <si>
    <t>Tecnologo de Sistemas</t>
  </si>
  <si>
    <t>Dialogo Transaccional</t>
  </si>
  <si>
    <t>Dialogo de Validacion</t>
  </si>
  <si>
    <t>Sistemas de Terceros</t>
  </si>
  <si>
    <t>INTEGRACION</t>
  </si>
  <si>
    <t>Notificaciones</t>
  </si>
  <si>
    <t>Mensajeria SMS</t>
  </si>
  <si>
    <t>Mensajeria Email</t>
  </si>
  <si>
    <t>Comunicación Telefonica</t>
  </si>
  <si>
    <t>Flujos de Informacion</t>
  </si>
  <si>
    <t>Enviar Archivos</t>
  </si>
  <si>
    <t>Recibir Archivos</t>
  </si>
  <si>
    <t>Integracion Dispositivos</t>
  </si>
  <si>
    <t>Usar Dispositivos de Usuario</t>
  </si>
  <si>
    <t>Transaccional</t>
  </si>
  <si>
    <t>Llamar una API</t>
  </si>
  <si>
    <t>Exponer una API</t>
  </si>
  <si>
    <t>Consumir un Servicio</t>
  </si>
  <si>
    <t>Exponer un Servicio</t>
  </si>
  <si>
    <t>Interfaz Estandar</t>
  </si>
  <si>
    <t>Logica de Negocio</t>
  </si>
  <si>
    <t>BACK-END</t>
  </si>
  <si>
    <t>Funcionalidades</t>
  </si>
  <si>
    <t>Programa o Algoritmo</t>
  </si>
  <si>
    <t>Funciones Recursivas</t>
  </si>
  <si>
    <t>Clases</t>
  </si>
  <si>
    <t>Rutinas de Scritps</t>
  </si>
  <si>
    <t>Mapeo de Informacion (Tablas)</t>
  </si>
  <si>
    <t>DML</t>
  </si>
  <si>
    <t>Procedimientos Almacenados</t>
  </si>
  <si>
    <t>DDL</t>
  </si>
  <si>
    <t>Funciones de Manipulacion de Datos</t>
  </si>
  <si>
    <t>Informacion</t>
  </si>
  <si>
    <t>PERSISTENCIA</t>
  </si>
  <si>
    <t>Bases de Datos</t>
  </si>
  <si>
    <t>Tablas</t>
  </si>
  <si>
    <t>Archivos</t>
  </si>
  <si>
    <t>Dominios de Objetos</t>
  </si>
  <si>
    <t>Roles</t>
  </si>
  <si>
    <t>Drivers</t>
  </si>
  <si>
    <t>Ejecucion de Procesos</t>
  </si>
  <si>
    <t>INFRAESTRUCTURA</t>
  </si>
  <si>
    <t>Servidores</t>
  </si>
  <si>
    <t>Servidor de Aplicaciones</t>
  </si>
  <si>
    <t>Servidor de Base de Datos</t>
  </si>
  <si>
    <t>Servidor de Proxy</t>
  </si>
  <si>
    <t>Servidor de Ejecucion de Procesos Batch</t>
  </si>
  <si>
    <t>Servicio</t>
  </si>
  <si>
    <t>Nube</t>
  </si>
  <si>
    <t>Comunicación TI</t>
  </si>
  <si>
    <t>NETWORKING</t>
  </si>
  <si>
    <t>Seguridad</t>
  </si>
  <si>
    <t>Firewall</t>
  </si>
  <si>
    <t>Certificados de Seguridad</t>
  </si>
  <si>
    <t>Protocolos de Comunicación</t>
  </si>
  <si>
    <t>Redes</t>
  </si>
  <si>
    <t>DSL de Internet</t>
  </si>
  <si>
    <t>Planeacion</t>
  </si>
  <si>
    <t>*DEFINICION</t>
  </si>
  <si>
    <t>Diseños</t>
  </si>
  <si>
    <t>Arquitectura</t>
  </si>
  <si>
    <t>Prototipos</t>
  </si>
  <si>
    <t>Modelo Entidad Relacion</t>
  </si>
  <si>
    <t>Plan de Implementacion</t>
  </si>
  <si>
    <t>Gestion y Planeacion del Proyecto</t>
  </si>
  <si>
    <t>TOTAL HH Esfuerzo</t>
  </si>
  <si>
    <t>Dias HH Calendario - Fabrica Clasica</t>
  </si>
  <si>
    <t>COSTO Fabrica Clasica</t>
  </si>
  <si>
    <t>Dias HH Fabrica Continuas</t>
  </si>
  <si>
    <t>COSTO Fabrica Continua THH</t>
  </si>
  <si>
    <t>COSTO X H (COL)</t>
  </si>
  <si>
    <t>COSTO X H (INDIA)</t>
  </si>
  <si>
    <t>COSTO X H (BRA)</t>
  </si>
  <si>
    <t>COSTO X H (South AFRICA)</t>
  </si>
  <si>
    <t>COSTO X H (AFRICA Meridional)</t>
  </si>
  <si>
    <t>COSTO X H EUROPA</t>
  </si>
  <si>
    <t>COSTO X H ASIA</t>
  </si>
  <si>
    <t>Regla de 3</t>
  </si>
  <si>
    <t>COSTO TOTAL</t>
  </si>
  <si>
    <t>Cifra Universal 1.68</t>
  </si>
  <si>
    <t>20 dias</t>
  </si>
  <si>
    <t>25 dias</t>
  </si>
  <si>
    <t>28 dias</t>
  </si>
  <si>
    <t>CHINO Mandarin</t>
  </si>
  <si>
    <t>8 Horas</t>
  </si>
  <si>
    <t>7 horas</t>
  </si>
  <si>
    <t>10 horas</t>
  </si>
  <si>
    <t>CHINO Cantones</t>
  </si>
  <si>
    <t>Español</t>
  </si>
  <si>
    <t>Ingles</t>
  </si>
  <si>
    <t>INGLES</t>
  </si>
  <si>
    <t>Portugues</t>
  </si>
  <si>
    <t>Frances</t>
  </si>
  <si>
    <t>Usar Dispositivos del movil - API Camara, Audio, GPS</t>
  </si>
  <si>
    <t>Total Fabrica Clasica</t>
  </si>
  <si>
    <t>Total Fabrica Continua</t>
  </si>
  <si>
    <t>Diferencia entre Clasica y Continua</t>
  </si>
  <si>
    <t xml:space="preserve">Total Costo Fabrica clasica </t>
  </si>
  <si>
    <t>Total Costo Fabrica Continua</t>
  </si>
  <si>
    <t>Total Costo del Proyecto</t>
  </si>
  <si>
    <t>Desviacion Estandar</t>
  </si>
  <si>
    <t>1,2,3</t>
  </si>
  <si>
    <t>8,9</t>
  </si>
  <si>
    <t>17,1</t>
  </si>
  <si>
    <t>23,22,21,14,15</t>
  </si>
  <si>
    <t>(1-23)</t>
  </si>
  <si>
    <t>5,6</t>
  </si>
  <si>
    <t>2,3,</t>
  </si>
  <si>
    <t>1,2,3,7,16,15</t>
  </si>
  <si>
    <t>2,9</t>
  </si>
  <si>
    <t>14,15</t>
  </si>
  <si>
    <t>14,15,18,19</t>
  </si>
  <si>
    <t>12,14,15,16,18</t>
  </si>
  <si>
    <t>1,2,8,7,4</t>
  </si>
  <si>
    <t>4,7,12,15,16,18</t>
  </si>
  <si>
    <t>4,5,8,7,3,5</t>
  </si>
  <si>
    <t>8,4,5,7,3,7,1,5</t>
  </si>
  <si>
    <t>5,8,4,7,2,3,1,9</t>
  </si>
  <si>
    <t>10,12,1,3,8,9</t>
  </si>
  <si>
    <t>8,9,14,15,18,19</t>
  </si>
  <si>
    <t>8,9,14,15,18,20</t>
  </si>
  <si>
    <t>8,5,7,12,15,20,21</t>
  </si>
  <si>
    <t>4,5,2,9,7,12,18,19</t>
  </si>
  <si>
    <t>8,7,4,1,2,10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</si>
</sst>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.00_-;\-&quot;$&quot;\ * #,##0.0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4" fillId="4" borderId="0" xfId="5"/>
    <xf numFmtId="0" fontId="4" fillId="4" borderId="0" xfId="5" applyAlignment="1">
      <alignment horizontal="center" vertical="center"/>
    </xf>
    <xf numFmtId="0" fontId="4" fillId="5" borderId="0" xfId="6"/>
    <xf numFmtId="0" fontId="0" fillId="6" borderId="0" xfId="0" applyFill="1"/>
    <xf numFmtId="0" fontId="0" fillId="7" borderId="0" xfId="0" applyFill="1"/>
    <xf numFmtId="0" fontId="4" fillId="6" borderId="0" xfId="5" applyFill="1"/>
    <xf numFmtId="0" fontId="0" fillId="0" borderId="0" xfId="0" applyAlignment="1">
      <alignment horizontal="center" vertical="center"/>
    </xf>
    <xf numFmtId="44" fontId="0" fillId="0" borderId="0" xfId="2" applyFont="1"/>
    <xf numFmtId="2" fontId="0" fillId="0" borderId="0" xfId="0" applyNumberFormat="1"/>
    <xf numFmtId="44" fontId="0" fillId="0" borderId="0" xfId="0" applyNumberFormat="1"/>
    <xf numFmtId="9" fontId="0" fillId="0" borderId="0" xfId="4" applyFont="1"/>
    <xf numFmtId="0" fontId="2" fillId="0" borderId="0" xfId="0" applyFont="1" applyAlignment="1">
      <alignment horizontal="center"/>
    </xf>
    <xf numFmtId="164" fontId="0" fillId="0" borderId="0" xfId="3" applyNumberFormat="1" applyFont="1"/>
    <xf numFmtId="41" fontId="0" fillId="0" borderId="0" xfId="1" applyFont="1"/>
    <xf numFmtId="41" fontId="0" fillId="0" borderId="0" xfId="0" applyNumberFormat="1"/>
    <xf numFmtId="44" fontId="0" fillId="7" borderId="1" xfId="2" applyFont="1" applyFill="1" applyBorder="1" applyAlignment="1">
      <alignment horizontal="center" vertical="center"/>
    </xf>
    <xf numFmtId="44" fontId="0" fillId="7" borderId="1" xfId="0" applyNumberFormat="1" applyFill="1" applyBorder="1"/>
    <xf numFmtId="44" fontId="0" fillId="0" borderId="0" xfId="0" applyNumberFormat="1" applyFill="1" applyBorder="1"/>
    <xf numFmtId="44" fontId="0" fillId="7" borderId="1" xfId="2" applyFont="1" applyFill="1" applyBorder="1" applyAlignment="1">
      <alignment horizontal="center"/>
    </xf>
    <xf numFmtId="0" fontId="0" fillId="0" borderId="0" xfId="0" applyFill="1"/>
    <xf numFmtId="44" fontId="0" fillId="0" borderId="0" xfId="2" applyFont="1" applyFill="1" applyBorder="1" applyAlignment="1">
      <alignment horizontal="center" vertical="center"/>
    </xf>
    <xf numFmtId="44" fontId="0" fillId="8" borderId="0" xfId="0" applyNumberFormat="1" applyFill="1"/>
    <xf numFmtId="0" fontId="0" fillId="8" borderId="1" xfId="0" applyFill="1" applyBorder="1"/>
    <xf numFmtId="44" fontId="0" fillId="9" borderId="1" xfId="0" applyNumberFormat="1" applyFill="1" applyBorder="1" applyAlignment="1">
      <alignment horizontal="center"/>
    </xf>
    <xf numFmtId="164" fontId="0" fillId="7" borderId="0" xfId="0" applyNumberFormat="1" applyFill="1"/>
    <xf numFmtId="41" fontId="0" fillId="7" borderId="0" xfId="0" applyNumberFormat="1" applyFill="1"/>
    <xf numFmtId="44" fontId="0" fillId="6" borderId="1" xfId="0" applyNumberFormat="1" applyFill="1" applyBorder="1"/>
    <xf numFmtId="44" fontId="0" fillId="0" borderId="0" xfId="0" applyNumberFormat="1" applyFill="1"/>
    <xf numFmtId="41" fontId="0" fillId="8" borderId="0" xfId="0" applyNumberFormat="1" applyFill="1"/>
    <xf numFmtId="41" fontId="0" fillId="0" borderId="0" xfId="0" applyNumberFormat="1" applyFill="1"/>
    <xf numFmtId="43" fontId="0" fillId="0" borderId="0" xfId="0" applyNumberFormat="1" applyFill="1"/>
    <xf numFmtId="44" fontId="0" fillId="0" borderId="0" xfId="0" applyNumberFormat="1" applyFill="1" applyBorder="1" applyAlignment="1">
      <alignment horizontal="center"/>
    </xf>
    <xf numFmtId="0" fontId="0" fillId="8" borderId="2" xfId="0" applyFill="1" applyBorder="1"/>
    <xf numFmtId="44" fontId="0" fillId="8" borderId="3" xfId="0" applyNumberFormat="1" applyFill="1" applyBorder="1"/>
    <xf numFmtId="0" fontId="0" fillId="10" borderId="0" xfId="0" applyFill="1"/>
    <xf numFmtId="0" fontId="2" fillId="10" borderId="0" xfId="0" applyFont="1" applyFill="1" applyAlignment="1">
      <alignment horizontal="center"/>
    </xf>
    <xf numFmtId="41" fontId="0" fillId="10" borderId="0" xfId="1" applyFont="1" applyFill="1"/>
    <xf numFmtId="0" fontId="0" fillId="10" borderId="0" xfId="0" applyFill="1" applyAlignment="1">
      <alignment horizontal="center" vertical="center"/>
    </xf>
    <xf numFmtId="0" fontId="2" fillId="10" borderId="0" xfId="0" applyFont="1" applyFill="1"/>
    <xf numFmtId="0" fontId="0" fillId="6" borderId="1" xfId="0" applyFill="1" applyBorder="1"/>
    <xf numFmtId="0" fontId="0" fillId="11" borderId="1" xfId="0" applyFill="1" applyBorder="1"/>
    <xf numFmtId="44" fontId="0" fillId="11" borderId="0" xfId="0" applyNumberFormat="1" applyFill="1"/>
    <xf numFmtId="0" fontId="0" fillId="1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17" fontId="0" fillId="0" borderId="0" xfId="0" applyNumberFormat="1"/>
  </cellXfs>
  <cellStyles count="7">
    <cellStyle name="Énfasis1" xfId="5" builtinId="29"/>
    <cellStyle name="Énfasis2" xfId="6" builtinId="33"/>
    <cellStyle name="Millares [0]" xfId="1" builtinId="6"/>
    <cellStyle name="Moneda" xfId="2" builtinId="4"/>
    <cellStyle name="Moneda [0]" xfId="3" builtinId="7"/>
    <cellStyle name="Normal" xfId="0" builtinId="0"/>
    <cellStyle name="Porcentaje" xfId="4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002B-52D8-4089-A237-3D6FBFEA3A30}">
  <dimension ref="B3:K51"/>
  <sheetViews>
    <sheetView tabSelected="1" topLeftCell="B29" workbookViewId="0">
      <selection activeCell="L16" sqref="L16"/>
    </sheetView>
  </sheetViews>
  <sheetFormatPr baseColWidth="10" defaultRowHeight="14.4" x14ac:dyDescent="0.3"/>
  <cols>
    <col min="2" max="2" width="15.44140625" bestFit="1" customWidth="1"/>
    <col min="3" max="3" width="19.109375" bestFit="1" customWidth="1"/>
    <col min="4" max="4" width="17.109375" bestFit="1" customWidth="1"/>
    <col min="5" max="5" width="20.44140625" bestFit="1" customWidth="1"/>
    <col min="6" max="6" width="34.109375" bestFit="1" customWidth="1"/>
    <col min="7" max="7" width="21.77734375" bestFit="1" customWidth="1"/>
    <col min="8" max="8" width="17.109375" bestFit="1" customWidth="1"/>
    <col min="9" max="9" width="16.109375" bestFit="1" customWidth="1"/>
    <col min="10" max="10" width="9.21875" bestFit="1" customWidth="1"/>
    <col min="11" max="11" width="19.6640625" bestFit="1" customWidth="1"/>
  </cols>
  <sheetData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1" t="s">
        <v>9</v>
      </c>
    </row>
    <row r="4" spans="2:11" x14ac:dyDescent="0.3"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>
        <v>4</v>
      </c>
      <c r="H4" s="3"/>
      <c r="I4" s="3">
        <v>8</v>
      </c>
      <c r="J4" s="3">
        <v>32</v>
      </c>
      <c r="K4" s="3" t="s">
        <v>15</v>
      </c>
    </row>
    <row r="5" spans="2:11" x14ac:dyDescent="0.3">
      <c r="B5" s="3"/>
      <c r="C5" s="3"/>
      <c r="D5" s="3"/>
      <c r="E5" s="3" t="s">
        <v>16</v>
      </c>
      <c r="F5" s="3" t="s">
        <v>17</v>
      </c>
      <c r="G5" s="3">
        <v>4</v>
      </c>
      <c r="H5" s="3"/>
      <c r="I5" s="3">
        <v>4</v>
      </c>
      <c r="J5" s="3">
        <v>16</v>
      </c>
      <c r="K5" s="3" t="s">
        <v>18</v>
      </c>
    </row>
    <row r="6" spans="2:11" x14ac:dyDescent="0.3">
      <c r="B6" s="3"/>
      <c r="C6" s="3"/>
      <c r="D6" s="3"/>
      <c r="E6" s="3" t="s">
        <v>16</v>
      </c>
      <c r="F6" s="3" t="s">
        <v>19</v>
      </c>
      <c r="G6" s="3">
        <v>12</v>
      </c>
      <c r="H6" s="3"/>
      <c r="I6" s="3">
        <v>8</v>
      </c>
      <c r="J6" s="3">
        <f t="shared" ref="J6:J27" si="0">G6*I6</f>
        <v>96</v>
      </c>
      <c r="K6" s="3" t="s">
        <v>18</v>
      </c>
    </row>
    <row r="7" spans="2:11" x14ac:dyDescent="0.3">
      <c r="B7" s="3"/>
      <c r="C7" s="3"/>
      <c r="D7" s="3"/>
      <c r="E7" s="3" t="s">
        <v>16</v>
      </c>
      <c r="F7" s="3" t="s">
        <v>20</v>
      </c>
      <c r="G7" s="3">
        <v>8</v>
      </c>
      <c r="H7" s="3"/>
      <c r="I7" s="3">
        <v>8</v>
      </c>
      <c r="J7" s="3">
        <f t="shared" si="0"/>
        <v>64</v>
      </c>
      <c r="K7" s="3" t="s">
        <v>18</v>
      </c>
    </row>
    <row r="8" spans="2:11" x14ac:dyDescent="0.3">
      <c r="B8" s="3"/>
      <c r="C8" s="3"/>
      <c r="D8" s="3"/>
      <c r="E8" s="3" t="s">
        <v>16</v>
      </c>
      <c r="F8" s="3" t="s">
        <v>21</v>
      </c>
      <c r="G8" s="3">
        <v>2</v>
      </c>
      <c r="H8" s="3"/>
      <c r="I8" s="3">
        <v>6</v>
      </c>
      <c r="J8" s="3">
        <f t="shared" si="0"/>
        <v>12</v>
      </c>
      <c r="K8" s="3" t="s">
        <v>18</v>
      </c>
    </row>
    <row r="9" spans="2:11" x14ac:dyDescent="0.3">
      <c r="B9" s="3"/>
      <c r="C9" s="3"/>
      <c r="D9" s="3"/>
      <c r="E9" s="3" t="s">
        <v>16</v>
      </c>
      <c r="F9" s="3" t="s">
        <v>22</v>
      </c>
      <c r="G9" s="3">
        <v>4</v>
      </c>
      <c r="H9" s="3"/>
      <c r="I9" s="3">
        <v>8</v>
      </c>
      <c r="J9" s="3">
        <f t="shared" si="0"/>
        <v>32</v>
      </c>
      <c r="K9" s="3" t="s">
        <v>23</v>
      </c>
    </row>
    <row r="10" spans="2:11" x14ac:dyDescent="0.3">
      <c r="B10" s="3"/>
      <c r="C10" s="3"/>
      <c r="D10" s="3"/>
      <c r="E10" s="3" t="s">
        <v>16</v>
      </c>
      <c r="F10" s="3" t="s">
        <v>24</v>
      </c>
      <c r="G10" s="3">
        <v>4</v>
      </c>
      <c r="H10" s="3"/>
      <c r="I10" s="3">
        <v>5</v>
      </c>
      <c r="J10" s="3">
        <f t="shared" si="0"/>
        <v>20</v>
      </c>
      <c r="K10" s="3" t="s">
        <v>23</v>
      </c>
    </row>
    <row r="11" spans="2:11" x14ac:dyDescent="0.3">
      <c r="B11" s="3"/>
      <c r="C11" s="3"/>
      <c r="D11" s="3"/>
      <c r="E11" s="3" t="s">
        <v>16</v>
      </c>
      <c r="F11" s="3" t="s">
        <v>25</v>
      </c>
      <c r="G11" s="3">
        <v>4</v>
      </c>
      <c r="H11" s="3"/>
      <c r="I11" s="3">
        <v>5</v>
      </c>
      <c r="J11" s="3">
        <f t="shared" si="0"/>
        <v>20</v>
      </c>
      <c r="K11" s="3" t="s">
        <v>23</v>
      </c>
    </row>
    <row r="12" spans="2:11" x14ac:dyDescent="0.3">
      <c r="B12" s="3"/>
      <c r="C12" s="3" t="s">
        <v>26</v>
      </c>
      <c r="D12" s="3" t="s">
        <v>27</v>
      </c>
      <c r="E12" s="3" t="s">
        <v>28</v>
      </c>
      <c r="F12" s="3" t="s">
        <v>29</v>
      </c>
      <c r="G12" s="3">
        <v>2</v>
      </c>
      <c r="H12" s="3"/>
      <c r="I12" s="3">
        <v>4</v>
      </c>
      <c r="J12" s="3">
        <f t="shared" si="0"/>
        <v>8</v>
      </c>
      <c r="K12" s="3" t="s">
        <v>23</v>
      </c>
    </row>
    <row r="13" spans="2:11" x14ac:dyDescent="0.3">
      <c r="B13" s="3"/>
      <c r="C13" s="3"/>
      <c r="D13" s="3"/>
      <c r="E13" s="3" t="s">
        <v>28</v>
      </c>
      <c r="F13" s="3" t="s">
        <v>30</v>
      </c>
      <c r="G13" s="3">
        <v>1</v>
      </c>
      <c r="H13" s="3"/>
      <c r="I13" s="3">
        <v>4</v>
      </c>
      <c r="J13" s="3">
        <f t="shared" si="0"/>
        <v>4</v>
      </c>
      <c r="K13" s="3" t="s">
        <v>23</v>
      </c>
    </row>
    <row r="14" spans="2:11" x14ac:dyDescent="0.3">
      <c r="B14" s="3"/>
      <c r="C14" s="3"/>
      <c r="D14" s="3"/>
      <c r="E14" s="3" t="s">
        <v>28</v>
      </c>
      <c r="F14" s="3" t="s">
        <v>31</v>
      </c>
      <c r="G14" s="3">
        <v>1</v>
      </c>
      <c r="H14" s="3"/>
      <c r="I14" s="3">
        <v>4</v>
      </c>
      <c r="J14" s="3">
        <f t="shared" si="0"/>
        <v>4</v>
      </c>
      <c r="K14" s="3" t="s">
        <v>23</v>
      </c>
    </row>
    <row r="15" spans="2:11" x14ac:dyDescent="0.3">
      <c r="B15" s="3"/>
      <c r="C15" s="3"/>
      <c r="D15" s="3"/>
      <c r="E15" s="3" t="s">
        <v>32</v>
      </c>
      <c r="F15" s="3" t="s">
        <v>33</v>
      </c>
      <c r="G15" s="3">
        <v>3</v>
      </c>
      <c r="H15" s="3"/>
      <c r="I15" s="3">
        <v>5</v>
      </c>
      <c r="J15" s="3">
        <f t="shared" si="0"/>
        <v>15</v>
      </c>
      <c r="K15" s="3" t="s">
        <v>18</v>
      </c>
    </row>
    <row r="16" spans="2:11" x14ac:dyDescent="0.3">
      <c r="B16" s="3"/>
      <c r="C16" s="3"/>
      <c r="D16" s="3"/>
      <c r="E16" s="3" t="s">
        <v>32</v>
      </c>
      <c r="F16" s="3" t="s">
        <v>34</v>
      </c>
      <c r="G16" s="3">
        <v>3</v>
      </c>
      <c r="H16" s="3"/>
      <c r="I16" s="3">
        <v>5</v>
      </c>
      <c r="J16" s="3">
        <f t="shared" si="0"/>
        <v>15</v>
      </c>
      <c r="K16" s="3" t="s">
        <v>18</v>
      </c>
    </row>
    <row r="17" spans="2:11" x14ac:dyDescent="0.3">
      <c r="B17" s="3"/>
      <c r="C17" s="3"/>
      <c r="D17" s="3"/>
      <c r="E17" s="3" t="s">
        <v>35</v>
      </c>
      <c r="F17" s="3" t="s">
        <v>36</v>
      </c>
      <c r="G17" s="3">
        <v>1</v>
      </c>
      <c r="H17" s="3"/>
      <c r="I17" s="3">
        <v>10</v>
      </c>
      <c r="J17" s="3">
        <f t="shared" si="0"/>
        <v>10</v>
      </c>
      <c r="K17" s="3"/>
    </row>
    <row r="18" spans="2:11" x14ac:dyDescent="0.3">
      <c r="B18" s="3"/>
      <c r="C18" s="3"/>
      <c r="D18" s="3"/>
      <c r="E18" s="3" t="s">
        <v>37</v>
      </c>
      <c r="F18" s="3" t="s">
        <v>38</v>
      </c>
      <c r="G18" s="3">
        <v>1</v>
      </c>
      <c r="H18" s="3"/>
      <c r="I18" s="3">
        <v>4</v>
      </c>
      <c r="J18" s="3">
        <f t="shared" si="0"/>
        <v>4</v>
      </c>
      <c r="K18" s="3" t="s">
        <v>18</v>
      </c>
    </row>
    <row r="19" spans="2:11" x14ac:dyDescent="0.3">
      <c r="B19" s="3"/>
      <c r="C19" s="3"/>
      <c r="D19" s="3"/>
      <c r="E19" s="3" t="s">
        <v>37</v>
      </c>
      <c r="F19" s="3" t="s">
        <v>39</v>
      </c>
      <c r="G19" s="3">
        <v>1</v>
      </c>
      <c r="H19" s="3"/>
      <c r="I19" s="3">
        <v>4</v>
      </c>
      <c r="J19" s="3">
        <f t="shared" si="0"/>
        <v>4</v>
      </c>
      <c r="K19" s="3" t="s">
        <v>18</v>
      </c>
    </row>
    <row r="20" spans="2:11" x14ac:dyDescent="0.3">
      <c r="B20" s="3"/>
      <c r="C20" s="3"/>
      <c r="D20" s="3"/>
      <c r="E20" s="3" t="s">
        <v>37</v>
      </c>
      <c r="F20" s="3" t="s">
        <v>40</v>
      </c>
      <c r="G20" s="3">
        <v>4</v>
      </c>
      <c r="H20" s="3"/>
      <c r="I20" s="3">
        <v>3</v>
      </c>
      <c r="J20" s="3">
        <f t="shared" si="0"/>
        <v>12</v>
      </c>
      <c r="K20" s="3" t="s">
        <v>18</v>
      </c>
    </row>
    <row r="21" spans="2:11" x14ac:dyDescent="0.3">
      <c r="B21" s="3"/>
      <c r="C21" s="3"/>
      <c r="D21" s="3"/>
      <c r="E21" s="3" t="s">
        <v>37</v>
      </c>
      <c r="F21" s="3" t="s">
        <v>41</v>
      </c>
      <c r="G21" s="3">
        <v>4</v>
      </c>
      <c r="H21" s="3"/>
      <c r="I21" s="3">
        <v>4</v>
      </c>
      <c r="J21" s="3">
        <f t="shared" si="0"/>
        <v>16</v>
      </c>
      <c r="K21" s="3" t="s">
        <v>18</v>
      </c>
    </row>
    <row r="22" spans="2:11" x14ac:dyDescent="0.3">
      <c r="B22" s="3"/>
      <c r="C22" s="3"/>
      <c r="D22" s="3"/>
      <c r="E22" s="3" t="s">
        <v>37</v>
      </c>
      <c r="F22" s="3" t="s">
        <v>42</v>
      </c>
      <c r="G22" s="3">
        <v>11</v>
      </c>
      <c r="H22" s="3"/>
      <c r="I22" s="3">
        <v>5</v>
      </c>
      <c r="J22" s="3">
        <f t="shared" si="0"/>
        <v>55</v>
      </c>
      <c r="K22" s="3" t="s">
        <v>18</v>
      </c>
    </row>
    <row r="23" spans="2:11" x14ac:dyDescent="0.3">
      <c r="B23" s="3"/>
      <c r="C23" s="3" t="s">
        <v>43</v>
      </c>
      <c r="D23" s="3" t="s">
        <v>44</v>
      </c>
      <c r="E23" s="3" t="s">
        <v>45</v>
      </c>
      <c r="F23" s="3" t="s">
        <v>46</v>
      </c>
      <c r="G23" s="3">
        <v>1</v>
      </c>
      <c r="H23" s="3"/>
      <c r="I23" s="3">
        <v>48</v>
      </c>
      <c r="J23" s="3">
        <f t="shared" si="0"/>
        <v>48</v>
      </c>
      <c r="K23" s="3" t="s">
        <v>18</v>
      </c>
    </row>
    <row r="24" spans="2:11" x14ac:dyDescent="0.3">
      <c r="B24" s="3"/>
      <c r="C24" s="3"/>
      <c r="D24" s="3"/>
      <c r="E24" s="3" t="s">
        <v>45</v>
      </c>
      <c r="F24" s="3" t="s">
        <v>47</v>
      </c>
      <c r="G24" s="3">
        <v>6</v>
      </c>
      <c r="H24" s="3"/>
      <c r="I24" s="3">
        <v>3</v>
      </c>
      <c r="J24" s="3">
        <f t="shared" si="0"/>
        <v>18</v>
      </c>
      <c r="K24" s="3" t="s">
        <v>18</v>
      </c>
    </row>
    <row r="25" spans="2:11" x14ac:dyDescent="0.3">
      <c r="B25" s="3"/>
      <c r="C25" s="3"/>
      <c r="D25" s="3"/>
      <c r="E25" s="3" t="s">
        <v>45</v>
      </c>
      <c r="F25" s="3" t="s">
        <v>48</v>
      </c>
      <c r="G25" s="3">
        <v>4</v>
      </c>
      <c r="H25" s="3"/>
      <c r="I25" s="3">
        <v>12</v>
      </c>
      <c r="J25" s="3">
        <f t="shared" si="0"/>
        <v>48</v>
      </c>
      <c r="K25" s="3" t="s">
        <v>18</v>
      </c>
    </row>
    <row r="26" spans="2:11" x14ac:dyDescent="0.3">
      <c r="B26" s="3"/>
      <c r="C26" s="3"/>
      <c r="D26" s="3"/>
      <c r="E26" s="3" t="s">
        <v>45</v>
      </c>
      <c r="F26" s="3" t="s">
        <v>49</v>
      </c>
      <c r="G26" s="3">
        <v>4</v>
      </c>
      <c r="H26" s="3"/>
      <c r="I26" s="3">
        <v>6</v>
      </c>
      <c r="J26" s="3">
        <f t="shared" si="0"/>
        <v>24</v>
      </c>
      <c r="K26" s="3" t="s">
        <v>18</v>
      </c>
    </row>
    <row r="27" spans="2:11" x14ac:dyDescent="0.3">
      <c r="B27" s="3"/>
      <c r="C27" s="3"/>
      <c r="D27" s="3"/>
      <c r="E27" s="3" t="s">
        <v>45</v>
      </c>
      <c r="F27" s="3" t="s">
        <v>50</v>
      </c>
      <c r="G27" s="3">
        <v>5</v>
      </c>
      <c r="H27" s="3"/>
      <c r="I27" s="3">
        <v>7</v>
      </c>
      <c r="J27" s="3">
        <f t="shared" si="0"/>
        <v>35</v>
      </c>
      <c r="K27" s="3" t="s">
        <v>18</v>
      </c>
    </row>
    <row r="28" spans="2:11" x14ac:dyDescent="0.3">
      <c r="B28" s="3"/>
      <c r="C28" s="3"/>
      <c r="D28" s="3"/>
      <c r="E28" s="3" t="s">
        <v>51</v>
      </c>
      <c r="F28" s="3" t="s">
        <v>52</v>
      </c>
      <c r="G28" s="3"/>
      <c r="H28" s="3"/>
      <c r="I28" s="3" t="s">
        <v>53</v>
      </c>
      <c r="J28" s="3" t="s">
        <v>51</v>
      </c>
      <c r="K28" s="3" t="s">
        <v>18</v>
      </c>
    </row>
    <row r="29" spans="2:11" x14ac:dyDescent="0.3">
      <c r="B29" s="3"/>
      <c r="C29" s="3"/>
      <c r="D29" s="3"/>
      <c r="E29" s="3" t="s">
        <v>51</v>
      </c>
      <c r="F29" s="3" t="s">
        <v>54</v>
      </c>
      <c r="G29" s="3"/>
      <c r="H29" s="3"/>
      <c r="I29" s="3"/>
      <c r="J29" s="3"/>
      <c r="K29" s="3" t="s">
        <v>18</v>
      </c>
    </row>
    <row r="30" spans="2:11" x14ac:dyDescent="0.3">
      <c r="B30" s="3"/>
      <c r="C30" s="3" t="s">
        <v>55</v>
      </c>
      <c r="D30" s="3" t="s">
        <v>56</v>
      </c>
      <c r="E30" s="3" t="s">
        <v>53</v>
      </c>
      <c r="F30" s="3" t="s">
        <v>57</v>
      </c>
      <c r="G30" s="3">
        <v>1</v>
      </c>
      <c r="H30" s="3"/>
      <c r="I30" s="3">
        <v>48</v>
      </c>
      <c r="J30" s="3">
        <f>G30*I30</f>
        <v>48</v>
      </c>
      <c r="K30" s="3" t="s">
        <v>18</v>
      </c>
    </row>
    <row r="31" spans="2:11" x14ac:dyDescent="0.3">
      <c r="B31" s="3"/>
      <c r="C31" s="3"/>
      <c r="D31" s="3"/>
      <c r="E31" s="3" t="s">
        <v>53</v>
      </c>
      <c r="F31" s="3" t="s">
        <v>58</v>
      </c>
      <c r="G31" s="3"/>
      <c r="H31" s="3"/>
      <c r="I31" s="3"/>
      <c r="J31" s="3"/>
      <c r="K31" s="3" t="s">
        <v>18</v>
      </c>
    </row>
    <row r="32" spans="2:11" x14ac:dyDescent="0.3">
      <c r="B32" s="3"/>
      <c r="C32" s="3"/>
      <c r="D32" s="3"/>
      <c r="E32" s="3" t="s">
        <v>53</v>
      </c>
      <c r="F32" s="3" t="s">
        <v>59</v>
      </c>
      <c r="G32" s="3"/>
      <c r="H32" s="3"/>
      <c r="I32" s="3"/>
      <c r="J32" s="3"/>
      <c r="K32" s="3" t="s">
        <v>18</v>
      </c>
    </row>
    <row r="33" spans="2:11" x14ac:dyDescent="0.3">
      <c r="B33" s="3"/>
      <c r="C33" s="3"/>
      <c r="D33" s="3"/>
      <c r="E33" s="3" t="s">
        <v>53</v>
      </c>
      <c r="F33" s="3" t="s">
        <v>60</v>
      </c>
      <c r="G33" s="3"/>
      <c r="H33" s="3"/>
      <c r="I33" s="3"/>
      <c r="J33" s="3"/>
      <c r="K33" s="3" t="s">
        <v>18</v>
      </c>
    </row>
    <row r="34" spans="2:11" x14ac:dyDescent="0.3">
      <c r="B34" s="3"/>
      <c r="C34" s="3"/>
      <c r="D34" s="3"/>
      <c r="E34" s="3" t="s">
        <v>53</v>
      </c>
      <c r="F34" s="3" t="s">
        <v>61</v>
      </c>
      <c r="G34" s="3">
        <v>4</v>
      </c>
      <c r="H34" s="3"/>
      <c r="I34" s="3">
        <v>12</v>
      </c>
      <c r="J34" s="3">
        <f>G34*I34</f>
        <v>48</v>
      </c>
      <c r="K34" s="3" t="s">
        <v>18</v>
      </c>
    </row>
    <row r="35" spans="2:11" x14ac:dyDescent="0.3">
      <c r="B35" s="3"/>
      <c r="C35" s="3"/>
      <c r="D35" s="3"/>
      <c r="E35" s="3" t="s">
        <v>53</v>
      </c>
      <c r="F35" s="3" t="s">
        <v>62</v>
      </c>
      <c r="G35" s="3">
        <v>6</v>
      </c>
      <c r="H35" s="3"/>
      <c r="I35" s="3">
        <v>6</v>
      </c>
      <c r="J35" s="3">
        <f>G35*I35</f>
        <v>36</v>
      </c>
      <c r="K35" s="3" t="s">
        <v>18</v>
      </c>
    </row>
    <row r="36" spans="2:11" x14ac:dyDescent="0.3">
      <c r="B36" s="3"/>
      <c r="C36" s="3" t="s">
        <v>63</v>
      </c>
      <c r="D36" s="3" t="s">
        <v>64</v>
      </c>
      <c r="E36" s="3" t="s">
        <v>65</v>
      </c>
      <c r="F36" s="3" t="s">
        <v>66</v>
      </c>
      <c r="G36" s="3">
        <v>1</v>
      </c>
      <c r="H36" s="3"/>
      <c r="I36" s="3">
        <v>8</v>
      </c>
      <c r="J36" s="3">
        <f>G36*I36</f>
        <v>8</v>
      </c>
      <c r="K36" s="3" t="s">
        <v>18</v>
      </c>
    </row>
    <row r="37" spans="2:11" x14ac:dyDescent="0.3">
      <c r="B37" s="3"/>
      <c r="C37" s="3"/>
      <c r="D37" s="3"/>
      <c r="E37" s="3" t="s">
        <v>65</v>
      </c>
      <c r="F37" s="3" t="s">
        <v>67</v>
      </c>
      <c r="G37" s="3">
        <v>1</v>
      </c>
      <c r="H37" s="3"/>
      <c r="I37" s="3">
        <v>8</v>
      </c>
      <c r="J37" s="3">
        <f>G37*I37</f>
        <v>8</v>
      </c>
      <c r="K37" s="3" t="s">
        <v>18</v>
      </c>
    </row>
    <row r="38" spans="2:11" x14ac:dyDescent="0.3">
      <c r="B38" s="3"/>
      <c r="C38" s="3"/>
      <c r="D38" s="3"/>
      <c r="E38" s="3" t="s">
        <v>65</v>
      </c>
      <c r="F38" s="3" t="s">
        <v>68</v>
      </c>
      <c r="G38" s="3">
        <v>1</v>
      </c>
      <c r="H38" s="3"/>
      <c r="I38" s="3">
        <v>8</v>
      </c>
      <c r="J38" s="3">
        <v>8</v>
      </c>
      <c r="K38" s="3" t="s">
        <v>18</v>
      </c>
    </row>
    <row r="39" spans="2:11" x14ac:dyDescent="0.3">
      <c r="B39" s="3"/>
      <c r="C39" s="3"/>
      <c r="D39" s="3"/>
      <c r="E39" s="3" t="s">
        <v>65</v>
      </c>
      <c r="F39" s="3" t="s">
        <v>69</v>
      </c>
      <c r="G39" s="3">
        <v>1</v>
      </c>
      <c r="H39" s="3"/>
      <c r="I39" s="3">
        <v>8</v>
      </c>
      <c r="J39" s="3">
        <v>8</v>
      </c>
      <c r="K39" s="3" t="s">
        <v>18</v>
      </c>
    </row>
    <row r="40" spans="2:11" x14ac:dyDescent="0.3">
      <c r="B40" s="3"/>
      <c r="C40" s="3"/>
      <c r="D40" s="3"/>
      <c r="E40" s="3" t="s">
        <v>70</v>
      </c>
      <c r="F40" s="3" t="s">
        <v>71</v>
      </c>
      <c r="G40" s="3">
        <v>1</v>
      </c>
      <c r="H40" s="3"/>
      <c r="I40" s="3">
        <v>6</v>
      </c>
      <c r="J40" s="3">
        <f t="shared" ref="J40:J49" si="1">G40*I40</f>
        <v>6</v>
      </c>
      <c r="K40" s="3" t="s">
        <v>18</v>
      </c>
    </row>
    <row r="41" spans="2:11" x14ac:dyDescent="0.3">
      <c r="B41" s="3"/>
      <c r="C41" s="3" t="s">
        <v>72</v>
      </c>
      <c r="D41" s="3" t="s">
        <v>73</v>
      </c>
      <c r="E41" s="3" t="s">
        <v>74</v>
      </c>
      <c r="F41" s="3" t="s">
        <v>75</v>
      </c>
      <c r="G41" s="3">
        <v>1</v>
      </c>
      <c r="H41" s="3"/>
      <c r="I41" s="3">
        <v>6</v>
      </c>
      <c r="J41" s="3">
        <f t="shared" si="1"/>
        <v>6</v>
      </c>
      <c r="K41" s="3" t="s">
        <v>18</v>
      </c>
    </row>
    <row r="42" spans="2:11" x14ac:dyDescent="0.3">
      <c r="B42" s="3"/>
      <c r="C42" s="3"/>
      <c r="D42" s="3"/>
      <c r="E42" s="3" t="s">
        <v>74</v>
      </c>
      <c r="F42" s="3" t="s">
        <v>76</v>
      </c>
      <c r="G42" s="3">
        <v>9</v>
      </c>
      <c r="H42" s="3"/>
      <c r="I42" s="3">
        <v>3</v>
      </c>
      <c r="J42" s="3">
        <f t="shared" si="1"/>
        <v>27</v>
      </c>
      <c r="K42" s="3" t="s">
        <v>18</v>
      </c>
    </row>
    <row r="43" spans="2:11" x14ac:dyDescent="0.3">
      <c r="B43" s="3"/>
      <c r="C43" s="3"/>
      <c r="D43" s="3"/>
      <c r="E43" s="3" t="s">
        <v>74</v>
      </c>
      <c r="F43" s="3" t="s">
        <v>77</v>
      </c>
      <c r="G43" s="3">
        <v>3</v>
      </c>
      <c r="H43" s="3"/>
      <c r="I43" s="3">
        <v>48</v>
      </c>
      <c r="J43" s="3">
        <f t="shared" si="1"/>
        <v>144</v>
      </c>
      <c r="K43" s="3" t="s">
        <v>18</v>
      </c>
    </row>
    <row r="44" spans="2:11" x14ac:dyDescent="0.3">
      <c r="B44" s="3"/>
      <c r="C44" s="3"/>
      <c r="D44" s="3"/>
      <c r="E44" s="3" t="s">
        <v>78</v>
      </c>
      <c r="F44" s="3" t="s">
        <v>79</v>
      </c>
      <c r="G44" s="3">
        <v>1</v>
      </c>
      <c r="H44" s="3"/>
      <c r="I44" s="3">
        <v>24</v>
      </c>
      <c r="J44" s="3">
        <f t="shared" si="1"/>
        <v>24</v>
      </c>
      <c r="K44" s="3" t="s">
        <v>18</v>
      </c>
    </row>
    <row r="45" spans="2:11" x14ac:dyDescent="0.3">
      <c r="B45" s="3"/>
      <c r="C45" s="3" t="s">
        <v>80</v>
      </c>
      <c r="D45" s="3" t="s">
        <v>81</v>
      </c>
      <c r="E45" s="3" t="s">
        <v>82</v>
      </c>
      <c r="F45" s="3" t="s">
        <v>83</v>
      </c>
      <c r="G45" s="3">
        <v>1</v>
      </c>
      <c r="H45" s="3"/>
      <c r="I45" s="3">
        <v>12</v>
      </c>
      <c r="J45" s="3">
        <f t="shared" si="1"/>
        <v>12</v>
      </c>
      <c r="K45" s="3" t="s">
        <v>18</v>
      </c>
    </row>
    <row r="46" spans="2:11" x14ac:dyDescent="0.3">
      <c r="B46" s="3"/>
      <c r="C46" s="3"/>
      <c r="D46" s="3"/>
      <c r="E46" s="3" t="s">
        <v>82</v>
      </c>
      <c r="F46" s="3" t="s">
        <v>84</v>
      </c>
      <c r="G46" s="3">
        <v>4</v>
      </c>
      <c r="H46" s="3"/>
      <c r="I46" s="3">
        <v>48</v>
      </c>
      <c r="J46" s="3">
        <f t="shared" si="1"/>
        <v>192</v>
      </c>
      <c r="K46" s="3" t="s">
        <v>18</v>
      </c>
    </row>
    <row r="47" spans="2:11" x14ac:dyDescent="0.3">
      <c r="B47" s="3"/>
      <c r="C47" s="3"/>
      <c r="D47" s="3"/>
      <c r="E47" s="3" t="s">
        <v>82</v>
      </c>
      <c r="F47" s="3" t="s">
        <v>85</v>
      </c>
      <c r="G47" s="3">
        <v>1</v>
      </c>
      <c r="H47" s="3"/>
      <c r="I47" s="3">
        <v>12</v>
      </c>
      <c r="J47" s="3">
        <f t="shared" si="1"/>
        <v>12</v>
      </c>
      <c r="K47" s="3" t="s">
        <v>18</v>
      </c>
    </row>
    <row r="48" spans="2:11" x14ac:dyDescent="0.3">
      <c r="B48" s="3"/>
      <c r="C48" s="3"/>
      <c r="D48" s="3"/>
      <c r="E48" s="3" t="s">
        <v>80</v>
      </c>
      <c r="F48" s="3" t="s">
        <v>86</v>
      </c>
      <c r="G48" s="3">
        <v>4</v>
      </c>
      <c r="H48" s="3"/>
      <c r="I48" s="3">
        <v>4</v>
      </c>
      <c r="J48" s="3">
        <f t="shared" si="1"/>
        <v>16</v>
      </c>
      <c r="K48" s="3" t="s">
        <v>18</v>
      </c>
    </row>
    <row r="49" spans="2:11" x14ac:dyDescent="0.3">
      <c r="B49" s="3"/>
      <c r="C49" s="3"/>
      <c r="D49" s="3"/>
      <c r="E49" s="3" t="s">
        <v>80</v>
      </c>
      <c r="F49" s="3" t="s">
        <v>87</v>
      </c>
      <c r="G49" s="3">
        <v>4</v>
      </c>
      <c r="H49" s="3"/>
      <c r="I49" s="3">
        <v>5</v>
      </c>
      <c r="J49" s="3">
        <f t="shared" si="1"/>
        <v>20</v>
      </c>
      <c r="K49" s="3" t="s">
        <v>18</v>
      </c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3">
      <c r="J51">
        <f>SUM(J4:J50)</f>
        <v>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51FA-E96B-422B-B946-F161285E59C6}">
  <dimension ref="A1:AA105"/>
  <sheetViews>
    <sheetView topLeftCell="D1" workbookViewId="0">
      <selection activeCell="I16" sqref="I16"/>
    </sheetView>
  </sheetViews>
  <sheetFormatPr baseColWidth="10" defaultColWidth="11.44140625" defaultRowHeight="14.4" x14ac:dyDescent="0.3"/>
  <cols>
    <col min="1" max="1" width="16.5546875" bestFit="1" customWidth="1"/>
    <col min="2" max="2" width="19.6640625" bestFit="1" customWidth="1"/>
    <col min="3" max="4" width="17.88671875" bestFit="1" customWidth="1"/>
    <col min="5" max="5" width="43.88671875" bestFit="1" customWidth="1"/>
    <col min="6" max="6" width="17.109375" style="10" bestFit="1" customWidth="1"/>
    <col min="7" max="7" width="21.44140625" bestFit="1" customWidth="1"/>
    <col min="8" max="8" width="23" bestFit="1" customWidth="1"/>
    <col min="9" max="9" width="18.88671875" bestFit="1" customWidth="1"/>
    <col min="10" max="10" width="17.6640625" bestFit="1" customWidth="1"/>
    <col min="11" max="11" width="32.5546875" bestFit="1" customWidth="1"/>
    <col min="12" max="12" width="32.5546875" customWidth="1"/>
    <col min="13" max="13" width="24" bestFit="1" customWidth="1"/>
    <col min="14" max="14" width="26.5546875" bestFit="1" customWidth="1"/>
    <col min="15" max="15" width="26.5546875" customWidth="1"/>
    <col min="16" max="16" width="29.6640625" bestFit="1" customWidth="1"/>
    <col min="17" max="17" width="26.5546875" customWidth="1"/>
    <col min="19" max="19" width="21.44140625" bestFit="1" customWidth="1"/>
    <col min="20" max="20" width="15.5546875" bestFit="1" customWidth="1"/>
    <col min="21" max="21" width="17.44140625" bestFit="1" customWidth="1"/>
    <col min="22" max="22" width="15.6640625" bestFit="1" customWidth="1"/>
    <col min="23" max="23" width="24.44140625" bestFit="1" customWidth="1"/>
    <col min="24" max="24" width="29.109375" bestFit="1" customWidth="1"/>
    <col min="25" max="25" width="18.109375" bestFit="1" customWidth="1"/>
    <col min="26" max="26" width="15.5546875" bestFit="1" customWidth="1"/>
  </cols>
  <sheetData>
    <row r="1" spans="1:2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7</v>
      </c>
      <c r="G1" s="4" t="s">
        <v>9</v>
      </c>
      <c r="H1" s="6" t="s">
        <v>5</v>
      </c>
      <c r="I1" s="6" t="s">
        <v>6</v>
      </c>
      <c r="J1" s="4" t="s">
        <v>88</v>
      </c>
      <c r="K1" s="7" t="s">
        <v>89</v>
      </c>
      <c r="L1" s="8" t="s">
        <v>90</v>
      </c>
      <c r="M1" s="7" t="s">
        <v>91</v>
      </c>
      <c r="N1" s="8" t="s">
        <v>92</v>
      </c>
      <c r="O1" s="23"/>
      <c r="P1" s="23"/>
      <c r="Q1" s="23"/>
      <c r="S1" s="4" t="s">
        <v>9</v>
      </c>
      <c r="T1" s="4" t="s">
        <v>93</v>
      </c>
      <c r="U1" s="4" t="s">
        <v>94</v>
      </c>
      <c r="V1" s="4" t="s">
        <v>95</v>
      </c>
      <c r="W1" s="4" t="s">
        <v>96</v>
      </c>
      <c r="X1" s="4" t="s">
        <v>97</v>
      </c>
      <c r="Y1" s="4" t="s">
        <v>98</v>
      </c>
      <c r="Z1" s="4" t="s">
        <v>99</v>
      </c>
      <c r="AA1" s="9" t="s">
        <v>100</v>
      </c>
    </row>
    <row r="2" spans="1:27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10">
        <v>8</v>
      </c>
      <c r="G2" t="s">
        <v>15</v>
      </c>
      <c r="H2">
        <v>4</v>
      </c>
      <c r="I2" s="49" t="s">
        <v>128</v>
      </c>
      <c r="J2">
        <f>H2*F2</f>
        <v>32</v>
      </c>
      <c r="K2">
        <f>J2/8</f>
        <v>4</v>
      </c>
      <c r="L2" s="11">
        <f>VLOOKUP(G2,$S$2:$Z$4,2,FALSE)*J2</f>
        <v>294400</v>
      </c>
      <c r="M2" s="12">
        <f>J2/24</f>
        <v>1.3333333333333333</v>
      </c>
      <c r="N2" s="11">
        <f>(VLOOKUP(G2,$S$2:$Z$4,2,FALSE)*(J2/3))+(VLOOKUP(G2,$S$2:$Z$4,3,FALSE)*(J2/3))+(VLOOKUP(G2,$S$2:$Z$4,5,FALSE)*(J2/3))</f>
        <v>223932.89760348585</v>
      </c>
      <c r="O2" s="11"/>
      <c r="P2" s="11"/>
      <c r="Q2" s="11"/>
      <c r="S2" t="s">
        <v>15</v>
      </c>
      <c r="T2" s="11">
        <v>9200</v>
      </c>
      <c r="U2" s="11">
        <v>6532.9444444444453</v>
      </c>
      <c r="V2" s="11">
        <v>14556</v>
      </c>
      <c r="W2" s="13">
        <f>(W3/51)*27</f>
        <v>5260.7647058823532</v>
      </c>
      <c r="X2" s="13">
        <f>(X3/51)*27</f>
        <v>8443.5882352941189</v>
      </c>
      <c r="Y2" s="13">
        <f>(Y3/51)*27</f>
        <v>29647.058823529413</v>
      </c>
      <c r="Z2" s="11">
        <f>(Z4/21)*27</f>
        <v>17236.383428571429</v>
      </c>
      <c r="AA2" s="14">
        <f>T2/(SUM(T$2:T$4))</f>
        <v>0.27467606138412848</v>
      </c>
    </row>
    <row r="3" spans="1:27" x14ac:dyDescent="0.3">
      <c r="D3" t="s">
        <v>16</v>
      </c>
      <c r="E3" t="s">
        <v>17</v>
      </c>
      <c r="F3" s="10">
        <v>4</v>
      </c>
      <c r="G3" t="s">
        <v>18</v>
      </c>
      <c r="H3">
        <v>4</v>
      </c>
      <c r="I3" t="s">
        <v>124</v>
      </c>
      <c r="J3">
        <f>H3*F3</f>
        <v>16</v>
      </c>
      <c r="K3">
        <f t="shared" ref="K3:K9" si="0">J3/8</f>
        <v>2</v>
      </c>
      <c r="L3" s="11">
        <f>VLOOKUP(G3,$S$2:$Z$4,2,FALSE)*J3</f>
        <v>275472</v>
      </c>
      <c r="M3" s="12">
        <f t="shared" ref="M3:M8" si="1">J3/24</f>
        <v>0.66666666666666663</v>
      </c>
      <c r="N3" s="11">
        <f>(VLOOKUP(G3,$S$2:$Z$4,2,FALSE)*(J3/3))+(VLOOKUP(G3,$S$2:$Z$4,3,FALSE)*(J3/3))+(VLOOKUP(G3,$S$2:$Z$4,5,FALSE)*(J3/3))</f>
        <v>203301.33333333331</v>
      </c>
      <c r="O3" s="11"/>
      <c r="P3" s="11"/>
      <c r="Q3" s="11"/>
      <c r="S3" t="s">
        <v>18</v>
      </c>
      <c r="T3" s="11">
        <v>17217</v>
      </c>
      <c r="U3" s="11">
        <v>10965</v>
      </c>
      <c r="V3" s="11">
        <v>21688</v>
      </c>
      <c r="W3" s="11">
        <v>9937</v>
      </c>
      <c r="X3" s="11">
        <v>15949</v>
      </c>
      <c r="Y3" s="11">
        <v>56000</v>
      </c>
      <c r="Z3" s="11">
        <f>(Z4/21)*51</f>
        <v>32557.613142857146</v>
      </c>
      <c r="AA3" s="14">
        <f t="shared" ref="AA3:AA4" si="2">T3/(SUM(T$2:T$4))</f>
        <v>0.51403236400549357</v>
      </c>
    </row>
    <row r="4" spans="1:27" x14ac:dyDescent="0.3">
      <c r="D4" t="s">
        <v>16</v>
      </c>
      <c r="E4" t="s">
        <v>19</v>
      </c>
      <c r="F4" s="10">
        <v>4</v>
      </c>
      <c r="G4" t="s">
        <v>18</v>
      </c>
      <c r="H4">
        <v>12</v>
      </c>
      <c r="I4" t="s">
        <v>130</v>
      </c>
      <c r="J4">
        <f t="shared" ref="J4:J8" si="3">H4*F4</f>
        <v>48</v>
      </c>
      <c r="K4">
        <f t="shared" si="0"/>
        <v>6</v>
      </c>
      <c r="L4" s="11">
        <f>VLOOKUP(G4,$S$2:$Z$4,2,FALSE)*J4</f>
        <v>826416</v>
      </c>
      <c r="M4" s="12">
        <f t="shared" si="1"/>
        <v>2</v>
      </c>
      <c r="N4" s="11">
        <f>(VLOOKUP(G4,$S$2:$Z$4,2,FALSE)*(J4/3))+(VLOOKUP(G4,$S$2:$Z$4,3,FALSE)*(J4/3))+(VLOOKUP(G4,$S$2:$Z$4,5,FALSE)*(J4/3))</f>
        <v>609904</v>
      </c>
      <c r="O4" s="11"/>
      <c r="P4" s="11"/>
      <c r="Q4" s="11"/>
      <c r="S4" t="s">
        <v>23</v>
      </c>
      <c r="T4" s="11">
        <v>7077</v>
      </c>
      <c r="U4" s="11">
        <v>5834</v>
      </c>
      <c r="V4" s="11">
        <f>(V3/51)*21</f>
        <v>8930.3529411764703</v>
      </c>
      <c r="W4" s="11">
        <f>(W3/51)*21</f>
        <v>4091.705882352941</v>
      </c>
      <c r="X4" s="11">
        <f>(X3/51)*21</f>
        <v>6567.2352941176478</v>
      </c>
      <c r="Y4" s="11">
        <f>(Y3/51)*21</f>
        <v>23058.823529411762</v>
      </c>
      <c r="Z4" s="11">
        <v>13406.076000000001</v>
      </c>
      <c r="AA4" s="14">
        <f t="shared" si="2"/>
        <v>0.21129157461037798</v>
      </c>
    </row>
    <row r="5" spans="1:27" x14ac:dyDescent="0.3">
      <c r="D5" t="s">
        <v>16</v>
      </c>
      <c r="E5" t="s">
        <v>20</v>
      </c>
      <c r="F5" s="10">
        <v>12</v>
      </c>
      <c r="G5" t="s">
        <v>18</v>
      </c>
      <c r="H5">
        <v>8</v>
      </c>
      <c r="I5" t="s">
        <v>144</v>
      </c>
      <c r="J5">
        <f t="shared" si="3"/>
        <v>96</v>
      </c>
      <c r="K5">
        <f t="shared" si="0"/>
        <v>12</v>
      </c>
      <c r="L5" s="11">
        <f>VLOOKUP(G5,$S$2:$Z$4,2,FALSE)*J5</f>
        <v>1652832</v>
      </c>
      <c r="M5" s="12">
        <f t="shared" si="1"/>
        <v>4</v>
      </c>
      <c r="N5" s="11">
        <f>(VLOOKUP(G5,$S$2:$Z$4,2,FALSE)*(J5/3))+(VLOOKUP(G5,$S$2:$Z$4,3,FALSE)*(J5/3))+(VLOOKUP(G5,$S$2:$Z$4,5,FALSE)*(J5/3))</f>
        <v>1219808</v>
      </c>
      <c r="O5" s="11"/>
      <c r="P5" s="11"/>
      <c r="Q5" s="11"/>
      <c r="S5" t="s">
        <v>101</v>
      </c>
      <c r="T5" s="13">
        <f>SUM(T2:T4)</f>
        <v>33494</v>
      </c>
      <c r="U5" s="13">
        <f t="shared" ref="U5:Z5" si="4">SUM(U2:U4)</f>
        <v>23331.944444444445</v>
      </c>
      <c r="V5" s="13">
        <f t="shared" si="4"/>
        <v>45174.352941176468</v>
      </c>
      <c r="W5" s="13">
        <f t="shared" si="4"/>
        <v>19289.470588235294</v>
      </c>
      <c r="X5" s="13">
        <f t="shared" si="4"/>
        <v>30959.823529411766</v>
      </c>
      <c r="Y5" s="13">
        <f t="shared" si="4"/>
        <v>108705.88235294117</v>
      </c>
      <c r="Z5" s="13">
        <f t="shared" si="4"/>
        <v>63200.07257142858</v>
      </c>
    </row>
    <row r="6" spans="1:27" x14ac:dyDescent="0.3">
      <c r="D6" t="s">
        <v>16</v>
      </c>
      <c r="E6" t="s">
        <v>21</v>
      </c>
      <c r="F6" s="10">
        <v>2</v>
      </c>
      <c r="G6" t="s">
        <v>18</v>
      </c>
      <c r="H6">
        <v>2</v>
      </c>
      <c r="I6" t="s">
        <v>145</v>
      </c>
      <c r="J6">
        <f t="shared" si="3"/>
        <v>4</v>
      </c>
      <c r="K6">
        <f t="shared" si="0"/>
        <v>0.5</v>
      </c>
      <c r="L6" s="11">
        <f>VLOOKUP(G6,$S$2:$Z$4,2,FALSE)*J6</f>
        <v>68868</v>
      </c>
      <c r="M6" s="12">
        <f t="shared" si="1"/>
        <v>0.16666666666666666</v>
      </c>
      <c r="N6" s="11">
        <f>(VLOOKUP(G6,$S$2:$Z$4,2,FALSE)*(J6/3))+(VLOOKUP(G6,$S$2:$Z$4,3,FALSE)*(J6/3))+(VLOOKUP(G6,$S$2:$Z$4,5,FALSE)*(J6/3))</f>
        <v>50825.333333333328</v>
      </c>
      <c r="O6" s="11"/>
      <c r="P6" s="11"/>
      <c r="Q6" s="11"/>
      <c r="S6" t="s">
        <v>102</v>
      </c>
      <c r="T6" s="13">
        <f>T5*1.68</f>
        <v>56269.919999999998</v>
      </c>
      <c r="U6" s="13">
        <f t="shared" ref="U6:Z6" si="5">U5*1.68</f>
        <v>39197.666666666664</v>
      </c>
      <c r="V6" s="13">
        <f t="shared" si="5"/>
        <v>75892.912941176459</v>
      </c>
      <c r="W6" s="13">
        <f t="shared" si="5"/>
        <v>32406.310588235294</v>
      </c>
      <c r="X6" s="13">
        <f t="shared" si="5"/>
        <v>52012.503529411762</v>
      </c>
      <c r="Y6" s="13">
        <f t="shared" si="5"/>
        <v>182625.88235294117</v>
      </c>
      <c r="Z6" s="13">
        <f t="shared" si="5"/>
        <v>106176.12192000001</v>
      </c>
    </row>
    <row r="7" spans="1:27" x14ac:dyDescent="0.3">
      <c r="D7" t="s">
        <v>16</v>
      </c>
      <c r="E7" t="s">
        <v>22</v>
      </c>
      <c r="F7" s="10">
        <v>4</v>
      </c>
      <c r="G7" t="s">
        <v>23</v>
      </c>
      <c r="H7">
        <v>2</v>
      </c>
      <c r="I7" t="s">
        <v>146</v>
      </c>
      <c r="J7">
        <f t="shared" si="3"/>
        <v>8</v>
      </c>
      <c r="K7">
        <f t="shared" si="0"/>
        <v>1</v>
      </c>
      <c r="L7" s="11">
        <f>VLOOKUP(G7,$S$2:$Z$4,2,FALSE)*J7</f>
        <v>56616</v>
      </c>
      <c r="M7" s="12">
        <f t="shared" si="1"/>
        <v>0.33333333333333331</v>
      </c>
      <c r="N7" s="11">
        <f>(VLOOKUP(G7,$S$2:$Z$4,2,FALSE)*(J7/3))+(VLOOKUP(G7,$S$2:$Z$4,3,FALSE)*(J7/3))+(VLOOKUP(G7,$S$2:$Z$4,5,FALSE)*(J7/3))</f>
        <v>45340.549019607839</v>
      </c>
      <c r="O7" s="11"/>
      <c r="P7" s="11"/>
      <c r="Q7" s="11"/>
      <c r="T7" t="s">
        <v>103</v>
      </c>
      <c r="U7" t="s">
        <v>104</v>
      </c>
      <c r="V7" t="s">
        <v>104</v>
      </c>
      <c r="W7" t="s">
        <v>105</v>
      </c>
      <c r="X7" t="s">
        <v>104</v>
      </c>
      <c r="Y7" t="s">
        <v>103</v>
      </c>
      <c r="Z7" t="s">
        <v>104</v>
      </c>
    </row>
    <row r="8" spans="1:27" x14ac:dyDescent="0.3">
      <c r="D8" t="s">
        <v>16</v>
      </c>
      <c r="E8" t="s">
        <v>24</v>
      </c>
      <c r="F8" s="10">
        <v>2</v>
      </c>
      <c r="G8" t="s">
        <v>23</v>
      </c>
      <c r="H8">
        <v>2</v>
      </c>
      <c r="I8" t="s">
        <v>135</v>
      </c>
      <c r="J8">
        <v>6</v>
      </c>
      <c r="K8">
        <f>J8/8</f>
        <v>0.75</v>
      </c>
      <c r="L8" s="11">
        <f>VLOOKUP(G8,$S$2:$Z$4,2,FALSE)*J8</f>
        <v>42462</v>
      </c>
      <c r="M8" s="12">
        <f>J8/24</f>
        <v>0.25</v>
      </c>
      <c r="N8" s="11">
        <f>(VLOOKUP(G8,$S$2:$Z$4,2,FALSE)*(J8/3))+(VLOOKUP(G8,$S$2:$Z$4,3,FALSE)*(J8/3))+(VLOOKUP(G8,$S$2:$Z$4,5,FALSE)*(J8/3))</f>
        <v>34005.411764705881</v>
      </c>
      <c r="O8" s="11"/>
      <c r="P8" s="11"/>
      <c r="Q8" s="11"/>
      <c r="S8" t="s">
        <v>106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108</v>
      </c>
      <c r="Z8" t="s">
        <v>109</v>
      </c>
    </row>
    <row r="9" spans="1:27" x14ac:dyDescent="0.3">
      <c r="D9" t="s">
        <v>16</v>
      </c>
      <c r="E9" t="s">
        <v>25</v>
      </c>
      <c r="F9" s="10">
        <v>2</v>
      </c>
      <c r="G9" t="s">
        <v>23</v>
      </c>
      <c r="H9">
        <v>2</v>
      </c>
      <c r="I9" s="49" t="s">
        <v>128</v>
      </c>
      <c r="J9">
        <f>H9*F9</f>
        <v>4</v>
      </c>
      <c r="K9">
        <f t="shared" si="0"/>
        <v>0.5</v>
      </c>
      <c r="L9" s="11">
        <f>VLOOKUP(G9,$S$2:$Z$4,2,FALSE)*J9</f>
        <v>28308</v>
      </c>
      <c r="M9" s="12">
        <f>J9/24</f>
        <v>0.16666666666666666</v>
      </c>
      <c r="N9" s="11">
        <f>(VLOOKUP(G9,$S$2:$Z$4,2,FALSE)*(J9/3))+(VLOOKUP(G9,$S$2:$Z$4,3,FALSE)*(J9/3))+(VLOOKUP(G9,$S$2:$Z$4,5,FALSE)*(J9/3))</f>
        <v>22670.274509803919</v>
      </c>
      <c r="O9" s="11"/>
      <c r="P9" s="11"/>
      <c r="Q9" s="11"/>
      <c r="S9" t="s">
        <v>110</v>
      </c>
      <c r="X9" s="13"/>
      <c r="Y9" s="11"/>
    </row>
    <row r="10" spans="1:27" x14ac:dyDescent="0.3">
      <c r="L10" s="11"/>
      <c r="M10" s="12"/>
      <c r="N10" s="11"/>
      <c r="O10" s="19" t="s">
        <v>117</v>
      </c>
      <c r="P10" s="24"/>
      <c r="Q10" s="22" t="s">
        <v>118</v>
      </c>
      <c r="X10" s="13"/>
      <c r="Y10" s="11"/>
    </row>
    <row r="11" spans="1:27" x14ac:dyDescent="0.3">
      <c r="M11" s="12"/>
      <c r="O11" s="20">
        <f>SUM(L2:L9)</f>
        <v>3245374</v>
      </c>
      <c r="P11" s="21"/>
      <c r="Q11" s="20">
        <f>SUM(N2:N9)</f>
        <v>2409787.7995642703</v>
      </c>
      <c r="X11" s="13"/>
      <c r="Y11" s="11"/>
    </row>
    <row r="12" spans="1:27" x14ac:dyDescent="0.3">
      <c r="O12" s="21"/>
      <c r="P12" s="21"/>
      <c r="Q12" s="21"/>
      <c r="X12" s="13"/>
      <c r="Y12" s="11"/>
    </row>
    <row r="13" spans="1:27" x14ac:dyDescent="0.3">
      <c r="L13" s="21"/>
      <c r="M13" s="14">
        <f>P14/O11</f>
        <v>0.25746992501811183</v>
      </c>
      <c r="N13" s="13"/>
      <c r="O13" s="35"/>
      <c r="P13" s="36" t="s">
        <v>119</v>
      </c>
      <c r="Q13" s="35"/>
      <c r="X13" s="13"/>
      <c r="Y13" s="11"/>
    </row>
    <row r="14" spans="1:27" x14ac:dyDescent="0.3">
      <c r="L14" s="21"/>
      <c r="M14" s="14">
        <f>M13*1.68</f>
        <v>0.43254947403042787</v>
      </c>
      <c r="N14" s="13"/>
      <c r="O14" s="31"/>
      <c r="P14" s="37">
        <f>O11-Q11</f>
        <v>835586.2004357297</v>
      </c>
      <c r="Q14" s="21"/>
      <c r="X14" s="13"/>
      <c r="Y14" s="11"/>
    </row>
    <row r="15" spans="1:27" x14ac:dyDescent="0.3">
      <c r="O15" s="13"/>
      <c r="P15" s="13"/>
      <c r="Q15" s="13"/>
      <c r="X15" s="13"/>
      <c r="Y15" s="11"/>
    </row>
    <row r="16" spans="1:27" x14ac:dyDescent="0.3">
      <c r="O16" s="13"/>
      <c r="P16" s="13"/>
      <c r="Q16" s="13"/>
      <c r="X16" s="13"/>
      <c r="Y16" s="11"/>
    </row>
    <row r="17" spans="2:25" x14ac:dyDescent="0.3">
      <c r="M17" s="12"/>
      <c r="N17" s="11"/>
      <c r="O17" s="11"/>
      <c r="P17" s="11"/>
      <c r="Q17" s="11"/>
      <c r="X17" s="13"/>
      <c r="Y17" s="11"/>
    </row>
    <row r="18" spans="2:25" x14ac:dyDescent="0.3">
      <c r="B18" t="s">
        <v>26</v>
      </c>
      <c r="C18" t="s">
        <v>27</v>
      </c>
      <c r="D18" t="s">
        <v>28</v>
      </c>
      <c r="E18" t="s">
        <v>29</v>
      </c>
      <c r="F18" s="10">
        <v>2</v>
      </c>
      <c r="G18" t="s">
        <v>18</v>
      </c>
      <c r="H18" s="3">
        <v>3</v>
      </c>
      <c r="I18" t="s">
        <v>125</v>
      </c>
      <c r="J18">
        <f t="shared" ref="J18:J39" si="6">H18*F18</f>
        <v>6</v>
      </c>
      <c r="K18">
        <f t="shared" ref="K18:K28" si="7">J18/8</f>
        <v>0.75</v>
      </c>
      <c r="L18" s="16">
        <f>VLOOKUP(G18,$S$3:$Z$4,2,FALSE)*J18</f>
        <v>103302</v>
      </c>
      <c r="M18" s="12">
        <f>J18/24</f>
        <v>0.25</v>
      </c>
      <c r="N18" s="17">
        <f>(VLOOKUP(G18,$S$3:$Z$4,2,FALSE)*(J18/3))+(VLOOKUP(G18,$S$3:$Z$4,3,FALSE)*(J18/3))+(VLOOKUP(G18,$S$3:$Z$4,5,FALSE)*(J18/3))</f>
        <v>76238</v>
      </c>
      <c r="O18" s="17"/>
      <c r="P18" s="17"/>
      <c r="Q18" s="17"/>
      <c r="S18" t="s">
        <v>111</v>
      </c>
      <c r="Y18" s="11"/>
    </row>
    <row r="19" spans="2:25" x14ac:dyDescent="0.3">
      <c r="D19" t="s">
        <v>28</v>
      </c>
      <c r="E19" t="s">
        <v>30</v>
      </c>
      <c r="F19" s="10">
        <v>1</v>
      </c>
      <c r="G19" t="s">
        <v>23</v>
      </c>
      <c r="H19" s="3">
        <v>6</v>
      </c>
      <c r="I19" t="s">
        <v>125</v>
      </c>
      <c r="J19">
        <f t="shared" si="6"/>
        <v>6</v>
      </c>
      <c r="K19">
        <f t="shared" si="7"/>
        <v>0.75</v>
      </c>
      <c r="L19" s="16">
        <f>VLOOKUP(G19,$S$3:$Z$4,2,FALSE)*J19</f>
        <v>42462</v>
      </c>
      <c r="M19" s="12">
        <f t="shared" ref="M19:M28" si="8">J19/24</f>
        <v>0.25</v>
      </c>
      <c r="N19" s="17">
        <f t="shared" ref="N19:N28" si="9">(VLOOKUP(G19,$S$3:$Z$4,2,FALSE)*(J19/3))+(VLOOKUP(G19,$S$3:$Z$4,3,FALSE)*(J19/3))+(VLOOKUP(G19,$S$3:$Z$4,5,FALSE)*(J19/3))</f>
        <v>34005.411764705881</v>
      </c>
      <c r="O19" s="17"/>
      <c r="P19" s="17"/>
      <c r="Q19" s="17"/>
      <c r="S19" t="s">
        <v>112</v>
      </c>
      <c r="T19" t="s">
        <v>113</v>
      </c>
      <c r="Y19" s="11"/>
    </row>
    <row r="20" spans="2:25" x14ac:dyDescent="0.3">
      <c r="D20" t="s">
        <v>28</v>
      </c>
      <c r="E20" t="s">
        <v>31</v>
      </c>
      <c r="F20" s="10">
        <v>2</v>
      </c>
      <c r="G20" t="s">
        <v>23</v>
      </c>
      <c r="H20" s="3">
        <v>5</v>
      </c>
      <c r="I20" t="s">
        <v>125</v>
      </c>
      <c r="J20">
        <f t="shared" si="6"/>
        <v>10</v>
      </c>
      <c r="K20">
        <f t="shared" si="7"/>
        <v>1.25</v>
      </c>
      <c r="L20" s="16">
        <f t="shared" ref="L20:L28" si="10">VLOOKUP(G20,$S$3:$Z$4,2,FALSE)*J20</f>
        <v>70770</v>
      </c>
      <c r="M20" s="12">
        <f t="shared" si="8"/>
        <v>0.41666666666666669</v>
      </c>
      <c r="N20" s="17">
        <f>(VLOOKUP(G20,$S$3:$Z$4,2,FALSE)*(J20/3))+(VLOOKUP(G20,$S$3:$Z$4,3,FALSE)*(J20/3))+(VLOOKUP(G20,$S$3:$Z$4,5,FALSE)*(J20/3))</f>
        <v>56675.686274509804</v>
      </c>
      <c r="O20" s="17"/>
      <c r="P20" s="17"/>
      <c r="Q20" s="17"/>
      <c r="S20" t="s">
        <v>114</v>
      </c>
      <c r="Y20" s="11"/>
    </row>
    <row r="21" spans="2:25" x14ac:dyDescent="0.3">
      <c r="D21" t="s">
        <v>32</v>
      </c>
      <c r="E21" t="s">
        <v>33</v>
      </c>
      <c r="F21" s="10">
        <v>1</v>
      </c>
      <c r="G21" t="s">
        <v>18</v>
      </c>
      <c r="H21" s="3">
        <v>3</v>
      </c>
      <c r="I21" t="s">
        <v>134</v>
      </c>
      <c r="J21">
        <f t="shared" si="6"/>
        <v>3</v>
      </c>
      <c r="K21">
        <f t="shared" si="7"/>
        <v>0.375</v>
      </c>
      <c r="L21" s="16">
        <f t="shared" si="10"/>
        <v>51651</v>
      </c>
      <c r="M21" s="12">
        <f t="shared" si="8"/>
        <v>0.125</v>
      </c>
      <c r="N21" s="17">
        <f t="shared" si="9"/>
        <v>38119</v>
      </c>
      <c r="O21" s="17"/>
      <c r="P21" s="17"/>
      <c r="Q21" s="17"/>
      <c r="S21" t="s">
        <v>115</v>
      </c>
    </row>
    <row r="22" spans="2:25" x14ac:dyDescent="0.3">
      <c r="D22" t="s">
        <v>32</v>
      </c>
      <c r="E22" t="s">
        <v>34</v>
      </c>
      <c r="F22" s="10">
        <v>1</v>
      </c>
      <c r="G22" t="s">
        <v>18</v>
      </c>
      <c r="H22" s="3">
        <v>3</v>
      </c>
      <c r="I22" t="s">
        <v>133</v>
      </c>
      <c r="J22">
        <f t="shared" si="6"/>
        <v>3</v>
      </c>
      <c r="K22">
        <f t="shared" si="7"/>
        <v>0.375</v>
      </c>
      <c r="L22" s="16">
        <f t="shared" si="10"/>
        <v>51651</v>
      </c>
      <c r="M22" s="12">
        <f t="shared" si="8"/>
        <v>0.125</v>
      </c>
      <c r="N22" s="17">
        <f t="shared" si="9"/>
        <v>38119</v>
      </c>
      <c r="O22" s="17"/>
      <c r="P22" s="17"/>
      <c r="Q22" s="17"/>
    </row>
    <row r="23" spans="2:25" x14ac:dyDescent="0.3">
      <c r="D23" t="s">
        <v>35</v>
      </c>
      <c r="E23" t="s">
        <v>116</v>
      </c>
      <c r="F23" s="10">
        <v>2</v>
      </c>
      <c r="G23" t="s">
        <v>18</v>
      </c>
      <c r="H23" s="3">
        <v>1</v>
      </c>
      <c r="I23" t="s">
        <v>126</v>
      </c>
      <c r="J23">
        <f t="shared" si="6"/>
        <v>2</v>
      </c>
      <c r="K23">
        <f t="shared" si="7"/>
        <v>0.25</v>
      </c>
      <c r="L23" s="16">
        <f t="shared" si="10"/>
        <v>34434</v>
      </c>
      <c r="M23" s="12">
        <f t="shared" si="8"/>
        <v>8.3333333333333329E-2</v>
      </c>
      <c r="N23" s="17">
        <f t="shared" si="9"/>
        <v>25412.666666666664</v>
      </c>
      <c r="O23" s="17"/>
      <c r="P23" s="17"/>
      <c r="Q23" s="17"/>
    </row>
    <row r="24" spans="2:25" x14ac:dyDescent="0.3">
      <c r="D24" t="s">
        <v>37</v>
      </c>
      <c r="E24" t="s">
        <v>38</v>
      </c>
      <c r="F24" s="10">
        <v>3</v>
      </c>
      <c r="G24" t="s">
        <v>18</v>
      </c>
      <c r="H24" s="3">
        <v>2</v>
      </c>
      <c r="I24" s="49" t="s">
        <v>128</v>
      </c>
      <c r="J24">
        <f t="shared" si="6"/>
        <v>6</v>
      </c>
      <c r="K24">
        <f t="shared" si="7"/>
        <v>0.75</v>
      </c>
      <c r="L24" s="16">
        <f t="shared" si="10"/>
        <v>103302</v>
      </c>
      <c r="M24" s="12">
        <f t="shared" si="8"/>
        <v>0.25</v>
      </c>
      <c r="N24" s="17">
        <f t="shared" si="9"/>
        <v>76238</v>
      </c>
      <c r="O24" s="17"/>
      <c r="P24" s="17"/>
      <c r="Q24" s="17"/>
    </row>
    <row r="25" spans="2:25" x14ac:dyDescent="0.3">
      <c r="D25" t="s">
        <v>37</v>
      </c>
      <c r="E25" t="s">
        <v>39</v>
      </c>
      <c r="F25" s="10">
        <v>6</v>
      </c>
      <c r="G25" t="s">
        <v>18</v>
      </c>
      <c r="H25" s="3">
        <v>7</v>
      </c>
      <c r="I25" s="49" t="s">
        <v>128</v>
      </c>
      <c r="J25">
        <f t="shared" si="6"/>
        <v>42</v>
      </c>
      <c r="K25">
        <f t="shared" si="7"/>
        <v>5.25</v>
      </c>
      <c r="L25" s="16">
        <f t="shared" si="10"/>
        <v>723114</v>
      </c>
      <c r="M25" s="12">
        <f t="shared" si="8"/>
        <v>1.75</v>
      </c>
      <c r="N25" s="17">
        <f t="shared" si="9"/>
        <v>533666</v>
      </c>
      <c r="O25" s="17"/>
      <c r="P25" s="17"/>
      <c r="Q25" s="17"/>
    </row>
    <row r="26" spans="2:25" x14ac:dyDescent="0.3">
      <c r="D26" t="s">
        <v>37</v>
      </c>
      <c r="E26" t="s">
        <v>40</v>
      </c>
      <c r="F26" s="10">
        <v>4</v>
      </c>
      <c r="G26" t="s">
        <v>18</v>
      </c>
      <c r="H26" s="3">
        <v>4</v>
      </c>
      <c r="I26" t="s">
        <v>132</v>
      </c>
      <c r="J26">
        <f t="shared" si="6"/>
        <v>16</v>
      </c>
      <c r="K26">
        <f t="shared" si="7"/>
        <v>2</v>
      </c>
      <c r="L26" s="16">
        <f t="shared" si="10"/>
        <v>275472</v>
      </c>
      <c r="M26" s="12">
        <f t="shared" si="8"/>
        <v>0.66666666666666663</v>
      </c>
      <c r="N26" s="17">
        <f t="shared" si="9"/>
        <v>203301.33333333331</v>
      </c>
      <c r="O26" s="17"/>
      <c r="P26" s="17"/>
      <c r="Q26" s="17"/>
    </row>
    <row r="27" spans="2:25" x14ac:dyDescent="0.3">
      <c r="D27" t="s">
        <v>37</v>
      </c>
      <c r="E27" t="s">
        <v>41</v>
      </c>
      <c r="F27" s="10">
        <v>8</v>
      </c>
      <c r="G27" t="s">
        <v>18</v>
      </c>
      <c r="H27" s="3">
        <v>4</v>
      </c>
      <c r="I27" t="s">
        <v>131</v>
      </c>
      <c r="J27">
        <f t="shared" si="6"/>
        <v>32</v>
      </c>
      <c r="K27">
        <f t="shared" si="7"/>
        <v>4</v>
      </c>
      <c r="L27" s="16">
        <f t="shared" si="10"/>
        <v>550944</v>
      </c>
      <c r="M27" s="12">
        <f t="shared" si="8"/>
        <v>1.3333333333333333</v>
      </c>
      <c r="N27" s="17">
        <f t="shared" si="9"/>
        <v>406602.66666666663</v>
      </c>
      <c r="O27" s="17"/>
      <c r="P27" s="17"/>
      <c r="Q27" s="17"/>
    </row>
    <row r="28" spans="2:25" x14ac:dyDescent="0.3">
      <c r="D28" t="s">
        <v>37</v>
      </c>
      <c r="E28" t="s">
        <v>42</v>
      </c>
      <c r="F28" s="10">
        <v>8</v>
      </c>
      <c r="G28" t="s">
        <v>18</v>
      </c>
      <c r="H28" s="3">
        <v>11</v>
      </c>
      <c r="I28" t="s">
        <v>127</v>
      </c>
      <c r="J28">
        <f t="shared" si="6"/>
        <v>88</v>
      </c>
      <c r="K28">
        <f t="shared" si="7"/>
        <v>11</v>
      </c>
      <c r="L28" s="16">
        <f t="shared" si="10"/>
        <v>1515096</v>
      </c>
      <c r="M28" s="12">
        <f t="shared" si="8"/>
        <v>3.6666666666666665</v>
      </c>
      <c r="N28" s="17">
        <f t="shared" si="9"/>
        <v>1118157.3333333333</v>
      </c>
      <c r="O28" s="17"/>
      <c r="P28" s="17"/>
      <c r="Q28" s="17"/>
    </row>
    <row r="29" spans="2:25" x14ac:dyDescent="0.3">
      <c r="H29" s="3"/>
      <c r="O29" s="19" t="s">
        <v>117</v>
      </c>
      <c r="Q29" s="22" t="s">
        <v>118</v>
      </c>
    </row>
    <row r="30" spans="2:25" x14ac:dyDescent="0.3">
      <c r="H30" s="3"/>
      <c r="O30" s="28">
        <f>SUM(L18:L28)</f>
        <v>3522198</v>
      </c>
      <c r="P30" s="18"/>
      <c r="Q30" s="29">
        <f>SUM(N18:N28)</f>
        <v>2606535.0980392154</v>
      </c>
    </row>
    <row r="31" spans="2:25" x14ac:dyDescent="0.3">
      <c r="H31" s="3"/>
    </row>
    <row r="32" spans="2:25" x14ac:dyDescent="0.3">
      <c r="H32" s="3"/>
      <c r="M32" s="14">
        <f>P33/O30</f>
        <v>0.25996917321535717</v>
      </c>
      <c r="O32" s="35"/>
      <c r="P32" s="36" t="s">
        <v>119</v>
      </c>
      <c r="Q32" s="35"/>
    </row>
    <row r="33" spans="1:19" x14ac:dyDescent="0.3">
      <c r="H33" s="3"/>
      <c r="M33" s="14">
        <f>M32*1.68</f>
        <v>0.43674821100180006</v>
      </c>
      <c r="O33" s="21"/>
      <c r="P33" s="25">
        <f>O30-Q30</f>
        <v>915662.90196078457</v>
      </c>
      <c r="Q33" s="31"/>
    </row>
    <row r="34" spans="1:19" x14ac:dyDescent="0.3">
      <c r="H34" s="3"/>
      <c r="M34" s="14"/>
      <c r="O34" s="31"/>
      <c r="P34" s="31"/>
      <c r="Q34" s="31"/>
    </row>
    <row r="35" spans="1:19" x14ac:dyDescent="0.3">
      <c r="A35" s="38"/>
      <c r="B35" s="38"/>
      <c r="C35" s="38"/>
      <c r="D35" s="38"/>
      <c r="E35" s="38"/>
      <c r="F35" s="41"/>
      <c r="G35" s="38"/>
      <c r="H35" s="4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19" x14ac:dyDescent="0.3">
      <c r="B36" t="s">
        <v>43</v>
      </c>
      <c r="C36" t="s">
        <v>44</v>
      </c>
      <c r="D36" t="s">
        <v>45</v>
      </c>
      <c r="E36" t="s">
        <v>46</v>
      </c>
      <c r="F36" s="10">
        <v>8</v>
      </c>
      <c r="G36" t="s">
        <v>23</v>
      </c>
      <c r="H36" s="3">
        <v>4</v>
      </c>
      <c r="I36" s="49" t="s">
        <v>128</v>
      </c>
      <c r="J36">
        <f t="shared" si="6"/>
        <v>32</v>
      </c>
      <c r="K36">
        <f t="shared" ref="K36:K42" si="11">J36/8</f>
        <v>4</v>
      </c>
      <c r="L36" s="17">
        <f>VLOOKUP(G36,$S$3:$Z$4,2,FALSE)*J36</f>
        <v>226464</v>
      </c>
      <c r="M36" s="12">
        <f>J36/24</f>
        <v>1.3333333333333333</v>
      </c>
      <c r="N36" s="17">
        <f>(VLOOKUP(G36,$S$3:$Z$4,2,FALSE)*(J36/3))+(VLOOKUP(G36,$S$3:$Z$4,3,FALSE)*(J36/3))+(VLOOKUP(G36,$S$3:$Z$4,5,FALSE)*(J36/3))</f>
        <v>181362.19607843136</v>
      </c>
    </row>
    <row r="37" spans="1:19" x14ac:dyDescent="0.3">
      <c r="D37" t="s">
        <v>45</v>
      </c>
      <c r="E37" t="s">
        <v>47</v>
      </c>
      <c r="F37" s="10">
        <v>16</v>
      </c>
      <c r="G37" t="s">
        <v>23</v>
      </c>
      <c r="H37" s="3">
        <v>6</v>
      </c>
      <c r="I37" t="s">
        <v>137</v>
      </c>
      <c r="J37">
        <f t="shared" si="6"/>
        <v>96</v>
      </c>
      <c r="K37">
        <f t="shared" si="11"/>
        <v>12</v>
      </c>
      <c r="L37" s="17">
        <f t="shared" ref="L37:L42" si="12">VLOOKUP(G37,$S$3:$Z$4,2,FALSE)*J37</f>
        <v>679392</v>
      </c>
      <c r="M37" s="12">
        <f t="shared" ref="M37:M42" si="13">J37/24</f>
        <v>4</v>
      </c>
      <c r="N37" s="17">
        <f t="shared" ref="N37:N42" si="14">(VLOOKUP(G37,$S$3:$Z$4,2,FALSE)*(J37/3))+(VLOOKUP(G37,$S$3:$Z$4,3,FALSE)*(J37/3))+(VLOOKUP(G37,$S$3:$Z$4,5,FALSE)*(J37/3))</f>
        <v>544086.5882352941</v>
      </c>
    </row>
    <row r="38" spans="1:19" x14ac:dyDescent="0.3">
      <c r="D38" t="s">
        <v>45</v>
      </c>
      <c r="E38" t="s">
        <v>48</v>
      </c>
      <c r="F38" s="10">
        <v>4</v>
      </c>
      <c r="G38" t="s">
        <v>23</v>
      </c>
      <c r="H38" s="3">
        <v>4</v>
      </c>
      <c r="I38" s="49" t="s">
        <v>128</v>
      </c>
      <c r="J38">
        <f t="shared" si="6"/>
        <v>16</v>
      </c>
      <c r="K38">
        <f t="shared" si="11"/>
        <v>2</v>
      </c>
      <c r="L38" s="17">
        <f t="shared" si="12"/>
        <v>113232</v>
      </c>
      <c r="M38" s="12">
        <f t="shared" si="13"/>
        <v>0.66666666666666663</v>
      </c>
      <c r="N38" s="17">
        <f t="shared" si="14"/>
        <v>90681.098039215678</v>
      </c>
    </row>
    <row r="39" spans="1:19" x14ac:dyDescent="0.3">
      <c r="D39" t="s">
        <v>45</v>
      </c>
      <c r="E39" t="s">
        <v>49</v>
      </c>
      <c r="F39" s="10">
        <v>6</v>
      </c>
      <c r="G39" t="s">
        <v>18</v>
      </c>
      <c r="H39" s="3">
        <v>4</v>
      </c>
      <c r="I39" t="s">
        <v>136</v>
      </c>
      <c r="J39">
        <f t="shared" si="6"/>
        <v>24</v>
      </c>
      <c r="K39">
        <f t="shared" si="11"/>
        <v>3</v>
      </c>
      <c r="L39" s="17">
        <f t="shared" si="12"/>
        <v>413208</v>
      </c>
      <c r="M39" s="12">
        <f t="shared" si="13"/>
        <v>1</v>
      </c>
      <c r="N39" s="17">
        <f t="shared" si="14"/>
        <v>304952</v>
      </c>
    </row>
    <row r="40" spans="1:19" x14ac:dyDescent="0.3">
      <c r="D40" t="s">
        <v>45</v>
      </c>
      <c r="E40" t="s">
        <v>50</v>
      </c>
      <c r="F40" s="10">
        <v>20</v>
      </c>
      <c r="G40" t="s">
        <v>18</v>
      </c>
      <c r="H40" s="3">
        <v>5</v>
      </c>
      <c r="I40" t="s">
        <v>129</v>
      </c>
      <c r="J40">
        <f>H40*F40</f>
        <v>100</v>
      </c>
      <c r="K40">
        <f t="shared" si="11"/>
        <v>12.5</v>
      </c>
      <c r="L40" s="17">
        <f t="shared" si="12"/>
        <v>1721700</v>
      </c>
      <c r="M40" s="12">
        <f t="shared" si="13"/>
        <v>4.166666666666667</v>
      </c>
      <c r="N40" s="17">
        <f t="shared" si="14"/>
        <v>1270633.3333333335</v>
      </c>
    </row>
    <row r="41" spans="1:19" x14ac:dyDescent="0.3">
      <c r="D41" t="s">
        <v>51</v>
      </c>
      <c r="E41" t="s">
        <v>52</v>
      </c>
      <c r="F41" s="10">
        <v>8</v>
      </c>
      <c r="G41" t="s">
        <v>23</v>
      </c>
      <c r="H41" s="3">
        <v>6</v>
      </c>
      <c r="I41" t="s">
        <v>138</v>
      </c>
      <c r="J41">
        <f>H41*F41</f>
        <v>48</v>
      </c>
      <c r="K41">
        <f t="shared" si="11"/>
        <v>6</v>
      </c>
      <c r="L41" s="17">
        <f t="shared" si="12"/>
        <v>339696</v>
      </c>
      <c r="M41" s="12">
        <f t="shared" si="13"/>
        <v>2</v>
      </c>
      <c r="N41" s="17">
        <f t="shared" si="14"/>
        <v>272043.29411764705</v>
      </c>
    </row>
    <row r="42" spans="1:19" x14ac:dyDescent="0.3">
      <c r="D42" t="s">
        <v>51</v>
      </c>
      <c r="E42" t="s">
        <v>54</v>
      </c>
      <c r="F42" s="10">
        <v>6</v>
      </c>
      <c r="G42" t="s">
        <v>23</v>
      </c>
      <c r="H42" s="3">
        <v>8</v>
      </c>
      <c r="I42" s="49" t="s">
        <v>128</v>
      </c>
      <c r="J42">
        <v>15</v>
      </c>
      <c r="K42">
        <f t="shared" si="11"/>
        <v>1.875</v>
      </c>
      <c r="L42" s="17">
        <f t="shared" si="12"/>
        <v>106155</v>
      </c>
      <c r="M42" s="12">
        <f t="shared" si="13"/>
        <v>0.625</v>
      </c>
      <c r="N42" s="17">
        <f t="shared" si="14"/>
        <v>85013.529411764699</v>
      </c>
    </row>
    <row r="43" spans="1:19" x14ac:dyDescent="0.3">
      <c r="H43" s="3"/>
      <c r="O43" s="19" t="s">
        <v>117</v>
      </c>
      <c r="Q43" s="22" t="s">
        <v>118</v>
      </c>
    </row>
    <row r="44" spans="1:19" x14ac:dyDescent="0.3">
      <c r="H44" s="3"/>
      <c r="O44" s="29">
        <f>SUM(L36:L42)</f>
        <v>3599847</v>
      </c>
      <c r="Q44" s="29">
        <f>SUM(N36:N42)</f>
        <v>2748772.0392156867</v>
      </c>
    </row>
    <row r="45" spans="1:19" x14ac:dyDescent="0.3">
      <c r="H45" s="3"/>
    </row>
    <row r="46" spans="1:19" x14ac:dyDescent="0.3">
      <c r="H46" s="3"/>
      <c r="M46" s="14">
        <f>P47/O44</f>
        <v>0.23641975916874058</v>
      </c>
      <c r="O46" s="35"/>
      <c r="P46" s="36" t="s">
        <v>119</v>
      </c>
      <c r="Q46" s="35"/>
    </row>
    <row r="47" spans="1:19" x14ac:dyDescent="0.3">
      <c r="H47" s="3"/>
      <c r="M47" s="14">
        <f>M46*1.68</f>
        <v>0.39718519540348418</v>
      </c>
      <c r="O47" s="34"/>
      <c r="P47" s="32">
        <f>O44-Q44</f>
        <v>851074.96078431327</v>
      </c>
      <c r="Q47" s="34"/>
    </row>
    <row r="48" spans="1:19" x14ac:dyDescent="0.3">
      <c r="H48" s="3"/>
      <c r="M48" s="14"/>
      <c r="O48" s="34"/>
      <c r="P48" s="33"/>
      <c r="Q48" s="34"/>
    </row>
    <row r="49" spans="1:19" x14ac:dyDescent="0.3">
      <c r="A49" s="38"/>
      <c r="B49" s="38"/>
      <c r="C49" s="38"/>
      <c r="D49" s="38"/>
      <c r="E49" s="38"/>
      <c r="F49" s="41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1:19" x14ac:dyDescent="0.3">
      <c r="B50" t="s">
        <v>55</v>
      </c>
      <c r="C50" t="s">
        <v>56</v>
      </c>
      <c r="D50" t="s">
        <v>53</v>
      </c>
      <c r="E50" t="s">
        <v>57</v>
      </c>
      <c r="F50" s="10">
        <v>8</v>
      </c>
      <c r="G50" t="s">
        <v>18</v>
      </c>
      <c r="H50" s="3">
        <v>6</v>
      </c>
      <c r="I50" s="49" t="s">
        <v>128</v>
      </c>
      <c r="J50">
        <v>12</v>
      </c>
      <c r="K50">
        <f t="shared" ref="K50:K55" si="15">J50/8</f>
        <v>1.5</v>
      </c>
      <c r="L50" s="17">
        <f>VLOOKUP(G50,$S$3:$Z$4,2,FALSE)*J50</f>
        <v>206604</v>
      </c>
      <c r="M50" s="12">
        <f t="shared" ref="M50:M55" si="16">J50/24</f>
        <v>0.5</v>
      </c>
      <c r="N50" s="17">
        <f t="shared" ref="N50:N55" si="17">(VLOOKUP(G50,$S$3:$Z$4,2,FALSE)*(J50/3))+(VLOOKUP(G50,$S$3:$Z$4,3,FALSE)*(J50/3))+(VLOOKUP(G50,$S$3:$Z$4,5,FALSE)*(J50/3))</f>
        <v>152476</v>
      </c>
    </row>
    <row r="51" spans="1:19" x14ac:dyDescent="0.3">
      <c r="D51" t="s">
        <v>53</v>
      </c>
      <c r="E51" t="s">
        <v>58</v>
      </c>
      <c r="F51" s="10">
        <v>10</v>
      </c>
      <c r="G51" t="s">
        <v>23</v>
      </c>
      <c r="H51">
        <v>8</v>
      </c>
      <c r="I51" t="s">
        <v>138</v>
      </c>
      <c r="J51">
        <f t="shared" ref="J51:J55" si="18">H51*F51</f>
        <v>80</v>
      </c>
      <c r="K51">
        <f t="shared" si="15"/>
        <v>10</v>
      </c>
      <c r="L51" s="17">
        <f t="shared" ref="L51:L55" si="19">VLOOKUP(G51,$S$3:$Z$4,2,FALSE)*J51</f>
        <v>566160</v>
      </c>
      <c r="M51" s="12">
        <f t="shared" si="16"/>
        <v>3.3333333333333335</v>
      </c>
      <c r="N51" s="17">
        <f t="shared" si="17"/>
        <v>453405.49019607843</v>
      </c>
    </row>
    <row r="52" spans="1:19" x14ac:dyDescent="0.3">
      <c r="D52" t="s">
        <v>53</v>
      </c>
      <c r="E52" t="s">
        <v>59</v>
      </c>
      <c r="F52" s="10">
        <v>9</v>
      </c>
      <c r="G52" t="s">
        <v>23</v>
      </c>
      <c r="H52">
        <v>7</v>
      </c>
      <c r="I52" t="s">
        <v>139</v>
      </c>
      <c r="J52">
        <f t="shared" si="18"/>
        <v>63</v>
      </c>
      <c r="K52">
        <f t="shared" si="15"/>
        <v>7.875</v>
      </c>
      <c r="L52" s="17">
        <f t="shared" si="19"/>
        <v>445851</v>
      </c>
      <c r="M52" s="12">
        <f t="shared" si="16"/>
        <v>2.625</v>
      </c>
      <c r="N52" s="17">
        <f t="shared" si="17"/>
        <v>357056.82352941175</v>
      </c>
    </row>
    <row r="53" spans="1:19" x14ac:dyDescent="0.3">
      <c r="D53" t="s">
        <v>53</v>
      </c>
      <c r="E53" t="s">
        <v>60</v>
      </c>
      <c r="F53" s="10">
        <v>6</v>
      </c>
      <c r="G53" t="s">
        <v>18</v>
      </c>
      <c r="H53">
        <v>8</v>
      </c>
      <c r="I53" t="s">
        <v>140</v>
      </c>
      <c r="J53">
        <f t="shared" si="18"/>
        <v>48</v>
      </c>
      <c r="K53">
        <f t="shared" si="15"/>
        <v>6</v>
      </c>
      <c r="L53" s="17">
        <f t="shared" si="19"/>
        <v>826416</v>
      </c>
      <c r="M53" s="12">
        <f t="shared" si="16"/>
        <v>2</v>
      </c>
      <c r="N53" s="17">
        <f t="shared" si="17"/>
        <v>609904</v>
      </c>
    </row>
    <row r="54" spans="1:19" x14ac:dyDescent="0.3">
      <c r="D54" t="s">
        <v>53</v>
      </c>
      <c r="E54" t="s">
        <v>61</v>
      </c>
      <c r="F54" s="10">
        <v>9</v>
      </c>
      <c r="G54" t="s">
        <v>23</v>
      </c>
      <c r="H54">
        <v>6</v>
      </c>
      <c r="I54" t="s">
        <v>141</v>
      </c>
      <c r="J54">
        <f t="shared" si="18"/>
        <v>54</v>
      </c>
      <c r="K54">
        <f t="shared" si="15"/>
        <v>6.75</v>
      </c>
      <c r="L54" s="17">
        <f t="shared" si="19"/>
        <v>382158</v>
      </c>
      <c r="M54" s="12">
        <f t="shared" si="16"/>
        <v>2.25</v>
      </c>
      <c r="N54" s="17">
        <f t="shared" si="17"/>
        <v>306048.70588235295</v>
      </c>
    </row>
    <row r="55" spans="1:19" x14ac:dyDescent="0.3">
      <c r="D55" t="s">
        <v>53</v>
      </c>
      <c r="E55" t="s">
        <v>62</v>
      </c>
      <c r="F55" s="15">
        <v>12</v>
      </c>
      <c r="G55" t="s">
        <v>18</v>
      </c>
      <c r="H55">
        <v>7</v>
      </c>
      <c r="I55" s="49" t="s">
        <v>128</v>
      </c>
      <c r="J55">
        <f t="shared" si="18"/>
        <v>84</v>
      </c>
      <c r="K55">
        <f t="shared" si="15"/>
        <v>10.5</v>
      </c>
      <c r="L55" s="17">
        <f t="shared" si="19"/>
        <v>1446228</v>
      </c>
      <c r="M55" s="12">
        <f t="shared" si="16"/>
        <v>3.5</v>
      </c>
      <c r="N55" s="17">
        <f t="shared" si="17"/>
        <v>1067332</v>
      </c>
    </row>
    <row r="56" spans="1:19" x14ac:dyDescent="0.3">
      <c r="F56" s="15"/>
      <c r="L56" s="17"/>
      <c r="O56" s="19" t="s">
        <v>117</v>
      </c>
      <c r="Q56" s="22" t="s">
        <v>118</v>
      </c>
    </row>
    <row r="57" spans="1:19" x14ac:dyDescent="0.3">
      <c r="F57" s="15"/>
      <c r="L57" s="17"/>
      <c r="O57" s="29">
        <f>SUM(L50:L55)</f>
        <v>3873417</v>
      </c>
      <c r="Q57" s="29">
        <f>SUM(N50:N55)</f>
        <v>2946223.0196078429</v>
      </c>
    </row>
    <row r="58" spans="1:19" x14ac:dyDescent="0.3">
      <c r="F58" s="15"/>
      <c r="L58" s="17"/>
      <c r="P58" s="26" t="s">
        <v>119</v>
      </c>
    </row>
    <row r="59" spans="1:19" x14ac:dyDescent="0.3">
      <c r="F59" s="15"/>
      <c r="L59" s="17"/>
      <c r="M59" s="14">
        <f>P59/O57</f>
        <v>0.23937365390613949</v>
      </c>
      <c r="P59" s="32">
        <f>O57-Q57</f>
        <v>927193.9803921571</v>
      </c>
    </row>
    <row r="60" spans="1:19" x14ac:dyDescent="0.3">
      <c r="F60" s="15"/>
      <c r="L60" s="17"/>
      <c r="M60" s="14">
        <f>M59*1.68</f>
        <v>0.40214773856231434</v>
      </c>
      <c r="P60" s="33"/>
    </row>
    <row r="61" spans="1:19" x14ac:dyDescent="0.3">
      <c r="A61" s="38"/>
      <c r="B61" s="38"/>
      <c r="C61" s="38"/>
      <c r="D61" s="38"/>
      <c r="E61" s="38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</row>
    <row r="62" spans="1:19" x14ac:dyDescent="0.3">
      <c r="F62" s="15"/>
    </row>
    <row r="63" spans="1:19" x14ac:dyDescent="0.3">
      <c r="B63" t="s">
        <v>63</v>
      </c>
      <c r="C63" t="s">
        <v>64</v>
      </c>
      <c r="D63" t="s">
        <v>65</v>
      </c>
      <c r="E63" t="s">
        <v>66</v>
      </c>
      <c r="F63" s="15">
        <v>6</v>
      </c>
      <c r="G63" t="s">
        <v>18</v>
      </c>
      <c r="H63">
        <v>7</v>
      </c>
      <c r="I63" s="49" t="s">
        <v>128</v>
      </c>
      <c r="J63">
        <f t="shared" ref="J63:J90" si="20">H63*F63</f>
        <v>42</v>
      </c>
      <c r="K63">
        <f t="shared" ref="K63:K67" si="21">J63/8</f>
        <v>5.25</v>
      </c>
      <c r="L63" s="17">
        <f>VLOOKUP(G63,$S$3:$Z$3,2,FALSE)*J63</f>
        <v>723114</v>
      </c>
      <c r="M63" s="12">
        <f t="shared" ref="M63:M67" si="22">J63/24</f>
        <v>1.75</v>
      </c>
      <c r="N63" s="17">
        <f>(VLOOKUP(G63,$S$3:$Z$3,2,FALSE)*(J63/3))+(VLOOKUP(G63,$S$3:$Z$3,3,FALSE)*(J63/3))+(VLOOKUP(G63,$S$3:$Z$3,5,FALSE)*(J63/3))</f>
        <v>533666</v>
      </c>
    </row>
    <row r="64" spans="1:19" x14ac:dyDescent="0.3">
      <c r="D64" t="s">
        <v>65</v>
      </c>
      <c r="E64" t="s">
        <v>67</v>
      </c>
      <c r="F64" s="15">
        <v>8</v>
      </c>
      <c r="G64" t="s">
        <v>18</v>
      </c>
      <c r="H64">
        <v>1</v>
      </c>
      <c r="I64" s="49" t="s">
        <v>128</v>
      </c>
      <c r="J64">
        <f t="shared" si="20"/>
        <v>8</v>
      </c>
      <c r="K64">
        <f t="shared" si="21"/>
        <v>1</v>
      </c>
      <c r="L64" s="17">
        <f t="shared" ref="L64:L67" si="23">VLOOKUP(G64,$S$3:$Z$4,2,FALSE)*J64</f>
        <v>137736</v>
      </c>
      <c r="M64" s="12">
        <f t="shared" si="22"/>
        <v>0.33333333333333331</v>
      </c>
      <c r="N64" s="17">
        <f t="shared" ref="N64:N67" si="24">(VLOOKUP(G64,$S$3:$Z$3,2,FALSE)*(J64/3))+(VLOOKUP(G64,$S$3:$Z$3,3,FALSE)*(J64/3))+(VLOOKUP(G64,$S$3:$Z$3,5,FALSE)*(J64/3))</f>
        <v>101650.66666666666</v>
      </c>
    </row>
    <row r="65" spans="1:19" x14ac:dyDescent="0.3">
      <c r="D65" t="s">
        <v>65</v>
      </c>
      <c r="E65" t="s">
        <v>68</v>
      </c>
      <c r="F65" s="15">
        <v>8</v>
      </c>
      <c r="G65" t="s">
        <v>18</v>
      </c>
      <c r="H65">
        <v>4</v>
      </c>
      <c r="I65" s="49" t="s">
        <v>128</v>
      </c>
      <c r="J65">
        <f t="shared" si="20"/>
        <v>32</v>
      </c>
      <c r="K65">
        <f t="shared" si="21"/>
        <v>4</v>
      </c>
      <c r="L65" s="17">
        <f t="shared" si="23"/>
        <v>550944</v>
      </c>
      <c r="M65" s="12">
        <f t="shared" si="22"/>
        <v>1.3333333333333333</v>
      </c>
      <c r="N65" s="17">
        <f t="shared" si="24"/>
        <v>406602.66666666663</v>
      </c>
    </row>
    <row r="66" spans="1:19" x14ac:dyDescent="0.3">
      <c r="D66" t="s">
        <v>65</v>
      </c>
      <c r="E66" t="s">
        <v>69</v>
      </c>
      <c r="F66" s="15">
        <v>8</v>
      </c>
      <c r="G66" t="s">
        <v>18</v>
      </c>
      <c r="H66">
        <v>5</v>
      </c>
      <c r="I66" s="49" t="s">
        <v>128</v>
      </c>
      <c r="J66">
        <f t="shared" si="20"/>
        <v>40</v>
      </c>
      <c r="K66">
        <f t="shared" si="21"/>
        <v>5</v>
      </c>
      <c r="L66" s="17">
        <f t="shared" si="23"/>
        <v>688680</v>
      </c>
      <c r="M66" s="12">
        <f t="shared" si="22"/>
        <v>1.6666666666666667</v>
      </c>
      <c r="N66" s="17">
        <f t="shared" si="24"/>
        <v>508253.33333333337</v>
      </c>
    </row>
    <row r="67" spans="1:19" x14ac:dyDescent="0.3">
      <c r="D67" t="s">
        <v>70</v>
      </c>
      <c r="E67" t="s">
        <v>71</v>
      </c>
      <c r="F67" s="15">
        <v>8</v>
      </c>
      <c r="G67" t="s">
        <v>18</v>
      </c>
      <c r="H67">
        <v>1</v>
      </c>
      <c r="I67" s="49" t="s">
        <v>128</v>
      </c>
      <c r="J67">
        <f t="shared" si="20"/>
        <v>8</v>
      </c>
      <c r="K67">
        <f t="shared" si="21"/>
        <v>1</v>
      </c>
      <c r="L67" s="17">
        <f t="shared" si="23"/>
        <v>137736</v>
      </c>
      <c r="M67" s="12">
        <f t="shared" si="22"/>
        <v>0.33333333333333331</v>
      </c>
      <c r="N67" s="17">
        <f t="shared" si="24"/>
        <v>101650.66666666666</v>
      </c>
    </row>
    <row r="68" spans="1:19" x14ac:dyDescent="0.3">
      <c r="F68" s="15"/>
      <c r="O68" s="19" t="s">
        <v>117</v>
      </c>
      <c r="Q68" s="22" t="s">
        <v>118</v>
      </c>
    </row>
    <row r="69" spans="1:19" x14ac:dyDescent="0.3">
      <c r="F69" s="15"/>
      <c r="O69" s="29">
        <f>SUM(L63:L67)</f>
        <v>2238210</v>
      </c>
      <c r="Q69" s="29">
        <f>SUM(N63:N67)</f>
        <v>1651823.3333333333</v>
      </c>
    </row>
    <row r="70" spans="1:19" x14ac:dyDescent="0.3">
      <c r="F70" s="15"/>
      <c r="P70" s="26" t="s">
        <v>119</v>
      </c>
    </row>
    <row r="71" spans="1:19" x14ac:dyDescent="0.3">
      <c r="F71" s="15"/>
      <c r="M71" s="14">
        <f>P71/O69</f>
        <v>0.26198911928133051</v>
      </c>
      <c r="P71" s="32">
        <f>O69-Q69</f>
        <v>586386.66666666674</v>
      </c>
    </row>
    <row r="72" spans="1:19" x14ac:dyDescent="0.3">
      <c r="F72" s="15"/>
      <c r="M72" s="14">
        <f>M71*1.68</f>
        <v>0.44014172039263522</v>
      </c>
    </row>
    <row r="73" spans="1:19" x14ac:dyDescent="0.3">
      <c r="A73" s="38"/>
      <c r="B73" s="38"/>
      <c r="C73" s="38"/>
      <c r="D73" s="38"/>
      <c r="E73" s="38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</row>
    <row r="74" spans="1:19" x14ac:dyDescent="0.3">
      <c r="F74" s="15"/>
    </row>
    <row r="75" spans="1:19" x14ac:dyDescent="0.3">
      <c r="B75" t="s">
        <v>72</v>
      </c>
      <c r="C75" t="s">
        <v>73</v>
      </c>
      <c r="D75" t="s">
        <v>74</v>
      </c>
      <c r="E75" t="s">
        <v>75</v>
      </c>
      <c r="F75" s="15">
        <v>6</v>
      </c>
      <c r="G75" t="s">
        <v>18</v>
      </c>
      <c r="H75">
        <v>5</v>
      </c>
      <c r="I75" s="49" t="s">
        <v>128</v>
      </c>
      <c r="J75">
        <f t="shared" si="20"/>
        <v>30</v>
      </c>
      <c r="K75">
        <f t="shared" ref="K75:K90" si="25">J75/8</f>
        <v>3.75</v>
      </c>
      <c r="L75" s="17">
        <f>VLOOKUP(G75,$S$3:$Z$4,2,FALSE)*J75</f>
        <v>516510</v>
      </c>
      <c r="N75" s="17">
        <f>(VLOOKUP(G75,$S$3:$Z$3,2,FALSE)*(J75/3))+(VLOOKUP(G75,$S$3:$Z$3,3,FALSE)*(J75/3))+(VLOOKUP(G75,$S$3:$Z$3,5,FALSE)*(J75/3))</f>
        <v>381190</v>
      </c>
    </row>
    <row r="76" spans="1:19" x14ac:dyDescent="0.3">
      <c r="D76" t="s">
        <v>74</v>
      </c>
      <c r="E76" t="s">
        <v>76</v>
      </c>
      <c r="F76" s="15">
        <v>6</v>
      </c>
      <c r="G76" t="s">
        <v>18</v>
      </c>
      <c r="H76">
        <v>5</v>
      </c>
      <c r="I76" s="49" t="s">
        <v>128</v>
      </c>
      <c r="J76">
        <f t="shared" si="20"/>
        <v>30</v>
      </c>
      <c r="K76">
        <f t="shared" si="25"/>
        <v>3.75</v>
      </c>
      <c r="L76" s="17">
        <f t="shared" ref="L76:L90" si="26">VLOOKUP(G76,$S$3:$Z$4,2,FALSE)*J76</f>
        <v>516510</v>
      </c>
      <c r="N76" s="17">
        <f t="shared" ref="N76:N78" si="27">(VLOOKUP(G76,$S$3:$Z$3,2,FALSE)*(J76/3))+(VLOOKUP(G76,$S$3:$Z$3,3,FALSE)*(J76/3))+(VLOOKUP(G76,$S$3:$Z$3,5,FALSE)*(J76/3))</f>
        <v>381190</v>
      </c>
    </row>
    <row r="77" spans="1:19" x14ac:dyDescent="0.3">
      <c r="D77" t="s">
        <v>74</v>
      </c>
      <c r="E77" t="s">
        <v>77</v>
      </c>
      <c r="F77" s="15">
        <v>3</v>
      </c>
      <c r="G77" t="s">
        <v>18</v>
      </c>
      <c r="H77">
        <v>7</v>
      </c>
      <c r="I77" t="s">
        <v>142</v>
      </c>
      <c r="J77">
        <f t="shared" si="20"/>
        <v>21</v>
      </c>
      <c r="K77">
        <f t="shared" si="25"/>
        <v>2.625</v>
      </c>
      <c r="L77" s="17">
        <f t="shared" si="26"/>
        <v>361557</v>
      </c>
      <c r="N77" s="17">
        <f t="shared" si="27"/>
        <v>266833</v>
      </c>
    </row>
    <row r="78" spans="1:19" x14ac:dyDescent="0.3">
      <c r="D78" t="s">
        <v>78</v>
      </c>
      <c r="E78" t="s">
        <v>79</v>
      </c>
      <c r="F78" s="15">
        <v>48</v>
      </c>
      <c r="G78" t="s">
        <v>18</v>
      </c>
      <c r="H78">
        <v>6</v>
      </c>
      <c r="I78" t="s">
        <v>143</v>
      </c>
      <c r="J78">
        <f t="shared" si="20"/>
        <v>288</v>
      </c>
      <c r="K78">
        <f t="shared" si="25"/>
        <v>36</v>
      </c>
      <c r="L78" s="17">
        <f t="shared" si="26"/>
        <v>4958496</v>
      </c>
      <c r="N78" s="17">
        <f t="shared" si="27"/>
        <v>3659424</v>
      </c>
    </row>
    <row r="79" spans="1:19" x14ac:dyDescent="0.3">
      <c r="F79" s="15"/>
      <c r="L79" s="17"/>
      <c r="O79" s="19" t="s">
        <v>117</v>
      </c>
      <c r="Q79" s="22" t="s">
        <v>118</v>
      </c>
    </row>
    <row r="80" spans="1:19" x14ac:dyDescent="0.3">
      <c r="F80" s="15"/>
      <c r="L80" s="17"/>
      <c r="O80" s="29">
        <f>SUM(L75:L78)</f>
        <v>6353073</v>
      </c>
      <c r="P80" s="26" t="s">
        <v>119</v>
      </c>
      <c r="Q80" s="29">
        <f>SUM(N75:N78)</f>
        <v>4688637</v>
      </c>
    </row>
    <row r="81" spans="1:19" x14ac:dyDescent="0.3">
      <c r="F81" s="15"/>
      <c r="L81" s="17"/>
      <c r="M81" s="14">
        <f>P81/O80</f>
        <v>0.26198911928133045</v>
      </c>
      <c r="P81" s="32">
        <f>O80-Q80</f>
        <v>1664436</v>
      </c>
    </row>
    <row r="82" spans="1:19" x14ac:dyDescent="0.3">
      <c r="F82" s="15"/>
      <c r="L82" s="17"/>
      <c r="M82" s="14">
        <f>M81*1.68</f>
        <v>0.44014172039263516</v>
      </c>
      <c r="P82" s="33"/>
    </row>
    <row r="83" spans="1:19" ht="15" customHeight="1" x14ac:dyDescent="0.3">
      <c r="F83" s="15"/>
      <c r="L83" s="17"/>
    </row>
    <row r="84" spans="1:19" ht="15" customHeight="1" x14ac:dyDescent="0.3">
      <c r="A84" s="38"/>
      <c r="B84" s="38"/>
      <c r="C84" s="38"/>
      <c r="D84" s="38"/>
      <c r="E84" s="38"/>
      <c r="F84" s="39"/>
      <c r="G84" s="38"/>
      <c r="H84" s="38"/>
      <c r="I84" s="38"/>
      <c r="J84" s="38"/>
      <c r="K84" s="38"/>
      <c r="L84" s="40"/>
      <c r="M84" s="38"/>
      <c r="N84" s="38"/>
      <c r="O84" s="38"/>
      <c r="P84" s="38"/>
      <c r="Q84" s="38"/>
      <c r="R84" s="38"/>
      <c r="S84" s="38"/>
    </row>
    <row r="85" spans="1:19" x14ac:dyDescent="0.3">
      <c r="F85" s="15"/>
      <c r="L85" s="17"/>
    </row>
    <row r="86" spans="1:19" x14ac:dyDescent="0.3">
      <c r="B86" t="s">
        <v>80</v>
      </c>
      <c r="C86" t="s">
        <v>81</v>
      </c>
      <c r="D86" t="s">
        <v>82</v>
      </c>
      <c r="E86" t="s">
        <v>83</v>
      </c>
      <c r="F86" s="15">
        <v>24</v>
      </c>
      <c r="G86" t="s">
        <v>18</v>
      </c>
      <c r="H86">
        <v>7</v>
      </c>
      <c r="I86" s="49" t="s">
        <v>128</v>
      </c>
      <c r="J86">
        <f t="shared" si="20"/>
        <v>168</v>
      </c>
      <c r="K86">
        <f t="shared" si="25"/>
        <v>21</v>
      </c>
      <c r="L86" s="17">
        <f t="shared" si="26"/>
        <v>2892456</v>
      </c>
      <c r="N86" s="17">
        <f>(VLOOKUP(G86,$S$3:$Z$3,2,FALSE)*(J86/3))+(VLOOKUP(G86,$S$3:$Z$3,3,FALSE)*(J86/3))+(VLOOKUP(G86,$S$3:$Z$3,5,FALSE)*(J86/3))</f>
        <v>2134664</v>
      </c>
    </row>
    <row r="87" spans="1:19" x14ac:dyDescent="0.3">
      <c r="D87" t="s">
        <v>82</v>
      </c>
      <c r="E87" t="s">
        <v>84</v>
      </c>
      <c r="F87" s="10">
        <v>4</v>
      </c>
      <c r="G87" t="s">
        <v>18</v>
      </c>
      <c r="H87">
        <v>4</v>
      </c>
      <c r="I87" s="49" t="s">
        <v>128</v>
      </c>
      <c r="J87">
        <f t="shared" si="20"/>
        <v>16</v>
      </c>
      <c r="K87">
        <f t="shared" si="25"/>
        <v>2</v>
      </c>
      <c r="L87" s="17">
        <f t="shared" si="26"/>
        <v>275472</v>
      </c>
      <c r="N87" s="17">
        <f t="shared" ref="N87:N90" si="28">(VLOOKUP(G87,$S$3:$Z$3,2,FALSE)*(J87/3))+(VLOOKUP(G87,$S$3:$Z$3,3,FALSE)*(J87/3))+(VLOOKUP(G87,$S$3:$Z$3,5,FALSE)*(J87/3))</f>
        <v>203301.33333333331</v>
      </c>
    </row>
    <row r="88" spans="1:19" x14ac:dyDescent="0.3">
      <c r="D88" t="s">
        <v>82</v>
      </c>
      <c r="E88" t="s">
        <v>85</v>
      </c>
      <c r="F88" s="10">
        <v>40</v>
      </c>
      <c r="G88" t="s">
        <v>18</v>
      </c>
      <c r="H88">
        <v>1</v>
      </c>
      <c r="I88" s="49" t="s">
        <v>128</v>
      </c>
      <c r="J88">
        <f t="shared" si="20"/>
        <v>40</v>
      </c>
      <c r="K88">
        <f t="shared" si="25"/>
        <v>5</v>
      </c>
      <c r="L88" s="17">
        <f t="shared" si="26"/>
        <v>688680</v>
      </c>
      <c r="N88" s="17">
        <f t="shared" si="28"/>
        <v>508253.33333333337</v>
      </c>
    </row>
    <row r="89" spans="1:19" x14ac:dyDescent="0.3">
      <c r="D89" t="s">
        <v>80</v>
      </c>
      <c r="E89" t="s">
        <v>86</v>
      </c>
      <c r="F89" s="15">
        <v>4</v>
      </c>
      <c r="G89" t="s">
        <v>18</v>
      </c>
      <c r="H89">
        <v>4</v>
      </c>
      <c r="I89" s="49" t="s">
        <v>128</v>
      </c>
      <c r="J89">
        <f t="shared" si="20"/>
        <v>16</v>
      </c>
      <c r="K89">
        <f t="shared" si="25"/>
        <v>2</v>
      </c>
      <c r="L89" s="17">
        <f t="shared" si="26"/>
        <v>275472</v>
      </c>
      <c r="N89" s="17">
        <f t="shared" si="28"/>
        <v>203301.33333333331</v>
      </c>
    </row>
    <row r="90" spans="1:19" x14ac:dyDescent="0.3">
      <c r="D90" t="s">
        <v>80</v>
      </c>
      <c r="E90" t="s">
        <v>87</v>
      </c>
      <c r="F90" s="15">
        <v>5</v>
      </c>
      <c r="G90" t="s">
        <v>18</v>
      </c>
      <c r="H90">
        <v>4</v>
      </c>
      <c r="I90" s="49" t="s">
        <v>128</v>
      </c>
      <c r="J90">
        <f t="shared" si="20"/>
        <v>20</v>
      </c>
      <c r="K90">
        <f t="shared" si="25"/>
        <v>2.5</v>
      </c>
      <c r="L90" s="17">
        <f t="shared" si="26"/>
        <v>344340</v>
      </c>
      <c r="N90" s="17">
        <f t="shared" si="28"/>
        <v>254126.66666666669</v>
      </c>
    </row>
    <row r="91" spans="1:19" x14ac:dyDescent="0.3">
      <c r="O91" s="19" t="s">
        <v>117</v>
      </c>
      <c r="Q91" s="22" t="s">
        <v>118</v>
      </c>
    </row>
    <row r="92" spans="1:19" x14ac:dyDescent="0.3">
      <c r="O92" s="29">
        <f>SUM(L86:L90)</f>
        <v>4476420</v>
      </c>
      <c r="P92" s="26" t="s">
        <v>119</v>
      </c>
      <c r="Q92" s="29">
        <f>SUM(N86:N90)</f>
        <v>3303646.666666667</v>
      </c>
    </row>
    <row r="93" spans="1:19" x14ac:dyDescent="0.3">
      <c r="M93" s="14">
        <f>P93/O92</f>
        <v>0.2619891192813304</v>
      </c>
      <c r="P93" s="32">
        <f>O92-Q92</f>
        <v>1172773.333333333</v>
      </c>
    </row>
    <row r="94" spans="1:19" x14ac:dyDescent="0.3">
      <c r="M94" s="14">
        <f>M93*1.68</f>
        <v>0.44014172039263505</v>
      </c>
    </row>
    <row r="97" spans="15:17" x14ac:dyDescent="0.3">
      <c r="O97" s="46" t="s">
        <v>122</v>
      </c>
      <c r="P97" s="46"/>
      <c r="Q97" s="46"/>
    </row>
    <row r="99" spans="15:17" x14ac:dyDescent="0.3">
      <c r="O99" s="43" t="s">
        <v>120</v>
      </c>
      <c r="Q99" s="43" t="s">
        <v>121</v>
      </c>
    </row>
    <row r="100" spans="15:17" x14ac:dyDescent="0.3">
      <c r="O100" s="30">
        <f>SUM(O11+O30+O44+O57+O69+O80+O92)</f>
        <v>27308539</v>
      </c>
      <c r="P100" s="44" t="s">
        <v>119</v>
      </c>
      <c r="Q100" s="30">
        <f>SUM(Q11+Q30+Q44+Q57+Q69+Q80+Q92)</f>
        <v>20355424.956427019</v>
      </c>
    </row>
    <row r="101" spans="15:17" x14ac:dyDescent="0.3">
      <c r="P101" s="45">
        <f>O100-Q100</f>
        <v>6953114.0435729809</v>
      </c>
    </row>
    <row r="104" spans="15:17" x14ac:dyDescent="0.3">
      <c r="O104" s="47" t="s">
        <v>123</v>
      </c>
      <c r="Q104" s="47" t="s">
        <v>123</v>
      </c>
    </row>
    <row r="105" spans="15:17" x14ac:dyDescent="0.3">
      <c r="O105" s="27">
        <f>O100*1.68</f>
        <v>45878345.519999996</v>
      </c>
      <c r="P105" s="48"/>
      <c r="Q105" s="27">
        <f>Q100*1.68</f>
        <v>34197113.92679739</v>
      </c>
    </row>
  </sheetData>
  <mergeCells count="1">
    <mergeCell ref="O97:Q97"/>
  </mergeCells>
  <phoneticPr fontId="5" type="noConversion"/>
  <conditionalFormatting sqref="T5:Z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2020-11-05T01:11:54Z</dcterms:created>
  <dcterms:modified xsi:type="dcterms:W3CDTF">2020-11-17T04:23:57Z</dcterms:modified>
</cp:coreProperties>
</file>