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2.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fileSharing userName="Dismet S.A.S." reservationPassword="F81D"/>
  <workbookPr codeName="ThisWorkbook" defaultThemeVersion="124226"/>
  <bookViews>
    <workbookView xWindow="-1530" yWindow="855" windowWidth="15135" windowHeight="8130" activeTab="6"/>
  </bookViews>
  <sheets>
    <sheet name="Presupuestos" sheetId="1" r:id="rId1"/>
    <sheet name="Indicadores" sheetId="8" r:id="rId2"/>
    <sheet name="Informe" sheetId="7" r:id="rId3"/>
    <sheet name="Referencias" sheetId="6" r:id="rId4"/>
    <sheet name="Abreviaturas" sheetId="3" r:id="rId5"/>
    <sheet name="Referencias 1" sheetId="18" r:id="rId6"/>
    <sheet name="Equipos" sheetId="19" r:id="rId7"/>
  </sheets>
  <definedNames>
    <definedName name="_xlnm.Print_Area" localSheetId="1">Indicadores!$A$1:$G$54</definedName>
    <definedName name="_xlnm.Print_Area" localSheetId="2">Informe!$A$1:$H$51</definedName>
    <definedName name="Comercial" comment="ID del comercial referenciado a su nombre" localSheetId="1">Comerciales[Comercial]</definedName>
    <definedName name="Comercial" comment="ID del comercial referenciado a su nombre">Comerciales[Comercial]</definedName>
    <definedName name="Equipos_Nombre">Equipo[Equipo]</definedName>
    <definedName name="Estado" comment="Identificación del estado de los proyectos, en terminos de aprobación." localSheetId="1">Estados[Estado]</definedName>
    <definedName name="Estado" comment="Identificación del estado de los proyectos, en terminos de aprobación.">Estados[Estado]</definedName>
    <definedName name="Marcador" comment="Marcadores usados y permitidos dentro de la tabla." localSheetId="1">Marcadores[Marcador]</definedName>
    <definedName name="Marcador" comment="Marcadores usados y permitidos dentro de la tabla.">Marcadores[Marcador]</definedName>
    <definedName name="Nombre" localSheetId="1">Equipos[Nombre]</definedName>
    <definedName name="Nombre">Equipos[Nombre]</definedName>
    <definedName name="Prioridad" comment="Prioridad en terminos lingüisticos" localSheetId="1">Prioridades[Prioridad]</definedName>
    <definedName name="Prioridad" comment="Prioridad en terminos lingüisticos">Prioridades[Prioridad]</definedName>
    <definedName name="Proyecto" localSheetId="1">Planeador[Proyecto]</definedName>
    <definedName name="Proyecto" comment="Consecutivo de los proyectos en el sistema">Planeador[Proyecto]</definedName>
  </definedNames>
  <calcPr calcId="144525"/>
</workbook>
</file>

<file path=xl/calcChain.xml><?xml version="1.0" encoding="utf-8"?>
<calcChain xmlns="http://schemas.openxmlformats.org/spreadsheetml/2006/main">
  <c r="Y134" i="1" l="1"/>
  <c r="Z134" i="1" s="1"/>
  <c r="AB134" i="1"/>
  <c r="Y133" i="1"/>
  <c r="Z133" i="1"/>
  <c r="AA133" i="1"/>
  <c r="AB133" i="1"/>
  <c r="Y132" i="1"/>
  <c r="Z132" i="1"/>
  <c r="AA132" i="1"/>
  <c r="AB132" i="1"/>
  <c r="Y131" i="1"/>
  <c r="Z131" i="1" s="1"/>
  <c r="AB131" i="1"/>
  <c r="Y130" i="1"/>
  <c r="Z130" i="1"/>
  <c r="AA130" i="1"/>
  <c r="AB130" i="1"/>
  <c r="Y129" i="1"/>
  <c r="Z129" i="1"/>
  <c r="AA129" i="1"/>
  <c r="AB129" i="1"/>
  <c r="Y128" i="1"/>
  <c r="Z128" i="1" s="1"/>
  <c r="AB128" i="1"/>
  <c r="Y127" i="1"/>
  <c r="Z127" i="1" s="1"/>
  <c r="AB127" i="1"/>
  <c r="Y126" i="1"/>
  <c r="Z126" i="1" s="1"/>
  <c r="AB126" i="1"/>
  <c r="Y125" i="1"/>
  <c r="Z125" i="1" s="1"/>
  <c r="AB125" i="1"/>
  <c r="Y124" i="1"/>
  <c r="Z124" i="1"/>
  <c r="AA124" i="1"/>
  <c r="AB124" i="1"/>
  <c r="Y123" i="1"/>
  <c r="Z123" i="1"/>
  <c r="AA123" i="1"/>
  <c r="AB123" i="1"/>
  <c r="AA128" i="1" l="1"/>
  <c r="AA126" i="1"/>
  <c r="AA134" i="1"/>
  <c r="AA125" i="1"/>
  <c r="AA127" i="1"/>
  <c r="AA131" i="1"/>
  <c r="Y122" i="1"/>
  <c r="Z122" i="1" s="1"/>
  <c r="AB122" i="1"/>
  <c r="AA122" i="1" l="1"/>
  <c r="Y121" i="1"/>
  <c r="Z121" i="1" s="1"/>
  <c r="AB121" i="1"/>
  <c r="Y120" i="1"/>
  <c r="Z120" i="1" s="1"/>
  <c r="AB120" i="1"/>
  <c r="Y119" i="1"/>
  <c r="Z119" i="1" s="1"/>
  <c r="AA119" i="1"/>
  <c r="AB119" i="1"/>
  <c r="Y118" i="1"/>
  <c r="Z118" i="1" s="1"/>
  <c r="AB118" i="1"/>
  <c r="Y117" i="1"/>
  <c r="Z117" i="1" s="1"/>
  <c r="AB117" i="1"/>
  <c r="Y116" i="1"/>
  <c r="Z116" i="1" s="1"/>
  <c r="AB116" i="1"/>
  <c r="Y115" i="1"/>
  <c r="AA115" i="1" s="1"/>
  <c r="AB115" i="1"/>
  <c r="Q135" i="1"/>
  <c r="AA117" i="1" l="1"/>
  <c r="AA121" i="1"/>
  <c r="AA116" i="1"/>
  <c r="AA118" i="1"/>
  <c r="AA120" i="1"/>
  <c r="Z115" i="1"/>
  <c r="Y114" i="1"/>
  <c r="Z114" i="1" s="1"/>
  <c r="AB114" i="1"/>
  <c r="Y113" i="1"/>
  <c r="Z113" i="1" s="1"/>
  <c r="AA113" i="1"/>
  <c r="AB113" i="1"/>
  <c r="Y112" i="1"/>
  <c r="Z112" i="1" s="1"/>
  <c r="AB112" i="1"/>
  <c r="Y111" i="1"/>
  <c r="Z111" i="1" s="1"/>
  <c r="AA111" i="1"/>
  <c r="AB111" i="1"/>
  <c r="Y110" i="1"/>
  <c r="Z110" i="1" s="1"/>
  <c r="AB110" i="1"/>
  <c r="Y109" i="1"/>
  <c r="Z109" i="1" s="1"/>
  <c r="AA109" i="1"/>
  <c r="AB109" i="1"/>
  <c r="Y108" i="1"/>
  <c r="AA108" i="1" s="1"/>
  <c r="AB108" i="1"/>
  <c r="Y107" i="1"/>
  <c r="Z107" i="1" s="1"/>
  <c r="AB107" i="1"/>
  <c r="AA107" i="1" l="1"/>
  <c r="AA110" i="1"/>
  <c r="AA112" i="1"/>
  <c r="AA114" i="1"/>
  <c r="Z108" i="1"/>
  <c r="Y106" i="1"/>
  <c r="Z106" i="1" s="1"/>
  <c r="AA106" i="1"/>
  <c r="AB106" i="1"/>
  <c r="Y105" i="1"/>
  <c r="Z105" i="1" s="1"/>
  <c r="AB105" i="1"/>
  <c r="Y104" i="1"/>
  <c r="Z104" i="1" s="1"/>
  <c r="AB104" i="1"/>
  <c r="Y103" i="1"/>
  <c r="Z103" i="1" s="1"/>
  <c r="AB103" i="1"/>
  <c r="Y102" i="1"/>
  <c r="Z102" i="1" s="1"/>
  <c r="AA102" i="1"/>
  <c r="AB102" i="1"/>
  <c r="Y101" i="1"/>
  <c r="Z101" i="1" s="1"/>
  <c r="AB101" i="1"/>
  <c r="Y100" i="1"/>
  <c r="Z100" i="1" s="1"/>
  <c r="AB100" i="1"/>
  <c r="Y99" i="1"/>
  <c r="Z99" i="1" s="1"/>
  <c r="AB99" i="1"/>
  <c r="Y98" i="1"/>
  <c r="Z98" i="1" s="1"/>
  <c r="AA98" i="1"/>
  <c r="AB98" i="1"/>
  <c r="Y97" i="1"/>
  <c r="Z97" i="1" s="1"/>
  <c r="AB97" i="1"/>
  <c r="Y96" i="1"/>
  <c r="Z96" i="1" s="1"/>
  <c r="AB96" i="1"/>
  <c r="Y95" i="1"/>
  <c r="Z95" i="1" s="1"/>
  <c r="AB95" i="1"/>
  <c r="Y94" i="1"/>
  <c r="Z94" i="1" s="1"/>
  <c r="AA94" i="1"/>
  <c r="AB94" i="1"/>
  <c r="Y93" i="1"/>
  <c r="Z93" i="1" s="1"/>
  <c r="AB93" i="1"/>
  <c r="X135" i="1"/>
  <c r="Y92" i="1"/>
  <c r="Z92" i="1"/>
  <c r="AA92" i="1"/>
  <c r="AB92" i="1"/>
  <c r="AA96" i="1" l="1"/>
  <c r="AA100" i="1"/>
  <c r="AA104" i="1"/>
  <c r="AA93" i="1"/>
  <c r="AA95" i="1"/>
  <c r="AA97" i="1"/>
  <c r="AA99" i="1"/>
  <c r="AA101" i="1"/>
  <c r="AA103" i="1"/>
  <c r="AA105" i="1"/>
  <c r="Y91" i="1"/>
  <c r="Z91" i="1" s="1"/>
  <c r="AB91" i="1"/>
  <c r="Y90" i="1"/>
  <c r="Z90" i="1" s="1"/>
  <c r="AB90" i="1"/>
  <c r="Y89" i="1"/>
  <c r="Z89" i="1" s="1"/>
  <c r="AA89" i="1"/>
  <c r="AB89" i="1"/>
  <c r="Y88" i="1"/>
  <c r="Z88" i="1" s="1"/>
  <c r="AB88" i="1"/>
  <c r="Y87" i="1"/>
  <c r="Z87" i="1" s="1"/>
  <c r="AB87" i="1"/>
  <c r="B135" i="1"/>
  <c r="F135" i="1"/>
  <c r="G135" i="1"/>
  <c r="H135" i="1"/>
  <c r="I135" i="1"/>
  <c r="J135" i="1"/>
  <c r="K135" i="1"/>
  <c r="L135" i="1"/>
  <c r="P135" i="1"/>
  <c r="W135" i="1"/>
  <c r="Y86" i="1"/>
  <c r="Z86" i="1" s="1"/>
  <c r="AB86" i="1"/>
  <c r="Y85" i="1"/>
  <c r="Z85" i="1" s="1"/>
  <c r="AB85" i="1"/>
  <c r="Y84" i="1"/>
  <c r="AA84" i="1" s="1"/>
  <c r="AB84" i="1"/>
  <c r="Y83" i="1"/>
  <c r="Z83" i="1" s="1"/>
  <c r="AB83" i="1"/>
  <c r="AA87" i="1" l="1"/>
  <c r="AA91" i="1"/>
  <c r="AA85" i="1"/>
  <c r="AA86" i="1"/>
  <c r="AA88" i="1"/>
  <c r="AA90" i="1"/>
  <c r="AA83" i="1"/>
  <c r="Z84" i="1"/>
  <c r="Y82" i="1"/>
  <c r="Z82" i="1" s="1"/>
  <c r="AB82" i="1"/>
  <c r="Y81" i="1"/>
  <c r="Z81" i="1" s="1"/>
  <c r="AB81" i="1"/>
  <c r="Y80" i="1"/>
  <c r="Z80" i="1" s="1"/>
  <c r="AA80" i="1"/>
  <c r="AB80" i="1"/>
  <c r="Y79" i="1"/>
  <c r="Z79" i="1" s="1"/>
  <c r="AB79" i="1"/>
  <c r="Y78" i="1"/>
  <c r="Z78" i="1" s="1"/>
  <c r="AB78" i="1"/>
  <c r="Y77" i="1"/>
  <c r="Z77" i="1" s="1"/>
  <c r="AB77" i="1"/>
  <c r="Y76" i="1"/>
  <c r="Z76" i="1" s="1"/>
  <c r="AA76" i="1"/>
  <c r="AB76" i="1"/>
  <c r="Y75" i="1"/>
  <c r="Z75" i="1" s="1"/>
  <c r="AB75" i="1"/>
  <c r="Y74" i="1"/>
  <c r="Z74" i="1" s="1"/>
  <c r="AB74" i="1"/>
  <c r="Y73" i="1"/>
  <c r="Z73" i="1" s="1"/>
  <c r="AB73" i="1"/>
  <c r="Y72" i="1"/>
  <c r="Z72" i="1" s="1"/>
  <c r="AB72" i="1"/>
  <c r="Y71" i="1"/>
  <c r="Z71" i="1" s="1"/>
  <c r="AB71" i="1"/>
  <c r="Y70" i="1"/>
  <c r="Z70" i="1" s="1"/>
  <c r="AB70" i="1"/>
  <c r="Y69" i="1"/>
  <c r="Z69" i="1" s="1"/>
  <c r="AB69" i="1"/>
  <c r="AA74" i="1" l="1"/>
  <c r="AA78" i="1"/>
  <c r="AA82" i="1"/>
  <c r="AA73" i="1"/>
  <c r="AA75" i="1"/>
  <c r="AA77" i="1"/>
  <c r="AA79" i="1"/>
  <c r="AA81" i="1"/>
  <c r="AA72" i="1"/>
  <c r="AA71" i="1"/>
  <c r="AA70" i="1"/>
  <c r="AA69" i="1"/>
  <c r="Y68" i="1" l="1"/>
  <c r="Z68" i="1" s="1"/>
  <c r="AB68" i="1"/>
  <c r="Y67" i="1"/>
  <c r="Z67" i="1" s="1"/>
  <c r="AB67" i="1"/>
  <c r="Y66" i="1"/>
  <c r="Z66" i="1" s="1"/>
  <c r="AB66" i="1"/>
  <c r="AA68" i="1" l="1"/>
  <c r="AA67" i="1"/>
  <c r="AA66" i="1"/>
  <c r="Y65" i="1"/>
  <c r="Z65" i="1" s="1"/>
  <c r="AB65" i="1"/>
  <c r="AA65" i="1" l="1"/>
  <c r="Y64" i="1"/>
  <c r="Z64" i="1" s="1"/>
  <c r="AB64" i="1"/>
  <c r="Y63" i="1"/>
  <c r="Z63" i="1" s="1"/>
  <c r="AB63" i="1"/>
  <c r="Y62" i="1"/>
  <c r="Z62" i="1" s="1"/>
  <c r="AB62" i="1"/>
  <c r="Y61" i="1"/>
  <c r="Z61" i="1" s="1"/>
  <c r="AB61" i="1"/>
  <c r="Y60" i="1"/>
  <c r="Z60" i="1" s="1"/>
  <c r="AB60" i="1"/>
  <c r="Y59" i="1"/>
  <c r="Z59" i="1" s="1"/>
  <c r="AB59" i="1"/>
  <c r="AA64" i="1" l="1"/>
  <c r="AA63" i="1"/>
  <c r="AA62" i="1"/>
  <c r="AA61" i="1"/>
  <c r="AA60" i="1"/>
  <c r="AA59" i="1"/>
  <c r="Y58" i="1"/>
  <c r="Z58" i="1" s="1"/>
  <c r="AB58" i="1"/>
  <c r="AA58" i="1" l="1"/>
  <c r="Y57" i="1"/>
  <c r="Z57" i="1" s="1"/>
  <c r="AB57" i="1"/>
  <c r="AA57" i="1" l="1"/>
  <c r="Y56" i="1"/>
  <c r="Z56" i="1" s="1"/>
  <c r="AB56" i="1"/>
  <c r="AA56" i="1" l="1"/>
  <c r="Y55" i="1"/>
  <c r="Z55" i="1" s="1"/>
  <c r="AB55" i="1"/>
  <c r="E37" i="8"/>
  <c r="E38" i="8"/>
  <c r="E39" i="8"/>
  <c r="E40" i="8"/>
  <c r="E41" i="8"/>
  <c r="E36" i="8"/>
  <c r="F28" i="8"/>
  <c r="F29" i="8"/>
  <c r="F30" i="8"/>
  <c r="F31" i="8"/>
  <c r="F32" i="8"/>
  <c r="F33" i="8"/>
  <c r="Y54" i="1"/>
  <c r="Z54" i="1" s="1"/>
  <c r="AB54" i="1"/>
  <c r="AA55" i="1" l="1"/>
  <c r="F40" i="8"/>
  <c r="F41" i="8"/>
  <c r="AA54" i="1"/>
  <c r="F38" i="8"/>
  <c r="F36" i="8"/>
  <c r="F39" i="8"/>
  <c r="F37" i="8"/>
  <c r="C32" i="8"/>
  <c r="C30" i="8"/>
  <c r="C31" i="8"/>
  <c r="C29" i="8"/>
  <c r="C33" i="8"/>
  <c r="C28" i="8"/>
  <c r="F42" i="8" l="1"/>
  <c r="C36" i="8"/>
  <c r="C41" i="8"/>
  <c r="C39" i="8"/>
  <c r="C40" i="8"/>
  <c r="C37" i="8"/>
  <c r="C38" i="8"/>
  <c r="Y53" i="1"/>
  <c r="Z53" i="1" s="1"/>
  <c r="AB53" i="1"/>
  <c r="C42" i="8" l="1"/>
  <c r="AA53"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A13" i="1"/>
  <c r="AA20" i="1"/>
  <c r="Y52" i="1" l="1"/>
  <c r="F8" i="8"/>
  <c r="Y51" i="1"/>
  <c r="Y50" i="1"/>
  <c r="Z52" i="1" l="1"/>
  <c r="AA52" i="1"/>
  <c r="Z50" i="1"/>
  <c r="AA50" i="1"/>
  <c r="Z51" i="1"/>
  <c r="AA51" i="1"/>
  <c r="Y49" i="1"/>
  <c r="Y48" i="1"/>
  <c r="Y47" i="1"/>
  <c r="B67" i="7"/>
  <c r="B66" i="7"/>
  <c r="B65" i="7"/>
  <c r="B64" i="7"/>
  <c r="B63" i="7"/>
  <c r="B62" i="7"/>
  <c r="B61" i="7"/>
  <c r="B60" i="7"/>
  <c r="B59" i="7"/>
  <c r="F29" i="7"/>
  <c r="F28" i="7"/>
  <c r="F27" i="7"/>
  <c r="F26" i="7"/>
  <c r="F25" i="7"/>
  <c r="F24" i="7"/>
  <c r="D17" i="7"/>
  <c r="B17" i="7"/>
  <c r="C13" i="7"/>
  <c r="H9" i="7"/>
  <c r="C9" i="7"/>
  <c r="Z47" i="1" l="1"/>
  <c r="AA47" i="1"/>
  <c r="Z49" i="1"/>
  <c r="AA49" i="1"/>
  <c r="Z48" i="1"/>
  <c r="AA48" i="1"/>
  <c r="C10" i="7"/>
  <c r="D16" i="7"/>
  <c r="D14" i="7" s="1"/>
  <c r="F15" i="8" l="1"/>
  <c r="C15" i="8"/>
  <c r="F14" i="8"/>
  <c r="C14" i="8"/>
  <c r="F13" i="8"/>
  <c r="C13" i="8"/>
  <c r="F12" i="8"/>
  <c r="C12" i="8"/>
  <c r="F11" i="8"/>
  <c r="F5" i="8"/>
  <c r="F4" i="8"/>
  <c r="F3" i="8"/>
  <c r="F24" i="8" l="1"/>
  <c r="F19" i="8"/>
  <c r="F21" i="8"/>
  <c r="F20" i="8"/>
  <c r="F18" i="8"/>
  <c r="F22" i="8" l="1"/>
  <c r="C11" i="8"/>
  <c r="C24" i="8" s="1"/>
  <c r="Y46" i="1"/>
  <c r="Y45" i="1"/>
  <c r="Y44" i="1"/>
  <c r="AA44" i="1" s="1"/>
  <c r="Y43" i="1"/>
  <c r="AA43" i="1" s="1"/>
  <c r="Y42" i="1"/>
  <c r="AA42" i="1" s="1"/>
  <c r="Y41" i="1"/>
  <c r="AA41" i="1" s="1"/>
  <c r="Y40" i="1"/>
  <c r="AA40" i="1" s="1"/>
  <c r="Y39" i="1"/>
  <c r="AA39" i="1" s="1"/>
  <c r="Y38" i="1"/>
  <c r="AA38" i="1" s="1"/>
  <c r="Y37" i="1"/>
  <c r="AA37" i="1" s="1"/>
  <c r="Y36" i="1"/>
  <c r="AA36" i="1" s="1"/>
  <c r="Y35" i="1"/>
  <c r="AA35" i="1" s="1"/>
  <c r="Y34" i="1"/>
  <c r="AA34" i="1" s="1"/>
  <c r="Y33" i="1"/>
  <c r="AA33" i="1" s="1"/>
  <c r="Y32" i="1"/>
  <c r="AA32" i="1" s="1"/>
  <c r="Y31" i="1"/>
  <c r="AA31" i="1" s="1"/>
  <c r="Y30" i="1"/>
  <c r="AA30" i="1" s="1"/>
  <c r="Y29" i="1"/>
  <c r="AA29" i="1" s="1"/>
  <c r="Y28" i="1"/>
  <c r="AA28" i="1" s="1"/>
  <c r="Y27" i="1"/>
  <c r="AA27" i="1" s="1"/>
  <c r="Y26" i="1"/>
  <c r="AA26" i="1" s="1"/>
  <c r="Y25" i="1"/>
  <c r="AA25" i="1" s="1"/>
  <c r="Y24" i="1"/>
  <c r="AA24" i="1" s="1"/>
  <c r="Y23" i="1"/>
  <c r="AA23" i="1" s="1"/>
  <c r="Y22" i="1"/>
  <c r="AA22" i="1" s="1"/>
  <c r="Y21" i="1"/>
  <c r="AA21" i="1" s="1"/>
  <c r="Z20" i="1"/>
  <c r="Y20" i="1"/>
  <c r="Y19" i="1"/>
  <c r="AA19" i="1" s="1"/>
  <c r="Y18" i="1"/>
  <c r="AA18" i="1" s="1"/>
  <c r="Y17" i="1"/>
  <c r="AA17" i="1" s="1"/>
  <c r="Y16" i="1"/>
  <c r="Y15" i="1"/>
  <c r="AA15" i="1" s="1"/>
  <c r="Y14" i="1"/>
  <c r="AA14" i="1" s="1"/>
  <c r="Z13" i="1"/>
  <c r="Y13" i="1"/>
  <c r="Y12" i="1"/>
  <c r="AA12" i="1" s="1"/>
  <c r="Y11" i="1"/>
  <c r="Y10" i="1"/>
  <c r="AA10" i="1" s="1"/>
  <c r="Y9" i="1"/>
  <c r="Y8" i="1"/>
  <c r="AA8" i="1" s="1"/>
  <c r="Y7" i="1"/>
  <c r="AA7" i="1" s="1"/>
  <c r="Y6" i="1"/>
  <c r="Y5" i="1"/>
  <c r="Y4" i="1"/>
  <c r="Y3" i="1"/>
  <c r="Y135" i="1" l="1"/>
  <c r="Z12" i="1"/>
  <c r="Z5" i="1"/>
  <c r="AA5" i="1"/>
  <c r="Z4" i="1"/>
  <c r="AA4" i="1"/>
  <c r="Z6" i="1"/>
  <c r="AA6" i="1"/>
  <c r="Z46" i="1"/>
  <c r="AA46" i="1"/>
  <c r="Z3" i="1"/>
  <c r="AA3" i="1"/>
  <c r="Z8" i="1"/>
  <c r="AA9" i="1"/>
  <c r="Z10" i="1"/>
  <c r="AA11" i="1"/>
  <c r="Z15" i="1"/>
  <c r="AA16" i="1"/>
  <c r="Z45" i="1"/>
  <c r="AA45" i="1"/>
  <c r="Z17" i="1"/>
  <c r="Z19" i="1"/>
  <c r="Z22" i="1"/>
  <c r="Z24" i="1"/>
  <c r="Z26" i="1"/>
  <c r="Z28" i="1"/>
  <c r="Z30" i="1"/>
  <c r="Z32" i="1"/>
  <c r="Z34" i="1"/>
  <c r="Z36" i="1"/>
  <c r="Z38" i="1"/>
  <c r="Z40" i="1"/>
  <c r="Z42" i="1"/>
  <c r="Z7" i="1"/>
  <c r="Z9" i="1"/>
  <c r="Z11" i="1"/>
  <c r="Z14" i="1"/>
  <c r="Z16" i="1"/>
  <c r="Z18" i="1"/>
  <c r="Z21" i="1"/>
  <c r="Z23" i="1"/>
  <c r="Z25" i="1"/>
  <c r="Z27" i="1"/>
  <c r="Z29" i="1"/>
  <c r="Z31" i="1"/>
  <c r="Z33" i="1"/>
  <c r="Z35" i="1"/>
  <c r="Z37" i="1"/>
  <c r="Z39" i="1"/>
  <c r="Z41" i="1"/>
  <c r="Z43" i="1"/>
  <c r="C18" i="8"/>
  <c r="C21" i="8"/>
  <c r="C19" i="8"/>
  <c r="C20" i="8"/>
  <c r="Z44" i="1"/>
  <c r="F23" i="8" l="1"/>
  <c r="AA135" i="1"/>
  <c r="Z135" i="1"/>
  <c r="C23" i="8"/>
  <c r="C22" i="8"/>
</calcChain>
</file>

<file path=xl/sharedStrings.xml><?xml version="1.0" encoding="utf-8"?>
<sst xmlns="http://schemas.openxmlformats.org/spreadsheetml/2006/main" count="2151" uniqueCount="841">
  <si>
    <t>Proyecto</t>
  </si>
  <si>
    <t>P.001</t>
  </si>
  <si>
    <t>P.002</t>
  </si>
  <si>
    <t>P.003</t>
  </si>
  <si>
    <t>P.004</t>
  </si>
  <si>
    <t>P.005</t>
  </si>
  <si>
    <t>P.006</t>
  </si>
  <si>
    <t>P.007</t>
  </si>
  <si>
    <t>P.008</t>
  </si>
  <si>
    <t>P.009</t>
  </si>
  <si>
    <t>P.010</t>
  </si>
  <si>
    <t>P.011</t>
  </si>
  <si>
    <t>P.013</t>
  </si>
  <si>
    <t>P.014</t>
  </si>
  <si>
    <t>P.015</t>
  </si>
  <si>
    <t>P.016</t>
  </si>
  <si>
    <t>P.017</t>
  </si>
  <si>
    <t>P.018</t>
  </si>
  <si>
    <t>P.019</t>
  </si>
  <si>
    <t>P.020</t>
  </si>
  <si>
    <t>P.021</t>
  </si>
  <si>
    <t>P.022</t>
  </si>
  <si>
    <t>P.023</t>
  </si>
  <si>
    <t>P.024</t>
  </si>
  <si>
    <t>P.025</t>
  </si>
  <si>
    <t>P.026</t>
  </si>
  <si>
    <t>P.027</t>
  </si>
  <si>
    <t>P.028</t>
  </si>
  <si>
    <t>P.029</t>
  </si>
  <si>
    <t>P.030</t>
  </si>
  <si>
    <t>P.031</t>
  </si>
  <si>
    <t>P.032</t>
  </si>
  <si>
    <t>P.033</t>
  </si>
  <si>
    <t>P.034</t>
  </si>
  <si>
    <t>P.035</t>
  </si>
  <si>
    <t>P.036</t>
  </si>
  <si>
    <t>P.037</t>
  </si>
  <si>
    <t>P.038</t>
  </si>
  <si>
    <t>P.039</t>
  </si>
  <si>
    <t>P.040</t>
  </si>
  <si>
    <t>Cliente</t>
  </si>
  <si>
    <t>Gestor</t>
  </si>
  <si>
    <t>Descripción</t>
  </si>
  <si>
    <t>Fecha de Solicitud</t>
  </si>
  <si>
    <t>Estado</t>
  </si>
  <si>
    <t>Fecha de Entrega</t>
  </si>
  <si>
    <t>Observaciones</t>
  </si>
  <si>
    <t>Prioridad</t>
  </si>
  <si>
    <t>Aprobado</t>
  </si>
  <si>
    <t>HLC</t>
  </si>
  <si>
    <t>DSC</t>
  </si>
  <si>
    <t>M</t>
  </si>
  <si>
    <t>A</t>
  </si>
  <si>
    <t>Ecopetrol</t>
  </si>
  <si>
    <t>Inder</t>
  </si>
  <si>
    <t>Tornillo transportador</t>
  </si>
  <si>
    <t>Referencia</t>
  </si>
  <si>
    <t>Elevador de cangilones</t>
  </si>
  <si>
    <t>Tecnintegral</t>
  </si>
  <si>
    <t>R</t>
  </si>
  <si>
    <t>Cemex</t>
  </si>
  <si>
    <t>FAP</t>
  </si>
  <si>
    <t>Banda transportadora</t>
  </si>
  <si>
    <t>Banda transportadora con puente con doble pasarela</t>
  </si>
  <si>
    <t>Pulverizado Manizales</t>
  </si>
  <si>
    <r>
      <t>Tornillo con L = 2 m; Q = 50 kg/min; densidad = 2,6 kg/dm</t>
    </r>
    <r>
      <rPr>
        <sz val="10"/>
        <color theme="1"/>
        <rFont val="Calibri"/>
        <family val="2"/>
      </rPr>
      <t>³</t>
    </r>
  </si>
  <si>
    <t>Infatel</t>
  </si>
  <si>
    <t>AGM</t>
  </si>
  <si>
    <t>Tornillo con D = 400 mm; Tipo = canoa; L = 2 m</t>
  </si>
  <si>
    <t>Jorge Bernal</t>
  </si>
  <si>
    <t>Banda transportadora horizontal de 24" x 18 m, banda horizontal de 36" x 12 m</t>
  </si>
  <si>
    <t>Cooper Crouse-Hinds</t>
  </si>
  <si>
    <t>Fecha Estimada</t>
  </si>
  <si>
    <t>Tambor secador</t>
  </si>
  <si>
    <t>Tener muy en cuenta que el material a manejar es caliente, por lo tanto, no puede girar sobre ruedas, debe estar sobre laminas roladas.</t>
  </si>
  <si>
    <t>Revisión</t>
  </si>
  <si>
    <t>Central de Combustibles</t>
  </si>
  <si>
    <t>Dificultad</t>
  </si>
  <si>
    <t>Concepto</t>
  </si>
  <si>
    <t>Explicación</t>
  </si>
  <si>
    <t>R1, R2, …</t>
  </si>
  <si>
    <t>FAP, DSC</t>
  </si>
  <si>
    <t>Referencia cada uno de los gestores comerciales por las primeras letras de sus nombres, en ese caso FAP = Fredy Alexander Puentes</t>
  </si>
  <si>
    <t>A, M, B</t>
  </si>
  <si>
    <t>1, 2, 3, 5, …</t>
  </si>
  <si>
    <t>20%, 45%</t>
  </si>
  <si>
    <t>Es la fecha en la que se supone será entregado el presupuesto al gestor comercial, o la cotización al cliente.</t>
  </si>
  <si>
    <t>Fecha Entrega</t>
  </si>
  <si>
    <t>Determina la cantidad de veces que se revisa y corrige un presupuesto para mejorarlo, no aplican cambios realizados sobre la marcha respecto a equipos medidas cantidades, etc.
Recibida una revisión del presupuesto, debe aumentarse el contador para continuar el registro.</t>
  </si>
  <si>
    <t>Tornillo transportador 
Banda Transportadora
Elevador de Cangilones</t>
  </si>
  <si>
    <t>Banda …</t>
  </si>
  <si>
    <t>A, R, C.</t>
  </si>
  <si>
    <t>FB</t>
  </si>
  <si>
    <t>MT</t>
  </si>
  <si>
    <t>OC</t>
  </si>
  <si>
    <t>CE</t>
  </si>
  <si>
    <t>X</t>
  </si>
  <si>
    <t>Alcance</t>
  </si>
  <si>
    <t>FB, OC, …</t>
  </si>
  <si>
    <t>R2</t>
  </si>
  <si>
    <t>2 tambores secadores de acuerdo a especificaciones del manual.</t>
  </si>
  <si>
    <t>Elevador de Cangilones
Tornillo transportador</t>
  </si>
  <si>
    <t>C</t>
  </si>
  <si>
    <t>Gyplac</t>
  </si>
  <si>
    <t>Equipos</t>
  </si>
  <si>
    <t>Nombre</t>
  </si>
  <si>
    <t>Elevador de cangilones
Silo</t>
  </si>
  <si>
    <t>Silo</t>
  </si>
  <si>
    <t>Trituradora</t>
  </si>
  <si>
    <t>Coposa</t>
  </si>
  <si>
    <t>Distintos tornillos transportadores de acuerdo a especificaciones de clientes.</t>
  </si>
  <si>
    <t>B</t>
  </si>
  <si>
    <t xml:space="preserve">A espera de confirmación de datos de operación por parte del cliente.
Es necesario cotizar el montaje y dar un listado de precios al cliente
</t>
  </si>
  <si>
    <t>P.041</t>
  </si>
  <si>
    <t>Calculo de potencias para banda transportadora.</t>
  </si>
  <si>
    <t>Tecnopotencia</t>
  </si>
  <si>
    <t>Proyecto No.</t>
  </si>
  <si>
    <t>Estado:</t>
  </si>
  <si>
    <t>Comercial</t>
  </si>
  <si>
    <t>Alfredo Gomez</t>
  </si>
  <si>
    <t>Fredy Alexander Puentes</t>
  </si>
  <si>
    <t>David Salamanca Cubillos</t>
  </si>
  <si>
    <t>JMR</t>
  </si>
  <si>
    <t>Jose Miguel Romo</t>
  </si>
  <si>
    <t>JSE</t>
  </si>
  <si>
    <t>Julian Salamanca Espinosa</t>
  </si>
  <si>
    <t>NGM</t>
  </si>
  <si>
    <t>Nestor Gaitan Mora</t>
  </si>
  <si>
    <t>Reprobado</t>
  </si>
  <si>
    <t>Cancelado</t>
  </si>
  <si>
    <t>PR</t>
  </si>
  <si>
    <t>PD</t>
  </si>
  <si>
    <t>Referencias de Tabla</t>
  </si>
  <si>
    <t>Cliente:</t>
  </si>
  <si>
    <t>Gestor:</t>
  </si>
  <si>
    <t>Equipos:</t>
  </si>
  <si>
    <t>P</t>
  </si>
  <si>
    <t>Proceso</t>
  </si>
  <si>
    <t>Rubros Trabajados:</t>
  </si>
  <si>
    <t>Presupuesto</t>
  </si>
  <si>
    <t>Prediseño</t>
  </si>
  <si>
    <t>Fabricación</t>
  </si>
  <si>
    <t>Mantenimiento</t>
  </si>
  <si>
    <t>Obra Civil</t>
  </si>
  <si>
    <t>Controles Electricos</t>
  </si>
  <si>
    <t>Presupuesto de los elementos</t>
  </si>
  <si>
    <t>Prediseño o calculos de ingenieria</t>
  </si>
  <si>
    <t>Fabricación de elementos</t>
  </si>
  <si>
    <t>Montaje de elementos</t>
  </si>
  <si>
    <t>Obras civiles</t>
  </si>
  <si>
    <t>Controles electricos</t>
  </si>
  <si>
    <t>P.042</t>
  </si>
  <si>
    <t>Segunda etapa del proceso de licitación.</t>
  </si>
  <si>
    <t>MB</t>
  </si>
  <si>
    <t>MA</t>
  </si>
  <si>
    <t>Muy Baja</t>
  </si>
  <si>
    <t>Baja</t>
  </si>
  <si>
    <t>Media</t>
  </si>
  <si>
    <t>Alta</t>
  </si>
  <si>
    <t>Muy Alta</t>
  </si>
  <si>
    <t>Responder todas las preguntas asociadas al tema.</t>
  </si>
  <si>
    <t>Prioridad:</t>
  </si>
  <si>
    <t>P.043</t>
  </si>
  <si>
    <t>Bulktrading</t>
  </si>
  <si>
    <t>Banda transportadora
Trituradora
Tolva de alimentación</t>
  </si>
  <si>
    <t>Tolva con capacidad de 2 a 3 m³. Q de 20 TPH y tamaño de grano 14" de entrada salida 2"</t>
  </si>
  <si>
    <t>Pedir información a fredy referente a los trituradores</t>
  </si>
  <si>
    <t>FL</t>
  </si>
  <si>
    <t>Fecha Limite</t>
  </si>
  <si>
    <t>Si esta casilla se encuentra marcada, indica que la fecha estimada corresponde al limite de presentación de la propuesta.</t>
  </si>
  <si>
    <t>Marcador</t>
  </si>
  <si>
    <t>Marcador de pertenecia o check</t>
  </si>
  <si>
    <t>P.044</t>
  </si>
  <si>
    <t>Tornillo transportador
Banda transportadora</t>
  </si>
  <si>
    <t>Tornillo transportador Q 500 kg/h, 1,7 m.
Banda transportadora 13 m, 800 mm, Q 2 tph.</t>
  </si>
  <si>
    <t>D-4000-12</t>
  </si>
  <si>
    <t>Cotización</t>
  </si>
  <si>
    <t>CNR</t>
  </si>
  <si>
    <t>Banda Transportadora</t>
  </si>
  <si>
    <t>Banda alimentadora para equipos THOR</t>
  </si>
  <si>
    <t>D-2995-11</t>
  </si>
  <si>
    <t>Componente de banda</t>
  </si>
  <si>
    <t>Estaciones de carga, impacto, retorno, auto alineantes.</t>
  </si>
  <si>
    <t>D-2991-11</t>
  </si>
  <si>
    <t>Pacific Iron</t>
  </si>
  <si>
    <t>Calculo de potencias para bandas transportadoras del proyecto Pacific Iron</t>
  </si>
  <si>
    <t>Se hacen dos nuevas revisiones a las potencias debido a cambios realizados por el cliente.</t>
  </si>
  <si>
    <t>Calculo de potencias para banda transportadora. 70 tph, 30 m.</t>
  </si>
  <si>
    <t>Banda transportadora 1750 m</t>
  </si>
  <si>
    <t>Banda transportadora
Tolva
Chutes</t>
  </si>
  <si>
    <t>D-3002-12</t>
  </si>
  <si>
    <t>Sime Ingenieros</t>
  </si>
  <si>
    <t>Rodillos CEMA B.</t>
  </si>
  <si>
    <t>D-3004-12</t>
  </si>
  <si>
    <t>Universidad Nacional</t>
  </si>
  <si>
    <t>Secador solar</t>
  </si>
  <si>
    <t>Secador solar de acuerdo a indicaciones de planos.</t>
  </si>
  <si>
    <t>D-3012-12</t>
  </si>
  <si>
    <t>D-2992-11</t>
  </si>
  <si>
    <t>Cerro Matoso</t>
  </si>
  <si>
    <t>Servicios</t>
  </si>
  <si>
    <t>High Class Corporation</t>
  </si>
  <si>
    <t>Cama de rodillos</t>
  </si>
  <si>
    <t>Fabricación de cama de rodillos para muebles.</t>
  </si>
  <si>
    <t>Se transfiere el presupuesto al gestor comercial</t>
  </si>
  <si>
    <t>D-3025-12</t>
  </si>
  <si>
    <t>Prestación de servicios en mantenimiento de estaciones, raspadores primarios y secundarios.</t>
  </si>
  <si>
    <t>D-3038-12</t>
  </si>
  <si>
    <t>R4</t>
  </si>
  <si>
    <t>Zaranda</t>
  </si>
  <si>
    <t>Zaranda 5' x 16' x 3 deck</t>
  </si>
  <si>
    <t>Se transfiere el caso al gestor comercial</t>
  </si>
  <si>
    <t>Zaranda
Tornillo transportador</t>
  </si>
  <si>
    <t>Equipos en acero inoxidable, Zaranda 3' x 6' x 2 deck, tornillo transportador 2 TPH x 2 m, tornillo transportador 2 TPH x 6 m.</t>
  </si>
  <si>
    <t>R1</t>
  </si>
  <si>
    <t>D-3050-12</t>
  </si>
  <si>
    <t>Zaranda 4' x 14' horizontal y zaranda 5' x 16' horizontal</t>
  </si>
  <si>
    <t>D-3021-12</t>
  </si>
  <si>
    <t>Denis Pedraza</t>
  </si>
  <si>
    <t>Bujes</t>
  </si>
  <si>
    <t>Bujes bipartidos para centrador de tornillos en SAE-64</t>
  </si>
  <si>
    <t>D-3049-12</t>
  </si>
  <si>
    <t>Ingeocc</t>
  </si>
  <si>
    <t>Mallas</t>
  </si>
  <si>
    <t>Mallas para noria</t>
  </si>
  <si>
    <t>El cliente desconoce las dimensiones exactas de las mallas, por lo tanto quedamos a espera de su respuesta en el tema.</t>
  </si>
  <si>
    <t>D-3061-12</t>
  </si>
  <si>
    <t>Vulcatec</t>
  </si>
  <si>
    <t>Caucho</t>
  </si>
  <si>
    <t>Cauchos linatex de distintos espesores</t>
  </si>
  <si>
    <t>D-3058-12</t>
  </si>
  <si>
    <t>Codecam</t>
  </si>
  <si>
    <t xml:space="preserve">Tornillo transportador horizontal de 1,5 m </t>
  </si>
  <si>
    <t>D-3068-12</t>
  </si>
  <si>
    <t>Repuestos</t>
  </si>
  <si>
    <t>Repuestos para equipo THOR</t>
  </si>
  <si>
    <t>Israel Navarro</t>
  </si>
  <si>
    <t>Se le solicitó al cliente completar la información de dicho proyecto, sin obtener respuesta alguna.</t>
  </si>
  <si>
    <t>-</t>
  </si>
  <si>
    <t>Banda transportadora 40 m</t>
  </si>
  <si>
    <t>D-4532-12</t>
  </si>
  <si>
    <t>Calderas ITC</t>
  </si>
  <si>
    <t>Stacker para tornillo transportador Ø 5" de dimensiones especificadas en plano.</t>
  </si>
  <si>
    <t>Se realiza actualización de la cotización para fines de compra.</t>
  </si>
  <si>
    <t>D-3069-12</t>
  </si>
  <si>
    <t>La información suministrada por el cliente es confusa e incompleta.</t>
  </si>
  <si>
    <t>Inversiones Huza</t>
  </si>
  <si>
    <t>Componentes para banda transportadora</t>
  </si>
  <si>
    <t>Cotizar de acuerdo a planos suministrados el valor por tramo para distintos tipos de tornillos</t>
  </si>
  <si>
    <t>Superamos el tiempo limite para entrega de cotización.</t>
  </si>
  <si>
    <t>No. Presupuestos</t>
  </si>
  <si>
    <t>No. Aprobados</t>
  </si>
  <si>
    <t>No. Cancelados</t>
  </si>
  <si>
    <t>No. Rechazados</t>
  </si>
  <si>
    <t>No. Proceso</t>
  </si>
  <si>
    <t>Indice Aprobados</t>
  </si>
  <si>
    <t>Indice Cancelados</t>
  </si>
  <si>
    <t>Indice Proceso</t>
  </si>
  <si>
    <t>Indice rechazados</t>
  </si>
  <si>
    <t>Indice</t>
  </si>
  <si>
    <t>Valor</t>
  </si>
  <si>
    <t>Total</t>
  </si>
  <si>
    <t>Cantidad</t>
  </si>
  <si>
    <t>Fecha inicial</t>
  </si>
  <si>
    <t>Fecha final</t>
  </si>
  <si>
    <t>Primer Registro</t>
  </si>
  <si>
    <t>Ultimo Registro</t>
  </si>
  <si>
    <t>ΔT</t>
  </si>
  <si>
    <t>Tiempo Prom.</t>
  </si>
  <si>
    <t>Proyectos / Día</t>
  </si>
  <si>
    <t>Actual</t>
  </si>
  <si>
    <t>ΔTxDif</t>
  </si>
  <si>
    <t>P.045</t>
  </si>
  <si>
    <t>Colceramica</t>
  </si>
  <si>
    <t>Mesa de rodillos</t>
  </si>
  <si>
    <t>P.046</t>
  </si>
  <si>
    <t>Pantalla de impacto</t>
  </si>
  <si>
    <t>P.047</t>
  </si>
  <si>
    <t>Sicmec Ltda</t>
  </si>
  <si>
    <t>Precios de rodilleria y tambores de cabeza</t>
  </si>
  <si>
    <t>P.048</t>
  </si>
  <si>
    <t>Agregados</t>
  </si>
  <si>
    <t>Calculo y comparación de capacidades para bandas transportadora de 24" y 18" con longitud de 11 m</t>
  </si>
  <si>
    <t>Todos los precios deben ser nacionales</t>
  </si>
  <si>
    <t>P.049</t>
  </si>
  <si>
    <t>Quemador</t>
  </si>
  <si>
    <t>Quemador para secador solar</t>
  </si>
  <si>
    <t>D-2173-11</t>
  </si>
  <si>
    <t>D-3176-12</t>
  </si>
  <si>
    <t>Provias</t>
  </si>
  <si>
    <t>P.050</t>
  </si>
  <si>
    <t>Carbosocha</t>
  </si>
  <si>
    <t>P.051</t>
  </si>
  <si>
    <t>Tercera etapa de aclaraciones en el proceso de mantenimiento de componentes de banda</t>
  </si>
  <si>
    <t>Calculo para banda de 24" x 160 m x 0°
Y Banda 24" x 10 m x 0°
Ambas con capacidad de 50 TPH</t>
  </si>
  <si>
    <t>En esta casilla debe ser agregada una lista de los equipos solicitados para la cotización, deben ser nombres concisos y no deben contener detalles de ningún tipo:
Banda transportadora
Tornillo transportador
Triturador de mandíbulas.
Adicionalmente los nombres deben estar en singular y separados por cambios de línea.
No se deben especificar cantidades.</t>
  </si>
  <si>
    <t>Determina la prioridad de la solicitud de cotización, expresada por medio del gestor o la persona de presupuestos, es un factor decisivo a la hora de organizar las jornadas laborales en torno a la cotización de equipos.</t>
  </si>
  <si>
    <t>Un numero de 1 a 10 donde 1 es muy fácil y 10 , muy complejo, lo determina la persona encargada del presupuesto en la medida de que su experiencia adquirida.</t>
  </si>
  <si>
    <t>Determina el porcentaje de avance del presupuesto en términos numéricos, un presupuesto nunca puede estar al 100% sin su aprobación.</t>
  </si>
  <si>
    <t>Es la fecha en la que se recibe la aprobación del presupuesto ó en la que se envía la cotización al cliente.</t>
  </si>
  <si>
    <t>Aprobación</t>
  </si>
  <si>
    <t>A = Aprobado
Implica que el presupuestos ha sido ó será pasado al cliente en formato de cotización.
R = Reprobado
Una alta deficiencia ha hecho que el presupuesto deba ser reevaluado.
C = Cancelado
El gestor comercial o el cliente ya no requieren el presupuesto, por lo tanto ha sido cancelado.
P = Proceso
La cotización se encuentra en proceso</t>
  </si>
  <si>
    <t>Símbolos</t>
  </si>
  <si>
    <t>Se envía la comparación para sustentar la selección del equipo de 24".
Se agrega solicitud de precios de motores de 5HP</t>
  </si>
  <si>
    <t>Cerrejón</t>
  </si>
  <si>
    <t>Responder a las inquietudes presentadas por el Cerrejón</t>
  </si>
  <si>
    <t>Dicomo Ingeniería Ltda</t>
  </si>
  <si>
    <t>Cemex Bucaramanga</t>
  </si>
  <si>
    <t>Salgano Meléndez y Asociados</t>
  </si>
  <si>
    <t>Bandas transportadoras de acuerdo a especificaciones, tolvas de transferencia, y chutes de sobretamaños.</t>
  </si>
  <si>
    <t>Solo se envión información de personal y financiera para la creación del consorcio.</t>
  </si>
  <si>
    <t>Prestación de servicios de ingeniería, en consorcio con empresa.</t>
  </si>
  <si>
    <t>Ingeniería de Vías</t>
  </si>
  <si>
    <t>Brinza S.A.</t>
  </si>
  <si>
    <t>Industrias Protón</t>
  </si>
  <si>
    <t>Se ha usado un factor de servicio de 1,5 para el calculo del peso de la estructura. Finalmente se ha enviado la versión final a Fredy para su revisión y envió.</t>
  </si>
  <si>
    <t>Elevadores de cangilones para proyecto de Nicaragua.</t>
  </si>
  <si>
    <t>La solicitud de cotización correspondía a un proyecto manejado directamente con el cliente.</t>
  </si>
  <si>
    <t>Solo fue posible cotizar los tipos estándar debido a que los planos debían ser entregados en la fecha limite.</t>
  </si>
  <si>
    <t>2 Tornillos transportadores, 2 bandas subterráneas, 1 elevador de cangilones. Para circuito cerrado de 2,5 T/h</t>
  </si>
  <si>
    <t>Los dos tornillos transportadores son reemplazados por un elevador de cangilones y una compuerta neumática de alimentación.
El cliente no respondió a las inquietudes respecto a la distribución de la planta.</t>
  </si>
  <si>
    <t>3 bandas transportadoras con longitud de 15 m y ΔH 6 m ó Una sola banda con cambios de material.</t>
  </si>
  <si>
    <t xml:space="preserve">Doble mesa vertical con doble rodillo, retráctil para facilitar </t>
  </si>
  <si>
    <t>Pantallas de impacto para Molino impactor MIS-40.
Pantallas antidesgaste laterales y sistemas tensores.</t>
  </si>
  <si>
    <t>Se cotizará teniendo en cuenta información de ventas anteriores. Además de los planos para las pantallas de impacto.
Se agrega el requerimiento de las pantallas laterales antidesgaste y los sistemas tensores.
El cliente es referenciado como Napoleón Gutiérrez</t>
  </si>
  <si>
    <t>Canal de Panamá</t>
  </si>
  <si>
    <t>ΔT/Dif</t>
  </si>
  <si>
    <t>ΔT/10</t>
  </si>
  <si>
    <t>P.052</t>
  </si>
  <si>
    <t>Cotización de banda transportadora 24" x 10 m x 0°.
Rodillos CEMA C 5" @ 35°, tambores de cabeza y cola 12"</t>
  </si>
  <si>
    <t>No. Prediseños</t>
  </si>
  <si>
    <t>No. Montajes</t>
  </si>
  <si>
    <t>No. Fabricación</t>
  </si>
  <si>
    <t>No. Obra Civil</t>
  </si>
  <si>
    <t>No. Controles Elec</t>
  </si>
  <si>
    <t>Ind. Presupuestos</t>
  </si>
  <si>
    <t>Ind. Prediseños</t>
  </si>
  <si>
    <t>Ind. Montajes</t>
  </si>
  <si>
    <t>Ind. Fabricación</t>
  </si>
  <si>
    <t>Ind. Obra Civil</t>
  </si>
  <si>
    <t>Ind. Control Elec.</t>
  </si>
  <si>
    <t>P.053</t>
  </si>
  <si>
    <t>Smart Concrete</t>
  </si>
  <si>
    <t>Banda para agregados, 190 tph con altura de salida de 4 m y angulo max de 17°</t>
  </si>
  <si>
    <t>No se solicita cotizar potencia ni soportes para la banda</t>
  </si>
  <si>
    <t>D-3193-12</t>
  </si>
  <si>
    <t>Ya existen antecedentes de cotización, para CAV se cotizó algo similar.
Se realizan planos de prediseño y cotización</t>
  </si>
  <si>
    <t>Uso</t>
  </si>
  <si>
    <t>Digite las iniciales del gestor para asignar a la celda con su correspondiente gestor del proyecto.
De hacer falta la creación de un nuevo gestor, diríjase a la pestaña "Referencias" o busque la tabla "Comerciales" y agregue al final las iniciales y el nombre del gestor comercial, con esto podrá usarlo en la casilla.</t>
  </si>
  <si>
    <t>Asigne con una "X" los campos que deben ser considerados a la hora de realizar el presupuesto.</t>
  </si>
  <si>
    <t xml:space="preserve">Agregue un listado de los equipos solicitados, separados por cambios de línea y en singular, además evite </t>
  </si>
  <si>
    <t>P.054</t>
  </si>
  <si>
    <t xml:space="preserve">Rodillos de carga, impacto y retorno de 4 1/2" para banda de 24" @ 35°, con puntas estandar </t>
  </si>
  <si>
    <t>P.055</t>
  </si>
  <si>
    <t>Dismet S.A.S.</t>
  </si>
  <si>
    <t>Proyecto ERP</t>
  </si>
  <si>
    <t>Crear con ayuda del ingeniero Ronald y Mauricio Silva, los parametros generales de creación de materiales para el ERP</t>
  </si>
  <si>
    <t>P.056</t>
  </si>
  <si>
    <t>CANAC Ltda</t>
  </si>
  <si>
    <t>Componentes para banda transportadora de 20"
Estación de carga, retorno e impacto de 3 1/2" x 23" con eje de 20 mm.</t>
  </si>
  <si>
    <t>No disponemos de componenetes para banda transportadora de 20"</t>
  </si>
  <si>
    <t>P.057</t>
  </si>
  <si>
    <t>Mancofer</t>
  </si>
  <si>
    <t>WAV</t>
  </si>
  <si>
    <t>William Alonso Vargas</t>
  </si>
  <si>
    <t>Rodillo de impacto de 7" x 4 1/2" con eje de 11" x 1/2"
Rodillo de retorno 56 cm x 4 1/2" con eje 20 mm x 64 cm</t>
  </si>
  <si>
    <t>P.058</t>
  </si>
  <si>
    <t>Estaciones triples de carga para bandas de 30", 24" y 20" @ 35°</t>
  </si>
  <si>
    <t>Agrecar</t>
  </si>
  <si>
    <t>D-3222-12</t>
  </si>
  <si>
    <t>P.059</t>
  </si>
  <si>
    <t>Estaciones de carga 4 1/2" x 290 x 330 (Cant. 60) y estaciones de retorno 4 1/2" x 860 x 1200 (Cant. 12)</t>
  </si>
  <si>
    <t>Agregados Nacionales</t>
  </si>
  <si>
    <t>P.060</t>
  </si>
  <si>
    <t>Ingeacabados</t>
  </si>
  <si>
    <t>Banda transportadora de 24" x 7.2 m @ 0°,banda de 390mm x 5 m @ 2,4 m (descarga) y banda de 710 mm x 5.5 m @ 1.4 m</t>
  </si>
  <si>
    <t>Esperar confirmación por Fredi para cotizar, el cliente es de medellin.</t>
  </si>
  <si>
    <t>DC</t>
  </si>
  <si>
    <t>P.061</t>
  </si>
  <si>
    <t>Eduardo Zuñiga</t>
  </si>
  <si>
    <t>creación de OT para 2 tornillos sin fin iguales a los referenciados en la OT-1447</t>
  </si>
  <si>
    <t>Se debe enviar la factura al correo  facesas.zs@gmail.com Ant. Florinda</t>
  </si>
  <si>
    <t>D-3224-12</t>
  </si>
  <si>
    <t>DC = Documentación
El proyecto requiere tramites de documentación como informes, APU's, entre otros
PR = Presupuesto
Requiere la elaboración de presupuesto
PD = Prediseño
Es necesaria la realización de cálculos para desarrollar las actividades del proyecto
FB = Fabricación
Implica la fabricación del equipo solicitado
MT = Montaje
El proyecto implica montaje del equipo
OC = Obra Civil
Es necesario tener en cuenta en el presupuesto obras civiles
CE = Controles Eléctricos
Adicionalmente es necesario agregar controles eléctricos, los cuales deben ser cotizados por terceros.</t>
  </si>
  <si>
    <t>P.062</t>
  </si>
  <si>
    <t>John Ripper</t>
  </si>
  <si>
    <t>Tornillo transportador de 12" x 1200 mm paso de 10" y punta de eje de potencia de 1 1/2"</t>
  </si>
  <si>
    <t>P.063</t>
  </si>
  <si>
    <t>Industrias Metalmecanicas Jose A. Molano</t>
  </si>
  <si>
    <t>Cama de rodillos de 38 cm de ancho x 80 cm de largo para manejo de bandejas de 13 kg</t>
  </si>
  <si>
    <t>P.064</t>
  </si>
  <si>
    <t>Cliensa</t>
  </si>
  <si>
    <t>Rodillos de acuerdo a lo solicitado por el cliente:
10 limpiantes de retorno, 24 de carga, 33 de impacto, 30 de retorno y 17 estaciones para banda de 24".
8 lipiantes de retorno, 18 de carga, 12 de impacto, 9 de retorno para banda de 30.</t>
  </si>
  <si>
    <t>Enviar cotización al correo imjosemolano@yahoo.es
El tipo de aplicación no es pertinente al foco de negocio de Dismet S.A.S.</t>
  </si>
  <si>
    <t>Tener en cuenta la cotización anterior para U.N y aumentar los precios.
El cliente no tiene clara la compra del equipo y por tal motivo se cancela.</t>
  </si>
  <si>
    <t>P.065</t>
  </si>
  <si>
    <t>Bandas transportadoras de acuerdo a especificaciones:
30" x 25 m, 30" x 23 m, 24" x 18 m, 24" x 12 m, 24" x 15 m, 24" x 45 m</t>
  </si>
  <si>
    <t>P.066</t>
  </si>
  <si>
    <t>Fiberglass</t>
  </si>
  <si>
    <t xml:space="preserve">Rodillos de carga 3" x 170 mm x 220 mm - Cant. 20.
Rodillos de retorno 3" x 570 mm x 650 mm - Cant. </t>
  </si>
  <si>
    <t>El proceso es tomado por Fredy en vista de mi ausencia.</t>
  </si>
  <si>
    <t>D-3240-12</t>
  </si>
  <si>
    <t>P.067</t>
  </si>
  <si>
    <t>Elevador de cangilones en acero inoxidable, ramba de acceso y tolva de alimentación</t>
  </si>
  <si>
    <t>Carboquimica</t>
  </si>
  <si>
    <t>D-3244-12</t>
  </si>
  <si>
    <t>P.068</t>
  </si>
  <si>
    <t>LHS</t>
  </si>
  <si>
    <t>Rodillo de retorno 4 1/2" x 850 x 890 mm, con cuadrante de 1/2"</t>
  </si>
  <si>
    <t>D-3248-12</t>
  </si>
  <si>
    <t>P.069</t>
  </si>
  <si>
    <t>Pacific Stone</t>
  </si>
  <si>
    <t>Banda transportadora
Elevador de cangilones</t>
  </si>
  <si>
    <t>Bandas transportadoras, elevadores de cangilones molinos de impacto chutes y estructuras en general de acuerdo a las especificaciones del cliente.</t>
  </si>
  <si>
    <t>P.070</t>
  </si>
  <si>
    <t>D-3259-12</t>
  </si>
  <si>
    <t>P.071</t>
  </si>
  <si>
    <t>Trailersman</t>
  </si>
  <si>
    <t>Estación de carga 4" para banda de 24" Cant. 11. Estación de retorno 4" con soporte para banda de 24" Cant. 4. Tambor de Cabeza 12" encauchetado eje 2" 1045. Tambor de cola 12" aspas, eje 2" 1045 Cant. 1. Tambor de cola 12" aspas, eje 2" 1045 Cant. 1. Tensor cantonera, tornillo cincado 1", par.</t>
  </si>
  <si>
    <t>D-3261-12</t>
  </si>
  <si>
    <t>Herrera Ingenieria</t>
  </si>
  <si>
    <t>D-3410-12</t>
  </si>
  <si>
    <t>50 rodillos para banda de 24" de longitud 9 1/2"</t>
  </si>
  <si>
    <t>P.072</t>
  </si>
  <si>
    <t>P.073</t>
  </si>
  <si>
    <t>Pavimentos Colombia</t>
  </si>
  <si>
    <t>Tornillos de 12" x 32' Cant. 2</t>
  </si>
  <si>
    <t>Tener en cuenta los planos enviados por el cliente.</t>
  </si>
  <si>
    <t>Manpro</t>
  </si>
  <si>
    <t>Tornillo para capacidad de 25 tph 8,6 m @ 0º Cant. 1
70 tph 7,0 m @ 0º Cant. 1 
25 tph 4,4 m @ 0º Cant. 1
25 tph 4,4 m @ 0º Cant. 1</t>
  </si>
  <si>
    <t>P.074</t>
  </si>
  <si>
    <t>Actualización de los precios ofertados a Pacific Stone, incluyendo pasarelas</t>
  </si>
  <si>
    <t>P.075</t>
  </si>
  <si>
    <t>ABC Plasticos</t>
  </si>
  <si>
    <t>Rodillos de 2" x 800 mm en dostipos: encauchetado y normal.</t>
  </si>
  <si>
    <t>No se oferta encauchetado, pero se propone el uso de cauchos de impacto.</t>
  </si>
  <si>
    <t>R3</t>
  </si>
  <si>
    <t>P.076</t>
  </si>
  <si>
    <t>D-3276-12</t>
  </si>
  <si>
    <t>D-3282-12</t>
  </si>
  <si>
    <t>P.077</t>
  </si>
  <si>
    <t>Banda transportadora
Elevador de cangilones
Tornillo transportador</t>
  </si>
  <si>
    <t>Revisar el tema a las cubiertas para poder completar adecuadamente la oferta.</t>
  </si>
  <si>
    <t>Basarse en el presupuesto realizado para P.074</t>
  </si>
  <si>
    <t>P.078</t>
  </si>
  <si>
    <t>Montaje</t>
  </si>
  <si>
    <t>Montaje de placas de impacto para molino MIS-40</t>
  </si>
  <si>
    <t>D-3287-12</t>
  </si>
  <si>
    <t>P.079</t>
  </si>
  <si>
    <t>Agreganos Nacionales</t>
  </si>
  <si>
    <t>Repuestos para trituradora CT1252</t>
  </si>
  <si>
    <t>OT-1526</t>
  </si>
  <si>
    <t>P.080</t>
  </si>
  <si>
    <t>OT-1527</t>
  </si>
  <si>
    <t>P.081</t>
  </si>
  <si>
    <t>Conalcreto Ltda</t>
  </si>
  <si>
    <t>10 estaciones de carga B35-24 y 7 estaciones de retorno CR-24.</t>
  </si>
  <si>
    <t>3 Artesas de impacto, 18 Artesas de carga, 5 de retorno, 2 de tambores de cabeza y 2 tambores de cola.</t>
  </si>
  <si>
    <t>P.082</t>
  </si>
  <si>
    <t>Tornillo transportador de 6" x 2,5 m ducto de entrada de longitud 1000 mm</t>
  </si>
  <si>
    <t>D-3294-12</t>
  </si>
  <si>
    <t>P.083</t>
  </si>
  <si>
    <t>Rodillo de carga 4 1/2" x 15", rodillo  de impacto 4 1/2" x 15", rodillo de retorno 48", Todos con puntas hexagonales</t>
  </si>
  <si>
    <t>Se suministran los precios a FAP</t>
  </si>
  <si>
    <t>P.084</t>
  </si>
  <si>
    <t>Componente de banda
Zaranda</t>
  </si>
  <si>
    <t>Componentes para banda de 30" x 20 m.
Zaranda de 1,5 x 4,5 m - 2 deck</t>
  </si>
  <si>
    <t>P.085</t>
  </si>
  <si>
    <t>Calculos de potencia para 12 bandas transportadoras.</t>
  </si>
  <si>
    <t>Se envian los datos de potencias calculadas al gestor comercial.</t>
  </si>
  <si>
    <t>Se hace la entrega de todos los datos referentes al listado maestro de materiales, y concernientes al alcance del departamento de presupuestos.</t>
  </si>
  <si>
    <t>Se vence el tiempo de cotización.</t>
  </si>
  <si>
    <t>Se cunple el tiempo maximo de recepción de cotización.</t>
  </si>
  <si>
    <t>D-3301-12</t>
  </si>
  <si>
    <t>Se envia similar a la cotización realizada con anterioridad.</t>
  </si>
  <si>
    <t>P.086</t>
  </si>
  <si>
    <t>Improintec</t>
  </si>
  <si>
    <t>Enviar información de las zarandas TRIO y las zarandas fabricadas por Dismet, tambien la información requerida para poder realizar una cotización.</t>
  </si>
  <si>
    <t>Se envia información a la espera de recibir retroalimentación en los proximos días.</t>
  </si>
  <si>
    <t>P.087</t>
  </si>
  <si>
    <t>Coel Ingenieria Ltda</t>
  </si>
  <si>
    <t>Tornillo transportador para dosificación de concreto 20 tph.
Longitud 4100 mm Cant. 1
Longitud 6000 mm Cant. 1
Inclinación 17º, diam. 8"</t>
  </si>
  <si>
    <t>Enviar a correo:
alozano@coelingenieria.com
4073737 - 3166469499</t>
  </si>
  <si>
    <t>P.088</t>
  </si>
  <si>
    <t xml:space="preserve">Tonillos con las siguientes caracteristicas:
tornillo de 8,6 m - 25 tph cant. 1, tornillo 7,0 m - 70 tph cant. 1, tornillo de 4,4 m - 25 tph cant. 2.
Todos con sistema de potencia, acople y trasnmisión.
</t>
  </si>
  <si>
    <t>El material a transportar es Harina de crudo, densidad de 0,855 t/m³, granulometria de malla 200 = 75 micras, humedad 1%, abrasivo.</t>
  </si>
  <si>
    <t>P.089</t>
  </si>
  <si>
    <t>P.090</t>
  </si>
  <si>
    <t>Banda transportadora 24" x 6 m rodillos CEMA C de 5" @ 35º, en canal C de 6"</t>
  </si>
  <si>
    <t>6 rodillos de retorno 3 1/2" x 600 mm. 2 tambores 12" x 600 mm con eje de 80 mm, con manguitos de fijación. 30 estaciones de carga de 4 1/2" x 7" @ 30º, 6 estaciones de impacto de las mismas dimensiones.</t>
  </si>
  <si>
    <t>P.091</t>
  </si>
  <si>
    <t>Cotizar componentes para banda de 42"
Carga, Impacto, Retorno y tambores</t>
  </si>
  <si>
    <t>D-3310-12</t>
  </si>
  <si>
    <t>Efren Urrutia</t>
  </si>
  <si>
    <t>D-3313-12</t>
  </si>
  <si>
    <t>P.092</t>
  </si>
  <si>
    <t>--</t>
  </si>
  <si>
    <t>Bandas transportadoras de:
36" x 20 m cant. 1, 30" x 20 m cant. 1, 24" x 18 m cant. 3.
Todas fabricadas en canal C de 6"</t>
  </si>
  <si>
    <t>P.093</t>
  </si>
  <si>
    <t>HAG</t>
  </si>
  <si>
    <t>Héctor Alirio Gomez</t>
  </si>
  <si>
    <t>BMG S.A.S.</t>
  </si>
  <si>
    <t>Bandas transportadoras para planta de trituración.</t>
  </si>
  <si>
    <t>P.094</t>
  </si>
  <si>
    <t>Actualización de precio para tambor ofertado en D-3313-12, aumentando el diametro del eje a 3 1/2"</t>
  </si>
  <si>
    <t>P.095</t>
  </si>
  <si>
    <t>IM Ingenieria</t>
  </si>
  <si>
    <t>Componentes para banda de 20" @ 35º
19 estaciones de carga
8 estaciones de impacto
12 de estaciones de retorno.
Todo en tuberia de 4" CEMA C</t>
  </si>
  <si>
    <t>D-3320-12</t>
  </si>
  <si>
    <t>P.096</t>
  </si>
  <si>
    <t>De acuerdo a la cotización enviada por Rexnord, organizar la cottización al respecto.</t>
  </si>
  <si>
    <t>El proceso es tomado por Fredy.</t>
  </si>
  <si>
    <t xml:space="preserve">El proceso </t>
  </si>
  <si>
    <t>P.097</t>
  </si>
  <si>
    <t>Bandas y Bandas</t>
  </si>
  <si>
    <t>Rodillos de carga e impacto para bandas de 32" y 38", de diametro 4"</t>
  </si>
  <si>
    <t>Enviar correo a ventas2@bandasybandasltda.com</t>
  </si>
  <si>
    <t>P.098</t>
  </si>
  <si>
    <t>Tornillo transportador 6" de diametro</t>
  </si>
  <si>
    <t>P.099</t>
  </si>
  <si>
    <t>Bandas transportadoras de las siguientes caracteristicas:
36" x 10 m - Cant. 1
30" x 20 m - Cant. 1
30" x 12 m - Cant. 1
18" x 18 m - Cant. 3</t>
  </si>
  <si>
    <t>Rocio</t>
  </si>
  <si>
    <t>P.100</t>
  </si>
  <si>
    <t>Biogreen</t>
  </si>
  <si>
    <t>Linatex</t>
  </si>
  <si>
    <t xml:space="preserve">Actualizar ofertas para valvulas linatex.
Referencias </t>
  </si>
  <si>
    <t>P.101</t>
  </si>
  <si>
    <t>5 estaciones de carga autoalineante para banda de 36"</t>
  </si>
  <si>
    <t>D-3333-12</t>
  </si>
  <si>
    <t>P.102</t>
  </si>
  <si>
    <t>Martillo molino</t>
  </si>
  <si>
    <t>Martillos para molino MIS-40.
Precio unitario $ 564.300,00</t>
  </si>
  <si>
    <t>D-3336-16</t>
  </si>
  <si>
    <t>D-3337-12</t>
  </si>
  <si>
    <t>Esta cotización hace parte de una oferta con componentes TRIO para banda de 36"
Estacion de impacto, estación de retorno</t>
  </si>
  <si>
    <t>D-3340-12</t>
  </si>
  <si>
    <t>P.103</t>
  </si>
  <si>
    <t>Componente triturador</t>
  </si>
  <si>
    <t>Redactar cotización para componentes de trituradora de acuerdo a cotización guía.</t>
  </si>
  <si>
    <t>D-3343-12</t>
  </si>
  <si>
    <t>P.104</t>
  </si>
  <si>
    <t>Banda transportadora de 24" x 18 m para el manejo de arena, se deben reemplazar las estaciones de impacto por estaciones de carga. La estructura debe estar hecha en Canal C de 6"</t>
  </si>
  <si>
    <t>P.105</t>
  </si>
  <si>
    <t>Cálculo de banda transportadora:
780 m @ 14º, dens 0,8 T/m³, Vel 1,6 a 1,8 m/s, 200 Tph, BW 48"</t>
  </si>
  <si>
    <t>La gerencia aprueba un descuento del 10% y froma de pago 15 días F.F.</t>
  </si>
  <si>
    <t>P.106</t>
  </si>
  <si>
    <t>Import Honduras</t>
  </si>
  <si>
    <t>Elevador de cangilones en acero inoxidable, para el manejo de Naranja. 4 tph x 11 m de altura</t>
  </si>
  <si>
    <t>P.107</t>
  </si>
  <si>
    <t xml:space="preserve">Realizar la cotización para el proyecto P.039 </t>
  </si>
  <si>
    <t>P.108</t>
  </si>
  <si>
    <t>Talleres Mamutt</t>
  </si>
  <si>
    <t>Componente de Banda</t>
  </si>
  <si>
    <t>Componentes para banda de 30"
30 estaciones CEMA B de 4"</t>
  </si>
  <si>
    <t>Enviar al correo tmamutt@gmail.com.
Tel: 4276191/92</t>
  </si>
  <si>
    <t>PM Ingenieria y Calderas</t>
  </si>
  <si>
    <t xml:space="preserve">Dos Staker para tornillo transportador de 124 mm de diametro, 3100 mm de longitud, paso de 300 mm, 200 mm de punta coninca, puntas de eje en SAE 1045 1 1/2" </t>
  </si>
  <si>
    <t>Tornillo transportador de 12" x 14 m para manejo de cascarilla de arroz.</t>
  </si>
  <si>
    <t>D-3353-12</t>
  </si>
  <si>
    <t>Ropim Perú S.A.C.</t>
  </si>
  <si>
    <t>Bandas trasnportadoras para el manejo de agregador 2,1 T/m³
24" x 48 m @ 0º - Cant. 1
24" x 60 m @ 0º - Cant. 1</t>
  </si>
  <si>
    <t>D-3321-12</t>
  </si>
  <si>
    <t>Se entrega la información solicitada al Ing. David Salamanca.</t>
  </si>
  <si>
    <t>P.111</t>
  </si>
  <si>
    <t>DKM Ltda</t>
  </si>
  <si>
    <t>Componentes trituradora</t>
  </si>
  <si>
    <t>Equipos y componentes para planta de trituración.</t>
  </si>
  <si>
    <t>P.109</t>
  </si>
  <si>
    <t>P.110</t>
  </si>
  <si>
    <t>P.112</t>
  </si>
  <si>
    <t>Motorreductor 20 HP con salida de 44 rpm</t>
  </si>
  <si>
    <t>P.113</t>
  </si>
  <si>
    <t>Agregados del Meta S.A.S.</t>
  </si>
  <si>
    <t>Rodillos 4 1/2" x 25 cm x 30 cm - Cant. 9
Rodillos 3 7/16 x 25 cm x 30 cm - Cant. 4
Rodillos 2 6/16" x 80 cm x 90 cm - Cant. 6
Todos con puntas estandar.</t>
  </si>
  <si>
    <t>D-3358-12</t>
  </si>
  <si>
    <t>Esta cotización debe ser agregada al P.110 con base a la recomendación del Ingeniero Alfredo y el valor de potencia dado por el cliente.
El costo del motorreductor es entregado a David Salamanca.</t>
  </si>
  <si>
    <t>P.114</t>
  </si>
  <si>
    <t>Ingebandas Ltda</t>
  </si>
  <si>
    <t>Rodillo de carga 3 1/2" x 240 mm - Cant. 90
Rodillo de retorno 3 1/2" x 750 mm - Cant. 14</t>
  </si>
  <si>
    <t>D-3361-12</t>
  </si>
  <si>
    <t>Adicionalmente se cotizan las artesas para rodillos de carga.</t>
  </si>
  <si>
    <t>P.115</t>
  </si>
  <si>
    <t>Información</t>
  </si>
  <si>
    <t>Recopilar información de todos los proyectos realizados para Holcim en los ultimos 2 años.
Realizar informe que incluya el valor del contrato, tiempo, referencias, etc.</t>
  </si>
  <si>
    <t>P.116</t>
  </si>
  <si>
    <t>Inversiones Arroz Caribe S.A.</t>
  </si>
  <si>
    <t>Tornillo transportador de diametro 8" x 4,5 m
12" x 8,5 m
10" x 29,1 m 
Con aletas de aire sin nucleo, canales, tapas, rodamientos, ejes y base de instalación del motor.</t>
  </si>
  <si>
    <t>Es necesario aclarar el tema de las aletas de aire.</t>
  </si>
  <si>
    <t>P.117</t>
  </si>
  <si>
    <t>Esgamo</t>
  </si>
  <si>
    <t>Consultar los precios con Fredy</t>
  </si>
  <si>
    <t>Repuestos Cono TC
Resorte Ref. TC 360 4005 Cant. 40
Housing para resortes Ref. TC 360 4006 Cant. 24</t>
  </si>
  <si>
    <t>D-3368-12</t>
  </si>
  <si>
    <t>P.118</t>
  </si>
  <si>
    <t>EnorChile</t>
  </si>
  <si>
    <t>Tornillo transportador para manejo de carbon o madera, diametro de 200 mm x 1 m</t>
  </si>
  <si>
    <t>P.119</t>
  </si>
  <si>
    <t>Componentes de banda</t>
  </si>
  <si>
    <t>Raspadores secundarios para bandas transportadoras de ancho:
90", 60", 24", 18".</t>
  </si>
  <si>
    <t>F&amp;D</t>
  </si>
  <si>
    <t>A espera de respuesta por parte de American Eagle para poder cotizar.
Enviar cotización al correo fyd@fyd.com.co</t>
  </si>
  <si>
    <t>P.120</t>
  </si>
  <si>
    <t>Cementos Tequendama</t>
  </si>
  <si>
    <t>Elevadores de cangilones para Harina.</t>
  </si>
  <si>
    <t>P.121</t>
  </si>
  <si>
    <t>Colmecol</t>
  </si>
  <si>
    <t xml:space="preserve">Bandas trasnportadoras:
42" x 52 m @ 16º - 500 TPH x 40 HP
30" x 20 m @ 16º - 300 TPH x 20 HP
Ambas con pasarela de 800 mm, ANL 250
</t>
  </si>
  <si>
    <t>P.122</t>
  </si>
  <si>
    <t>Repuestos para molino
CURTAIN LINER PART No. APS4054.3-1, Cant. 30
 WEDGE (RH) PART NÂ° AP4034.2.1.-1, Cant. 4
WEDGE (LH) PART NÂ° AP4034.2.1-2, Cant. 4</t>
  </si>
  <si>
    <t>A espera de aprobación de Fredy</t>
  </si>
  <si>
    <t>D-3374-12</t>
  </si>
  <si>
    <t>P.123</t>
  </si>
  <si>
    <t>Producciones C.A.</t>
  </si>
  <si>
    <t>Mesa de rodillos de 2 m x 0,5 m</t>
  </si>
  <si>
    <t>P.124</t>
  </si>
  <si>
    <t>Inversiones Robila</t>
  </si>
  <si>
    <t>24 rodillos de diámetro 72 mm x 274 mm
6 rodillos de diámetro 72 mm x 540 mm</t>
  </si>
  <si>
    <t>D-3376-12</t>
  </si>
  <si>
    <t>P.125</t>
  </si>
  <si>
    <t xml:space="preserve">Staker para tornillo transportador de 124 mm de diametro, 2600 mm de longitud, paso de 300 mm, 200 mm de punta coninca, puntas de eje en SAE 1045 1 1/2" </t>
  </si>
  <si>
    <t>Basarse en el presupuesto realizado para P.109</t>
  </si>
  <si>
    <t>D-3377-12</t>
  </si>
  <si>
    <t>P.126</t>
  </si>
  <si>
    <t>Realizar informe referente al analisis realizado a la fundición de las placas de impacto para el molino MIS-40.</t>
  </si>
  <si>
    <t>Enviar oferta a comercial@colmecol.com T: 7587489, C: 3144619416
Sobrepasa el tiempo de envio.</t>
  </si>
  <si>
    <t>El cliente no responde a las aclaraciones solicitadas.</t>
  </si>
  <si>
    <t>P.127</t>
  </si>
  <si>
    <t>Holcim Puente Aranda</t>
  </si>
  <si>
    <t>Rejillas</t>
  </si>
  <si>
    <t>D-3380-12</t>
  </si>
  <si>
    <t>Cotización de rejillas y soportes para 22 m, tomando de referencia las vendidas con la cotización D-3074B-12</t>
  </si>
  <si>
    <t>P.128</t>
  </si>
  <si>
    <t>Santiago Luna</t>
  </si>
  <si>
    <t>Rodillos de 25 cm de largo con cuadrante de 1/2" eje de 7/8" diametro de 8 cm</t>
  </si>
  <si>
    <t>P.129</t>
  </si>
  <si>
    <t>Cemex Caracolito</t>
  </si>
  <si>
    <t>Tolva</t>
  </si>
  <si>
    <t>Tolva según planos, con lamina antidesgaste.</t>
  </si>
  <si>
    <t>Se envia informe de uso interno para tomar una desición respecto a la garantia de las placas de impacto.</t>
  </si>
  <si>
    <t>P.130</t>
  </si>
  <si>
    <t>Rodillo con diámetro exterior de 73 mm x 182 mm, eje de 7/8" x 212 mm, Cantidad 36
Rodillo diametro 73 mm x 470 mm, eje 7/8" x 510 mm con puntas estandar, Cantidad 6</t>
  </si>
  <si>
    <t>D-3385-12</t>
  </si>
  <si>
    <t>P.131</t>
  </si>
  <si>
    <t>Concay S.A.</t>
  </si>
  <si>
    <t>P.132</t>
  </si>
  <si>
    <t>Ropim</t>
  </si>
  <si>
    <t>Cuachos para rodilleria de diametro externo 89, diametro interno de 60 y ancho de 38 mm</t>
  </si>
  <si>
    <t>D-3388-12</t>
  </si>
  <si>
    <t>P.133</t>
  </si>
  <si>
    <t>Calculo de potencias para bandas transportadoras del proyecto --</t>
  </si>
  <si>
    <t>Bandas trasnportadoras, de apilamiento, cantidad 3, longitud 18 m, cinta de 24", velocidad de 1,5 m/s, con reductores Dodge.</t>
  </si>
  <si>
    <t>E001</t>
  </si>
  <si>
    <t>E002</t>
  </si>
  <si>
    <t>E003</t>
  </si>
  <si>
    <t>E004</t>
  </si>
  <si>
    <t>E005</t>
  </si>
  <si>
    <t>E006</t>
  </si>
  <si>
    <t>Componentes para  Banda</t>
  </si>
  <si>
    <t>E007</t>
  </si>
  <si>
    <t>Componentes  para trituradora</t>
  </si>
  <si>
    <t>E008</t>
  </si>
  <si>
    <t>E009</t>
  </si>
  <si>
    <t>E010</t>
  </si>
  <si>
    <t>E011</t>
  </si>
  <si>
    <t>E012</t>
  </si>
  <si>
    <t>E013</t>
  </si>
  <si>
    <t>E014</t>
  </si>
  <si>
    <t>E015</t>
  </si>
  <si>
    <t>E016</t>
  </si>
  <si>
    <t>E017</t>
  </si>
  <si>
    <t>E018</t>
  </si>
  <si>
    <t>E019</t>
  </si>
  <si>
    <t>E020</t>
  </si>
  <si>
    <t>E021</t>
  </si>
  <si>
    <t>E022</t>
  </si>
  <si>
    <t>E023</t>
  </si>
  <si>
    <t>E024</t>
  </si>
  <si>
    <t>E025</t>
  </si>
  <si>
    <t>E026</t>
  </si>
  <si>
    <t>E027</t>
  </si>
  <si>
    <t>E028</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</si>
  <si>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</si>
  <si>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</si>
  <si>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</si>
  <si>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</si>
  <si>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</si>
  <si>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</si>
  <si>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</si>
  <si>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</si>
  <si>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</si>
  <si>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</si>
  <si>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</si>
  <si>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</si>
  <si>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</si>
  <si>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</si>
  <si>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</si>
  <si>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</si>
  <si>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</si>
  <si>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</si>
  <si>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</si>
  <si>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</si>
  <si>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</si>
  <si>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</si>
  <si>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</si>
  <si>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</si>
  <si>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</si>
  <si>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</si>
  <si>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</si>
  <si>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</si>
  <si>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</si>
  <si>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</si>
  <si>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</si>
  <si>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</si>
  <si>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</si>
  <si>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</si>
  <si>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</si>
  <si>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</si>
  <si>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</si>
  <si>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</si>
  <si>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</si>
  <si>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</si>
  <si>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</si>
  <si>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</si>
  <si>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</si>
  <si>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</si>
  <si>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P0045</t>
  </si>
  <si>
    <t>P0046</t>
  </si>
  <si>
    <t>P0047</t>
  </si>
  <si>
    <t>P0048</t>
  </si>
  <si>
    <t>P0049</t>
  </si>
  <si>
    <t>P0050</t>
  </si>
  <si>
    <t>P0051</t>
  </si>
  <si>
    <t>P0052</t>
  </si>
  <si>
    <t>P0053</t>
  </si>
  <si>
    <t>P0054</t>
  </si>
  <si>
    <t>P0055</t>
  </si>
  <si>
    <t>P0056</t>
  </si>
  <si>
    <t>P0057</t>
  </si>
  <si>
    <t>P0058</t>
  </si>
  <si>
    <t>P0059</t>
  </si>
  <si>
    <t>P0060</t>
  </si>
  <si>
    <t>P0061</t>
  </si>
  <si>
    <t>P0062</t>
  </si>
  <si>
    <t>P0063</t>
  </si>
  <si>
    <t>P0064</t>
  </si>
  <si>
    <t>P0065</t>
  </si>
  <si>
    <t>P0066</t>
  </si>
  <si>
    <t>P0067</t>
  </si>
  <si>
    <t>P0068</t>
  </si>
  <si>
    <t>P0069</t>
  </si>
  <si>
    <t>P0070</t>
  </si>
  <si>
    <t>P0071</t>
  </si>
  <si>
    <t>P0072</t>
  </si>
  <si>
    <t>P0073</t>
  </si>
  <si>
    <t>P0074</t>
  </si>
  <si>
    <t>P0075</t>
  </si>
  <si>
    <t>P0076</t>
  </si>
  <si>
    <t>P0077</t>
  </si>
  <si>
    <t>P0078</t>
  </si>
  <si>
    <t>P0079</t>
  </si>
  <si>
    <t>P0080</t>
  </si>
  <si>
    <t>P0081</t>
  </si>
  <si>
    <t>P0082</t>
  </si>
  <si>
    <t>P0083</t>
  </si>
  <si>
    <t>P0084</t>
  </si>
  <si>
    <t>P0085</t>
  </si>
  <si>
    <t>P0086</t>
  </si>
  <si>
    <t>P0087</t>
  </si>
  <si>
    <t>P0088</t>
  </si>
  <si>
    <t>P0089</t>
  </si>
  <si>
    <t>P0090</t>
  </si>
  <si>
    <t>P0091</t>
  </si>
  <si>
    <t>P0092</t>
  </si>
  <si>
    <t>P0093</t>
  </si>
  <si>
    <t>P0094</t>
  </si>
  <si>
    <t>P0095</t>
  </si>
  <si>
    <t>P0096</t>
  </si>
  <si>
    <t>P0097</t>
  </si>
  <si>
    <t>P0098</t>
  </si>
  <si>
    <t>P0099</t>
  </si>
  <si>
    <t>P0100</t>
  </si>
  <si>
    <t>P0101</t>
  </si>
  <si>
    <t>P0102</t>
  </si>
  <si>
    <t>P0103</t>
  </si>
  <si>
    <t>P0104</t>
  </si>
  <si>
    <t>P0105</t>
  </si>
  <si>
    <t>P0106</t>
  </si>
  <si>
    <t>P0107</t>
  </si>
  <si>
    <t>P0108</t>
  </si>
  <si>
    <t>P0109</t>
  </si>
  <si>
    <t>P0110</t>
  </si>
  <si>
    <t>P0111</t>
  </si>
  <si>
    <t>P0112</t>
  </si>
  <si>
    <t>P0113</t>
  </si>
  <si>
    <t>P0114</t>
  </si>
  <si>
    <t>P0115</t>
  </si>
  <si>
    <t>P0116</t>
  </si>
  <si>
    <t>P0117</t>
  </si>
  <si>
    <t>P0118</t>
  </si>
  <si>
    <t>P0119</t>
  </si>
  <si>
    <t>P0120</t>
  </si>
  <si>
    <t>P0121</t>
  </si>
  <si>
    <t>P0122</t>
  </si>
  <si>
    <t>P0123</t>
  </si>
  <si>
    <t>P0124</t>
  </si>
  <si>
    <t>P0125</t>
  </si>
  <si>
    <t>P0126</t>
  </si>
  <si>
    <t>P0127</t>
  </si>
  <si>
    <t>P0128</t>
  </si>
  <si>
    <t>P0129</t>
  </si>
  <si>
    <t>P0130</t>
  </si>
  <si>
    <t>P0131</t>
  </si>
  <si>
    <t>P0132</t>
  </si>
  <si>
    <t>Artesas de carga</t>
  </si>
  <si>
    <t>Artesas de Impacto</t>
  </si>
  <si>
    <t>Cinta transportadora</t>
  </si>
  <si>
    <t>Cubiertas para Banda</t>
  </si>
  <si>
    <t>Estaciones para banda</t>
  </si>
  <si>
    <t>Estaciones autoalineantes</t>
  </si>
  <si>
    <t>Estructura para Banda</t>
  </si>
  <si>
    <t>Componentes para molino</t>
  </si>
  <si>
    <t>Molino Impactor</t>
  </si>
  <si>
    <t>Motor</t>
  </si>
  <si>
    <t>Motoreductor</t>
  </si>
  <si>
    <t>Porticos</t>
  </si>
  <si>
    <t>Raspadores para banda</t>
  </si>
  <si>
    <t>Rodillos</t>
  </si>
  <si>
    <t>Tambores de Cabeza</t>
  </si>
  <si>
    <t>E029</t>
  </si>
  <si>
    <t>Tambores de Cola</t>
  </si>
  <si>
    <t>E030</t>
  </si>
  <si>
    <t>E031</t>
  </si>
  <si>
    <t>E032</t>
  </si>
  <si>
    <t>E033</t>
  </si>
  <si>
    <t>Id_equipo</t>
  </si>
  <si>
    <t>Equipo</t>
  </si>
  <si>
    <t>Id_referencia</t>
  </si>
  <si>
    <t xml:space="preserve">Elevador de cangilones
</t>
  </si>
  <si>
    <t>id_equipo</t>
  </si>
  <si>
    <t>E034</t>
  </si>
  <si>
    <t>Otros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</si>
</sst>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font>
      <sz val="11"/>
      <color theme="1"/>
      <name val="Calibri"/>
      <family val="2"/>
      <scheme val="minor"/>
    </font>
    <font>
      <sz val="11"/>
      <color theme="1"/>
      <name val="Calibri"/>
      <family val="2"/>
      <scheme val="minor"/>
    </font>
    <font>
      <b/>
      <sz val="10"/>
      <color theme="1"/>
      <name val="Swis721 LtEx BT"/>
      <family val="2"/>
    </font>
    <font>
      <sz val="10"/>
      <color theme="1"/>
      <name val="Swis721 LtEx BT"/>
      <family val="2"/>
    </font>
    <font>
      <sz val="10"/>
      <color theme="1"/>
      <name val="Calibri"/>
      <family val="2"/>
    </font>
    <font>
      <sz val="11"/>
      <color theme="1"/>
      <name val="Swis721 LtEx BT"/>
      <family val="2"/>
    </font>
    <font>
      <b/>
      <sz val="11"/>
      <color theme="1"/>
      <name val="Swis721 LtEx BT"/>
      <family val="2"/>
    </font>
    <font>
      <sz val="11"/>
      <color theme="1"/>
      <name val="Swis721 LtEx BT"/>
      <family val="2"/>
    </font>
    <font>
      <sz val="10"/>
      <color theme="1"/>
      <name val="Swis721 LtEx BT"/>
      <family val="2"/>
    </font>
    <font>
      <sz val="11"/>
      <color theme="1"/>
      <name val="Swis721 LtEx BT"/>
      <family val="2"/>
    </font>
    <font>
      <sz val="10"/>
      <color theme="1"/>
      <name val="Swis721 LtEx BT"/>
      <family val="2"/>
    </font>
    <font>
      <b/>
      <sz val="10"/>
      <color theme="1"/>
      <name val="Swis721 LtEx BT"/>
      <family val="2"/>
    </font>
    <font>
      <sz val="10"/>
      <color theme="1"/>
      <name val="Swis721 LtEx BT"/>
      <family val="2"/>
    </font>
    <font>
      <sz val="10"/>
      <color theme="1"/>
      <name val="Swis721 LtEx BT"/>
      <family val="2"/>
    </font>
    <font>
      <sz val="10"/>
      <color theme="1"/>
      <name val="Swis721 LtEx BT"/>
      <family val="2"/>
    </font>
    <font>
      <sz val="10"/>
      <color theme="1"/>
      <name val="Swis721 LtEx BT"/>
      <family val="2"/>
    </font>
    <font>
      <sz val="10"/>
      <color theme="1"/>
      <name val="Swis721 LtEx BT"/>
      <family val="2"/>
    </font>
    <font>
      <sz val="10"/>
      <color theme="1"/>
      <name val="Swis721 LtEx BT"/>
      <family val="2"/>
    </font>
    <font>
      <sz val="10"/>
      <color theme="1"/>
      <name val="Swis721 LtEx BT"/>
      <family val="2"/>
    </font>
    <font>
      <sz val="10"/>
      <color theme="1"/>
      <name val="Swis721 LtEx BT"/>
      <family val="2"/>
    </font>
    <font>
      <sz val="10"/>
      <color theme="1"/>
      <name val="Swis721 LtEx BT"/>
      <family val="2"/>
    </font>
    <font>
      <b/>
      <sz val="11"/>
      <color theme="1"/>
      <name val="Calibri"/>
      <family val="2"/>
      <scheme val="minor"/>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4">
    <border>
      <left/>
      <right/>
      <top/>
      <bottom/>
      <diagonal/>
    </border>
    <border>
      <left/>
      <right style="thin">
        <color theme="0"/>
      </right>
      <top style="thin">
        <color theme="0"/>
      </top>
      <bottom style="thin">
        <color theme="0"/>
      </bottom>
      <diagonal/>
    </border>
    <border>
      <left/>
      <right style="thin">
        <color theme="0"/>
      </right>
      <top/>
      <bottom style="thin">
        <color theme="0"/>
      </bottom>
      <diagonal/>
    </border>
    <border>
      <left/>
      <right style="thin">
        <color theme="0"/>
      </right>
      <top/>
      <bottom/>
      <diagonal/>
    </border>
  </borders>
  <cellStyleXfs count="2">
    <xf numFmtId="0" fontId="0" fillId="0" borderId="0"/>
    <xf numFmtId="9" fontId="1" fillId="0" borderId="0" applyFont="0" applyFill="0" applyBorder="0" applyAlignment="0" applyProtection="0"/>
  </cellStyleXfs>
  <cellXfs count="197">
    <xf numFmtId="0" fontId="0" fillId="0" borderId="0" xfId="0"/>
    <xf numFmtId="0" fontId="2" fillId="0" borderId="0" xfId="0" applyFont="1" applyAlignment="1">
      <alignment horizontal="center" vertical="center"/>
    </xf>
    <xf numFmtId="0" fontId="2" fillId="0" borderId="0" xfId="0" applyFont="1" applyAlignment="1">
      <alignment horizontal="center" vertical="center" wrapText="1"/>
    </xf>
    <xf numFmtId="0" fontId="3" fillId="0" borderId="0" xfId="0" applyFont="1" applyAlignment="1">
      <alignment horizontal="center" vertical="top"/>
    </xf>
    <xf numFmtId="0" fontId="3" fillId="0" borderId="0" xfId="0" applyFont="1"/>
    <xf numFmtId="0" fontId="3" fillId="0" borderId="0" xfId="0" applyFont="1" applyBorder="1" applyAlignment="1">
      <alignment horizontal="center" vertical="top"/>
    </xf>
    <xf numFmtId="0" fontId="3" fillId="0" borderId="0" xfId="0" applyFont="1" applyAlignment="1">
      <alignment horizontal="center"/>
    </xf>
    <xf numFmtId="0" fontId="3" fillId="0" borderId="0" xfId="0" applyFont="1" applyAlignment="1">
      <alignment horizontal="center" vertical="center"/>
    </xf>
    <xf numFmtId="0" fontId="3" fillId="0" borderId="0" xfId="0" applyFont="1" applyAlignment="1">
      <alignment vertical="top"/>
    </xf>
    <xf numFmtId="164" fontId="3" fillId="0" borderId="0" xfId="0" applyNumberFormat="1" applyFont="1" applyAlignment="1">
      <alignment vertical="top"/>
    </xf>
    <xf numFmtId="0" fontId="3" fillId="0" borderId="0" xfId="0" applyFont="1" applyBorder="1" applyAlignment="1">
      <alignment vertical="top"/>
    </xf>
    <xf numFmtId="164" fontId="3" fillId="0" borderId="0" xfId="0" applyNumberFormat="1" applyFont="1" applyBorder="1" applyAlignment="1">
      <alignment vertical="top"/>
    </xf>
    <xf numFmtId="9" fontId="3" fillId="0" borderId="0" xfId="1" applyFont="1" applyAlignment="1">
      <alignment vertical="top"/>
    </xf>
    <xf numFmtId="9" fontId="3" fillId="0" borderId="0" xfId="1" applyFont="1" applyBorder="1" applyAlignment="1">
      <alignment vertical="top"/>
    </xf>
    <xf numFmtId="0" fontId="3" fillId="0" borderId="0" xfId="0" applyFont="1" applyAlignment="1">
      <alignment vertical="top" wrapText="1"/>
    </xf>
    <xf numFmtId="0" fontId="3" fillId="0" borderId="0" xfId="0" applyFont="1" applyBorder="1" applyAlignment="1">
      <alignment vertical="top" wrapText="1"/>
    </xf>
    <xf numFmtId="164" fontId="3" fillId="0" borderId="0" xfId="0" applyNumberFormat="1" applyFont="1"/>
    <xf numFmtId="164" fontId="2" fillId="0" borderId="0" xfId="0" applyNumberFormat="1" applyFont="1" applyAlignment="1">
      <alignment horizontal="center" vertical="center"/>
    </xf>
    <xf numFmtId="164" fontId="3" fillId="0" borderId="0" xfId="1" applyNumberFormat="1" applyFont="1" applyAlignment="1">
      <alignment vertical="top"/>
    </xf>
    <xf numFmtId="164" fontId="3" fillId="0" borderId="0" xfId="1" applyNumberFormat="1" applyFont="1" applyBorder="1" applyAlignment="1">
      <alignment vertical="top"/>
    </xf>
    <xf numFmtId="0" fontId="2" fillId="0" borderId="0" xfId="0" applyFont="1" applyAlignment="1">
      <alignment horizontal="center" vertical="top"/>
    </xf>
    <xf numFmtId="0" fontId="3" fillId="0" borderId="0" xfId="0" applyFont="1" applyAlignment="1">
      <alignment horizontal="center" vertical="top" wrapText="1"/>
    </xf>
    <xf numFmtId="0" fontId="5" fillId="0" borderId="0" xfId="0" applyFont="1" applyAlignment="1">
      <alignment horizontal="left" vertical="top"/>
    </xf>
    <xf numFmtId="0" fontId="5" fillId="0" borderId="0" xfId="0" applyFont="1"/>
    <xf numFmtId="0" fontId="5" fillId="0" borderId="0" xfId="0" applyFont="1" applyAlignment="1">
      <alignment horizontal="left" vertical="top" wrapText="1"/>
    </xf>
    <xf numFmtId="0" fontId="6" fillId="0" borderId="0" xfId="0" applyFont="1" applyAlignment="1">
      <alignment horizontal="left" vertical="top"/>
    </xf>
    <xf numFmtId="0" fontId="6" fillId="0" borderId="0" xfId="0" applyFont="1"/>
    <xf numFmtId="0" fontId="5" fillId="0" borderId="0" xfId="0" applyFont="1" applyAlignment="1">
      <alignment wrapText="1"/>
    </xf>
    <xf numFmtId="0" fontId="6" fillId="0" borderId="0" xfId="0" applyFont="1" applyAlignment="1">
      <alignment horizontal="left" vertical="top" wrapText="1"/>
    </xf>
    <xf numFmtId="0" fontId="3" fillId="0" borderId="0" xfId="0" applyFont="1" applyAlignment="1">
      <alignment horizontal="left" vertical="top" wrapText="1"/>
    </xf>
    <xf numFmtId="14" fontId="5" fillId="0" borderId="0" xfId="0" applyNumberFormat="1" applyFont="1" applyAlignment="1">
      <alignment horizontal="left" vertical="top"/>
    </xf>
    <xf numFmtId="0" fontId="5" fillId="0" borderId="0" xfId="0" applyFont="1" applyBorder="1" applyAlignment="1">
      <alignment horizontal="left" vertical="top"/>
    </xf>
    <xf numFmtId="0" fontId="5" fillId="0" borderId="0" xfId="0" applyFont="1" applyBorder="1" applyAlignment="1">
      <alignment horizontal="left" vertical="top" wrapText="1"/>
    </xf>
    <xf numFmtId="0" fontId="2" fillId="0" borderId="0" xfId="0" applyFont="1" applyAlignment="1">
      <alignment horizontal="left" vertical="center"/>
    </xf>
    <xf numFmtId="0" fontId="3" fillId="0" borderId="0" xfId="0" applyFont="1" applyAlignment="1">
      <alignment horizontal="center" vertical="center" wrapText="1"/>
    </xf>
    <xf numFmtId="0" fontId="3" fillId="0" borderId="0" xfId="0" applyFont="1" applyBorder="1" applyAlignment="1">
      <alignment horizontal="center" vertical="center"/>
    </xf>
    <xf numFmtId="0" fontId="7" fillId="0" borderId="0" xfId="0" applyFont="1" applyAlignment="1">
      <alignment horizontal="left" vertical="top"/>
    </xf>
    <xf numFmtId="0" fontId="5" fillId="0" borderId="0" xfId="0" applyFont="1" applyBorder="1"/>
    <xf numFmtId="0" fontId="8" fillId="0" borderId="0" xfId="0" applyFont="1" applyAlignment="1">
      <alignment vertical="top"/>
    </xf>
    <xf numFmtId="0" fontId="8" fillId="0" borderId="0" xfId="0" applyFont="1" applyAlignment="1">
      <alignment horizontal="center" vertical="top"/>
    </xf>
    <xf numFmtId="0" fontId="8" fillId="0" borderId="0" xfId="0" applyFont="1" applyAlignment="1">
      <alignment vertical="top" wrapText="1"/>
    </xf>
    <xf numFmtId="0" fontId="8" fillId="0" borderId="0" xfId="0" applyFont="1" applyAlignment="1">
      <alignment horizontal="center" vertical="center"/>
    </xf>
    <xf numFmtId="164" fontId="8" fillId="0" borderId="0" xfId="0" applyNumberFormat="1" applyFont="1" applyAlignment="1">
      <alignment vertical="top"/>
    </xf>
    <xf numFmtId="9" fontId="8" fillId="0" borderId="0" xfId="1" applyFont="1" applyAlignment="1">
      <alignment vertical="top"/>
    </xf>
    <xf numFmtId="164" fontId="8" fillId="0" borderId="0" xfId="1" applyNumberFormat="1" applyFont="1" applyAlignment="1">
      <alignment vertical="top"/>
    </xf>
    <xf numFmtId="0" fontId="3" fillId="0" borderId="0" xfId="0" applyFont="1" applyAlignment="1">
      <alignment horizontal="left"/>
    </xf>
    <xf numFmtId="14" fontId="3" fillId="0" borderId="0" xfId="0" applyNumberFormat="1" applyFont="1" applyAlignment="1">
      <alignment horizontal="right"/>
    </xf>
    <xf numFmtId="0" fontId="5" fillId="0" borderId="0" xfId="0" applyFont="1" applyAlignment="1">
      <alignment horizontal="center"/>
    </xf>
    <xf numFmtId="14" fontId="3" fillId="0" borderId="0" xfId="0" applyNumberFormat="1" applyFont="1" applyAlignment="1">
      <alignment horizontal="left"/>
    </xf>
    <xf numFmtId="0" fontId="5" fillId="0" borderId="0" xfId="0" applyFont="1" applyBorder="1" applyAlignment="1">
      <alignment horizontal="center"/>
    </xf>
    <xf numFmtId="0" fontId="2" fillId="0" borderId="0" xfId="0" applyFont="1" applyAlignment="1"/>
    <xf numFmtId="0" fontId="3" fillId="0" borderId="0" xfId="0" applyFont="1" applyAlignment="1"/>
    <xf numFmtId="0" fontId="3" fillId="0" borderId="0" xfId="0" applyFont="1" applyAlignment="1">
      <alignment horizontal="right"/>
    </xf>
    <xf numFmtId="0" fontId="2" fillId="0" borderId="0" xfId="0" applyFont="1" applyAlignment="1">
      <alignment horizontal="left"/>
    </xf>
    <xf numFmtId="0" fontId="9" fillId="0" borderId="0" xfId="0" applyFont="1" applyAlignment="1">
      <alignment horizontal="left" vertical="top"/>
    </xf>
    <xf numFmtId="0" fontId="9" fillId="0" borderId="0" xfId="0" applyFont="1" applyAlignment="1">
      <alignment horizontal="left" vertical="top" wrapText="1"/>
    </xf>
    <xf numFmtId="9" fontId="3" fillId="0" borderId="0" xfId="1" applyFont="1" applyAlignment="1">
      <alignment horizontal="center" vertical="center"/>
    </xf>
    <xf numFmtId="9" fontId="8" fillId="0" borderId="0" xfId="1" applyFont="1" applyAlignment="1">
      <alignment horizontal="center" vertical="center"/>
    </xf>
    <xf numFmtId="0" fontId="11" fillId="0" borderId="0" xfId="0" applyFont="1" applyAlignment="1">
      <alignment horizontal="center" vertical="center"/>
    </xf>
    <xf numFmtId="0" fontId="10" fillId="0" borderId="0" xfId="0" applyFont="1" applyAlignment="1">
      <alignment horizontal="center" vertical="top"/>
    </xf>
    <xf numFmtId="0" fontId="3" fillId="0" borderId="0" xfId="0" applyFont="1" applyAlignment="1">
      <alignment horizontal="left" vertical="top"/>
    </xf>
    <xf numFmtId="10" fontId="3" fillId="0" borderId="0" xfId="1" applyNumberFormat="1" applyFont="1" applyAlignment="1"/>
    <xf numFmtId="10" fontId="3" fillId="0" borderId="0" xfId="1" applyNumberFormat="1" applyFont="1" applyAlignment="1">
      <alignment vertical="top"/>
    </xf>
    <xf numFmtId="10" fontId="2" fillId="0" borderId="0" xfId="1" applyNumberFormat="1" applyFont="1" applyAlignment="1"/>
    <xf numFmtId="14" fontId="3" fillId="0" borderId="0" xfId="0" applyNumberFormat="1" applyFont="1" applyAlignment="1"/>
    <xf numFmtId="2" fontId="3" fillId="0" borderId="0" xfId="0" applyNumberFormat="1" applyFont="1" applyAlignment="1">
      <alignment horizontal="center" vertical="top"/>
    </xf>
    <xf numFmtId="1" fontId="3" fillId="0" borderId="0" xfId="0" applyNumberFormat="1" applyFont="1" applyAlignment="1">
      <alignment horizontal="center" vertical="top"/>
    </xf>
    <xf numFmtId="0" fontId="3" fillId="0" borderId="0" xfId="0" applyFont="1" applyBorder="1" applyAlignment="1"/>
    <xf numFmtId="2" fontId="3" fillId="0" borderId="0" xfId="1" applyNumberFormat="1" applyFont="1" applyBorder="1" applyAlignment="1"/>
    <xf numFmtId="2" fontId="3" fillId="0" borderId="0" xfId="0" applyNumberFormat="1" applyFont="1" applyAlignment="1">
      <alignment horizontal="right"/>
    </xf>
    <xf numFmtId="2" fontId="3" fillId="0" borderId="0" xfId="0" applyNumberFormat="1" applyFont="1" applyAlignment="1">
      <alignment horizontal="right" vertical="top"/>
    </xf>
    <xf numFmtId="0" fontId="10" fillId="0" borderId="0" xfId="0" applyFont="1" applyAlignment="1">
      <alignment vertical="top" wrapText="1"/>
    </xf>
    <xf numFmtId="0" fontId="10" fillId="0" borderId="0" xfId="0" applyFont="1" applyAlignment="1">
      <alignment vertical="top"/>
    </xf>
    <xf numFmtId="164" fontId="10" fillId="0" borderId="0" xfId="0" applyNumberFormat="1" applyFont="1" applyAlignment="1">
      <alignment vertical="top"/>
    </xf>
    <xf numFmtId="9" fontId="10" fillId="0" borderId="0" xfId="1" applyFont="1" applyAlignment="1">
      <alignment vertical="top"/>
    </xf>
    <xf numFmtId="9" fontId="10" fillId="0" borderId="0" xfId="1" applyFont="1" applyAlignment="1">
      <alignment horizontal="center" vertical="center"/>
    </xf>
    <xf numFmtId="164" fontId="10" fillId="0" borderId="0" xfId="1" applyNumberFormat="1" applyFont="1" applyAlignment="1">
      <alignment vertical="top"/>
    </xf>
    <xf numFmtId="1" fontId="10" fillId="0" borderId="0" xfId="0" applyNumberFormat="1" applyFont="1" applyAlignment="1">
      <alignment horizontal="center" vertical="top"/>
    </xf>
    <xf numFmtId="0" fontId="10" fillId="0" borderId="0" xfId="0" applyFont="1" applyAlignment="1">
      <alignment horizontal="center" vertical="center"/>
    </xf>
    <xf numFmtId="2" fontId="10" fillId="0" borderId="0" xfId="0" applyNumberFormat="1" applyFont="1" applyAlignment="1">
      <alignment horizontal="center" vertical="top"/>
    </xf>
    <xf numFmtId="0" fontId="3" fillId="0" borderId="0" xfId="0" applyNumberFormat="1" applyFont="1" applyAlignment="1"/>
    <xf numFmtId="0" fontId="3" fillId="0" borderId="0" xfId="0" applyNumberFormat="1" applyFont="1" applyBorder="1" applyAlignment="1"/>
    <xf numFmtId="9" fontId="3" fillId="0" borderId="0" xfId="1" applyFont="1" applyAlignment="1"/>
    <xf numFmtId="0" fontId="2" fillId="0" borderId="0" xfId="0" applyFont="1" applyBorder="1" applyAlignment="1"/>
    <xf numFmtId="9" fontId="2" fillId="0" borderId="0" xfId="1" applyFont="1" applyBorder="1" applyAlignment="1"/>
    <xf numFmtId="0" fontId="5" fillId="2" borderId="1" xfId="0" applyFont="1" applyFill="1" applyBorder="1"/>
    <xf numFmtId="0" fontId="5" fillId="3" borderId="2" xfId="0" applyFont="1" applyFill="1" applyBorder="1"/>
    <xf numFmtId="0" fontId="5" fillId="2" borderId="2" xfId="0" applyFont="1" applyFill="1" applyBorder="1"/>
    <xf numFmtId="0" fontId="5" fillId="3" borderId="3" xfId="0" applyFont="1" applyFill="1" applyBorder="1"/>
    <xf numFmtId="49" fontId="3" fillId="0" borderId="0" xfId="0" applyNumberFormat="1" applyFont="1" applyAlignment="1">
      <alignment vertical="top" wrapText="1"/>
    </xf>
    <xf numFmtId="49" fontId="8" fillId="0" borderId="0" xfId="0" applyNumberFormat="1" applyFont="1" applyAlignment="1">
      <alignment vertical="top" wrapText="1"/>
    </xf>
    <xf numFmtId="49" fontId="10" fillId="0" borderId="0" xfId="0" applyNumberFormat="1" applyFont="1" applyAlignment="1">
      <alignment vertical="top" wrapText="1"/>
    </xf>
    <xf numFmtId="0" fontId="12" fillId="0" borderId="0" xfId="0" applyFont="1" applyAlignment="1">
      <alignment horizontal="center" vertical="top"/>
    </xf>
    <xf numFmtId="0" fontId="12" fillId="0" borderId="0" xfId="0" applyFont="1" applyAlignment="1">
      <alignment vertical="top"/>
    </xf>
    <xf numFmtId="0" fontId="12" fillId="0" borderId="0" xfId="0" applyFont="1" applyAlignment="1">
      <alignment horizontal="center" vertical="center"/>
    </xf>
    <xf numFmtId="0" fontId="12" fillId="0" borderId="0" xfId="0" applyFont="1" applyAlignment="1">
      <alignment vertical="top" wrapText="1"/>
    </xf>
    <xf numFmtId="164" fontId="12" fillId="0" borderId="0" xfId="0" applyNumberFormat="1" applyFont="1" applyAlignment="1">
      <alignment vertical="top"/>
    </xf>
    <xf numFmtId="9" fontId="12" fillId="0" borderId="0" xfId="1" applyFont="1" applyAlignment="1">
      <alignment vertical="top"/>
    </xf>
    <xf numFmtId="9" fontId="12" fillId="0" borderId="0" xfId="1" applyFont="1" applyAlignment="1">
      <alignment horizontal="center" vertical="center"/>
    </xf>
    <xf numFmtId="164" fontId="12" fillId="0" borderId="0" xfId="1" applyNumberFormat="1" applyFont="1" applyAlignment="1">
      <alignment vertical="top"/>
    </xf>
    <xf numFmtId="1" fontId="12" fillId="0" borderId="0" xfId="0" applyNumberFormat="1" applyFont="1" applyAlignment="1">
      <alignment horizontal="center" vertical="top"/>
    </xf>
    <xf numFmtId="2" fontId="12" fillId="0" borderId="0" xfId="0" applyNumberFormat="1" applyFont="1" applyAlignment="1">
      <alignment horizontal="center" vertical="top"/>
    </xf>
    <xf numFmtId="0" fontId="13" fillId="0" borderId="0" xfId="0" applyFont="1" applyAlignment="1">
      <alignment horizontal="center" vertical="top"/>
    </xf>
    <xf numFmtId="49" fontId="13" fillId="0" borderId="0" xfId="0" applyNumberFormat="1" applyFont="1" applyAlignment="1">
      <alignment vertical="top" wrapText="1"/>
    </xf>
    <xf numFmtId="0" fontId="13" fillId="0" borderId="0" xfId="0" applyFont="1" applyAlignment="1">
      <alignment vertical="top"/>
    </xf>
    <xf numFmtId="0" fontId="13" fillId="0" borderId="0" xfId="0" applyFont="1" applyAlignment="1">
      <alignment horizontal="center" vertical="center"/>
    </xf>
    <xf numFmtId="0" fontId="13" fillId="0" borderId="0" xfId="0" applyFont="1" applyAlignment="1">
      <alignment vertical="top" wrapText="1"/>
    </xf>
    <xf numFmtId="164" fontId="13" fillId="0" borderId="0" xfId="0" applyNumberFormat="1" applyFont="1" applyAlignment="1">
      <alignment vertical="top"/>
    </xf>
    <xf numFmtId="9" fontId="13" fillId="0" borderId="0" xfId="1" applyFont="1" applyAlignment="1">
      <alignment vertical="top"/>
    </xf>
    <xf numFmtId="9" fontId="13" fillId="0" borderId="0" xfId="1" applyFont="1" applyAlignment="1">
      <alignment horizontal="center" vertical="center"/>
    </xf>
    <xf numFmtId="164" fontId="13" fillId="0" borderId="0" xfId="1" applyNumberFormat="1" applyFont="1" applyAlignment="1">
      <alignment vertical="top"/>
    </xf>
    <xf numFmtId="1" fontId="13" fillId="0" borderId="0" xfId="0" applyNumberFormat="1" applyFont="1" applyAlignment="1">
      <alignment horizontal="center" vertical="top"/>
    </xf>
    <xf numFmtId="2" fontId="13" fillId="0" borderId="0" xfId="0" applyNumberFormat="1" applyFont="1" applyAlignment="1">
      <alignment horizontal="center" vertical="top"/>
    </xf>
    <xf numFmtId="0" fontId="14" fillId="0" borderId="0" xfId="0" applyFont="1" applyAlignment="1">
      <alignment horizontal="center" vertical="top"/>
    </xf>
    <xf numFmtId="49" fontId="14" fillId="0" borderId="0" xfId="0" applyNumberFormat="1" applyFont="1" applyAlignment="1">
      <alignment vertical="top" wrapText="1"/>
    </xf>
    <xf numFmtId="0" fontId="14" fillId="0" borderId="0" xfId="0" applyFont="1" applyAlignment="1">
      <alignment vertical="top"/>
    </xf>
    <xf numFmtId="0" fontId="14" fillId="0" borderId="0" xfId="0" applyFont="1" applyAlignment="1">
      <alignment horizontal="center" vertical="center"/>
    </xf>
    <xf numFmtId="0" fontId="14" fillId="0" borderId="0" xfId="0" applyFont="1" applyAlignment="1">
      <alignment vertical="top" wrapText="1"/>
    </xf>
    <xf numFmtId="164" fontId="14" fillId="0" borderId="0" xfId="0" applyNumberFormat="1" applyFont="1" applyAlignment="1">
      <alignment vertical="top"/>
    </xf>
    <xf numFmtId="9" fontId="14" fillId="0" borderId="0" xfId="1" applyFont="1" applyAlignment="1">
      <alignment vertical="top"/>
    </xf>
    <xf numFmtId="9" fontId="14" fillId="0" borderId="0" xfId="1" applyFont="1" applyAlignment="1">
      <alignment horizontal="center" vertical="center"/>
    </xf>
    <xf numFmtId="164" fontId="14" fillId="0" borderId="0" xfId="1" applyNumberFormat="1" applyFont="1" applyAlignment="1">
      <alignment vertical="top"/>
    </xf>
    <xf numFmtId="1" fontId="14" fillId="0" borderId="0" xfId="0" applyNumberFormat="1" applyFont="1" applyAlignment="1">
      <alignment horizontal="center" vertical="top"/>
    </xf>
    <xf numFmtId="2" fontId="14" fillId="0" borderId="0" xfId="0" applyNumberFormat="1" applyFont="1" applyAlignment="1">
      <alignment horizontal="center" vertical="top"/>
    </xf>
    <xf numFmtId="0" fontId="15" fillId="0" borderId="0" xfId="0" applyFont="1" applyAlignment="1">
      <alignment horizontal="center" vertical="top"/>
    </xf>
    <xf numFmtId="49" fontId="15" fillId="0" borderId="0" xfId="0" applyNumberFormat="1" applyFont="1" applyAlignment="1">
      <alignment vertical="top" wrapText="1"/>
    </xf>
    <xf numFmtId="0" fontId="15" fillId="0" borderId="0" xfId="0" applyFont="1" applyAlignment="1">
      <alignment vertical="top"/>
    </xf>
    <xf numFmtId="0" fontId="15" fillId="0" borderId="0" xfId="0" applyFont="1" applyAlignment="1">
      <alignment horizontal="center" vertical="center"/>
    </xf>
    <xf numFmtId="0" fontId="15" fillId="0" borderId="0" xfId="0" applyFont="1" applyAlignment="1">
      <alignment vertical="top" wrapText="1"/>
    </xf>
    <xf numFmtId="164" fontId="15" fillId="0" borderId="0" xfId="0" applyNumberFormat="1" applyFont="1" applyAlignment="1">
      <alignment vertical="top"/>
    </xf>
    <xf numFmtId="9" fontId="15" fillId="0" borderId="0" xfId="1" applyFont="1" applyAlignment="1">
      <alignment vertical="top"/>
    </xf>
    <xf numFmtId="9" fontId="15" fillId="0" borderId="0" xfId="1" applyFont="1" applyAlignment="1">
      <alignment horizontal="center" vertical="center"/>
    </xf>
    <xf numFmtId="164" fontId="15" fillId="0" borderId="0" xfId="1" applyNumberFormat="1" applyFont="1" applyAlignment="1">
      <alignment vertical="top"/>
    </xf>
    <xf numFmtId="1" fontId="15" fillId="0" borderId="0" xfId="0" applyNumberFormat="1" applyFont="1" applyAlignment="1">
      <alignment horizontal="center" vertical="top"/>
    </xf>
    <xf numFmtId="2" fontId="15" fillId="0" borderId="0" xfId="0" applyNumberFormat="1" applyFont="1" applyAlignment="1">
      <alignment horizontal="center" vertical="top"/>
    </xf>
    <xf numFmtId="0" fontId="16" fillId="0" borderId="0" xfId="0" applyFont="1" applyAlignment="1">
      <alignment horizontal="center" vertical="top"/>
    </xf>
    <xf numFmtId="49" fontId="16" fillId="0" borderId="0" xfId="0" applyNumberFormat="1" applyFont="1" applyAlignment="1">
      <alignment vertical="top" wrapText="1"/>
    </xf>
    <xf numFmtId="0" fontId="16" fillId="0" borderId="0" xfId="0" applyFont="1" applyAlignment="1">
      <alignment vertical="top"/>
    </xf>
    <xf numFmtId="0" fontId="16" fillId="0" borderId="0" xfId="0" applyFont="1" applyAlignment="1">
      <alignment horizontal="center" vertical="center"/>
    </xf>
    <xf numFmtId="0" fontId="16" fillId="0" borderId="0" xfId="0" applyFont="1" applyAlignment="1">
      <alignment vertical="top" wrapText="1"/>
    </xf>
    <xf numFmtId="164" fontId="16" fillId="0" borderId="0" xfId="0" applyNumberFormat="1" applyFont="1" applyAlignment="1">
      <alignment vertical="top"/>
    </xf>
    <xf numFmtId="9" fontId="16" fillId="0" borderId="0" xfId="1" applyFont="1" applyAlignment="1">
      <alignment vertical="top"/>
    </xf>
    <xf numFmtId="9" fontId="16" fillId="0" borderId="0" xfId="1" applyFont="1" applyAlignment="1">
      <alignment horizontal="center" vertical="center"/>
    </xf>
    <xf numFmtId="164" fontId="16" fillId="0" borderId="0" xfId="1" applyNumberFormat="1" applyFont="1" applyAlignment="1">
      <alignment vertical="top"/>
    </xf>
    <xf numFmtId="1" fontId="16" fillId="0" borderId="0" xfId="0" applyNumberFormat="1" applyFont="1" applyAlignment="1">
      <alignment horizontal="center" vertical="top"/>
    </xf>
    <xf numFmtId="2" fontId="16" fillId="0" borderId="0" xfId="0" applyNumberFormat="1" applyFont="1" applyAlignment="1">
      <alignment horizontal="center" vertical="top"/>
    </xf>
    <xf numFmtId="0" fontId="17" fillId="0" borderId="0" xfId="0" applyFont="1" applyAlignment="1">
      <alignment horizontal="center" vertical="top"/>
    </xf>
    <xf numFmtId="49" fontId="17" fillId="0" borderId="0" xfId="0" applyNumberFormat="1" applyFont="1" applyAlignment="1">
      <alignment vertical="top" wrapText="1"/>
    </xf>
    <xf numFmtId="0" fontId="17" fillId="0" borderId="0" xfId="0" applyFont="1" applyAlignment="1">
      <alignment vertical="top"/>
    </xf>
    <xf numFmtId="0" fontId="17" fillId="0" borderId="0" xfId="0" applyFont="1" applyAlignment="1">
      <alignment horizontal="center" vertical="center"/>
    </xf>
    <xf numFmtId="0" fontId="17" fillId="0" borderId="0" xfId="0" applyFont="1" applyAlignment="1">
      <alignment vertical="top" wrapText="1"/>
    </xf>
    <xf numFmtId="164" fontId="17" fillId="0" borderId="0" xfId="0" applyNumberFormat="1" applyFont="1" applyAlignment="1">
      <alignment vertical="top"/>
    </xf>
    <xf numFmtId="9" fontId="17" fillId="0" borderId="0" xfId="1" applyFont="1" applyAlignment="1">
      <alignment vertical="top"/>
    </xf>
    <xf numFmtId="9" fontId="17" fillId="0" borderId="0" xfId="1" applyFont="1" applyAlignment="1">
      <alignment horizontal="center" vertical="center"/>
    </xf>
    <xf numFmtId="164" fontId="17" fillId="0" borderId="0" xfId="1" applyNumberFormat="1" applyFont="1" applyAlignment="1">
      <alignment vertical="top"/>
    </xf>
    <xf numFmtId="1" fontId="17" fillId="0" borderId="0" xfId="0" applyNumberFormat="1" applyFont="1" applyAlignment="1">
      <alignment horizontal="center" vertical="top"/>
    </xf>
    <xf numFmtId="2" fontId="17" fillId="0" borderId="0" xfId="0" applyNumberFormat="1" applyFont="1" applyAlignment="1">
      <alignment horizontal="center" vertical="top"/>
    </xf>
    <xf numFmtId="0" fontId="18" fillId="0" borderId="0" xfId="0" applyFont="1" applyAlignment="1">
      <alignment horizontal="center" vertical="top"/>
    </xf>
    <xf numFmtId="49" fontId="18" fillId="0" borderId="0" xfId="0" applyNumberFormat="1" applyFont="1" applyAlignment="1">
      <alignment vertical="top" wrapText="1"/>
    </xf>
    <xf numFmtId="0" fontId="18" fillId="0" borderId="0" xfId="0" applyFont="1" applyAlignment="1">
      <alignment vertical="top"/>
    </xf>
    <xf numFmtId="0" fontId="18" fillId="0" borderId="0" xfId="0" applyFont="1" applyAlignment="1">
      <alignment horizontal="center" vertical="center"/>
    </xf>
    <xf numFmtId="0" fontId="18" fillId="0" borderId="0" xfId="0" applyFont="1" applyAlignment="1">
      <alignment vertical="top" wrapText="1"/>
    </xf>
    <xf numFmtId="164" fontId="18" fillId="0" borderId="0" xfId="0" applyNumberFormat="1" applyFont="1" applyAlignment="1">
      <alignment vertical="top"/>
    </xf>
    <xf numFmtId="9" fontId="18" fillId="0" borderId="0" xfId="1" applyFont="1" applyAlignment="1">
      <alignment vertical="top"/>
    </xf>
    <xf numFmtId="9" fontId="18" fillId="0" borderId="0" xfId="1" applyFont="1" applyAlignment="1">
      <alignment horizontal="center" vertical="center"/>
    </xf>
    <xf numFmtId="164" fontId="18" fillId="0" borderId="0" xfId="1" applyNumberFormat="1" applyFont="1" applyAlignment="1">
      <alignment vertical="top"/>
    </xf>
    <xf numFmtId="1" fontId="18" fillId="0" borderId="0" xfId="0" applyNumberFormat="1" applyFont="1" applyAlignment="1">
      <alignment horizontal="center" vertical="top"/>
    </xf>
    <xf numFmtId="2" fontId="18" fillId="0" borderId="0" xfId="0" applyNumberFormat="1" applyFont="1" applyAlignment="1">
      <alignment horizontal="center" vertical="top"/>
    </xf>
    <xf numFmtId="0" fontId="19" fillId="0" borderId="0" xfId="0" applyFont="1" applyAlignment="1">
      <alignment horizontal="center" vertical="top"/>
    </xf>
    <xf numFmtId="49" fontId="19" fillId="0" borderId="0" xfId="0" applyNumberFormat="1" applyFont="1" applyAlignment="1">
      <alignment vertical="top" wrapText="1"/>
    </xf>
    <xf numFmtId="0" fontId="19" fillId="0" borderId="0" xfId="0" applyFont="1" applyAlignment="1">
      <alignment vertical="top"/>
    </xf>
    <xf numFmtId="0" fontId="19" fillId="0" borderId="0" xfId="0" applyFont="1" applyAlignment="1">
      <alignment horizontal="center" vertical="center"/>
    </xf>
    <xf numFmtId="0" fontId="19" fillId="0" borderId="0" xfId="0" applyFont="1" applyAlignment="1">
      <alignment vertical="top" wrapText="1"/>
    </xf>
    <xf numFmtId="164" fontId="19" fillId="0" borderId="0" xfId="0" applyNumberFormat="1" applyFont="1" applyAlignment="1">
      <alignment vertical="top"/>
    </xf>
    <xf numFmtId="9" fontId="19" fillId="0" borderId="0" xfId="1" applyFont="1" applyAlignment="1">
      <alignment vertical="top"/>
    </xf>
    <xf numFmtId="9" fontId="19" fillId="0" borderId="0" xfId="1" applyFont="1" applyAlignment="1">
      <alignment horizontal="center" vertical="center"/>
    </xf>
    <xf numFmtId="164" fontId="19" fillId="0" borderId="0" xfId="1" applyNumberFormat="1" applyFont="1" applyAlignment="1">
      <alignment vertical="top"/>
    </xf>
    <xf numFmtId="1" fontId="19" fillId="0" borderId="0" xfId="0" applyNumberFormat="1" applyFont="1" applyAlignment="1">
      <alignment horizontal="center" vertical="top"/>
    </xf>
    <xf numFmtId="2" fontId="19" fillId="0" borderId="0" xfId="0" applyNumberFormat="1" applyFont="1" applyAlignment="1">
      <alignment horizontal="center" vertical="top"/>
    </xf>
    <xf numFmtId="0" fontId="20" fillId="0" borderId="0" xfId="0" applyFont="1" applyAlignment="1">
      <alignment horizontal="center" vertical="top"/>
    </xf>
    <xf numFmtId="49" fontId="20" fillId="0" borderId="0" xfId="0" applyNumberFormat="1" applyFont="1" applyAlignment="1">
      <alignment vertical="top" wrapText="1"/>
    </xf>
    <xf numFmtId="0" fontId="20" fillId="0" borderId="0" xfId="0" applyFont="1" applyAlignment="1">
      <alignment vertical="top"/>
    </xf>
    <xf numFmtId="0" fontId="20" fillId="0" borderId="0" xfId="0" applyFont="1" applyAlignment="1">
      <alignment horizontal="center" vertical="center"/>
    </xf>
    <xf numFmtId="0" fontId="20" fillId="0" borderId="0" xfId="0" applyFont="1" applyAlignment="1">
      <alignment vertical="top" wrapText="1"/>
    </xf>
    <xf numFmtId="164" fontId="20" fillId="0" borderId="0" xfId="0" applyNumberFormat="1" applyFont="1" applyAlignment="1">
      <alignment vertical="top"/>
    </xf>
    <xf numFmtId="9" fontId="20" fillId="0" borderId="0" xfId="1" applyFont="1" applyAlignment="1">
      <alignment vertical="top"/>
    </xf>
    <xf numFmtId="9" fontId="20" fillId="0" borderId="0" xfId="1" applyFont="1" applyAlignment="1">
      <alignment horizontal="center" vertical="center"/>
    </xf>
    <xf numFmtId="164" fontId="20" fillId="0" borderId="0" xfId="1" applyNumberFormat="1" applyFont="1" applyAlignment="1">
      <alignment vertical="top"/>
    </xf>
    <xf numFmtId="1" fontId="20" fillId="0" borderId="0" xfId="0" applyNumberFormat="1" applyFont="1" applyAlignment="1">
      <alignment horizontal="center" vertical="top"/>
    </xf>
    <xf numFmtId="2" fontId="20" fillId="0" borderId="0" xfId="0" applyNumberFormat="1" applyFont="1" applyAlignment="1">
      <alignment horizontal="center" vertical="top"/>
    </xf>
    <xf numFmtId="0" fontId="3" fillId="0" borderId="0" xfId="0" applyNumberFormat="1" applyFont="1" applyBorder="1" applyAlignment="1">
      <alignment vertical="top"/>
    </xf>
    <xf numFmtId="0" fontId="5" fillId="0" borderId="0" xfId="0" applyFont="1" applyAlignment="1">
      <alignment horizontal="center" vertical="top"/>
    </xf>
    <xf numFmtId="2" fontId="5" fillId="0" borderId="0" xfId="0" applyNumberFormat="1" applyFont="1"/>
    <xf numFmtId="0" fontId="3" fillId="0" borderId="0" xfId="0" quotePrefix="1" applyFont="1" applyAlignment="1">
      <alignment vertical="top" wrapText="1"/>
    </xf>
    <xf numFmtId="0" fontId="21" fillId="0" borderId="0" xfId="0" applyFont="1"/>
    <xf numFmtId="0" fontId="3" fillId="0" borderId="0" xfId="0" applyFont="1" applyAlignment="1">
      <alignment horizontal="left" vertical="top" wrapText="1"/>
    </xf>
    <xf numFmtId="0" fontId="0" fillId="0" borderId="0" xfId="0" applyAlignment="1">
      <alignment vertical="top" wrapText="1"/>
    </xf>
  </cellXfs>
  <cellStyles count="2">
    <cellStyle name="Normal" xfId="0" builtinId="0"/>
    <cellStyle name="Porcentaje" xfId="1" builtinId="5"/>
  </cellStyles>
  <dxfs count="12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Swis721 LtEx BT"/>
        <scheme val="none"/>
      </font>
    </dxf>
    <dxf>
      <font>
        <b val="0"/>
        <i val="0"/>
        <strike val="0"/>
        <condense val="0"/>
        <extend val="0"/>
        <outline val="0"/>
        <shadow val="0"/>
        <u val="none"/>
        <vertAlign val="baseline"/>
        <sz val="11"/>
        <color theme="1"/>
        <name val="Swis721 LtEx BT"/>
        <scheme val="none"/>
      </font>
      <numFmt numFmtId="2" formatCode="0.00"/>
    </dxf>
    <dxf>
      <font>
        <b val="0"/>
        <i val="0"/>
        <strike val="0"/>
        <condense val="0"/>
        <extend val="0"/>
        <outline val="0"/>
        <shadow val="0"/>
        <u val="none"/>
        <vertAlign val="baseline"/>
        <sz val="11"/>
        <color theme="1"/>
        <name val="Swis721 LtEx BT"/>
        <scheme val="none"/>
      </font>
      <numFmt numFmtId="2" formatCode="0.00"/>
    </dxf>
    <dxf>
      <font>
        <b val="0"/>
        <i val="0"/>
        <strike val="0"/>
        <condense val="0"/>
        <extend val="0"/>
        <outline val="0"/>
        <shadow val="0"/>
        <u val="none"/>
        <vertAlign val="baseline"/>
        <sz val="11"/>
        <color theme="1"/>
        <name val="Swis721 LtEx BT"/>
        <scheme val="none"/>
      </font>
      <numFmt numFmtId="2" formatCode="0.00"/>
    </dxf>
    <dxf>
      <font>
        <b val="0"/>
        <i val="0"/>
        <strike val="0"/>
        <condense val="0"/>
        <extend val="0"/>
        <outline val="0"/>
        <shadow val="0"/>
        <u val="none"/>
        <vertAlign val="baseline"/>
        <sz val="11"/>
        <color theme="1"/>
        <name val="Swis721 LtEx BT"/>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wis721 LtEx BT"/>
        <scheme val="none"/>
      </font>
      <alignment horizontal="center"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Swis721 LtEx BT"/>
        <scheme val="none"/>
      </font>
      <alignment horizontal="center"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Swis721 LtEx BT"/>
        <scheme val="none"/>
      </font>
      <alignment horizontal="general"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Swis721 LtEx BT"/>
        <scheme val="none"/>
      </font>
      <numFmt numFmtId="164" formatCode="[$-F800]dddd\,\ mmmm\ dd\,\ yyyy"/>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Swis721 LtEx BT"/>
        <scheme val="none"/>
      </font>
      <numFmt numFmtId="164" formatCode="[$-F800]dddd\,\ mmmm\ dd\,\ yyyy"/>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Swis721 LtEx BT"/>
        <scheme val="none"/>
      </font>
      <numFmt numFmtId="0" formatCode="Genera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Swis721 LtEx BT"/>
        <scheme val="none"/>
      </font>
      <numFmt numFmtId="0" formatCode="General"/>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Swis721 LtEx BT"/>
        <scheme val="none"/>
      </font>
      <alignment horizontal="center"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Swis721 LtEx BT"/>
        <scheme val="none"/>
      </font>
      <alignment horizontal="center"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Swis721 LtEx BT"/>
        <scheme val="none"/>
      </font>
      <numFmt numFmtId="164" formatCode="[$-F800]dddd\,\ mmmm\ dd\,\ yyyy"/>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Swis721 LtEx BT"/>
        <scheme val="none"/>
      </font>
      <alignment horizontal="general"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Swis721 LtEx BT"/>
        <scheme val="none"/>
      </font>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Swis721 LtEx BT"/>
        <scheme val="none"/>
      </font>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Swis721 LtEx BT"/>
        <scheme val="none"/>
      </font>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Swis721 LtEx BT"/>
        <scheme val="none"/>
      </font>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Swis721 LtEx BT"/>
        <scheme val="none"/>
      </font>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Swis721 LtEx BT"/>
        <scheme val="none"/>
      </font>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Swis721 LtEx BT"/>
        <scheme val="none"/>
      </font>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Swis721 LtEx BT"/>
        <scheme val="none"/>
      </font>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Swis721 LtEx BT"/>
        <scheme val="none"/>
      </font>
      <alignment horizontal="general"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Swis721 LtEx BT"/>
        <scheme val="none"/>
      </font>
      <alignment horizontal="general"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Swis721 LtEx BT"/>
        <scheme val="none"/>
      </font>
      <alignment horizontal="center" vertical="top"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Swis721 LtEx BT"/>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Swis721 LtEx BT"/>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Swis721 LtEx BT"/>
        <scheme val="none"/>
      </font>
      <alignment horizontal="left" vertical="top" textRotation="0" wrapText="0" relativeIndent="0" justifyLastLine="0" shrinkToFit="0" readingOrder="0"/>
    </dxf>
    <dxf>
      <font>
        <b val="0"/>
        <i val="0"/>
        <strike val="0"/>
        <condense val="0"/>
        <extend val="0"/>
        <outline val="0"/>
        <shadow val="0"/>
        <u val="none"/>
        <vertAlign val="baseline"/>
        <sz val="11"/>
        <color theme="1"/>
        <name val="Swis721 LtEx BT"/>
        <scheme val="none"/>
      </font>
      <alignment horizontal="left" vertical="top" textRotation="0" wrapText="0" relativeIndent="0" justifyLastLine="0" shrinkToFit="0" readingOrder="0"/>
    </dxf>
    <dxf>
      <font>
        <b val="0"/>
        <i val="0"/>
        <strike val="0"/>
        <condense val="0"/>
        <extend val="0"/>
        <outline val="0"/>
        <shadow val="0"/>
        <u val="none"/>
        <vertAlign val="baseline"/>
        <sz val="11"/>
        <color theme="1"/>
        <name val="Swis721 LtEx BT"/>
        <scheme val="none"/>
      </font>
      <alignment horizontal="left" vertical="top" textRotation="0" wrapText="0" relativeIndent="0" justifyLastLine="0" shrinkToFit="0" readingOrder="0"/>
    </dxf>
    <dxf>
      <font>
        <b/>
        <i val="0"/>
        <strike val="0"/>
        <condense val="0"/>
        <extend val="0"/>
        <outline val="0"/>
        <shadow val="0"/>
        <u val="none"/>
        <vertAlign val="baseline"/>
        <sz val="11"/>
        <color theme="1"/>
        <name val="Swis721 LtEx BT"/>
        <scheme val="none"/>
      </font>
      <alignment horizontal="left" vertical="top" textRotation="0" wrapText="0" relativeIndent="0" justifyLastLine="0" shrinkToFit="0" readingOrder="0"/>
    </dxf>
    <dxf>
      <font>
        <b val="0"/>
        <i val="0"/>
        <strike val="0"/>
        <condense val="0"/>
        <extend val="0"/>
        <outline val="0"/>
        <shadow val="0"/>
        <u val="none"/>
        <vertAlign val="baseline"/>
        <sz val="11"/>
        <color theme="1"/>
        <name val="Swis721 LtEx BT"/>
        <scheme val="none"/>
      </font>
    </dxf>
    <dxf>
      <font>
        <b val="0"/>
        <i val="0"/>
        <strike val="0"/>
        <condense val="0"/>
        <extend val="0"/>
        <outline val="0"/>
        <shadow val="0"/>
        <u val="none"/>
        <vertAlign val="baseline"/>
        <sz val="11"/>
        <color theme="1"/>
        <name val="Swis721 LtEx BT"/>
        <scheme val="none"/>
      </font>
    </dxf>
    <dxf>
      <font>
        <b val="0"/>
        <i val="0"/>
        <strike val="0"/>
        <condense val="0"/>
        <extend val="0"/>
        <outline val="0"/>
        <shadow val="0"/>
        <u val="none"/>
        <vertAlign val="baseline"/>
        <sz val="11"/>
        <color theme="1"/>
        <name val="Swis721 LtEx BT"/>
        <scheme val="none"/>
      </font>
    </dxf>
    <dxf>
      <font>
        <b val="0"/>
        <i val="0"/>
        <strike val="0"/>
        <condense val="0"/>
        <extend val="0"/>
        <outline val="0"/>
        <shadow val="0"/>
        <u val="none"/>
        <vertAlign val="baseline"/>
        <sz val="11"/>
        <color theme="1"/>
        <name val="Swis721 LtEx BT"/>
        <scheme val="none"/>
      </font>
    </dxf>
    <dxf>
      <font>
        <b val="0"/>
        <i val="0"/>
        <strike val="0"/>
        <condense val="0"/>
        <extend val="0"/>
        <outline val="0"/>
        <shadow val="0"/>
        <u val="none"/>
        <vertAlign val="baseline"/>
        <sz val="11"/>
        <color theme="1"/>
        <name val="Swis721 LtEx BT"/>
        <scheme val="none"/>
      </font>
    </dxf>
    <dxf>
      <font>
        <b val="0"/>
        <i val="0"/>
        <strike val="0"/>
        <condense val="0"/>
        <extend val="0"/>
        <outline val="0"/>
        <shadow val="0"/>
        <u val="none"/>
        <vertAlign val="baseline"/>
        <sz val="11"/>
        <color theme="1"/>
        <name val="Swis721 LtEx BT"/>
        <scheme val="none"/>
      </font>
    </dxf>
    <dxf>
      <font>
        <b val="0"/>
        <i val="0"/>
        <strike val="0"/>
        <condense val="0"/>
        <extend val="0"/>
        <outline val="0"/>
        <shadow val="0"/>
        <u val="none"/>
        <vertAlign val="baseline"/>
        <sz val="11"/>
        <color theme="1"/>
        <name val="Swis721 LtEx BT"/>
        <scheme val="none"/>
      </font>
    </dxf>
    <dxf>
      <font>
        <b val="0"/>
        <i val="0"/>
        <strike val="0"/>
        <condense val="0"/>
        <extend val="0"/>
        <outline val="0"/>
        <shadow val="0"/>
        <u val="none"/>
        <vertAlign val="baseline"/>
        <sz val="11"/>
        <color theme="1"/>
        <name val="Swis721 LtEx BT"/>
        <scheme val="none"/>
      </font>
    </dxf>
    <dxf>
      <font>
        <b val="0"/>
        <i val="0"/>
        <strike val="0"/>
        <condense val="0"/>
        <extend val="0"/>
        <outline val="0"/>
        <shadow val="0"/>
        <u val="none"/>
        <vertAlign val="baseline"/>
        <sz val="11"/>
        <color theme="1"/>
        <name val="Swis721 LtEx BT"/>
        <scheme val="none"/>
      </font>
    </dxf>
    <dxf>
      <font>
        <b val="0"/>
        <i val="0"/>
        <strike val="0"/>
        <condense val="0"/>
        <extend val="0"/>
        <outline val="0"/>
        <shadow val="0"/>
        <u val="none"/>
        <vertAlign val="baseline"/>
        <sz val="11"/>
        <color theme="1"/>
        <name val="Swis721 LtEx BT"/>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Swis721 LtEx BT"/>
        <scheme val="none"/>
      </font>
    </dxf>
    <dxf>
      <font>
        <b val="0"/>
        <i val="0"/>
        <strike val="0"/>
        <condense val="0"/>
        <extend val="0"/>
        <outline val="0"/>
        <shadow val="0"/>
        <u val="none"/>
        <vertAlign val="baseline"/>
        <sz val="11"/>
        <color theme="1"/>
        <name val="Swis721 LtEx BT"/>
        <scheme val="none"/>
      </font>
    </dxf>
    <dxf>
      <font>
        <b val="0"/>
        <i val="0"/>
        <strike val="0"/>
        <condense val="0"/>
        <extend val="0"/>
        <outline val="0"/>
        <shadow val="0"/>
        <u val="none"/>
        <vertAlign val="baseline"/>
        <sz val="11"/>
        <color theme="1"/>
        <name val="Swis721 LtEx BT"/>
        <scheme val="none"/>
      </font>
    </dxf>
    <dxf>
      <font>
        <b val="0"/>
        <i val="0"/>
        <strike val="0"/>
        <condense val="0"/>
        <extend val="0"/>
        <outline val="0"/>
        <shadow val="0"/>
        <u val="none"/>
        <vertAlign val="baseline"/>
        <sz val="11"/>
        <color theme="1"/>
        <name val="Swis721 LtEx BT"/>
        <scheme val="none"/>
      </font>
    </dxf>
    <dxf>
      <font>
        <b val="0"/>
        <i val="0"/>
        <strike val="0"/>
        <condense val="0"/>
        <extend val="0"/>
        <outline val="0"/>
        <shadow val="0"/>
        <u val="none"/>
        <vertAlign val="baseline"/>
        <sz val="11"/>
        <color theme="1"/>
        <name val="Swis721 LtEx BT"/>
        <scheme val="none"/>
      </font>
    </dxf>
    <dxf>
      <font>
        <b val="0"/>
        <i val="0"/>
        <strike val="0"/>
        <condense val="0"/>
        <extend val="0"/>
        <outline val="0"/>
        <shadow val="0"/>
        <u val="none"/>
        <vertAlign val="baseline"/>
        <sz val="11"/>
        <color theme="1"/>
        <name val="Swis721 LtEx BT"/>
        <scheme val="none"/>
      </font>
    </dxf>
    <dxf>
      <font>
        <b val="0"/>
        <i val="0"/>
        <strike val="0"/>
        <condense val="0"/>
        <extend val="0"/>
        <outline val="0"/>
        <shadow val="0"/>
        <u val="none"/>
        <vertAlign val="baseline"/>
        <sz val="11"/>
        <color theme="1"/>
        <name val="Swis721 LtEx BT"/>
        <scheme val="none"/>
      </font>
    </dxf>
    <dxf>
      <font>
        <b val="0"/>
        <i val="0"/>
        <strike val="0"/>
        <condense val="0"/>
        <extend val="0"/>
        <outline val="0"/>
        <shadow val="0"/>
        <u val="none"/>
        <vertAlign val="baseline"/>
        <sz val="11"/>
        <color theme="1"/>
        <name val="Swis721 LtEx BT"/>
        <scheme val="none"/>
      </font>
    </dxf>
    <dxf>
      <font>
        <b val="0"/>
        <i val="0"/>
        <strike val="0"/>
        <condense val="0"/>
        <extend val="0"/>
        <outline val="0"/>
        <shadow val="0"/>
        <u val="none"/>
        <vertAlign val="baseline"/>
        <sz val="11"/>
        <color theme="1"/>
        <name val="Swis721 LtEx BT"/>
        <scheme val="none"/>
      </font>
    </dxf>
    <dxf>
      <font>
        <b val="0"/>
        <i val="0"/>
        <strike val="0"/>
        <condense val="0"/>
        <extend val="0"/>
        <outline val="0"/>
        <shadow val="0"/>
        <u val="none"/>
        <vertAlign val="baseline"/>
        <sz val="11"/>
        <color theme="1"/>
        <name val="Swis721 LtEx BT"/>
        <scheme val="none"/>
      </font>
    </dxf>
    <dxf>
      <font>
        <b val="0"/>
        <i val="0"/>
        <strike val="0"/>
        <condense val="0"/>
        <extend val="0"/>
        <outline val="0"/>
        <shadow val="0"/>
        <u val="none"/>
        <vertAlign val="baseline"/>
        <sz val="10"/>
        <color theme="1"/>
        <name val="Swis721 LtEx BT"/>
        <scheme val="none"/>
      </font>
      <alignment horizontal="general" vertical="bottom" textRotation="0" wrapText="0" relativeIndent="0" justifyLastLine="0" shrinkToFit="0" readingOrder="0"/>
    </dxf>
    <dxf>
      <font>
        <b val="0"/>
        <i val="0"/>
        <strike val="0"/>
        <condense val="0"/>
        <extend val="0"/>
        <outline val="0"/>
        <shadow val="0"/>
        <u val="none"/>
        <vertAlign val="baseline"/>
        <sz val="10"/>
        <color theme="1"/>
        <name val="Swis721 LtEx BT"/>
        <scheme val="none"/>
      </font>
      <alignment horizontal="general" vertical="bottom" textRotation="0" wrapText="0" relativeIndent="0" justifyLastLine="0" shrinkToFit="0" readingOrder="0"/>
    </dxf>
    <dxf>
      <font>
        <b val="0"/>
        <i val="0"/>
        <strike val="0"/>
        <condense val="0"/>
        <extend val="0"/>
        <outline val="0"/>
        <shadow val="0"/>
        <u val="none"/>
        <vertAlign val="baseline"/>
        <sz val="10"/>
        <color theme="1"/>
        <name val="Swis721 LtEx BT"/>
        <scheme val="none"/>
      </font>
      <alignment horizontal="general" vertical="bottom" textRotation="0" wrapText="0" relativeIndent="0" justifyLastLine="0" shrinkToFit="0" readingOrder="0"/>
    </dxf>
    <dxf>
      <font>
        <b val="0"/>
        <i val="0"/>
        <strike val="0"/>
        <condense val="0"/>
        <extend val="0"/>
        <outline val="0"/>
        <shadow val="0"/>
        <u val="none"/>
        <vertAlign val="baseline"/>
        <sz val="10"/>
        <color theme="1"/>
        <name val="Swis721 LtEx BT"/>
        <scheme val="none"/>
      </font>
      <alignment horizontal="general" vertical="bottom" textRotation="0" wrapText="0" relativeIndent="0" justifyLastLine="0" shrinkToFit="0" readingOrder="0"/>
    </dxf>
    <dxf>
      <font>
        <b val="0"/>
        <i val="0"/>
        <strike val="0"/>
        <condense val="0"/>
        <extend val="0"/>
        <outline val="0"/>
        <shadow val="0"/>
        <u val="none"/>
        <vertAlign val="baseline"/>
        <sz val="10"/>
        <color theme="1"/>
        <name val="Swis721 LtEx BT"/>
        <scheme val="none"/>
      </font>
      <alignment horizontal="general" vertical="bottom" textRotation="0" wrapText="0" relativeIndent="0" justifyLastLine="0" shrinkToFit="0" readingOrder="0"/>
    </dxf>
    <dxf>
      <font>
        <b val="0"/>
        <i val="0"/>
        <strike val="0"/>
        <condense val="0"/>
        <extend val="0"/>
        <outline val="0"/>
        <shadow val="0"/>
        <u val="none"/>
        <vertAlign val="baseline"/>
        <sz val="10"/>
        <color theme="1"/>
        <name val="Swis721 LtEx BT"/>
        <scheme val="none"/>
      </font>
      <alignment horizontal="general" vertical="bottom" textRotation="0" wrapText="0" relativeIndent="0" justifyLastLine="0" shrinkToFit="0" readingOrder="0"/>
    </dxf>
    <dxf>
      <font>
        <b val="0"/>
        <i val="0"/>
        <strike val="0"/>
        <condense val="0"/>
        <extend val="0"/>
        <outline val="0"/>
        <shadow val="0"/>
        <u val="none"/>
        <vertAlign val="baseline"/>
        <sz val="10"/>
        <color theme="1"/>
        <name val="Swis721 LtEx BT"/>
        <scheme val="none"/>
      </font>
      <numFmt numFmtId="0" formatCode="Genera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Swis721 LtEx BT"/>
        <scheme val="none"/>
      </font>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0"/>
        <color theme="1"/>
        <name val="Swis721 LtEx BT"/>
        <scheme val="none"/>
      </font>
      <alignment horizontal="general" vertical="bottom" textRotation="0" wrapText="0" relativeIndent="0" justifyLastLine="0" shrinkToFit="0" readingOrder="0"/>
    </dxf>
    <dxf>
      <font>
        <b val="0"/>
        <i val="0"/>
        <strike val="0"/>
        <condense val="0"/>
        <extend val="0"/>
        <outline val="0"/>
        <shadow val="0"/>
        <u val="none"/>
        <vertAlign val="baseline"/>
        <sz val="10"/>
        <color theme="1"/>
        <name val="Swis721 LtEx BT"/>
        <scheme val="none"/>
      </font>
      <numFmt numFmtId="13" formatCode="0%"/>
      <alignment horizontal="general" vertical="bottom" textRotation="0" wrapText="0" relativeIndent="0" justifyLastLine="0" shrinkToFit="0" readingOrder="0"/>
    </dxf>
    <dxf>
      <font>
        <b val="0"/>
        <i val="0"/>
        <strike val="0"/>
        <condense val="0"/>
        <extend val="0"/>
        <outline val="0"/>
        <shadow val="0"/>
        <u val="none"/>
        <vertAlign val="baseline"/>
        <sz val="10"/>
        <color theme="1"/>
        <name val="Swis721 LtEx BT"/>
        <scheme val="none"/>
      </font>
      <alignment horizontal="general" vertical="bottom" textRotation="0" wrapText="0" relativeIndent="0" justifyLastLine="0" shrinkToFit="0" readingOrder="0"/>
    </dxf>
    <dxf>
      <font>
        <b val="0"/>
        <i val="0"/>
        <strike val="0"/>
        <condense val="0"/>
        <extend val="0"/>
        <outline val="0"/>
        <shadow val="0"/>
        <u val="none"/>
        <vertAlign val="baseline"/>
        <sz val="10"/>
        <color theme="1"/>
        <name val="Swis721 LtEx BT"/>
        <scheme val="none"/>
      </font>
      <alignment horizontal="general" vertical="bottom" textRotation="0" wrapText="0" relativeIndent="0" justifyLastLine="0" shrinkToFit="0" readingOrder="0"/>
    </dxf>
    <dxf>
      <font>
        <b val="0"/>
        <i val="0"/>
        <strike val="0"/>
        <condense val="0"/>
        <extend val="0"/>
        <outline val="0"/>
        <shadow val="0"/>
        <u val="none"/>
        <vertAlign val="baseline"/>
        <sz val="10"/>
        <color theme="1"/>
        <name val="Swis721 LtEx BT"/>
        <scheme val="none"/>
      </font>
      <alignment horizontal="general" vertical="bottom" textRotation="0" wrapText="0" relativeIndent="0" justifyLastLine="0" shrinkToFit="0" readingOrder="0"/>
    </dxf>
    <dxf>
      <font>
        <b val="0"/>
        <i val="0"/>
        <strike val="0"/>
        <condense val="0"/>
        <extend val="0"/>
        <outline val="0"/>
        <shadow val="0"/>
        <u val="none"/>
        <vertAlign val="baseline"/>
        <sz val="10"/>
        <color theme="1"/>
        <name val="Swis721 LtEx BT"/>
        <scheme val="none"/>
      </font>
      <numFmt numFmtId="0" formatCode="General"/>
      <alignment horizontal="general" vertical="bottom" textRotation="0" wrapText="0" relativeIndent="0" justifyLastLine="0" shrinkToFit="0" readingOrder="0"/>
    </dxf>
    <dxf>
      <font>
        <b val="0"/>
        <i val="0"/>
        <strike val="0"/>
        <condense val="0"/>
        <extend val="0"/>
        <outline val="0"/>
        <shadow val="0"/>
        <u val="none"/>
        <vertAlign val="baseline"/>
        <sz val="10"/>
        <color theme="1"/>
        <name val="Swis721 LtEx BT"/>
        <scheme val="none"/>
      </font>
      <alignment horizontal="general" vertical="bottom" textRotation="0" wrapText="0" relativeIndent="0" justifyLastLine="0" shrinkToFit="0" readingOrder="0"/>
    </dxf>
    <dxf>
      <font>
        <b val="0"/>
        <i val="0"/>
        <strike val="0"/>
        <condense val="0"/>
        <extend val="0"/>
        <outline val="0"/>
        <shadow val="0"/>
        <u val="none"/>
        <vertAlign val="baseline"/>
        <sz val="10"/>
        <color theme="1"/>
        <name val="Swis721 LtEx BT"/>
        <scheme val="none"/>
      </font>
      <alignment horizontal="general" vertical="bottom" textRotation="0" wrapText="0" relativeIndent="0" justifyLastLine="0" shrinkToFit="0" readingOrder="0"/>
    </dxf>
    <dxf>
      <font>
        <b val="0"/>
        <i val="0"/>
        <strike val="0"/>
        <condense val="0"/>
        <extend val="0"/>
        <outline val="0"/>
        <shadow val="0"/>
        <u val="none"/>
        <vertAlign val="baseline"/>
        <sz val="10"/>
        <color theme="1"/>
        <name val="Swis721 LtEx BT"/>
        <scheme val="none"/>
      </font>
      <alignment horizontal="general" vertical="bottom" textRotation="0" wrapText="0" relativeIndent="0" justifyLastLine="0" shrinkToFit="0" readingOrder="0"/>
    </dxf>
    <dxf>
      <font>
        <b val="0"/>
        <i val="0"/>
        <strike val="0"/>
        <condense val="0"/>
        <extend val="0"/>
        <outline val="0"/>
        <shadow val="0"/>
        <u val="none"/>
        <vertAlign val="baseline"/>
        <sz val="10"/>
        <color theme="1"/>
        <name val="Swis721 LtEx BT"/>
        <scheme val="none"/>
      </font>
      <numFmt numFmtId="14" formatCode="0.00%"/>
      <alignment horizontal="general" vertical="bottom" textRotation="0" wrapText="0" relativeIndent="0" justifyLastLine="0" shrinkToFit="0" readingOrder="0"/>
    </dxf>
    <dxf>
      <font>
        <b val="0"/>
        <i val="0"/>
        <strike val="0"/>
        <condense val="0"/>
        <extend val="0"/>
        <outline val="0"/>
        <shadow val="0"/>
        <u val="none"/>
        <vertAlign val="baseline"/>
        <sz val="10"/>
        <color theme="1"/>
        <name val="Swis721 LtEx BT"/>
        <scheme val="none"/>
      </font>
      <alignment horizontal="general" vertical="bottom" textRotation="0" wrapText="0" relativeIndent="0" justifyLastLine="0" shrinkToFit="0" readingOrder="0"/>
    </dxf>
    <dxf>
      <font>
        <b val="0"/>
        <i val="0"/>
        <strike val="0"/>
        <condense val="0"/>
        <extend val="0"/>
        <outline val="0"/>
        <shadow val="0"/>
        <u val="none"/>
        <vertAlign val="baseline"/>
        <sz val="10"/>
        <color theme="1"/>
        <name val="Swis721 LtEx BT"/>
        <scheme val="none"/>
      </font>
      <numFmt numFmtId="0" formatCode="General"/>
      <alignment horizontal="general" vertical="bottom" textRotation="0" wrapText="0" relativeIndent="0" justifyLastLine="0" shrinkToFit="0" readingOrder="0"/>
    </dxf>
    <dxf>
      <font>
        <b val="0"/>
        <i val="0"/>
        <strike val="0"/>
        <condense val="0"/>
        <extend val="0"/>
        <outline val="0"/>
        <shadow val="0"/>
        <u val="none"/>
        <vertAlign val="baseline"/>
        <sz val="10"/>
        <color theme="1"/>
        <name val="Swis721 LtEx BT"/>
        <scheme val="none"/>
      </font>
      <alignment horizontal="general" vertical="bottom" textRotation="0" wrapText="0" relativeIndent="0" justifyLastLine="0" shrinkToFit="0" readingOrder="0"/>
    </dxf>
    <dxf>
      <font>
        <b val="0"/>
        <i val="0"/>
        <strike val="0"/>
        <condense val="0"/>
        <extend val="0"/>
        <outline val="0"/>
        <shadow val="0"/>
        <u val="none"/>
        <vertAlign val="baseline"/>
        <sz val="10"/>
        <color theme="1"/>
        <name val="Swis721 LtEx BT"/>
        <scheme val="none"/>
      </font>
      <alignment horizontal="general" vertical="bottom" textRotation="0" wrapText="0" relativeIndent="0" justifyLastLine="0" shrinkToFit="0" readingOrder="0"/>
    </dxf>
    <dxf>
      <font>
        <b val="0"/>
        <i val="0"/>
        <strike val="0"/>
        <condense val="0"/>
        <extend val="0"/>
        <outline val="0"/>
        <shadow val="0"/>
        <u val="none"/>
        <vertAlign val="baseline"/>
        <sz val="10"/>
        <color theme="1"/>
        <name val="Swis721 LtEx BT"/>
        <scheme val="none"/>
      </font>
      <alignment horizontal="general" vertical="bottom" textRotation="0" wrapText="0" relativeIndent="0" justifyLastLine="0" shrinkToFit="0" readingOrder="0"/>
    </dxf>
    <dxf>
      <font>
        <b val="0"/>
        <i val="0"/>
        <strike val="0"/>
        <condense val="0"/>
        <extend val="0"/>
        <outline val="0"/>
        <shadow val="0"/>
        <u val="none"/>
        <vertAlign val="baseline"/>
        <sz val="10"/>
        <color theme="1"/>
        <name val="Swis721 LtEx BT"/>
        <scheme val="none"/>
      </font>
      <numFmt numFmtId="19" formatCode="dd/mm/yyyy"/>
      <alignment horizontal="left" vertical="bottom" textRotation="0" wrapText="0" indent="0" justifyLastLine="0" shrinkToFit="0" readingOrder="0"/>
    </dxf>
    <dxf>
      <font>
        <b val="0"/>
        <i val="0"/>
        <strike val="0"/>
        <condense val="0"/>
        <extend val="0"/>
        <outline val="0"/>
        <shadow val="0"/>
        <u val="none"/>
        <vertAlign val="baseline"/>
        <sz val="10"/>
        <color theme="1"/>
        <name val="Swis721 LtEx BT"/>
        <scheme val="none"/>
      </font>
      <numFmt numFmtId="19" formatCode="dd/mm/yyyy"/>
      <alignment horizontal="left" vertical="bottom" textRotation="0" wrapText="0" indent="0" justifyLastLine="0" shrinkToFit="0" readingOrder="0"/>
    </dxf>
    <dxf>
      <font>
        <b val="0"/>
        <i val="0"/>
        <strike val="0"/>
        <condense val="0"/>
        <extend val="0"/>
        <outline val="0"/>
        <shadow val="0"/>
        <u val="none"/>
        <vertAlign val="baseline"/>
        <sz val="10"/>
        <color theme="1"/>
        <name val="Swis721 LtEx BT"/>
        <scheme val="none"/>
      </font>
      <alignment horizontal="general" vertical="bottom" textRotation="0" wrapText="0" relativeIndent="0" justifyLastLine="0" shrinkToFit="0" readingOrder="0"/>
    </dxf>
    <dxf>
      <font>
        <b val="0"/>
        <i val="0"/>
        <strike val="0"/>
        <condense val="0"/>
        <extend val="0"/>
        <outline val="0"/>
        <shadow val="0"/>
        <u val="none"/>
        <vertAlign val="baseline"/>
        <sz val="10"/>
        <color theme="1"/>
        <name val="Swis721 LtEx BT"/>
        <scheme val="none"/>
      </font>
      <alignment horizontal="general" vertical="bottom" textRotation="0" wrapText="0" relativeIndent="0" justifyLastLine="0" shrinkToFit="0" readingOrder="0"/>
    </dxf>
    <dxf>
      <font>
        <b val="0"/>
        <i val="0"/>
        <strike val="0"/>
        <condense val="0"/>
        <extend val="0"/>
        <outline val="0"/>
        <shadow val="0"/>
        <u val="none"/>
        <vertAlign val="baseline"/>
        <sz val="10"/>
        <color theme="1"/>
        <name val="Swis721 LtEx BT"/>
        <scheme val="none"/>
      </font>
      <alignment horizontal="general" vertical="bottom" textRotation="0" wrapText="0" relativeIndent="0" justifyLastLine="0" shrinkToFit="0" readingOrder="0"/>
    </dxf>
    <dxf>
      <font>
        <b val="0"/>
        <i val="0"/>
        <strike val="0"/>
        <condense val="0"/>
        <extend val="0"/>
        <outline val="0"/>
        <shadow val="0"/>
        <u val="none"/>
        <vertAlign val="baseline"/>
        <sz val="10"/>
        <color theme="1"/>
        <name val="Swis721 LtEx BT"/>
        <scheme val="none"/>
      </font>
      <alignment horizontal="general" vertical="bottom" textRotation="0" wrapText="0" relativeIndent="0" justifyLastLine="0" shrinkToFit="0" readingOrder="0"/>
    </dxf>
    <dxf>
      <font>
        <b val="0"/>
        <i val="0"/>
        <strike val="0"/>
        <condense val="0"/>
        <extend val="0"/>
        <outline val="0"/>
        <shadow val="0"/>
        <u val="none"/>
        <vertAlign val="baseline"/>
        <sz val="10"/>
        <color theme="1"/>
        <name val="Swis721 LtEx BT"/>
        <scheme val="none"/>
      </font>
      <alignment horizontal="general" vertical="bottom" textRotation="0" wrapText="0" relativeIndent="0" justifyLastLine="0" shrinkToFit="0" readingOrder="0"/>
    </dxf>
    <dxf>
      <font>
        <b val="0"/>
        <i val="0"/>
        <strike val="0"/>
        <condense val="0"/>
        <extend val="0"/>
        <outline val="0"/>
        <shadow val="0"/>
        <u val="none"/>
        <vertAlign val="baseline"/>
        <sz val="10"/>
        <color theme="1"/>
        <name val="Swis721 LtEx BT"/>
        <scheme val="none"/>
      </font>
      <alignment horizontal="general" vertical="bottom" textRotation="0" wrapText="0" relativeIndent="0" justifyLastLine="0" shrinkToFit="0" readingOrder="0"/>
    </dxf>
    <dxf>
      <font>
        <b val="0"/>
        <i val="0"/>
        <strike val="0"/>
        <condense val="0"/>
        <extend val="0"/>
        <outline val="0"/>
        <shadow val="0"/>
        <u val="none"/>
        <vertAlign val="baseline"/>
        <sz val="10"/>
        <color theme="1"/>
        <name val="Swis721 LtEx BT"/>
        <scheme val="none"/>
      </font>
      <numFmt numFmtId="14" formatCode="0.00%"/>
      <alignment horizontal="general" vertical="bottom" textRotation="0" wrapText="0" relativeIndent="0" justifyLastLine="0" shrinkToFit="0" readingOrder="0"/>
    </dxf>
    <dxf>
      <font>
        <b val="0"/>
        <i val="0"/>
        <strike val="0"/>
        <condense val="0"/>
        <extend val="0"/>
        <outline val="0"/>
        <shadow val="0"/>
        <u val="none"/>
        <vertAlign val="baseline"/>
        <sz val="10"/>
        <color theme="1"/>
        <name val="Swis721 LtEx BT"/>
        <scheme val="none"/>
      </font>
      <alignment horizontal="general" vertical="bottom" textRotation="0" wrapText="0" relativeIndent="0" justifyLastLine="0" shrinkToFit="0" readingOrder="0"/>
    </dxf>
    <dxf>
      <font>
        <b val="0"/>
        <i val="0"/>
        <strike val="0"/>
        <condense val="0"/>
        <extend val="0"/>
        <outline val="0"/>
        <shadow val="0"/>
        <u val="none"/>
        <vertAlign val="baseline"/>
        <sz val="10"/>
        <color theme="1"/>
        <name val="Swis721 LtEx BT"/>
        <scheme val="none"/>
      </font>
      <numFmt numFmtId="2" formatCode="0.00"/>
      <alignment horizontal="center" vertical="top" textRotation="0" wrapText="0" indent="0" justifyLastLine="0" shrinkToFit="0" readingOrder="0"/>
    </dxf>
    <dxf>
      <font>
        <b val="0"/>
        <i val="0"/>
        <strike val="0"/>
        <condense val="0"/>
        <extend val="0"/>
        <outline val="0"/>
        <shadow val="0"/>
        <u val="none"/>
        <vertAlign val="baseline"/>
        <sz val="10"/>
        <color theme="1"/>
        <name val="Swis721 LtEx BT"/>
        <scheme val="none"/>
      </font>
      <numFmt numFmtId="2" formatCode="0.00"/>
      <alignment horizontal="center" vertical="top" textRotation="0" wrapText="0" indent="0" justifyLastLine="0" shrinkToFit="0" readingOrder="0"/>
    </dxf>
    <dxf>
      <font>
        <b val="0"/>
        <i val="0"/>
        <strike val="0"/>
        <condense val="0"/>
        <extend val="0"/>
        <outline val="0"/>
        <shadow val="0"/>
        <u val="none"/>
        <vertAlign val="baseline"/>
        <sz val="10"/>
        <color theme="1"/>
        <name val="Swis721 LtEx BT"/>
        <scheme val="none"/>
      </font>
      <numFmt numFmtId="2" formatCode="0.00"/>
      <alignment horizontal="center" vertical="top" textRotation="0" wrapText="0" indent="0" justifyLastLine="0" shrinkToFit="0" readingOrder="0"/>
    </dxf>
    <dxf>
      <font>
        <b val="0"/>
        <i val="0"/>
        <strike val="0"/>
        <condense val="0"/>
        <extend val="0"/>
        <outline val="0"/>
        <shadow val="0"/>
        <u val="none"/>
        <vertAlign val="baseline"/>
        <sz val="10"/>
        <color theme="1"/>
        <name val="Swis721 LtEx BT"/>
        <scheme val="none"/>
      </font>
      <numFmt numFmtId="1" formatCode="0"/>
      <alignment horizontal="center" vertical="top" textRotation="0" wrapText="0" indent="0" justifyLastLine="0" shrinkToFit="0" readingOrder="0"/>
    </dxf>
    <dxf>
      <font>
        <b val="0"/>
        <i val="0"/>
        <strike val="0"/>
        <condense val="0"/>
        <extend val="0"/>
        <outline val="0"/>
        <shadow val="0"/>
        <u val="none"/>
        <vertAlign val="baseline"/>
        <sz val="10"/>
        <color theme="1"/>
        <name val="Swis721 LtEx BT"/>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wis721 LtEx BT"/>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wis721 LtEx BT"/>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wis721 LtEx BT"/>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Swis721 LtEx BT"/>
        <scheme val="none"/>
      </font>
      <numFmt numFmtId="164" formatCode="[$-F800]dddd\,\ mmmm\ dd\,\ yyyy"/>
      <alignment vertical="top" textRotation="0" wrapText="0" indent="0" justifyLastLine="0" shrinkToFit="0" readingOrder="0"/>
    </dxf>
    <dxf>
      <font>
        <b val="0"/>
        <i val="0"/>
        <strike val="0"/>
        <condense val="0"/>
        <extend val="0"/>
        <outline val="0"/>
        <shadow val="0"/>
        <u val="none"/>
        <vertAlign val="baseline"/>
        <sz val="10"/>
        <color theme="1"/>
        <name val="Swis721 LtEx BT"/>
        <scheme val="none"/>
      </font>
      <numFmt numFmtId="164" formatCode="[$-F800]dddd\,\ mmmm\ dd\,\ yyyy"/>
      <alignment horizontal="general" vertical="top" textRotation="0" wrapText="0" relativeIndent="0" justifyLastLine="0" shrinkToFit="0" readingOrder="0"/>
    </dxf>
    <dxf>
      <font>
        <b val="0"/>
        <i val="0"/>
        <strike val="0"/>
        <condense val="0"/>
        <extend val="0"/>
        <outline val="0"/>
        <shadow val="0"/>
        <u val="none"/>
        <vertAlign val="baseline"/>
        <sz val="10"/>
        <color theme="1"/>
        <name val="Swis721 LtEx BT"/>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wis721 LtEx BT"/>
        <scheme val="none"/>
      </font>
      <alignment vertical="top" textRotation="0" wrapText="0" indent="0" justifyLastLine="0" shrinkToFit="0" readingOrder="0"/>
    </dxf>
    <dxf>
      <font>
        <b val="0"/>
        <i val="0"/>
        <strike val="0"/>
        <condense val="0"/>
        <extend val="0"/>
        <outline val="0"/>
        <shadow val="0"/>
        <u val="none"/>
        <vertAlign val="baseline"/>
        <sz val="10"/>
        <color theme="1"/>
        <name val="Swis721 LtEx BT"/>
        <scheme val="none"/>
      </font>
      <alignment horizontal="center" vertical="top" textRotation="0" wrapText="0" relativeIndent="0" justifyLastLine="0" shrinkToFit="0" readingOrder="0"/>
    </dxf>
    <dxf>
      <font>
        <b val="0"/>
        <i val="0"/>
        <strike val="0"/>
        <condense val="0"/>
        <extend val="0"/>
        <outline val="0"/>
        <shadow val="0"/>
        <u val="none"/>
        <vertAlign val="baseline"/>
        <sz val="10"/>
        <color theme="1"/>
        <name val="Swis721 LtEx BT"/>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wis721 LtEx BT"/>
        <scheme val="none"/>
      </font>
      <numFmt numFmtId="164" formatCode="[$-F800]dddd\,\ mmmm\ dd\,\ yyyy"/>
      <alignment vertical="top" textRotation="0" wrapText="0" indent="0" justifyLastLine="0" shrinkToFit="0" readingOrder="0"/>
    </dxf>
    <dxf>
      <font>
        <b val="0"/>
        <i val="0"/>
        <strike val="0"/>
        <condense val="0"/>
        <extend val="0"/>
        <outline val="0"/>
        <shadow val="0"/>
        <u val="none"/>
        <vertAlign val="baseline"/>
        <sz val="10"/>
        <color theme="1"/>
        <name val="Swis721 LtEx BT"/>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Swis721 LtEx BT"/>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wis721 LtEx BT"/>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wis721 LtEx BT"/>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wis721 LtEx BT"/>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wis721 LtEx BT"/>
        <scheme val="none"/>
      </font>
      <alignment horizontal="center" vertical="center" textRotation="0" wrapText="0" relativeIndent="0" justifyLastLine="0" shrinkToFit="0" readingOrder="0"/>
    </dxf>
    <dxf>
      <font>
        <b val="0"/>
        <i val="0"/>
        <strike val="0"/>
        <condense val="0"/>
        <extend val="0"/>
        <outline val="0"/>
        <shadow val="0"/>
        <u val="none"/>
        <vertAlign val="baseline"/>
        <sz val="10"/>
        <color theme="1"/>
        <name val="Swis721 LtEx BT"/>
        <scheme val="none"/>
      </font>
      <alignment horizontal="center" vertical="center" textRotation="0" wrapText="0" relativeIndent="0" justifyLastLine="0" shrinkToFit="0" readingOrder="0"/>
    </dxf>
    <dxf>
      <font>
        <b val="0"/>
        <i val="0"/>
        <strike val="0"/>
        <condense val="0"/>
        <extend val="0"/>
        <outline val="0"/>
        <shadow val="0"/>
        <u val="none"/>
        <vertAlign val="baseline"/>
        <sz val="10"/>
        <color theme="1"/>
        <name val="Swis721 LtEx BT"/>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wis721 LtEx BT"/>
        <scheme val="none"/>
      </font>
      <alignment vertical="top" textRotation="0" wrapText="0" indent="0" justifyLastLine="0" shrinkToFit="0" readingOrder="0"/>
    </dxf>
    <dxf>
      <font>
        <b val="0"/>
        <i val="0"/>
        <strike val="0"/>
        <condense val="0"/>
        <extend val="0"/>
        <outline val="0"/>
        <shadow val="0"/>
        <u val="none"/>
        <vertAlign val="baseline"/>
        <sz val="10"/>
        <color theme="1"/>
        <name val="Swis721 LtEx BT"/>
        <scheme val="none"/>
      </font>
      <alignment vertical="top" textRotation="0" wrapText="0" indent="0" justifyLastLine="0" shrinkToFit="0" readingOrder="0"/>
    </dxf>
    <dxf>
      <font>
        <b val="0"/>
        <i val="0"/>
        <strike val="0"/>
        <condense val="0"/>
        <extend val="0"/>
        <outline val="0"/>
        <shadow val="0"/>
        <u val="none"/>
        <vertAlign val="baseline"/>
        <sz val="10"/>
        <color theme="1"/>
        <name val="Swis721 LtEx BT"/>
        <scheme val="none"/>
      </font>
      <numFmt numFmtId="30" formatCode="@"/>
      <alignment horizontal="general" vertical="top" textRotation="0" wrapText="1" indent="0" justifyLastLine="0" shrinkToFit="0" readingOrder="0"/>
    </dxf>
    <dxf>
      <font>
        <b val="0"/>
        <i val="0"/>
        <strike val="0"/>
        <condense val="0"/>
        <extend val="0"/>
        <outline val="0"/>
        <shadow val="0"/>
        <u val="none"/>
        <vertAlign val="baseline"/>
        <sz val="10"/>
        <color theme="1"/>
        <name val="Swis721 LtEx BT"/>
        <scheme val="none"/>
      </font>
      <alignment horizontal="center" vertical="top" textRotation="0" wrapText="0" indent="0" justifyLastLine="0" shrinkToFit="0" readingOrder="0"/>
    </dxf>
    <dxf>
      <font>
        <strike val="0"/>
        <outline val="0"/>
        <shadow val="0"/>
        <u val="none"/>
        <vertAlign val="baseline"/>
        <color theme="1"/>
        <name val="Swis721 LtEx BT"/>
        <scheme val="none"/>
      </font>
    </dxf>
    <dxf>
      <font>
        <b val="0"/>
        <i val="0"/>
        <strike val="0"/>
        <condense val="0"/>
        <extend val="0"/>
        <outline val="0"/>
        <shadow val="0"/>
        <u val="none"/>
        <vertAlign val="baseline"/>
        <sz val="10"/>
        <color theme="1"/>
        <name val="Swis721 LtEx BT"/>
        <scheme val="none"/>
      </font>
      <alignment vertical="top" textRotation="0" wrapText="0" indent="0" justifyLastLine="0" shrinkToFit="0" readingOrder="0"/>
    </dxf>
    <dxf>
      <font>
        <b/>
        <i val="0"/>
        <strike val="0"/>
        <condense val="0"/>
        <extend val="0"/>
        <outline val="0"/>
        <shadow val="0"/>
        <u val="none"/>
        <vertAlign val="baseline"/>
        <sz val="10"/>
        <color theme="1"/>
        <name val="Swis721 LtEx BT"/>
        <scheme val="none"/>
      </font>
      <alignment horizontal="center" vertical="center" textRotation="0" wrapText="0" relative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521925</xdr:colOff>
      <xdr:row>0</xdr:row>
      <xdr:rowOff>170800</xdr:rowOff>
    </xdr:from>
    <xdr:ext cx="8618450" cy="913007"/>
    <xdr:sp macro="" textlink="">
      <xdr:nvSpPr>
        <xdr:cNvPr id="2" name="1 Rectángulo"/>
        <xdr:cNvSpPr/>
      </xdr:nvSpPr>
      <xdr:spPr>
        <a:xfrm>
          <a:off x="2843644" y="170800"/>
          <a:ext cx="8618450" cy="913007"/>
        </a:xfrm>
        <a:prstGeom prst="rect">
          <a:avLst/>
        </a:prstGeom>
        <a:noFill/>
      </xdr:spPr>
      <xdr:txBody>
        <a:bodyPr wrap="none" lIns="91440" tIns="45720" rIns="91440" bIns="45720">
          <a:spAutoFit/>
        </a:bodyPr>
        <a:lstStyle/>
        <a:p>
          <a:pPr algn="ctr"/>
          <a:r>
            <a:rPr lang="es-ES" sz="5400" b="1" cap="none" spc="0">
              <a:ln w="10541" cmpd="sng">
                <a:solidFill>
                  <a:srgbClr val="7D7D7D">
                    <a:tint val="100000"/>
                    <a:shade val="100000"/>
                    <a:satMod val="110000"/>
                  </a:srgbClr>
                </a:solidFill>
                <a:prstDash val="solid"/>
              </a:ln>
              <a:gradFill>
                <a:gsLst>
                  <a:gs pos="0">
                    <a:srgbClr val="FFFFFF">
                      <a:tint val="40000"/>
                      <a:satMod val="250000"/>
                    </a:srgbClr>
                  </a:gs>
                  <a:gs pos="9000">
                    <a:srgbClr val="FFFFFF">
                      <a:tint val="52000"/>
                      <a:satMod val="300000"/>
                    </a:srgbClr>
                  </a:gs>
                  <a:gs pos="50000">
                    <a:srgbClr val="FFFFFF">
                      <a:shade val="20000"/>
                      <a:satMod val="300000"/>
                    </a:srgbClr>
                  </a:gs>
                  <a:gs pos="79000">
                    <a:srgbClr val="FFFFFF">
                      <a:tint val="52000"/>
                      <a:satMod val="300000"/>
                    </a:srgbClr>
                  </a:gs>
                  <a:gs pos="100000">
                    <a:srgbClr val="FFFFFF">
                      <a:tint val="40000"/>
                      <a:satMod val="250000"/>
                    </a:srgbClr>
                  </a:gs>
                </a:gsLst>
                <a:lin ang="5400000"/>
              </a:gradFill>
              <a:effectLst/>
              <a:latin typeface="Swis721 LtEx BT" pitchFamily="34" charset="0"/>
            </a:rPr>
            <a:t>Planeador de Proyectos</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8325</xdr:rowOff>
    </xdr:from>
    <xdr:to>
      <xdr:col>3</xdr:col>
      <xdr:colOff>310013</xdr:colOff>
      <xdr:row>4</xdr:row>
      <xdr:rowOff>61575</xdr:rowOff>
    </xdr:to>
    <xdr:pic>
      <xdr:nvPicPr>
        <xdr:cNvPr id="2" name="1 Imagen" descr="dismet 2.bmp"/>
        <xdr:cNvPicPr>
          <a:picLocks noChangeAspect="1"/>
        </xdr:cNvPicPr>
      </xdr:nvPicPr>
      <xdr:blipFill>
        <a:blip xmlns:r="http://schemas.openxmlformats.org/officeDocument/2006/relationships" r:embed="rId1"/>
        <a:stretch>
          <a:fillRect/>
        </a:stretch>
      </xdr:blipFill>
      <xdr:spPr>
        <a:xfrm>
          <a:off x="57150" y="8325"/>
          <a:ext cx="2115000" cy="720000"/>
        </a:xfrm>
        <a:prstGeom prst="rect">
          <a:avLst/>
        </a:prstGeom>
      </xdr:spPr>
    </xdr:pic>
    <xdr:clientData/>
  </xdr:twoCellAnchor>
  <xdr:twoCellAnchor editAs="oneCell">
    <xdr:from>
      <xdr:col>5</xdr:col>
      <xdr:colOff>612869</xdr:colOff>
      <xdr:row>0</xdr:row>
      <xdr:rowOff>0</xdr:rowOff>
    </xdr:from>
    <xdr:to>
      <xdr:col>7</xdr:col>
      <xdr:colOff>578770</xdr:colOff>
      <xdr:row>4</xdr:row>
      <xdr:rowOff>53250</xdr:rowOff>
    </xdr:to>
    <xdr:pic>
      <xdr:nvPicPr>
        <xdr:cNvPr id="3" name="2 Imagen" descr="dismet.bmp"/>
        <xdr:cNvPicPr>
          <a:picLocks noChangeAspect="1"/>
        </xdr:cNvPicPr>
      </xdr:nvPicPr>
      <xdr:blipFill>
        <a:blip xmlns:r="http://schemas.openxmlformats.org/officeDocument/2006/relationships" r:embed="rId2"/>
        <a:stretch>
          <a:fillRect/>
        </a:stretch>
      </xdr:blipFill>
      <xdr:spPr>
        <a:xfrm>
          <a:off x="4184744" y="0"/>
          <a:ext cx="1835183" cy="720000"/>
        </a:xfrm>
        <a:prstGeom prst="rect">
          <a:avLst/>
        </a:prstGeom>
      </xdr:spPr>
    </xdr:pic>
    <xdr:clientData/>
  </xdr:twoCellAnchor>
</xdr:wsDr>
</file>

<file path=xl/tables/table1.xml><?xml version="1.0" encoding="utf-8"?>
<table xmlns="http://schemas.openxmlformats.org/spreadsheetml/2006/main" id="2" name="Planeador" displayName="Planeador" ref="B2:AB135" totalsRowCount="1" headerRowDxfId="123" dataDxfId="122" totalsRowDxfId="121">
  <autoFilter ref="B2:AB134"/>
  <tableColumns count="27">
    <tableColumn id="1" name="Proyecto" totalsRowFunction="count" dataDxfId="120" totalsRowDxfId="34"/>
    <tableColumn id="2" name="Cliente" dataDxfId="119" totalsRowDxfId="33"/>
    <tableColumn id="3" name="Gestor" dataDxfId="118" totalsRowDxfId="32"/>
    <tableColumn id="4" name="Referencia" dataDxfId="117" totalsRowDxfId="31"/>
    <tableColumn id="27" name="DC" totalsRowFunction="count" dataDxfId="116" totalsRowDxfId="30"/>
    <tableColumn id="19" name="PR" totalsRowFunction="count" dataDxfId="115" totalsRowDxfId="29"/>
    <tableColumn id="20" name="PD" totalsRowFunction="count" dataDxfId="114" totalsRowDxfId="28"/>
    <tableColumn id="15" name="FB" totalsRowFunction="count" dataDxfId="113" totalsRowDxfId="27"/>
    <tableColumn id="16" name="MT" totalsRowFunction="count" dataDxfId="112" totalsRowDxfId="26"/>
    <tableColumn id="17" name="OC" totalsRowFunction="count" dataDxfId="111" totalsRowDxfId="25"/>
    <tableColumn id="18" name="CE" totalsRowFunction="count" dataDxfId="110" totalsRowDxfId="24"/>
    <tableColumn id="11" name="Descripción" dataDxfId="109" totalsRowDxfId="23"/>
    <tableColumn id="5" name="Fecha de Solicitud" dataDxfId="108" totalsRowDxfId="22"/>
    <tableColumn id="6" name="Prioridad" dataDxfId="107" totalsRowDxfId="21"/>
    <tableColumn id="14" name="Dificultad" totalsRowFunction="custom" dataDxfId="106" totalsRowDxfId="20">
      <totalsRowFormula>SUMIF(Planeador[Aprobado],"A",Planeador[Dificultad])</totalsRowFormula>
    </tableColumn>
    <tableColumn id="7" name="Estado" totalsRowFunction="custom" dataDxfId="105" totalsRowDxfId="19">
      <totalsRowFormula>COUNTIF(Planeador[[#Headers],[#Data],[Estado]],"&lt;1")</totalsRowFormula>
    </tableColumn>
    <tableColumn id="21" name="FL" dataDxfId="104" totalsRowDxfId="18"/>
    <tableColumn id="12" name="Fecha Estimada" dataDxfId="103" totalsRowDxfId="17"/>
    <tableColumn id="8" name="Fecha de Entrega" dataDxfId="102" totalsRowDxfId="16"/>
    <tableColumn id="9" name="Observaciones" dataDxfId="101" totalsRowDxfId="15"/>
    <tableColumn id="13" name="Revisión" dataDxfId="100" totalsRowDxfId="14"/>
    <tableColumn id="10" name="Aprobado" totalsRowFunction="custom" dataDxfId="99" totalsRowDxfId="13">
      <totalsRowFormula>COUNTIF(Planeador[[#Headers],[#Data],[Aprobado]],"A")</totalsRowFormula>
    </tableColumn>
    <tableColumn id="22" name="Cotización" totalsRowFunction="count" dataDxfId="98" totalsRowDxfId="12"/>
    <tableColumn id="23" name="ΔT" totalsRowFunction="sum" dataDxfId="97" totalsRowDxfId="11">
      <calculatedColumnFormula>IF(Planeador[[#This Row],[Aprobado]]="A",NETWORKDAYS(Planeador[[#This Row],[Fecha de Solicitud]],Planeador[[#This Row],[Fecha de Entrega]]),"0")</calculatedColumnFormula>
    </tableColumn>
    <tableColumn id="24" name="ΔTxDif" totalsRowFunction="sum" dataDxfId="96" totalsRowDxfId="10">
      <calculatedColumnFormula>IF(Planeador[[#This Row],[Dificultad]]&lt;&gt;"",Planeador[[#This Row],[ΔT]]*Planeador[[#This Row],[Dificultad]],"0")</calculatedColumnFormula>
    </tableColumn>
    <tableColumn id="25" name="ΔT/Dif" totalsRowFunction="max" dataDxfId="95" totalsRowDxfId="9">
      <calculatedColumnFormula>IF(Planeador[[#This Row],[Dificultad]]&lt;&gt;"",Planeador[[#This Row],[ΔT]]/Planeador[[#This Row],[Dificultad]],"0")</calculatedColumnFormula>
    </tableColumn>
    <tableColumn id="26" name="ΔT/10" dataDxfId="94" totalsRowDxfId="8">
      <calculatedColumnFormula>IF(Planeador[[#This Row],[Aprobado]]="A",NETWORKDAYS(Planeador[[#This Row],[Fecha de Solicitud]],Planeador[[#This Row],[Fecha de Entrega]])/5,"0,00")</calculatedColumnFormula>
    </tableColumn>
  </tableColumns>
  <tableStyleInfo name="TableStyleMedium9" showFirstColumn="0" showLastColumn="0" showRowStripes="1" showColumnStripes="0"/>
</table>
</file>

<file path=xl/tables/table10.xml><?xml version="1.0" encoding="utf-8"?>
<table xmlns="http://schemas.openxmlformats.org/spreadsheetml/2006/main" id="16" name="Tabla16" displayName="Tabla16" ref="E35:F42" totalsRowCount="1" headerRowDxfId="66" dataDxfId="65">
  <autoFilter ref="E35:F41"/>
  <tableColumns count="2">
    <tableColumn id="1" name="Indice" totalsRowLabel="Total" dataDxfId="64" totalsRowDxfId="63"/>
    <tableColumn id="2" name="Valor" totalsRowFunction="sum" dataDxfId="62" totalsRowDxfId="61">
      <calculatedColumnFormula>F28/SUM(CantGestores[Cantidad])</calculatedColumnFormula>
    </tableColumn>
  </tableColumns>
  <tableStyleInfo name="TableStyleMedium9" showFirstColumn="0" showLastColumn="0" showRowStripes="1" showColumnStripes="0"/>
</table>
</file>

<file path=xl/tables/table11.xml><?xml version="1.0" encoding="utf-8"?>
<table xmlns="http://schemas.openxmlformats.org/spreadsheetml/2006/main" id="3" name="Equipos" displayName="Equipos" ref="B3:C8" totalsRowShown="0" headerRowDxfId="60" dataDxfId="59">
  <autoFilter ref="B3:C8"/>
  <tableColumns count="2">
    <tableColumn id="1" name="Equipos" dataDxfId="58"/>
    <tableColumn id="2" name="Nombre" dataDxfId="57"/>
  </tableColumns>
  <tableStyleInfo name="TableStyleMedium9" showFirstColumn="0" showLastColumn="0" showRowStripes="1" showColumnStripes="0"/>
</table>
</file>

<file path=xl/tables/table12.xml><?xml version="1.0" encoding="utf-8"?>
<table xmlns="http://schemas.openxmlformats.org/spreadsheetml/2006/main" id="4" name="Comerciales" displayName="Comerciales" ref="E3:F11" totalsRowShown="0" headerRowDxfId="56" dataDxfId="55">
  <autoFilter ref="E3:F11"/>
  <sortState ref="E4:F9">
    <sortCondition ref="E4:E9"/>
  </sortState>
  <tableColumns count="2">
    <tableColumn id="1" name="Comercial" dataDxfId="54"/>
    <tableColumn id="2" name="Nombre" dataDxfId="53"/>
  </tableColumns>
  <tableStyleInfo name="TableStyleMedium9" showFirstColumn="0" showLastColumn="0" showRowStripes="1" showColumnStripes="0"/>
</table>
</file>

<file path=xl/tables/table13.xml><?xml version="1.0" encoding="utf-8"?>
<table xmlns="http://schemas.openxmlformats.org/spreadsheetml/2006/main" id="6" name="Estados" displayName="Estados" ref="H3:I7" totalsRowShown="0" headerRowDxfId="52" dataDxfId="51">
  <autoFilter ref="H3:I7"/>
  <tableColumns count="2">
    <tableColumn id="1" name="Estado" dataDxfId="50"/>
    <tableColumn id="2" name="Nombre" dataDxfId="49"/>
  </tableColumns>
  <tableStyleInfo name="TableStyleMedium9" showFirstColumn="0" showLastColumn="0" showRowStripes="1" showColumnStripes="0"/>
</table>
</file>

<file path=xl/tables/table14.xml><?xml version="1.0" encoding="utf-8"?>
<table xmlns="http://schemas.openxmlformats.org/spreadsheetml/2006/main" id="5" name="Prioridades" displayName="Prioridades" ref="K3:L8" totalsRowShown="0" headerRowDxfId="48" dataDxfId="47">
  <autoFilter ref="K3:L8"/>
  <tableColumns count="2">
    <tableColumn id="1" name="Prioridad" dataDxfId="46"/>
    <tableColumn id="2" name="Nombre" dataDxfId="45"/>
  </tableColumns>
  <tableStyleInfo name="TableStyleMedium9" showFirstColumn="0" showLastColumn="0" showRowStripes="1" showColumnStripes="0"/>
</table>
</file>

<file path=xl/tables/table15.xml><?xml version="1.0" encoding="utf-8"?>
<table xmlns="http://schemas.openxmlformats.org/spreadsheetml/2006/main" id="7" name="Marcadores" displayName="Marcadores" ref="N3:O4" totalsRowShown="0" headerRowDxfId="44" dataDxfId="43">
  <autoFilter ref="N3:O4"/>
  <tableColumns count="2">
    <tableColumn id="1" name="Marcador" dataDxfId="42"/>
    <tableColumn id="2" name="Descripción" dataDxfId="41"/>
  </tableColumns>
  <tableStyleInfo name="TableStyleMedium9" showFirstColumn="0" showLastColumn="0" showRowStripes="1" showColumnStripes="0"/>
</table>
</file>

<file path=xl/tables/table16.xml><?xml version="1.0" encoding="utf-8"?>
<table xmlns="http://schemas.openxmlformats.org/spreadsheetml/2006/main" id="1" name="Convenciones" displayName="Convenciones" ref="B2:E13" totalsRowShown="0" headerRowDxfId="40" dataDxfId="39">
  <autoFilter ref="B2:E13"/>
  <tableColumns count="4">
    <tableColumn id="1" name="Concepto" dataDxfId="38"/>
    <tableColumn id="2" name="Símbolos" dataDxfId="37"/>
    <tableColumn id="3" name="Explicación" dataDxfId="36"/>
    <tableColumn id="4" name="Uso" dataDxfId="35"/>
  </tableColumns>
  <tableStyleInfo name="TableStyleMedium9" showFirstColumn="0" showLastColumn="0" showRowStripes="1" showColumnStripes="0"/>
</table>
</file>

<file path=xl/tables/table17.xml><?xml version="1.0" encoding="utf-8"?>
<table xmlns="http://schemas.openxmlformats.org/spreadsheetml/2006/main" id="18" name="Tabla18" displayName="Tabla18" ref="A1:B147" totalsRowShown="0">
  <autoFilter ref="A1:B147"/>
  <tableColumns count="2">
    <tableColumn id="1" name="Id_referencia"/>
    <tableColumn id="2" name="Equipo"/>
  </tableColumns>
  <tableStyleInfo name="TableStyleMedium9" showFirstColumn="0" showLastColumn="0" showRowStripes="1" showColumnStripes="0"/>
</table>
</file>

<file path=xl/tables/table18.xml><?xml version="1.0" encoding="utf-8"?>
<table xmlns="http://schemas.openxmlformats.org/spreadsheetml/2006/main" id="17" name="Equipo" displayName="Equipo" ref="A1:B35" totalsRowShown="0" headerRowDxfId="7">
  <autoFilter ref="A1:B35"/>
  <tableColumns count="2">
    <tableColumn id="1" name="Id_equipo"/>
    <tableColumn id="2" name="Equipo"/>
  </tableColumns>
  <tableStyleInfo name="TableStyleMedium9" showFirstColumn="0" showLastColumn="0" showRowStripes="1" showColumnStripes="0"/>
</table>
</file>

<file path=xl/tables/table2.xml><?xml version="1.0" encoding="utf-8"?>
<table xmlns="http://schemas.openxmlformats.org/spreadsheetml/2006/main" id="8" name="IndGeneral" displayName="IndGeneral" ref="B17:C24" totalsRowShown="0">
  <autoFilter ref="B17:C24"/>
  <tableColumns count="2">
    <tableColumn id="1" name="Indice" dataDxfId="93"/>
    <tableColumn id="3" name="Valor" dataDxfId="92"/>
  </tableColumns>
  <tableStyleInfo name="TableStyleMedium9" showFirstColumn="0" showLastColumn="0" showRowStripes="1" showColumnStripes="0"/>
</table>
</file>

<file path=xl/tables/table3.xml><?xml version="1.0" encoding="utf-8"?>
<table xmlns="http://schemas.openxmlformats.org/spreadsheetml/2006/main" id="9" name="CantGeneral" displayName="CantGeneral" ref="B10:C15" totalsRowShown="0" headerRowDxfId="91" dataDxfId="90">
  <autoFilter ref="B10:C15"/>
  <tableColumns count="2">
    <tableColumn id="1" name="Concepto" dataDxfId="89"/>
    <tableColumn id="2" name="Cantidad" dataDxfId="88"/>
  </tableColumns>
  <tableStyleInfo name="TableStyleMedium9" showFirstColumn="0" showLastColumn="0" showRowStripes="1" showColumnStripes="0"/>
</table>
</file>

<file path=xl/tables/table4.xml><?xml version="1.0" encoding="utf-8"?>
<table xmlns="http://schemas.openxmlformats.org/spreadsheetml/2006/main" id="11" name="Rango" displayName="Rango" ref="E7:F8" totalsRowShown="0" headerRowDxfId="87" dataDxfId="86">
  <autoFilter ref="E7:F8"/>
  <tableColumns count="2">
    <tableColumn id="1" name="Fecha inicial" dataDxfId="85"/>
    <tableColumn id="2" name="Fecha final" dataDxfId="84">
      <calculatedColumnFormula>TODAY()</calculatedColumnFormula>
    </tableColumn>
  </tableColumns>
  <tableStyleInfo name="TableStyleMedium9" showFirstColumn="0" showLastColumn="0" showRowStripes="1" showColumnStripes="0"/>
</table>
</file>

<file path=xl/tables/table5.xml><?xml version="1.0" encoding="utf-8"?>
<table xmlns="http://schemas.openxmlformats.org/spreadsheetml/2006/main" id="12" name="CantRango" displayName="CantRango" ref="E10:F15" totalsRowShown="0" headerRowDxfId="83" dataDxfId="82">
  <autoFilter ref="E10:F15"/>
  <tableColumns count="2">
    <tableColumn id="1" name="Concepto" dataDxfId="81"/>
    <tableColumn id="2" name="Cantidad" dataDxfId="80"/>
  </tableColumns>
  <tableStyleInfo name="TableStyleMedium9" showFirstColumn="0" showLastColumn="0" showRowStripes="1" showColumnStripes="0"/>
</table>
</file>

<file path=xl/tables/table6.xml><?xml version="1.0" encoding="utf-8"?>
<table xmlns="http://schemas.openxmlformats.org/spreadsheetml/2006/main" id="13" name="IndRango" displayName="IndRango" ref="E17:F24" totalsRowShown="0">
  <autoFilter ref="E17:F24"/>
  <tableColumns count="2">
    <tableColumn id="1" name="Indice" dataDxfId="79"/>
    <tableColumn id="3" name="Valor" dataDxfId="78"/>
  </tableColumns>
  <tableStyleInfo name="TableStyleMedium9" showFirstColumn="0" showLastColumn="0" showRowStripes="1" showColumnStripes="0"/>
</table>
</file>

<file path=xl/tables/table7.xml><?xml version="1.0" encoding="utf-8"?>
<table xmlns="http://schemas.openxmlformats.org/spreadsheetml/2006/main" id="10" name="CantConcepto" displayName="CantConcepto" ref="B27:C33" totalsRowShown="0" headerRowDxfId="77" dataDxfId="76">
  <autoFilter ref="B27:C33"/>
  <tableColumns count="2">
    <tableColumn id="1" name="Concepto" dataDxfId="75"/>
    <tableColumn id="2" name="Cantidad" dataDxfId="74">
      <calculatedColumnFormula>Planeador[[#Totals],[PR]]</calculatedColumnFormula>
    </tableColumn>
  </tableColumns>
  <tableStyleInfo name="TableStyleMedium9" showFirstColumn="0" showLastColumn="0" showRowStripes="1" showColumnStripes="0"/>
</table>
</file>

<file path=xl/tables/table8.xml><?xml version="1.0" encoding="utf-8"?>
<table xmlns="http://schemas.openxmlformats.org/spreadsheetml/2006/main" id="14" name="Tabla14" displayName="Tabla14" ref="B35:C42" totalsRowShown="0" headerRowDxfId="73" dataDxfId="72">
  <autoFilter ref="B35:C42"/>
  <tableColumns count="2">
    <tableColumn id="1" name="Indice" dataDxfId="71"/>
    <tableColumn id="2" name="Valor" dataDxfId="70">
      <calculatedColumnFormula>C28/SUM(CantConcepto[Cantidad])</calculatedColumnFormula>
    </tableColumn>
  </tableColumns>
  <tableStyleInfo name="TableStyleMedium9" showFirstColumn="0" showLastColumn="0" showRowStripes="1" showColumnStripes="0"/>
</table>
</file>

<file path=xl/tables/table9.xml><?xml version="1.0" encoding="utf-8"?>
<table xmlns="http://schemas.openxmlformats.org/spreadsheetml/2006/main" id="15" name="CantGestores" displayName="CantGestores" ref="E27:F33" totalsRowShown="0" headerRowDxfId="69">
  <autoFilter ref="E27:F33"/>
  <tableColumns count="2">
    <tableColumn id="1" name="Gestor" dataDxfId="68"/>
    <tableColumn id="2" name="Cantidad" dataDxfId="67">
      <calculatedColumnFormula>COUNTIF(Planeador[Gestor],CantGestores[[#This Row],[Gestor]])</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printerSettings" Target="../printerSettings/printerSettings2.bin"/><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 Id="rId5" Type="http://schemas.openxmlformats.org/officeDocument/2006/relationships/table" Target="../tables/table15.xml"/><Relationship Id="rId4" Type="http://schemas.openxmlformats.org/officeDocument/2006/relationships/table" Target="../tables/table1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B1:AB190"/>
  <sheetViews>
    <sheetView showGridLines="0" topLeftCell="A4" zoomScale="80" zoomScaleNormal="80" workbookViewId="0">
      <pane xSplit="3" topLeftCell="D1" activePane="topRight" state="frozen"/>
      <selection pane="topRight" activeCell="E4" sqref="E4"/>
    </sheetView>
  </sheetViews>
  <sheetFormatPr baseColWidth="10" defaultRowHeight="12.75"/>
  <cols>
    <col min="1" max="1" width="2.85546875" style="8" customWidth="1"/>
    <col min="2" max="2" width="14.28515625" style="3" customWidth="1"/>
    <col min="3" max="3" width="14.85546875" style="8" customWidth="1"/>
    <col min="4" max="4" width="14.42578125" style="8" customWidth="1"/>
    <col min="5" max="5" width="30.7109375" style="8" customWidth="1"/>
    <col min="6" max="8" width="5.42578125" style="8" customWidth="1"/>
    <col min="9" max="12" width="5.5703125" style="7" customWidth="1"/>
    <col min="13" max="13" width="36.42578125" style="8" customWidth="1"/>
    <col min="14" max="14" width="39.140625" style="8" bestFit="1" customWidth="1"/>
    <col min="15" max="15" width="17.140625" style="3" customWidth="1"/>
    <col min="16" max="16" width="17.42578125" style="8" bestFit="1" customWidth="1"/>
    <col min="17" max="17" width="14.85546875" style="9" customWidth="1"/>
    <col min="18" max="18" width="2.85546875" style="9" customWidth="1"/>
    <col min="19" max="19" width="36.5703125" style="8" bestFit="1" customWidth="1"/>
    <col min="20" max="20" width="38.42578125" style="8" bestFit="1" customWidth="1"/>
    <col min="21" max="21" width="50.140625" style="3" customWidth="1"/>
    <col min="22" max="22" width="18" style="3" customWidth="1"/>
    <col min="23" max="23" width="18" style="8" customWidth="1"/>
    <col min="24" max="24" width="18.85546875" style="8" customWidth="1"/>
    <col min="25" max="25" width="9.85546875" style="8" hidden="1" customWidth="1"/>
    <col min="26" max="26" width="13.5703125" style="8" hidden="1" customWidth="1"/>
    <col min="27" max="27" width="12" style="8" hidden="1" customWidth="1"/>
    <col min="28" max="28" width="0" style="8" hidden="1" customWidth="1"/>
    <col min="29" max="16384" width="11.42578125" style="8"/>
  </cols>
  <sheetData>
    <row r="1" spans="2:28" s="4" customFormat="1" ht="96.75" customHeight="1">
      <c r="B1" s="3"/>
      <c r="I1" s="7"/>
      <c r="J1" s="7"/>
      <c r="K1" s="7"/>
      <c r="L1" s="7"/>
      <c r="N1" s="51"/>
      <c r="O1" s="7"/>
      <c r="Q1" s="16"/>
      <c r="R1" s="16"/>
      <c r="U1" s="3"/>
      <c r="V1" s="6"/>
    </row>
    <row r="2" spans="2:28" s="1" customFormat="1">
      <c r="B2" s="33" t="s">
        <v>0</v>
      </c>
      <c r="C2" s="1" t="s">
        <v>40</v>
      </c>
      <c r="D2" s="1" t="s">
        <v>41</v>
      </c>
      <c r="E2" s="1" t="s">
        <v>56</v>
      </c>
      <c r="F2" s="1" t="s">
        <v>377</v>
      </c>
      <c r="G2" s="1" t="s">
        <v>130</v>
      </c>
      <c r="H2" s="1" t="s">
        <v>131</v>
      </c>
      <c r="I2" s="1" t="s">
        <v>92</v>
      </c>
      <c r="J2" s="1" t="s">
        <v>93</v>
      </c>
      <c r="K2" s="1" t="s">
        <v>94</v>
      </c>
      <c r="L2" s="1" t="s">
        <v>95</v>
      </c>
      <c r="M2" s="2" t="s">
        <v>42</v>
      </c>
      <c r="N2" s="1" t="s">
        <v>43</v>
      </c>
      <c r="O2" s="1" t="s">
        <v>47</v>
      </c>
      <c r="P2" s="1" t="s">
        <v>77</v>
      </c>
      <c r="Q2" s="1" t="s">
        <v>44</v>
      </c>
      <c r="R2" s="1" t="s">
        <v>167</v>
      </c>
      <c r="S2" s="17" t="s">
        <v>72</v>
      </c>
      <c r="T2" s="2" t="s">
        <v>45</v>
      </c>
      <c r="U2" s="1" t="s">
        <v>46</v>
      </c>
      <c r="V2" s="20" t="s">
        <v>75</v>
      </c>
      <c r="W2" s="1" t="s">
        <v>48</v>
      </c>
      <c r="X2" s="58" t="s">
        <v>176</v>
      </c>
      <c r="Y2" s="1" t="s">
        <v>267</v>
      </c>
      <c r="Z2" s="1" t="s">
        <v>271</v>
      </c>
      <c r="AA2" s="1" t="s">
        <v>326</v>
      </c>
      <c r="AB2" s="1" t="s">
        <v>327</v>
      </c>
    </row>
    <row r="3" spans="2:28">
      <c r="B3" s="3" t="s">
        <v>1</v>
      </c>
      <c r="C3" s="89" t="s">
        <v>49</v>
      </c>
      <c r="D3" s="8" t="s">
        <v>50</v>
      </c>
      <c r="E3" s="8" t="s">
        <v>57</v>
      </c>
      <c r="F3" s="7"/>
      <c r="G3" s="7" t="s">
        <v>96</v>
      </c>
      <c r="H3" s="7" t="s">
        <v>96</v>
      </c>
      <c r="I3" s="7" t="s">
        <v>96</v>
      </c>
      <c r="M3" s="193" t="s">
        <v>496</v>
      </c>
      <c r="N3" s="9">
        <v>40848</v>
      </c>
      <c r="O3" s="3" t="s">
        <v>51</v>
      </c>
      <c r="P3" s="3">
        <v>7</v>
      </c>
      <c r="Q3" s="12">
        <v>1</v>
      </c>
      <c r="R3" s="56"/>
      <c r="S3" s="18"/>
      <c r="T3" s="9">
        <v>40858</v>
      </c>
      <c r="U3" s="14"/>
      <c r="W3" s="3" t="s">
        <v>52</v>
      </c>
      <c r="X3" s="59"/>
      <c r="Y3" s="66">
        <f>IF(Planeador[[#This Row],[Aprobado]]="A",NETWORKDAYS(Planeador[[#This Row],[Fecha de Solicitud]],Planeador[[#This Row],[Fecha de Entrega]]),"0")</f>
        <v>9</v>
      </c>
      <c r="Z3" s="65">
        <f>IF(Planeador[[#This Row],[Dificultad]]&lt;&gt;"",Planeador[[#This Row],[ΔT]]*Planeador[[#This Row],[Dificultad]],"0")</f>
        <v>63</v>
      </c>
      <c r="AA3" s="65">
        <f>IF(Planeador[[#This Row],[Dificultad]]&lt;&gt;"",Planeador[[#This Row],[ΔT]]/Planeador[[#This Row],[Dificultad]],"0")</f>
        <v>1.2857142857142858</v>
      </c>
      <c r="AB3" s="65">
        <f>IF(Planeador[[#This Row],[Aprobado]]="A",NETWORKDAYS(Planeador[[#This Row],[Fecha de Solicitud]],Planeador[[#This Row],[Fecha de Entrega]])/5,"0,00")</f>
        <v>1.8</v>
      </c>
    </row>
    <row r="4" spans="2:28" ht="25.5">
      <c r="B4" s="3" t="s">
        <v>2</v>
      </c>
      <c r="C4" s="89" t="s">
        <v>53</v>
      </c>
      <c r="D4" s="8" t="s">
        <v>126</v>
      </c>
      <c r="E4" s="14" t="s">
        <v>106</v>
      </c>
      <c r="F4" s="34" t="s">
        <v>96</v>
      </c>
      <c r="G4" s="7" t="s">
        <v>96</v>
      </c>
      <c r="H4" s="7" t="s">
        <v>96</v>
      </c>
      <c r="I4" s="7" t="s">
        <v>96</v>
      </c>
      <c r="M4" s="193" t="s">
        <v>496</v>
      </c>
      <c r="N4" s="9">
        <v>40848</v>
      </c>
      <c r="O4" s="3" t="s">
        <v>51</v>
      </c>
      <c r="P4" s="3">
        <v>6</v>
      </c>
      <c r="Q4" s="12">
        <v>1</v>
      </c>
      <c r="R4" s="56"/>
      <c r="S4" s="18"/>
      <c r="T4" s="9">
        <v>40887</v>
      </c>
      <c r="U4" s="14"/>
      <c r="W4" s="3" t="s">
        <v>52</v>
      </c>
      <c r="X4" s="3" t="s">
        <v>287</v>
      </c>
      <c r="Y4" s="66">
        <f>IF(Planeador[[#This Row],[Aprobado]]="A",NETWORKDAYS(Planeador[[#This Row],[Fecha de Solicitud]],Planeador[[#This Row],[Fecha de Entrega]]),"0")</f>
        <v>29</v>
      </c>
      <c r="Z4" s="65">
        <f>IF(Planeador[[#This Row],[Dificultad]]&lt;&gt;"",Planeador[[#This Row],[ΔT]]*Planeador[[#This Row],[Dificultad]],"0")</f>
        <v>174</v>
      </c>
      <c r="AA4" s="65">
        <f>IF(Planeador[[#This Row],[Dificultad]]&lt;&gt;"",Planeador[[#This Row],[ΔT]]/Planeador[[#This Row],[Dificultad]],"0")</f>
        <v>4.833333333333333</v>
      </c>
      <c r="AB4" s="65">
        <f>IF(Planeador[[#This Row],[Aprobado]]="A",NETWORKDAYS(Planeador[[#This Row],[Fecha de Solicitud]],Planeador[[#This Row],[Fecha de Entrega]])/5,"0,00")</f>
        <v>5.8</v>
      </c>
    </row>
    <row r="5" spans="2:28">
      <c r="B5" s="3" t="s">
        <v>3</v>
      </c>
      <c r="C5" s="89" t="s">
        <v>54</v>
      </c>
      <c r="D5" s="8" t="s">
        <v>50</v>
      </c>
      <c r="E5" s="8" t="s">
        <v>55</v>
      </c>
      <c r="F5" s="7"/>
      <c r="G5" s="7" t="s">
        <v>96</v>
      </c>
      <c r="H5" s="7" t="s">
        <v>96</v>
      </c>
      <c r="M5" s="193" t="s">
        <v>496</v>
      </c>
      <c r="N5" s="9">
        <v>40878</v>
      </c>
      <c r="O5" s="3" t="s">
        <v>51</v>
      </c>
      <c r="P5" s="3">
        <v>4</v>
      </c>
      <c r="Q5" s="12">
        <v>1</v>
      </c>
      <c r="R5" s="56"/>
      <c r="S5" s="18"/>
      <c r="T5" s="9">
        <v>40891</v>
      </c>
      <c r="U5" s="14"/>
      <c r="W5" s="3" t="s">
        <v>52</v>
      </c>
      <c r="X5" s="59"/>
      <c r="Y5" s="66">
        <f>IF(Planeador[[#This Row],[Aprobado]]="A",NETWORKDAYS(Planeador[[#This Row],[Fecha de Solicitud]],Planeador[[#This Row],[Fecha de Entrega]]),"0")</f>
        <v>10</v>
      </c>
      <c r="Z5" s="65">
        <f>IF(Planeador[[#This Row],[Dificultad]]&lt;&gt;"",Planeador[[#This Row],[ΔT]]*Planeador[[#This Row],[Dificultad]],"0")</f>
        <v>40</v>
      </c>
      <c r="AA5" s="65">
        <f>IF(Planeador[[#This Row],[Dificultad]]&lt;&gt;"",Planeador[[#This Row],[ΔT]]/Planeador[[#This Row],[Dificultad]],"0")</f>
        <v>2.5</v>
      </c>
      <c r="AB5" s="65">
        <f>IF(Planeador[[#This Row],[Aprobado]]="A",NETWORKDAYS(Planeador[[#This Row],[Fecha de Solicitud]],Planeador[[#This Row],[Fecha de Entrega]])/5,"0,00")</f>
        <v>2</v>
      </c>
    </row>
    <row r="6" spans="2:28">
      <c r="B6" s="3" t="s">
        <v>4</v>
      </c>
      <c r="C6" s="89" t="s">
        <v>58</v>
      </c>
      <c r="D6" s="8" t="s">
        <v>126</v>
      </c>
      <c r="E6" s="8" t="s">
        <v>57</v>
      </c>
      <c r="F6" s="7"/>
      <c r="G6" s="7" t="s">
        <v>96</v>
      </c>
      <c r="H6" s="7" t="s">
        <v>96</v>
      </c>
      <c r="M6" s="193" t="s">
        <v>496</v>
      </c>
      <c r="N6" s="9">
        <v>40878</v>
      </c>
      <c r="O6" s="3" t="s">
        <v>51</v>
      </c>
      <c r="P6" s="3">
        <v>5</v>
      </c>
      <c r="Q6" s="12">
        <v>0.25</v>
      </c>
      <c r="R6" s="56"/>
      <c r="S6" s="18"/>
      <c r="T6" s="9"/>
      <c r="U6" s="14"/>
      <c r="W6" s="3" t="s">
        <v>59</v>
      </c>
      <c r="X6" s="59"/>
      <c r="Y6" s="66" t="str">
        <f>IF(Planeador[[#This Row],[Aprobado]]="A",NETWORKDAYS(Planeador[[#This Row],[Fecha de Solicitud]],Planeador[[#This Row],[Fecha de Entrega]]),"0")</f>
        <v>0</v>
      </c>
      <c r="Z6" s="65">
        <f>IF(Planeador[[#This Row],[Dificultad]]&lt;&gt;"",Planeador[[#This Row],[ΔT]]*Planeador[[#This Row],[Dificultad]],"0")</f>
        <v>0</v>
      </c>
      <c r="AA6" s="65">
        <f>IF(Planeador[[#This Row],[Dificultad]]&lt;&gt;"",Planeador[[#This Row],[ΔT]]/Planeador[[#This Row],[Dificultad]],"0")</f>
        <v>0</v>
      </c>
      <c r="AB6" s="65" t="str">
        <f>IF(Planeador[[#This Row],[Aprobado]]="A",NETWORKDAYS(Planeador[[#This Row],[Fecha de Solicitud]],Planeador[[#This Row],[Fecha de Entrega]])/5,"0,00")</f>
        <v>0,00</v>
      </c>
    </row>
    <row r="7" spans="2:28">
      <c r="B7" s="3" t="s">
        <v>5</v>
      </c>
      <c r="C7" s="89" t="s">
        <v>103</v>
      </c>
      <c r="D7" s="8" t="s">
        <v>50</v>
      </c>
      <c r="E7" s="8" t="s">
        <v>57</v>
      </c>
      <c r="F7" s="7"/>
      <c r="G7" s="7" t="s">
        <v>96</v>
      </c>
      <c r="H7" s="7" t="s">
        <v>96</v>
      </c>
      <c r="I7" s="7" t="s">
        <v>96</v>
      </c>
      <c r="M7" s="193" t="s">
        <v>496</v>
      </c>
      <c r="N7" s="9">
        <v>40892</v>
      </c>
      <c r="O7" s="3" t="s">
        <v>51</v>
      </c>
      <c r="P7" s="3">
        <v>3</v>
      </c>
      <c r="Q7" s="12">
        <v>1</v>
      </c>
      <c r="R7" s="56"/>
      <c r="S7" s="18"/>
      <c r="T7" s="9">
        <v>40897</v>
      </c>
      <c r="U7" s="14"/>
      <c r="W7" s="3" t="s">
        <v>52</v>
      </c>
      <c r="X7" s="3" t="s">
        <v>198</v>
      </c>
      <c r="Y7" s="66">
        <f>IF(Planeador[[#This Row],[Aprobado]]="A",NETWORKDAYS(Planeador[[#This Row],[Fecha de Solicitud]],Planeador[[#This Row],[Fecha de Entrega]]),"0")</f>
        <v>4</v>
      </c>
      <c r="Z7" s="65">
        <f>IF(Planeador[[#This Row],[Dificultad]]&lt;&gt;"",Planeador[[#This Row],[ΔT]]*Planeador[[#This Row],[Dificultad]],"0")</f>
        <v>12</v>
      </c>
      <c r="AA7" s="65">
        <f>IF(Planeador[[#This Row],[Dificultad]]&lt;&gt;"",Planeador[[#This Row],[ΔT]]/Planeador[[#This Row],[Dificultad]],"0")</f>
        <v>1.3333333333333333</v>
      </c>
      <c r="AB7" s="65">
        <f>IF(Planeador[[#This Row],[Aprobado]]="A",NETWORKDAYS(Planeador[[#This Row],[Fecha de Solicitud]],Planeador[[#This Row],[Fecha de Entrega]])/5,"0,00")</f>
        <v>0.8</v>
      </c>
    </row>
    <row r="8" spans="2:28">
      <c r="B8" s="3" t="s">
        <v>6</v>
      </c>
      <c r="C8" s="89" t="s">
        <v>177</v>
      </c>
      <c r="D8" s="8" t="s">
        <v>67</v>
      </c>
      <c r="E8" s="8" t="s">
        <v>178</v>
      </c>
      <c r="F8" s="7" t="s">
        <v>96</v>
      </c>
      <c r="G8" s="7" t="s">
        <v>96</v>
      </c>
      <c r="H8" s="7" t="s">
        <v>96</v>
      </c>
      <c r="I8" s="7" t="s">
        <v>96</v>
      </c>
      <c r="J8" s="7" t="s">
        <v>96</v>
      </c>
      <c r="L8" s="7" t="s">
        <v>96</v>
      </c>
      <c r="M8" s="14" t="s">
        <v>179</v>
      </c>
      <c r="N8" s="9">
        <v>40899</v>
      </c>
      <c r="O8" s="3" t="s">
        <v>154</v>
      </c>
      <c r="P8" s="3">
        <v>6</v>
      </c>
      <c r="Q8" s="12">
        <v>1</v>
      </c>
      <c r="R8" s="56"/>
      <c r="S8" s="18"/>
      <c r="T8" s="9">
        <v>40949</v>
      </c>
      <c r="U8" s="14"/>
      <c r="W8" s="3" t="s">
        <v>52</v>
      </c>
      <c r="X8" s="59" t="s">
        <v>180</v>
      </c>
      <c r="Y8" s="66">
        <f>IF(Planeador[[#This Row],[Aprobado]]="A",NETWORKDAYS(Planeador[[#This Row],[Fecha de Solicitud]],Planeador[[#This Row],[Fecha de Entrega]]),"0")</f>
        <v>37</v>
      </c>
      <c r="Z8" s="65">
        <f>IF(Planeador[[#This Row],[Dificultad]]&lt;&gt;"",Planeador[[#This Row],[ΔT]]*Planeador[[#This Row],[Dificultad]],"0")</f>
        <v>222</v>
      </c>
      <c r="AA8" s="65">
        <f>IF(Planeador[[#This Row],[Dificultad]]&lt;&gt;"",Planeador[[#This Row],[ΔT]]/Planeador[[#This Row],[Dificultad]],"0")</f>
        <v>6.166666666666667</v>
      </c>
      <c r="AB8" s="65">
        <f>IF(Planeador[[#This Row],[Aprobado]]="A",NETWORKDAYS(Planeador[[#This Row],[Fecha de Solicitud]],Planeador[[#This Row],[Fecha de Entrega]])/5,"0,00")</f>
        <v>7.4</v>
      </c>
    </row>
    <row r="9" spans="2:28" ht="25.5">
      <c r="B9" s="3" t="s">
        <v>7</v>
      </c>
      <c r="C9" s="89" t="s">
        <v>306</v>
      </c>
      <c r="D9" s="8" t="s">
        <v>61</v>
      </c>
      <c r="E9" s="8" t="s">
        <v>181</v>
      </c>
      <c r="F9" s="7"/>
      <c r="G9" s="7" t="s">
        <v>96</v>
      </c>
      <c r="H9" s="7"/>
      <c r="M9" s="14" t="s">
        <v>182</v>
      </c>
      <c r="N9" s="9">
        <v>40898</v>
      </c>
      <c r="O9" s="3" t="s">
        <v>111</v>
      </c>
      <c r="P9" s="3">
        <v>2</v>
      </c>
      <c r="Q9" s="12">
        <v>1</v>
      </c>
      <c r="R9" s="56"/>
      <c r="S9" s="18"/>
      <c r="T9" s="9">
        <v>40899</v>
      </c>
      <c r="U9" s="14"/>
      <c r="W9" s="3" t="s">
        <v>52</v>
      </c>
      <c r="X9" s="3" t="s">
        <v>183</v>
      </c>
      <c r="Y9" s="66">
        <f>IF(Planeador[[#This Row],[Aprobado]]="A",NETWORKDAYS(Planeador[[#This Row],[Fecha de Solicitud]],Planeador[[#This Row],[Fecha de Entrega]]),"0")</f>
        <v>2</v>
      </c>
      <c r="Z9" s="65">
        <f>IF(Planeador[[#This Row],[Dificultad]]&lt;&gt;"",Planeador[[#This Row],[ΔT]]*Planeador[[#This Row],[Dificultad]],"0")</f>
        <v>4</v>
      </c>
      <c r="AA9" s="65">
        <f>IF(Planeador[[#This Row],[Dificultad]]&lt;&gt;"",Planeador[[#This Row],[ΔT]]/Planeador[[#This Row],[Dificultad]],"0")</f>
        <v>1</v>
      </c>
      <c r="AB9" s="65">
        <f>IF(Planeador[[#This Row],[Aprobado]]="A",NETWORKDAYS(Planeador[[#This Row],[Fecha de Solicitud]],Planeador[[#This Row],[Fecha de Entrega]])/5,"0,00")</f>
        <v>0.4</v>
      </c>
    </row>
    <row r="10" spans="2:28" ht="25.5">
      <c r="B10" s="3" t="s">
        <v>8</v>
      </c>
      <c r="C10" s="89" t="s">
        <v>184</v>
      </c>
      <c r="D10" s="8" t="s">
        <v>122</v>
      </c>
      <c r="E10" s="8" t="s">
        <v>62</v>
      </c>
      <c r="F10" s="7"/>
      <c r="G10" s="7"/>
      <c r="H10" s="7" t="s">
        <v>96</v>
      </c>
      <c r="M10" s="14" t="s">
        <v>185</v>
      </c>
      <c r="N10" s="9">
        <v>40870</v>
      </c>
      <c r="O10" s="3" t="s">
        <v>154</v>
      </c>
      <c r="P10" s="3">
        <v>6</v>
      </c>
      <c r="Q10" s="12">
        <v>1</v>
      </c>
      <c r="R10" s="56" t="s">
        <v>96</v>
      </c>
      <c r="S10" s="18">
        <v>40901</v>
      </c>
      <c r="T10" s="9">
        <v>40901</v>
      </c>
      <c r="U10" s="14" t="s">
        <v>186</v>
      </c>
      <c r="W10" s="3" t="s">
        <v>52</v>
      </c>
      <c r="X10" s="59"/>
      <c r="Y10" s="66">
        <f>IF(Planeador[[#This Row],[Aprobado]]="A",NETWORKDAYS(Planeador[[#This Row],[Fecha de Solicitud]],Planeador[[#This Row],[Fecha de Entrega]]),"0")</f>
        <v>23</v>
      </c>
      <c r="Z10" s="65">
        <f>IF(Planeador[[#This Row],[Dificultad]]&lt;&gt;"",Planeador[[#This Row],[ΔT]]*Planeador[[#This Row],[Dificultad]],"0")</f>
        <v>138</v>
      </c>
      <c r="AA10" s="65">
        <f>IF(Planeador[[#This Row],[Dificultad]]&lt;&gt;"",Planeador[[#This Row],[ΔT]]/Planeador[[#This Row],[Dificultad]],"0")</f>
        <v>3.8333333333333335</v>
      </c>
      <c r="AB10" s="65">
        <f>IF(Planeador[[#This Row],[Aprobado]]="A",NETWORKDAYS(Planeador[[#This Row],[Fecha de Solicitud]],Planeador[[#This Row],[Fecha de Entrega]])/5,"0,00")</f>
        <v>4.5999999999999996</v>
      </c>
    </row>
    <row r="11" spans="2:28" ht="25.5">
      <c r="B11" s="3" t="s">
        <v>9</v>
      </c>
      <c r="C11" s="89" t="s">
        <v>306</v>
      </c>
      <c r="D11" s="8" t="s">
        <v>61</v>
      </c>
      <c r="E11" s="8" t="s">
        <v>181</v>
      </c>
      <c r="F11" s="7"/>
      <c r="G11" s="7" t="s">
        <v>96</v>
      </c>
      <c r="H11" s="7"/>
      <c r="M11" s="14" t="s">
        <v>182</v>
      </c>
      <c r="N11" s="9">
        <v>40903</v>
      </c>
      <c r="O11" s="3" t="s">
        <v>153</v>
      </c>
      <c r="P11" s="3">
        <v>2</v>
      </c>
      <c r="Q11" s="12">
        <v>0.1</v>
      </c>
      <c r="R11" s="56"/>
      <c r="S11" s="18"/>
      <c r="T11" s="9"/>
      <c r="U11" s="14"/>
      <c r="W11" s="3" t="s">
        <v>102</v>
      </c>
      <c r="X11" s="59"/>
      <c r="Y11" s="66" t="str">
        <f>IF(Planeador[[#This Row],[Aprobado]]="A",NETWORKDAYS(Planeador[[#This Row],[Fecha de Solicitud]],Planeador[[#This Row],[Fecha de Entrega]]),"0")</f>
        <v>0</v>
      </c>
      <c r="Z11" s="65">
        <f>IF(Planeador[[#This Row],[Dificultad]]&lt;&gt;"",Planeador[[#This Row],[ΔT]]*Planeador[[#This Row],[Dificultad]],"0")</f>
        <v>0</v>
      </c>
      <c r="AA11" s="65">
        <f>IF(Planeador[[#This Row],[Dificultad]]&lt;&gt;"",Planeador[[#This Row],[ΔT]]/Planeador[[#This Row],[Dificultad]],"0")</f>
        <v>0</v>
      </c>
      <c r="AB11" s="65" t="str">
        <f>IF(Planeador[[#This Row],[Aprobado]]="A",NETWORKDAYS(Planeador[[#This Row],[Fecha de Solicitud]],Planeador[[#This Row],[Fecha de Entrega]])/5,"0,00")</f>
        <v>0,00</v>
      </c>
    </row>
    <row r="12" spans="2:28" ht="25.5">
      <c r="B12" s="3" t="s">
        <v>10</v>
      </c>
      <c r="C12" s="89" t="s">
        <v>307</v>
      </c>
      <c r="D12" s="8" t="s">
        <v>61</v>
      </c>
      <c r="E12" s="8" t="s">
        <v>62</v>
      </c>
      <c r="F12" s="7"/>
      <c r="G12" s="7"/>
      <c r="H12" s="7" t="s">
        <v>96</v>
      </c>
      <c r="M12" s="14" t="s">
        <v>187</v>
      </c>
      <c r="N12" s="9">
        <v>40904</v>
      </c>
      <c r="O12" s="3" t="s">
        <v>51</v>
      </c>
      <c r="P12" s="3">
        <v>3</v>
      </c>
      <c r="Q12" s="12">
        <v>1</v>
      </c>
      <c r="R12" s="56"/>
      <c r="S12" s="18"/>
      <c r="T12" s="9">
        <v>40904</v>
      </c>
      <c r="U12" s="14"/>
      <c r="W12" s="3" t="s">
        <v>102</v>
      </c>
      <c r="X12" s="59"/>
      <c r="Y12" s="66" t="str">
        <f>IF(Planeador[[#This Row],[Aprobado]]="A",NETWORKDAYS(Planeador[[#This Row],[Fecha de Solicitud]],Planeador[[#This Row],[Fecha de Entrega]]),"0")</f>
        <v>0</v>
      </c>
      <c r="Z12" s="65">
        <f>IF(Planeador[[#This Row],[Dificultad]]&lt;&gt;"",Planeador[[#This Row],[ΔT]]*Planeador[[#This Row],[Dificultad]],"0")</f>
        <v>0</v>
      </c>
      <c r="AA12" s="65">
        <f>IF(Planeador[[#This Row],[Dificultad]]&lt;&gt;"",Planeador[[#This Row],[ΔT]]/Planeador[[#This Row],[Dificultad]],"0")</f>
        <v>0</v>
      </c>
      <c r="AB12" s="65" t="str">
        <f>IF(Planeador[[#This Row],[Aprobado]]="A",NETWORKDAYS(Planeador[[#This Row],[Fecha de Solicitud]],Planeador[[#This Row],[Fecha de Entrega]])/5,"0,00")</f>
        <v>0,00</v>
      </c>
    </row>
    <row r="13" spans="2:28">
      <c r="B13" s="3" t="s">
        <v>11</v>
      </c>
      <c r="C13" s="89" t="s">
        <v>496</v>
      </c>
      <c r="D13" s="8" t="s">
        <v>61</v>
      </c>
      <c r="E13" s="8" t="s">
        <v>62</v>
      </c>
      <c r="F13" s="7"/>
      <c r="G13" s="7" t="s">
        <v>96</v>
      </c>
      <c r="H13" s="7" t="s">
        <v>96</v>
      </c>
      <c r="I13" s="7" t="s">
        <v>96</v>
      </c>
      <c r="M13" s="14" t="s">
        <v>188</v>
      </c>
      <c r="N13" s="9">
        <v>40903</v>
      </c>
      <c r="O13" s="3" t="s">
        <v>51</v>
      </c>
      <c r="P13" s="3"/>
      <c r="Q13" s="12"/>
      <c r="R13" s="56"/>
      <c r="S13" s="18"/>
      <c r="T13" s="9"/>
      <c r="U13" s="14"/>
      <c r="W13" s="3" t="s">
        <v>102</v>
      </c>
      <c r="X13" s="59"/>
      <c r="Y13" s="66" t="str">
        <f>IF(Planeador[[#This Row],[Aprobado]]="A",NETWORKDAYS(Planeador[[#This Row],[Fecha de Solicitud]],Planeador[[#This Row],[Fecha de Entrega]]),"0")</f>
        <v>0</v>
      </c>
      <c r="Z13" s="65" t="str">
        <f>IF(Planeador[[#This Row],[Dificultad]]&lt;&gt;"",Planeador[[#This Row],[ΔT]]*Planeador[[#This Row],[Dificultad]],"0")</f>
        <v>0</v>
      </c>
      <c r="AA13" s="65" t="str">
        <f>IF(Planeador[[#This Row],[Dificultad]]&lt;&gt;"",Planeador[[#This Row],[ΔT]]/Planeador[[#This Row],[Dificultad]],"0")</f>
        <v>0</v>
      </c>
      <c r="AB13" s="65" t="str">
        <f>IF(Planeador[[#This Row],[Aprobado]]="A",NETWORKDAYS(Planeador[[#This Row],[Fecha de Solicitud]],Planeador[[#This Row],[Fecha de Entrega]])/5,"0,00")</f>
        <v>0,00</v>
      </c>
    </row>
    <row r="14" spans="2:28" ht="38.25">
      <c r="B14" s="3" t="s">
        <v>12</v>
      </c>
      <c r="C14" s="89" t="s">
        <v>308</v>
      </c>
      <c r="D14" s="8" t="s">
        <v>61</v>
      </c>
      <c r="E14" s="14" t="s">
        <v>189</v>
      </c>
      <c r="F14" s="34"/>
      <c r="G14" s="7" t="s">
        <v>96</v>
      </c>
      <c r="H14" s="7" t="s">
        <v>96</v>
      </c>
      <c r="I14" s="7" t="s">
        <v>96</v>
      </c>
      <c r="J14" s="7" t="s">
        <v>96</v>
      </c>
      <c r="M14" s="14" t="s">
        <v>309</v>
      </c>
      <c r="N14" s="9">
        <v>40905</v>
      </c>
      <c r="O14" s="3" t="s">
        <v>154</v>
      </c>
      <c r="P14" s="3">
        <v>7</v>
      </c>
      <c r="Q14" s="12">
        <v>1</v>
      </c>
      <c r="R14" s="56"/>
      <c r="S14" s="18"/>
      <c r="T14" s="9">
        <v>40910</v>
      </c>
      <c r="U14" s="14"/>
      <c r="W14" s="3" t="s">
        <v>52</v>
      </c>
      <c r="X14" s="3" t="s">
        <v>190</v>
      </c>
      <c r="Y14" s="66">
        <f>IF(Planeador[[#This Row],[Aprobado]]="A",NETWORKDAYS(Planeador[[#This Row],[Fecha de Solicitud]],Planeador[[#This Row],[Fecha de Entrega]]),"0")</f>
        <v>4</v>
      </c>
      <c r="Z14" s="65">
        <f>IF(Planeador[[#This Row],[Dificultad]]&lt;&gt;"",Planeador[[#This Row],[ΔT]]*Planeador[[#This Row],[Dificultad]],"0")</f>
        <v>28</v>
      </c>
      <c r="AA14" s="65">
        <f>IF(Planeador[[#This Row],[Dificultad]]&lt;&gt;"",Planeador[[#This Row],[ΔT]]/Planeador[[#This Row],[Dificultad]],"0")</f>
        <v>0.5714285714285714</v>
      </c>
      <c r="AB14" s="65">
        <f>IF(Planeador[[#This Row],[Aprobado]]="A",NETWORKDAYS(Planeador[[#This Row],[Fecha de Solicitud]],Planeador[[#This Row],[Fecha de Entrega]])/5,"0,00")</f>
        <v>0.8</v>
      </c>
    </row>
    <row r="15" spans="2:28">
      <c r="B15" s="3" t="s">
        <v>13</v>
      </c>
      <c r="C15" s="89" t="s">
        <v>191</v>
      </c>
      <c r="D15" s="8" t="s">
        <v>61</v>
      </c>
      <c r="E15" s="8" t="s">
        <v>181</v>
      </c>
      <c r="F15" s="7"/>
      <c r="G15" s="7" t="s">
        <v>96</v>
      </c>
      <c r="H15" s="7"/>
      <c r="M15" s="14" t="s">
        <v>192</v>
      </c>
      <c r="N15" s="9">
        <v>40907</v>
      </c>
      <c r="O15" s="3" t="s">
        <v>111</v>
      </c>
      <c r="P15" s="3">
        <v>2</v>
      </c>
      <c r="Q15" s="12">
        <v>1</v>
      </c>
      <c r="R15" s="56"/>
      <c r="S15" s="18"/>
      <c r="T15" s="9">
        <v>40911</v>
      </c>
      <c r="U15" s="14"/>
      <c r="W15" s="3" t="s">
        <v>52</v>
      </c>
      <c r="X15" s="3" t="s">
        <v>193</v>
      </c>
      <c r="Y15" s="66">
        <f>IF(Planeador[[#This Row],[Aprobado]]="A",NETWORKDAYS(Planeador[[#This Row],[Fecha de Solicitud]],Planeador[[#This Row],[Fecha de Entrega]]),"0")</f>
        <v>3</v>
      </c>
      <c r="Z15" s="65">
        <f>IF(Planeador[[#This Row],[Dificultad]]&lt;&gt;"",Planeador[[#This Row],[ΔT]]*Planeador[[#This Row],[Dificultad]],"0")</f>
        <v>6</v>
      </c>
      <c r="AA15" s="65">
        <f>IF(Planeador[[#This Row],[Dificultad]]&lt;&gt;"",Planeador[[#This Row],[ΔT]]/Planeador[[#This Row],[Dificultad]],"0")</f>
        <v>1.5</v>
      </c>
      <c r="AB15" s="65">
        <f>IF(Planeador[[#This Row],[Aprobado]]="A",NETWORKDAYS(Planeador[[#This Row],[Fecha de Solicitud]],Planeador[[#This Row],[Fecha de Entrega]])/5,"0,00")</f>
        <v>0.6</v>
      </c>
    </row>
    <row r="16" spans="2:28" ht="25.5">
      <c r="B16" s="3" t="s">
        <v>14</v>
      </c>
      <c r="C16" s="89" t="s">
        <v>194</v>
      </c>
      <c r="D16" s="8" t="s">
        <v>50</v>
      </c>
      <c r="E16" s="8" t="s">
        <v>195</v>
      </c>
      <c r="F16" s="7"/>
      <c r="G16" s="7" t="s">
        <v>96</v>
      </c>
      <c r="H16" s="7"/>
      <c r="I16" s="7" t="s">
        <v>96</v>
      </c>
      <c r="J16" s="7" t="s">
        <v>96</v>
      </c>
      <c r="M16" s="14" t="s">
        <v>196</v>
      </c>
      <c r="N16" s="9">
        <v>40910</v>
      </c>
      <c r="O16" s="3" t="s">
        <v>51</v>
      </c>
      <c r="P16" s="3">
        <v>4</v>
      </c>
      <c r="Q16" s="12">
        <v>1</v>
      </c>
      <c r="R16" s="56"/>
      <c r="S16" s="18"/>
      <c r="T16" s="9">
        <v>40921</v>
      </c>
      <c r="U16" s="14"/>
      <c r="W16" s="3" t="s">
        <v>52</v>
      </c>
      <c r="X16" s="3" t="s">
        <v>197</v>
      </c>
      <c r="Y16" s="66">
        <f>IF(Planeador[[#This Row],[Aprobado]]="A",NETWORKDAYS(Planeador[[#This Row],[Fecha de Solicitud]],Planeador[[#This Row],[Fecha de Entrega]]),"0")</f>
        <v>10</v>
      </c>
      <c r="Z16" s="65">
        <f>IF(Planeador[[#This Row],[Dificultad]]&lt;&gt;"",Planeador[[#This Row],[ΔT]]*Planeador[[#This Row],[Dificultad]],"0")</f>
        <v>40</v>
      </c>
      <c r="AA16" s="65">
        <f>IF(Planeador[[#This Row],[Dificultad]]&lt;&gt;"",Planeador[[#This Row],[ΔT]]/Planeador[[#This Row],[Dificultad]],"0")</f>
        <v>2.5</v>
      </c>
      <c r="AB16" s="65">
        <f>IF(Planeador[[#This Row],[Aprobado]]="A",NETWORKDAYS(Planeador[[#This Row],[Fecha de Solicitud]],Planeador[[#This Row],[Fecha de Entrega]])/5,"0,00")</f>
        <v>2</v>
      </c>
    </row>
    <row r="17" spans="2:28" ht="25.5">
      <c r="B17" s="3" t="s">
        <v>15</v>
      </c>
      <c r="C17" s="89" t="s">
        <v>201</v>
      </c>
      <c r="D17" s="8" t="s">
        <v>50</v>
      </c>
      <c r="E17" s="8" t="s">
        <v>274</v>
      </c>
      <c r="F17" s="7"/>
      <c r="G17" s="7" t="s">
        <v>96</v>
      </c>
      <c r="H17" s="7" t="s">
        <v>96</v>
      </c>
      <c r="I17" s="7" t="s">
        <v>96</v>
      </c>
      <c r="M17" s="14" t="s">
        <v>203</v>
      </c>
      <c r="N17" s="9">
        <v>40914</v>
      </c>
      <c r="O17" s="3" t="s">
        <v>111</v>
      </c>
      <c r="P17" s="3">
        <v>4</v>
      </c>
      <c r="Q17" s="12">
        <v>1</v>
      </c>
      <c r="R17" s="56"/>
      <c r="S17" s="18"/>
      <c r="T17" s="9"/>
      <c r="U17" s="14" t="s">
        <v>204</v>
      </c>
      <c r="W17" s="3" t="s">
        <v>102</v>
      </c>
      <c r="X17" s="3" t="s">
        <v>205</v>
      </c>
      <c r="Y17" s="66" t="str">
        <f>IF(Planeador[[#This Row],[Aprobado]]="A",NETWORKDAYS(Planeador[[#This Row],[Fecha de Solicitud]],Planeador[[#This Row],[Fecha de Entrega]]),"0")</f>
        <v>0</v>
      </c>
      <c r="Z17" s="65">
        <f>IF(Planeador[[#This Row],[Dificultad]]&lt;&gt;"",Planeador[[#This Row],[ΔT]]*Planeador[[#This Row],[Dificultad]],"0")</f>
        <v>0</v>
      </c>
      <c r="AA17" s="65">
        <f>IF(Planeador[[#This Row],[Dificultad]]&lt;&gt;"",Planeador[[#This Row],[ΔT]]/Planeador[[#This Row],[Dificultad]],"0")</f>
        <v>0</v>
      </c>
      <c r="AB17" s="65" t="str">
        <f>IF(Planeador[[#This Row],[Aprobado]]="A",NETWORKDAYS(Planeador[[#This Row],[Fecha de Solicitud]],Planeador[[#This Row],[Fecha de Entrega]])/5,"0,00")</f>
        <v>0,00</v>
      </c>
    </row>
    <row r="18" spans="2:28" ht="38.25">
      <c r="B18" s="3" t="s">
        <v>16</v>
      </c>
      <c r="C18" s="89" t="s">
        <v>304</v>
      </c>
      <c r="D18" s="8" t="s">
        <v>67</v>
      </c>
      <c r="E18" s="8" t="s">
        <v>200</v>
      </c>
      <c r="F18" s="7" t="s">
        <v>96</v>
      </c>
      <c r="G18" s="7" t="s">
        <v>96</v>
      </c>
      <c r="H18" s="7"/>
      <c r="J18" s="7" t="s">
        <v>96</v>
      </c>
      <c r="M18" s="14" t="s">
        <v>206</v>
      </c>
      <c r="N18" s="9">
        <v>40914</v>
      </c>
      <c r="O18" s="3" t="s">
        <v>154</v>
      </c>
      <c r="P18" s="3">
        <v>10</v>
      </c>
      <c r="Q18" s="12">
        <v>1</v>
      </c>
      <c r="R18" s="56"/>
      <c r="S18" s="18"/>
      <c r="T18" s="9">
        <v>40933</v>
      </c>
      <c r="U18" s="14" t="s">
        <v>310</v>
      </c>
      <c r="V18" s="3" t="s">
        <v>208</v>
      </c>
      <c r="W18" s="3" t="s">
        <v>52</v>
      </c>
      <c r="X18" s="3" t="s">
        <v>207</v>
      </c>
      <c r="Y18" s="66">
        <f>IF(Planeador[[#This Row],[Aprobado]]="A",NETWORKDAYS(Planeador[[#This Row],[Fecha de Solicitud]],Planeador[[#This Row],[Fecha de Entrega]]),"0")</f>
        <v>14</v>
      </c>
      <c r="Z18" s="65">
        <f>IF(Planeador[[#This Row],[Dificultad]]&lt;&gt;"",Planeador[[#This Row],[ΔT]]*Planeador[[#This Row],[Dificultad]],"0")</f>
        <v>140</v>
      </c>
      <c r="AA18" s="65">
        <f>IF(Planeador[[#This Row],[Dificultad]]&lt;&gt;"",Planeador[[#This Row],[ΔT]]/Planeador[[#This Row],[Dificultad]],"0")</f>
        <v>1.4</v>
      </c>
      <c r="AB18" s="65">
        <f>IF(Planeador[[#This Row],[Aprobado]]="A",NETWORKDAYS(Planeador[[#This Row],[Fecha de Solicitud]],Planeador[[#This Row],[Fecha de Entrega]])/5,"0,00")</f>
        <v>2.8</v>
      </c>
    </row>
    <row r="19" spans="2:28" ht="25.5">
      <c r="B19" s="3" t="s">
        <v>17</v>
      </c>
      <c r="C19" s="89" t="s">
        <v>199</v>
      </c>
      <c r="D19" s="8" t="s">
        <v>67</v>
      </c>
      <c r="E19" s="8" t="s">
        <v>200</v>
      </c>
      <c r="F19" s="7" t="s">
        <v>96</v>
      </c>
      <c r="G19" s="7" t="s">
        <v>96</v>
      </c>
      <c r="H19" s="7"/>
      <c r="M19" s="14" t="s">
        <v>311</v>
      </c>
      <c r="N19" s="9">
        <v>40926</v>
      </c>
      <c r="O19" s="3" t="s">
        <v>52</v>
      </c>
      <c r="P19" s="3">
        <v>8</v>
      </c>
      <c r="Q19" s="12">
        <v>1</v>
      </c>
      <c r="R19" s="56"/>
      <c r="S19" s="18"/>
      <c r="T19" s="9">
        <v>40928</v>
      </c>
      <c r="U19" s="14" t="s">
        <v>310</v>
      </c>
      <c r="W19" s="3" t="s">
        <v>52</v>
      </c>
      <c r="X19" s="59"/>
      <c r="Y19" s="66">
        <f>IF(Planeador[[#This Row],[Aprobado]]="A",NETWORKDAYS(Planeador[[#This Row],[Fecha de Solicitud]],Planeador[[#This Row],[Fecha de Entrega]]),"0")</f>
        <v>3</v>
      </c>
      <c r="Z19" s="65">
        <f>IF(Planeador[[#This Row],[Dificultad]]&lt;&gt;"",Planeador[[#This Row],[ΔT]]*Planeador[[#This Row],[Dificultad]],"0")</f>
        <v>24</v>
      </c>
      <c r="AA19" s="65">
        <f>IF(Planeador[[#This Row],[Dificultad]]&lt;&gt;"",Planeador[[#This Row],[ΔT]]/Planeador[[#This Row],[Dificultad]],"0")</f>
        <v>0.375</v>
      </c>
      <c r="AB19" s="65">
        <f>IF(Planeador[[#This Row],[Aprobado]]="A",NETWORKDAYS(Planeador[[#This Row],[Fecha de Solicitud]],Planeador[[#This Row],[Fecha de Entrega]])/5,"0,00")</f>
        <v>0.6</v>
      </c>
    </row>
    <row r="20" spans="2:28" ht="25.5">
      <c r="B20" s="3" t="s">
        <v>18</v>
      </c>
      <c r="C20" s="89" t="s">
        <v>312</v>
      </c>
      <c r="D20" s="8" t="s">
        <v>61</v>
      </c>
      <c r="E20" s="8" t="s">
        <v>209</v>
      </c>
      <c r="F20" s="7"/>
      <c r="G20" s="7" t="s">
        <v>96</v>
      </c>
      <c r="H20" s="7"/>
      <c r="M20" s="14" t="s">
        <v>210</v>
      </c>
      <c r="N20" s="9">
        <v>40927</v>
      </c>
      <c r="O20" s="3" t="s">
        <v>111</v>
      </c>
      <c r="P20" s="3"/>
      <c r="Q20" s="12"/>
      <c r="R20" s="56"/>
      <c r="S20" s="18"/>
      <c r="T20" s="9"/>
      <c r="U20" s="14" t="s">
        <v>211</v>
      </c>
      <c r="W20" s="3" t="s">
        <v>102</v>
      </c>
      <c r="X20" s="59"/>
      <c r="Y20" s="66" t="str">
        <f>IF(Planeador[[#This Row],[Aprobado]]="A",NETWORKDAYS(Planeador[[#This Row],[Fecha de Solicitud]],Planeador[[#This Row],[Fecha de Entrega]]),"0")</f>
        <v>0</v>
      </c>
      <c r="Z20" s="65" t="str">
        <f>IF(Planeador[[#This Row],[Dificultad]]&lt;&gt;"",Planeador[[#This Row],[ΔT]]*Planeador[[#This Row],[Dificultad]],"0")</f>
        <v>0</v>
      </c>
      <c r="AA20" s="65" t="str">
        <f>IF(Planeador[[#This Row],[Dificultad]]&lt;&gt;"",Planeador[[#This Row],[ΔT]]/Planeador[[#This Row],[Dificultad]],"0")</f>
        <v>0</v>
      </c>
      <c r="AB20" s="65" t="str">
        <f>IF(Planeador[[#This Row],[Aprobado]]="A",NETWORKDAYS(Planeador[[#This Row],[Fecha de Solicitud]],Planeador[[#This Row],[Fecha de Entrega]])/5,"0,00")</f>
        <v>0,00</v>
      </c>
    </row>
    <row r="21" spans="2:28" ht="38.25">
      <c r="B21" s="3" t="s">
        <v>19</v>
      </c>
      <c r="C21" s="89" t="s">
        <v>313</v>
      </c>
      <c r="D21" s="8" t="s">
        <v>67</v>
      </c>
      <c r="E21" s="14" t="s">
        <v>212</v>
      </c>
      <c r="F21" s="34"/>
      <c r="G21" s="7" t="s">
        <v>96</v>
      </c>
      <c r="H21" s="7" t="s">
        <v>96</v>
      </c>
      <c r="I21" s="7" t="s">
        <v>96</v>
      </c>
      <c r="M21" s="14" t="s">
        <v>213</v>
      </c>
      <c r="N21" s="9">
        <v>40928</v>
      </c>
      <c r="O21" s="3" t="s">
        <v>51</v>
      </c>
      <c r="P21" s="3">
        <v>6</v>
      </c>
      <c r="Q21" s="12">
        <v>1</v>
      </c>
      <c r="R21" s="56"/>
      <c r="S21" s="18"/>
      <c r="T21" s="9">
        <v>40939</v>
      </c>
      <c r="U21" s="14"/>
      <c r="V21" s="3" t="s">
        <v>214</v>
      </c>
      <c r="W21" s="3" t="s">
        <v>52</v>
      </c>
      <c r="X21" s="3" t="s">
        <v>215</v>
      </c>
      <c r="Y21" s="66">
        <f>IF(Planeador[[#This Row],[Aprobado]]="A",NETWORKDAYS(Planeador[[#This Row],[Fecha de Solicitud]],Planeador[[#This Row],[Fecha de Entrega]]),"0")</f>
        <v>8</v>
      </c>
      <c r="Z21" s="65">
        <f>IF(Planeador[[#This Row],[Dificultad]]&lt;&gt;"",Planeador[[#This Row],[ΔT]]*Planeador[[#This Row],[Dificultad]],"0")</f>
        <v>48</v>
      </c>
      <c r="AA21" s="65">
        <f>IF(Planeador[[#This Row],[Dificultad]]&lt;&gt;"",Planeador[[#This Row],[ΔT]]/Planeador[[#This Row],[Dificultad]],"0")</f>
        <v>1.3333333333333333</v>
      </c>
      <c r="AB21" s="65">
        <f>IF(Planeador[[#This Row],[Aprobado]]="A",NETWORKDAYS(Planeador[[#This Row],[Fecha de Solicitud]],Planeador[[#This Row],[Fecha de Entrega]])/5,"0,00")</f>
        <v>1.6</v>
      </c>
    </row>
    <row r="22" spans="2:28" ht="25.5">
      <c r="B22" s="3" t="s">
        <v>20</v>
      </c>
      <c r="C22" s="89" t="s">
        <v>314</v>
      </c>
      <c r="D22" s="8" t="s">
        <v>50</v>
      </c>
      <c r="E22" s="14" t="s">
        <v>101</v>
      </c>
      <c r="F22" s="34"/>
      <c r="G22" s="7" t="s">
        <v>96</v>
      </c>
      <c r="H22" s="7"/>
      <c r="I22" s="7" t="s">
        <v>96</v>
      </c>
      <c r="L22" s="7" t="s">
        <v>96</v>
      </c>
      <c r="M22" s="193" t="s">
        <v>496</v>
      </c>
      <c r="N22" s="9">
        <v>40928</v>
      </c>
      <c r="O22" s="3" t="s">
        <v>51</v>
      </c>
      <c r="P22" s="3">
        <v>4</v>
      </c>
      <c r="Q22" s="12">
        <v>0.45</v>
      </c>
      <c r="R22" s="56"/>
      <c r="S22" s="18"/>
      <c r="T22" s="9"/>
      <c r="U22" s="14"/>
      <c r="W22" s="3" t="s">
        <v>102</v>
      </c>
      <c r="X22" s="59"/>
      <c r="Y22" s="66" t="str">
        <f>IF(Planeador[[#This Row],[Aprobado]]="A",NETWORKDAYS(Planeador[[#This Row],[Fecha de Solicitud]],Planeador[[#This Row],[Fecha de Entrega]]),"0")</f>
        <v>0</v>
      </c>
      <c r="Z22" s="65">
        <f>IF(Planeador[[#This Row],[Dificultad]]&lt;&gt;"",Planeador[[#This Row],[ΔT]]*Planeador[[#This Row],[Dificultad]],"0")</f>
        <v>0</v>
      </c>
      <c r="AA22" s="65">
        <f>IF(Planeador[[#This Row],[Dificultad]]&lt;&gt;"",Planeador[[#This Row],[ΔT]]/Planeador[[#This Row],[Dificultad]],"0")</f>
        <v>0</v>
      </c>
      <c r="AB22" s="65" t="str">
        <f>IF(Planeador[[#This Row],[Aprobado]]="A",NETWORKDAYS(Planeador[[#This Row],[Fecha de Solicitud]],Planeador[[#This Row],[Fecha de Entrega]])/5,"0,00")</f>
        <v>0,00</v>
      </c>
    </row>
    <row r="23" spans="2:28" ht="25.5">
      <c r="B23" s="3" t="s">
        <v>21</v>
      </c>
      <c r="C23" s="89" t="s">
        <v>312</v>
      </c>
      <c r="D23" s="8" t="s">
        <v>67</v>
      </c>
      <c r="E23" s="8" t="s">
        <v>209</v>
      </c>
      <c r="F23" s="7"/>
      <c r="G23" s="7" t="s">
        <v>96</v>
      </c>
      <c r="H23" s="7"/>
      <c r="M23" s="14" t="s">
        <v>216</v>
      </c>
      <c r="N23" s="9">
        <v>40931</v>
      </c>
      <c r="O23" s="3" t="s">
        <v>51</v>
      </c>
      <c r="P23" s="3">
        <v>3</v>
      </c>
      <c r="Q23" s="12">
        <v>1</v>
      </c>
      <c r="R23" s="56"/>
      <c r="S23" s="18"/>
      <c r="T23" s="9">
        <v>40931</v>
      </c>
      <c r="U23" s="14"/>
      <c r="W23" s="3" t="s">
        <v>52</v>
      </c>
      <c r="X23" s="3" t="s">
        <v>217</v>
      </c>
      <c r="Y23" s="66">
        <f>IF(Planeador[[#This Row],[Aprobado]]="A",NETWORKDAYS(Planeador[[#This Row],[Fecha de Solicitud]],Planeador[[#This Row],[Fecha de Entrega]]),"0")</f>
        <v>1</v>
      </c>
      <c r="Z23" s="65">
        <f>IF(Planeador[[#This Row],[Dificultad]]&lt;&gt;"",Planeador[[#This Row],[ΔT]]*Planeador[[#This Row],[Dificultad]],"0")</f>
        <v>3</v>
      </c>
      <c r="AA23" s="65">
        <f>IF(Planeador[[#This Row],[Dificultad]]&lt;&gt;"",Planeador[[#This Row],[ΔT]]/Planeador[[#This Row],[Dificultad]],"0")</f>
        <v>0.33333333333333331</v>
      </c>
      <c r="AB23" s="65">
        <f>IF(Planeador[[#This Row],[Aprobado]]="A",NETWORKDAYS(Planeador[[#This Row],[Fecha de Solicitud]],Planeador[[#This Row],[Fecha de Entrega]])/5,"0,00")</f>
        <v>0.2</v>
      </c>
    </row>
    <row r="24" spans="2:28" ht="25.5">
      <c r="B24" s="3" t="s">
        <v>22</v>
      </c>
      <c r="C24" s="89" t="s">
        <v>218</v>
      </c>
      <c r="D24" s="8" t="s">
        <v>67</v>
      </c>
      <c r="E24" s="8" t="s">
        <v>219</v>
      </c>
      <c r="F24" s="7"/>
      <c r="G24" s="7" t="s">
        <v>96</v>
      </c>
      <c r="H24" s="7"/>
      <c r="I24" s="7" t="s">
        <v>96</v>
      </c>
      <c r="M24" s="14" t="s">
        <v>220</v>
      </c>
      <c r="N24" s="9">
        <v>40933</v>
      </c>
      <c r="O24" s="3" t="s">
        <v>111</v>
      </c>
      <c r="P24" s="3">
        <v>2</v>
      </c>
      <c r="Q24" s="12">
        <v>1</v>
      </c>
      <c r="R24" s="56"/>
      <c r="S24" s="18"/>
      <c r="T24" s="9">
        <v>40938</v>
      </c>
      <c r="U24" s="14"/>
      <c r="W24" s="3" t="s">
        <v>52</v>
      </c>
      <c r="X24" s="3" t="s">
        <v>221</v>
      </c>
      <c r="Y24" s="66">
        <f>IF(Planeador[[#This Row],[Aprobado]]="A",NETWORKDAYS(Planeador[[#This Row],[Fecha de Solicitud]],Planeador[[#This Row],[Fecha de Entrega]]),"0")</f>
        <v>4</v>
      </c>
      <c r="Z24" s="65">
        <f>IF(Planeador[[#This Row],[Dificultad]]&lt;&gt;"",Planeador[[#This Row],[ΔT]]*Planeador[[#This Row],[Dificultad]],"0")</f>
        <v>8</v>
      </c>
      <c r="AA24" s="65">
        <f>IF(Planeador[[#This Row],[Dificultad]]&lt;&gt;"",Planeador[[#This Row],[ΔT]]/Planeador[[#This Row],[Dificultad]],"0")</f>
        <v>2</v>
      </c>
      <c r="AB24" s="65">
        <f>IF(Planeador[[#This Row],[Aprobado]]="A",NETWORKDAYS(Planeador[[#This Row],[Fecha de Solicitud]],Planeador[[#This Row],[Fecha de Entrega]])/5,"0,00")</f>
        <v>0.8</v>
      </c>
    </row>
    <row r="25" spans="2:28" ht="38.25">
      <c r="B25" s="3" t="s">
        <v>23</v>
      </c>
      <c r="C25" s="89" t="s">
        <v>222</v>
      </c>
      <c r="D25" s="8" t="s">
        <v>61</v>
      </c>
      <c r="E25" s="8" t="s">
        <v>223</v>
      </c>
      <c r="F25" s="7"/>
      <c r="G25" s="7" t="s">
        <v>96</v>
      </c>
      <c r="H25" s="7"/>
      <c r="M25" s="14" t="s">
        <v>224</v>
      </c>
      <c r="N25" s="9">
        <v>40938</v>
      </c>
      <c r="O25" s="3" t="s">
        <v>51</v>
      </c>
      <c r="P25" s="3">
        <v>3</v>
      </c>
      <c r="Q25" s="12">
        <v>1</v>
      </c>
      <c r="R25" s="56"/>
      <c r="S25" s="18"/>
      <c r="T25" s="9">
        <v>40942</v>
      </c>
      <c r="U25" s="14" t="s">
        <v>225</v>
      </c>
      <c r="W25" s="3" t="s">
        <v>52</v>
      </c>
      <c r="X25" s="3" t="s">
        <v>226</v>
      </c>
      <c r="Y25" s="66">
        <f>IF(Planeador[[#This Row],[Aprobado]]="A",NETWORKDAYS(Planeador[[#This Row],[Fecha de Solicitud]],Planeador[[#This Row],[Fecha de Entrega]]),"0")</f>
        <v>5</v>
      </c>
      <c r="Z25" s="65">
        <f>IF(Planeador[[#This Row],[Dificultad]]&lt;&gt;"",Planeador[[#This Row],[ΔT]]*Planeador[[#This Row],[Dificultad]],"0")</f>
        <v>15</v>
      </c>
      <c r="AA25" s="65">
        <f>IF(Planeador[[#This Row],[Dificultad]]&lt;&gt;"",Planeador[[#This Row],[ΔT]]/Planeador[[#This Row],[Dificultad]],"0")</f>
        <v>1.6666666666666667</v>
      </c>
      <c r="AB25" s="65">
        <f>IF(Planeador[[#This Row],[Aprobado]]="A",NETWORKDAYS(Planeador[[#This Row],[Fecha de Solicitud]],Planeador[[#This Row],[Fecha de Entrega]])/5,"0,00")</f>
        <v>1</v>
      </c>
    </row>
    <row r="26" spans="2:28">
      <c r="B26" s="3" t="s">
        <v>24</v>
      </c>
      <c r="C26" s="89" t="s">
        <v>227</v>
      </c>
      <c r="D26" s="8" t="s">
        <v>61</v>
      </c>
      <c r="E26" s="8" t="s">
        <v>228</v>
      </c>
      <c r="F26" s="7"/>
      <c r="G26" s="7" t="s">
        <v>96</v>
      </c>
      <c r="H26" s="7"/>
      <c r="M26" s="14" t="s">
        <v>229</v>
      </c>
      <c r="N26" s="9">
        <v>40942</v>
      </c>
      <c r="O26" s="3" t="s">
        <v>52</v>
      </c>
      <c r="P26" s="3">
        <v>1</v>
      </c>
      <c r="Q26" s="12">
        <v>1</v>
      </c>
      <c r="R26" s="56"/>
      <c r="S26" s="18"/>
      <c r="T26" s="9">
        <v>40942</v>
      </c>
      <c r="U26" s="14"/>
      <c r="W26" s="3" t="s">
        <v>52</v>
      </c>
      <c r="X26" s="3" t="s">
        <v>230</v>
      </c>
      <c r="Y26" s="66">
        <f>IF(Planeador[[#This Row],[Aprobado]]="A",NETWORKDAYS(Planeador[[#This Row],[Fecha de Solicitud]],Planeador[[#This Row],[Fecha de Entrega]]),"0")</f>
        <v>1</v>
      </c>
      <c r="Z26" s="65">
        <f>IF(Planeador[[#This Row],[Dificultad]]&lt;&gt;"",Planeador[[#This Row],[ΔT]]*Planeador[[#This Row],[Dificultad]],"0")</f>
        <v>1</v>
      </c>
      <c r="AA26" s="65">
        <f>IF(Planeador[[#This Row],[Dificultad]]&lt;&gt;"",Planeador[[#This Row],[ΔT]]/Planeador[[#This Row],[Dificultad]],"0")</f>
        <v>1</v>
      </c>
      <c r="AB26" s="65">
        <f>IF(Planeador[[#This Row],[Aprobado]]="A",NETWORKDAYS(Planeador[[#This Row],[Fecha de Solicitud]],Planeador[[#This Row],[Fecha de Entrega]])/5,"0,00")</f>
        <v>0.2</v>
      </c>
    </row>
    <row r="27" spans="2:28">
      <c r="B27" s="3" t="s">
        <v>25</v>
      </c>
      <c r="C27" s="89" t="s">
        <v>231</v>
      </c>
      <c r="D27" s="8" t="s">
        <v>61</v>
      </c>
      <c r="E27" s="8" t="s">
        <v>55</v>
      </c>
      <c r="F27" s="7"/>
      <c r="G27" s="7" t="s">
        <v>96</v>
      </c>
      <c r="H27" s="7" t="s">
        <v>96</v>
      </c>
      <c r="I27" s="7" t="s">
        <v>96</v>
      </c>
      <c r="M27" s="14" t="s">
        <v>232</v>
      </c>
      <c r="N27" s="9">
        <v>40942</v>
      </c>
      <c r="O27" s="3" t="s">
        <v>111</v>
      </c>
      <c r="P27" s="3">
        <v>4</v>
      </c>
      <c r="Q27" s="12">
        <v>1</v>
      </c>
      <c r="R27" s="56"/>
      <c r="S27" s="18"/>
      <c r="T27" s="9">
        <v>40943</v>
      </c>
      <c r="U27" s="14"/>
      <c r="W27" s="3" t="s">
        <v>52</v>
      </c>
      <c r="X27" s="3" t="s">
        <v>233</v>
      </c>
      <c r="Y27" s="66">
        <f>IF(Planeador[[#This Row],[Aprobado]]="A",NETWORKDAYS(Planeador[[#This Row],[Fecha de Solicitud]],Planeador[[#This Row],[Fecha de Entrega]]),"0")</f>
        <v>1</v>
      </c>
      <c r="Z27" s="65">
        <f>IF(Planeador[[#This Row],[Dificultad]]&lt;&gt;"",Planeador[[#This Row],[ΔT]]*Planeador[[#This Row],[Dificultad]],"0")</f>
        <v>4</v>
      </c>
      <c r="AA27" s="65">
        <f>IF(Planeador[[#This Row],[Dificultad]]&lt;&gt;"",Planeador[[#This Row],[ΔT]]/Planeador[[#This Row],[Dificultad]],"0")</f>
        <v>0.25</v>
      </c>
      <c r="AB27" s="65">
        <f>IF(Planeador[[#This Row],[Aprobado]]="A",NETWORKDAYS(Planeador[[#This Row],[Fecha de Solicitud]],Planeador[[#This Row],[Fecha de Entrega]])/5,"0,00")</f>
        <v>0.2</v>
      </c>
    </row>
    <row r="28" spans="2:28">
      <c r="B28" s="3" t="s">
        <v>26</v>
      </c>
      <c r="C28" s="89" t="s">
        <v>177</v>
      </c>
      <c r="D28" s="8" t="s">
        <v>67</v>
      </c>
      <c r="E28" s="8" t="s">
        <v>234</v>
      </c>
      <c r="F28" s="7" t="s">
        <v>96</v>
      </c>
      <c r="G28" s="7" t="s">
        <v>96</v>
      </c>
      <c r="H28" s="7"/>
      <c r="M28" s="14" t="s">
        <v>235</v>
      </c>
      <c r="N28" s="9">
        <v>40942</v>
      </c>
      <c r="O28" s="3" t="s">
        <v>154</v>
      </c>
      <c r="P28" s="3">
        <v>2</v>
      </c>
      <c r="Q28" s="12">
        <v>1</v>
      </c>
      <c r="R28" s="56"/>
      <c r="S28" s="18"/>
      <c r="T28" s="9">
        <v>40942</v>
      </c>
      <c r="U28" s="14"/>
      <c r="W28" s="3" t="s">
        <v>52</v>
      </c>
      <c r="X28" s="59"/>
      <c r="Y28" s="66">
        <f>IF(Planeador[[#This Row],[Aprobado]]="A",NETWORKDAYS(Planeador[[#This Row],[Fecha de Solicitud]],Planeador[[#This Row],[Fecha de Entrega]]),"0")</f>
        <v>1</v>
      </c>
      <c r="Z28" s="65">
        <f>IF(Planeador[[#This Row],[Dificultad]]&lt;&gt;"",Planeador[[#This Row],[ΔT]]*Planeador[[#This Row],[Dificultad]],"0")</f>
        <v>2</v>
      </c>
      <c r="AA28" s="65">
        <f>IF(Planeador[[#This Row],[Dificultad]]&lt;&gt;"",Planeador[[#This Row],[ΔT]]/Planeador[[#This Row],[Dificultad]],"0")</f>
        <v>0.5</v>
      </c>
      <c r="AB28" s="65">
        <f>IF(Planeador[[#This Row],[Aprobado]]="A",NETWORKDAYS(Planeador[[#This Row],[Fecha de Solicitud]],Planeador[[#This Row],[Fecha de Entrega]])/5,"0,00")</f>
        <v>0.2</v>
      </c>
    </row>
    <row r="29" spans="2:28" ht="38.25">
      <c r="B29" s="3" t="s">
        <v>27</v>
      </c>
      <c r="C29" s="89" t="s">
        <v>60</v>
      </c>
      <c r="D29" s="8" t="s">
        <v>61</v>
      </c>
      <c r="E29" s="8" t="s">
        <v>62</v>
      </c>
      <c r="F29" s="7" t="s">
        <v>96</v>
      </c>
      <c r="G29" s="7" t="s">
        <v>96</v>
      </c>
      <c r="H29" s="7"/>
      <c r="I29" s="7" t="s">
        <v>96</v>
      </c>
      <c r="J29" s="7" t="s">
        <v>96</v>
      </c>
      <c r="M29" s="14" t="s">
        <v>63</v>
      </c>
      <c r="N29" s="9">
        <v>40943</v>
      </c>
      <c r="O29" s="3" t="s">
        <v>154</v>
      </c>
      <c r="P29" s="3">
        <v>7</v>
      </c>
      <c r="Q29" s="12">
        <v>1</v>
      </c>
      <c r="R29" s="56" t="s">
        <v>96</v>
      </c>
      <c r="S29" s="18">
        <v>40973</v>
      </c>
      <c r="T29" s="9">
        <v>40971</v>
      </c>
      <c r="U29" s="14" t="s">
        <v>315</v>
      </c>
      <c r="V29" s="3" t="s">
        <v>99</v>
      </c>
      <c r="W29" s="3" t="s">
        <v>52</v>
      </c>
      <c r="X29" s="59"/>
      <c r="Y29" s="66">
        <f>IF(Planeador[[#This Row],[Aprobado]]="A",NETWORKDAYS(Planeador[[#This Row],[Fecha de Solicitud]],Planeador[[#This Row],[Fecha de Entrega]]),"0")</f>
        <v>20</v>
      </c>
      <c r="Z29" s="65">
        <f>IF(Planeador[[#This Row],[Dificultad]]&lt;&gt;"",Planeador[[#This Row],[ΔT]]*Planeador[[#This Row],[Dificultad]],"0")</f>
        <v>140</v>
      </c>
      <c r="AA29" s="65">
        <f>IF(Planeador[[#This Row],[Dificultad]]&lt;&gt;"",Planeador[[#This Row],[ΔT]]/Planeador[[#This Row],[Dificultad]],"0")</f>
        <v>2.8571428571428572</v>
      </c>
      <c r="AB29" s="65">
        <f>IF(Planeador[[#This Row],[Aprobado]]="A",NETWORKDAYS(Planeador[[#This Row],[Fecha de Solicitud]],Planeador[[#This Row],[Fecha de Entrega]])/5,"0,00")</f>
        <v>4</v>
      </c>
    </row>
    <row r="30" spans="2:28" ht="25.5">
      <c r="B30" s="3" t="s">
        <v>28</v>
      </c>
      <c r="C30" s="89" t="s">
        <v>236</v>
      </c>
      <c r="D30" s="8" t="s">
        <v>50</v>
      </c>
      <c r="E30" s="8" t="s">
        <v>57</v>
      </c>
      <c r="F30" s="7"/>
      <c r="G30" s="7" t="s">
        <v>96</v>
      </c>
      <c r="H30" s="7" t="s">
        <v>96</v>
      </c>
      <c r="I30" s="7" t="s">
        <v>96</v>
      </c>
      <c r="J30" s="7" t="s">
        <v>96</v>
      </c>
      <c r="M30" s="14" t="s">
        <v>316</v>
      </c>
      <c r="N30" s="9">
        <v>40943</v>
      </c>
      <c r="O30" s="3" t="s">
        <v>51</v>
      </c>
      <c r="P30" s="3">
        <v>5</v>
      </c>
      <c r="Q30" s="12">
        <v>0.15</v>
      </c>
      <c r="R30" s="56"/>
      <c r="S30" s="18"/>
      <c r="T30" s="9"/>
      <c r="U30" s="14" t="s">
        <v>237</v>
      </c>
      <c r="W30" s="3" t="s">
        <v>102</v>
      </c>
      <c r="X30" s="59"/>
      <c r="Y30" s="66" t="str">
        <f>IF(Planeador[[#This Row],[Aprobado]]="A",NETWORKDAYS(Planeador[[#This Row],[Fecha de Solicitud]],Planeador[[#This Row],[Fecha de Entrega]]),"0")</f>
        <v>0</v>
      </c>
      <c r="Z30" s="65">
        <f>IF(Planeador[[#This Row],[Dificultad]]&lt;&gt;"",Planeador[[#This Row],[ΔT]]*Planeador[[#This Row],[Dificultad]],"0")</f>
        <v>0</v>
      </c>
      <c r="AA30" s="65">
        <f>IF(Planeador[[#This Row],[Dificultad]]&lt;&gt;"",Planeador[[#This Row],[ΔT]]/Planeador[[#This Row],[Dificultad]],"0")</f>
        <v>0</v>
      </c>
      <c r="AB30" s="65" t="str">
        <f>IF(Planeador[[#This Row],[Aprobado]]="A",NETWORKDAYS(Planeador[[#This Row],[Fecha de Solicitud]],Planeador[[#This Row],[Fecha de Entrega]])/5,"0,00")</f>
        <v>0,00</v>
      </c>
    </row>
    <row r="31" spans="2:28">
      <c r="B31" s="3" t="s">
        <v>29</v>
      </c>
      <c r="C31" s="89" t="s">
        <v>496</v>
      </c>
      <c r="D31" s="8" t="s">
        <v>61</v>
      </c>
      <c r="E31" s="8" t="s">
        <v>62</v>
      </c>
      <c r="F31" s="7"/>
      <c r="G31" s="7" t="s">
        <v>96</v>
      </c>
      <c r="H31" s="7" t="s">
        <v>96</v>
      </c>
      <c r="I31" s="7" t="s">
        <v>96</v>
      </c>
      <c r="M31" s="14" t="s">
        <v>239</v>
      </c>
      <c r="N31" s="9">
        <v>40945</v>
      </c>
      <c r="O31" s="3" t="s">
        <v>51</v>
      </c>
      <c r="P31" s="3">
        <v>4</v>
      </c>
      <c r="Q31" s="12">
        <v>1</v>
      </c>
      <c r="R31" s="56"/>
      <c r="S31" s="18"/>
      <c r="T31" s="9">
        <v>40960</v>
      </c>
      <c r="U31" s="14"/>
      <c r="W31" s="3" t="s">
        <v>52</v>
      </c>
      <c r="X31" s="3" t="s">
        <v>240</v>
      </c>
      <c r="Y31" s="66">
        <f>IF(Planeador[[#This Row],[Aprobado]]="A",NETWORKDAYS(Planeador[[#This Row],[Fecha de Solicitud]],Planeador[[#This Row],[Fecha de Entrega]]),"0")</f>
        <v>12</v>
      </c>
      <c r="Z31" s="65">
        <f>IF(Planeador[[#This Row],[Dificultad]]&lt;&gt;"",Planeador[[#This Row],[ΔT]]*Planeador[[#This Row],[Dificultad]],"0")</f>
        <v>48</v>
      </c>
      <c r="AA31" s="65">
        <f>IF(Planeador[[#This Row],[Dificultad]]&lt;&gt;"",Planeador[[#This Row],[ΔT]]/Planeador[[#This Row],[Dificultad]],"0")</f>
        <v>3</v>
      </c>
      <c r="AB31" s="65">
        <f>IF(Planeador[[#This Row],[Aprobado]]="A",NETWORKDAYS(Planeador[[#This Row],[Fecha de Solicitud]],Planeador[[#This Row],[Fecha de Entrega]])/5,"0,00")</f>
        <v>2.4</v>
      </c>
    </row>
    <row r="32" spans="2:28" ht="25.5">
      <c r="B32" s="3" t="s">
        <v>30</v>
      </c>
      <c r="C32" s="89" t="s">
        <v>241</v>
      </c>
      <c r="D32" s="8" t="s">
        <v>61</v>
      </c>
      <c r="E32" s="8" t="s">
        <v>55</v>
      </c>
      <c r="F32" s="7"/>
      <c r="G32" s="7" t="s">
        <v>96</v>
      </c>
      <c r="H32" s="7"/>
      <c r="I32" s="7" t="s">
        <v>96</v>
      </c>
      <c r="M32" s="14" t="s">
        <v>242</v>
      </c>
      <c r="N32" s="9">
        <v>40943</v>
      </c>
      <c r="O32" s="3" t="s">
        <v>51</v>
      </c>
      <c r="P32" s="3">
        <v>3</v>
      </c>
      <c r="Q32" s="12">
        <v>1</v>
      </c>
      <c r="R32" s="56"/>
      <c r="S32" s="18"/>
      <c r="T32" s="9">
        <v>40946</v>
      </c>
      <c r="U32" s="14" t="s">
        <v>243</v>
      </c>
      <c r="W32" s="3" t="s">
        <v>52</v>
      </c>
      <c r="X32" s="3" t="s">
        <v>244</v>
      </c>
      <c r="Y32" s="66">
        <f>IF(Planeador[[#This Row],[Aprobado]]="A",NETWORKDAYS(Planeador[[#This Row],[Fecha de Solicitud]],Planeador[[#This Row],[Fecha de Entrega]]),"0")</f>
        <v>2</v>
      </c>
      <c r="Z32" s="65">
        <f>IF(Planeador[[#This Row],[Dificultad]]&lt;&gt;"",Planeador[[#This Row],[ΔT]]*Planeador[[#This Row],[Dificultad]],"0")</f>
        <v>6</v>
      </c>
      <c r="AA32" s="65">
        <f>IF(Planeador[[#This Row],[Dificultad]]&lt;&gt;"",Planeador[[#This Row],[ΔT]]/Planeador[[#This Row],[Dificultad]],"0")</f>
        <v>0.66666666666666663</v>
      </c>
      <c r="AB32" s="65">
        <f>IF(Planeador[[#This Row],[Aprobado]]="A",NETWORKDAYS(Planeador[[#This Row],[Fecha de Solicitud]],Planeador[[#This Row],[Fecha de Entrega]])/5,"0,00")</f>
        <v>0.4</v>
      </c>
    </row>
    <row r="33" spans="2:28" ht="25.5">
      <c r="B33" s="3" t="s">
        <v>31</v>
      </c>
      <c r="C33" s="89" t="s">
        <v>109</v>
      </c>
      <c r="D33" s="8" t="s">
        <v>50</v>
      </c>
      <c r="E33" s="8" t="s">
        <v>55</v>
      </c>
      <c r="F33" s="7"/>
      <c r="G33" s="7" t="s">
        <v>96</v>
      </c>
      <c r="H33" s="7"/>
      <c r="I33" s="7" t="s">
        <v>96</v>
      </c>
      <c r="M33" s="14" t="s">
        <v>110</v>
      </c>
      <c r="N33" s="9">
        <v>40949</v>
      </c>
      <c r="O33" s="3" t="s">
        <v>111</v>
      </c>
      <c r="P33" s="3">
        <v>3</v>
      </c>
      <c r="Q33" s="12">
        <v>0.1</v>
      </c>
      <c r="R33" s="56"/>
      <c r="S33" s="18">
        <v>40980</v>
      </c>
      <c r="T33" s="9"/>
      <c r="U33" s="14" t="s">
        <v>245</v>
      </c>
      <c r="W33" s="3" t="s">
        <v>102</v>
      </c>
      <c r="X33" s="59"/>
      <c r="Y33" s="66" t="str">
        <f>IF(Planeador[[#This Row],[Aprobado]]="A",NETWORKDAYS(Planeador[[#This Row],[Fecha de Solicitud]],Planeador[[#This Row],[Fecha de Entrega]]),"0")</f>
        <v>0</v>
      </c>
      <c r="Z33" s="65">
        <f>IF(Planeador[[#This Row],[Dificultad]]&lt;&gt;"",Planeador[[#This Row],[ΔT]]*Planeador[[#This Row],[Dificultad]],"0")</f>
        <v>0</v>
      </c>
      <c r="AA33" s="65">
        <f>IF(Planeador[[#This Row],[Dificultad]]&lt;&gt;"",Planeador[[#This Row],[ΔT]]/Planeador[[#This Row],[Dificultad]],"0")</f>
        <v>0</v>
      </c>
      <c r="AB33" s="65" t="str">
        <f>IF(Planeador[[#This Row],[Aprobado]]="A",NETWORKDAYS(Planeador[[#This Row],[Fecha de Solicitud]],Planeador[[#This Row],[Fecha de Entrega]])/5,"0,00")</f>
        <v>0,00</v>
      </c>
    </row>
    <row r="34" spans="2:28" ht="25.5">
      <c r="B34" s="3" t="s">
        <v>32</v>
      </c>
      <c r="C34" s="89" t="s">
        <v>246</v>
      </c>
      <c r="D34" s="8" t="s">
        <v>61</v>
      </c>
      <c r="E34" s="8" t="s">
        <v>181</v>
      </c>
      <c r="F34" s="7"/>
      <c r="G34" s="7" t="s">
        <v>96</v>
      </c>
      <c r="H34" s="7"/>
      <c r="M34" s="14" t="s">
        <v>247</v>
      </c>
      <c r="N34" s="9">
        <v>40954</v>
      </c>
      <c r="O34" s="3" t="s">
        <v>111</v>
      </c>
      <c r="P34" s="3">
        <v>1</v>
      </c>
      <c r="Q34" s="12">
        <v>0.1</v>
      </c>
      <c r="R34" s="56"/>
      <c r="S34" s="18"/>
      <c r="T34" s="9"/>
      <c r="U34" s="14" t="s">
        <v>317</v>
      </c>
      <c r="W34" s="3" t="s">
        <v>102</v>
      </c>
      <c r="X34" s="59"/>
      <c r="Y34" s="66" t="str">
        <f>IF(Planeador[[#This Row],[Aprobado]]="A",NETWORKDAYS(Planeador[[#This Row],[Fecha de Solicitud]],Planeador[[#This Row],[Fecha de Entrega]]),"0")</f>
        <v>0</v>
      </c>
      <c r="Z34" s="65">
        <f>IF(Planeador[[#This Row],[Dificultad]]&lt;&gt;"",Planeador[[#This Row],[ΔT]]*Planeador[[#This Row],[Dificultad]],"0")</f>
        <v>0</v>
      </c>
      <c r="AA34" s="65">
        <f>IF(Planeador[[#This Row],[Dificultad]]&lt;&gt;"",Planeador[[#This Row],[ΔT]]/Planeador[[#This Row],[Dificultad]],"0")</f>
        <v>0</v>
      </c>
      <c r="AB34" s="65" t="str">
        <f>IF(Planeador[[#This Row],[Aprobado]]="A",NETWORKDAYS(Planeador[[#This Row],[Fecha de Solicitud]],Planeador[[#This Row],[Fecha de Entrega]])/5,"0,00")</f>
        <v>0,00</v>
      </c>
    </row>
    <row r="35" spans="2:28" ht="38.25">
      <c r="B35" s="3" t="s">
        <v>33</v>
      </c>
      <c r="C35" s="89" t="s">
        <v>58</v>
      </c>
      <c r="D35" s="8" t="s">
        <v>50</v>
      </c>
      <c r="E35" s="8" t="s">
        <v>55</v>
      </c>
      <c r="F35" s="7"/>
      <c r="G35" s="7" t="s">
        <v>96</v>
      </c>
      <c r="H35" s="7"/>
      <c r="I35" s="7" t="s">
        <v>96</v>
      </c>
      <c r="M35" s="14" t="s">
        <v>248</v>
      </c>
      <c r="N35" s="9">
        <v>40957</v>
      </c>
      <c r="O35" s="3" t="s">
        <v>154</v>
      </c>
      <c r="P35" s="3">
        <v>6</v>
      </c>
      <c r="Q35" s="12">
        <v>0.5</v>
      </c>
      <c r="R35" s="56" t="s">
        <v>96</v>
      </c>
      <c r="S35" s="9">
        <v>40961</v>
      </c>
      <c r="T35" s="9">
        <v>40961</v>
      </c>
      <c r="U35" s="14" t="s">
        <v>318</v>
      </c>
      <c r="V35" s="3" t="s">
        <v>99</v>
      </c>
      <c r="W35" s="3" t="s">
        <v>52</v>
      </c>
      <c r="X35" s="59"/>
      <c r="Y35" s="66">
        <f>IF(Planeador[[#This Row],[Aprobado]]="A",NETWORKDAYS(Planeador[[#This Row],[Fecha de Solicitud]],Planeador[[#This Row],[Fecha de Entrega]]),"0")</f>
        <v>3</v>
      </c>
      <c r="Z35" s="65">
        <f>IF(Planeador[[#This Row],[Dificultad]]&lt;&gt;"",Planeador[[#This Row],[ΔT]]*Planeador[[#This Row],[Dificultad]],"0")</f>
        <v>18</v>
      </c>
      <c r="AA35" s="65">
        <f>IF(Planeador[[#This Row],[Dificultad]]&lt;&gt;"",Planeador[[#This Row],[ΔT]]/Planeador[[#This Row],[Dificultad]],"0")</f>
        <v>0.5</v>
      </c>
      <c r="AB35" s="65">
        <f>IF(Planeador[[#This Row],[Aprobado]]="A",NETWORKDAYS(Planeador[[#This Row],[Fecha de Solicitud]],Planeador[[#This Row],[Fecha de Entrega]])/5,"0,00")</f>
        <v>0.6</v>
      </c>
    </row>
    <row r="36" spans="2:28" ht="25.5">
      <c r="B36" s="3" t="s">
        <v>34</v>
      </c>
      <c r="C36" s="89" t="s">
        <v>69</v>
      </c>
      <c r="D36" s="8" t="s">
        <v>67</v>
      </c>
      <c r="E36" s="8" t="s">
        <v>62</v>
      </c>
      <c r="F36" s="7"/>
      <c r="G36" s="7" t="s">
        <v>96</v>
      </c>
      <c r="H36" s="7"/>
      <c r="I36" s="7" t="s">
        <v>96</v>
      </c>
      <c r="M36" s="14" t="s">
        <v>70</v>
      </c>
      <c r="N36" s="9">
        <v>40959</v>
      </c>
      <c r="O36" s="3" t="s">
        <v>52</v>
      </c>
      <c r="P36" s="3">
        <v>4</v>
      </c>
      <c r="Q36" s="12">
        <v>1</v>
      </c>
      <c r="R36" s="56"/>
      <c r="S36" s="18"/>
      <c r="T36" s="9">
        <v>40960</v>
      </c>
      <c r="U36" s="14"/>
      <c r="W36" s="3" t="s">
        <v>52</v>
      </c>
      <c r="X36" s="59"/>
      <c r="Y36" s="66">
        <f>IF(Planeador[[#This Row],[Aprobado]]="A",NETWORKDAYS(Planeador[[#This Row],[Fecha de Solicitud]],Planeador[[#This Row],[Fecha de Entrega]]),"0")</f>
        <v>2</v>
      </c>
      <c r="Z36" s="65">
        <f>IF(Planeador[[#This Row],[Dificultad]]&lt;&gt;"",Planeador[[#This Row],[ΔT]]*Planeador[[#This Row],[Dificultad]],"0")</f>
        <v>8</v>
      </c>
      <c r="AA36" s="65">
        <f>IF(Planeador[[#This Row],[Dificultad]]&lt;&gt;"",Planeador[[#This Row],[ΔT]]/Planeador[[#This Row],[Dificultad]],"0")</f>
        <v>0.5</v>
      </c>
      <c r="AB36" s="65">
        <f>IF(Planeador[[#This Row],[Aprobado]]="A",NETWORKDAYS(Planeador[[#This Row],[Fecha de Solicitud]],Planeador[[#This Row],[Fecha de Entrega]])/5,"0,00")</f>
        <v>0.4</v>
      </c>
    </row>
    <row r="37" spans="2:28" ht="25.5">
      <c r="B37" s="3" t="s">
        <v>35</v>
      </c>
      <c r="C37" s="89" t="s">
        <v>66</v>
      </c>
      <c r="D37" s="8" t="s">
        <v>67</v>
      </c>
      <c r="E37" s="8" t="s">
        <v>55</v>
      </c>
      <c r="F37" s="7"/>
      <c r="G37" s="7" t="s">
        <v>96</v>
      </c>
      <c r="H37" s="7"/>
      <c r="I37" s="7" t="s">
        <v>96</v>
      </c>
      <c r="M37" s="14" t="s">
        <v>68</v>
      </c>
      <c r="N37" s="9">
        <v>40963</v>
      </c>
      <c r="O37" s="3" t="s">
        <v>51</v>
      </c>
      <c r="P37" s="3">
        <v>3</v>
      </c>
      <c r="Q37" s="12">
        <v>0.25</v>
      </c>
      <c r="R37" s="56"/>
      <c r="S37" s="18"/>
      <c r="T37" s="9"/>
      <c r="U37" s="14" t="s">
        <v>249</v>
      </c>
      <c r="W37" s="3" t="s">
        <v>102</v>
      </c>
      <c r="X37" s="59"/>
      <c r="Y37" s="66" t="str">
        <f>IF(Planeador[[#This Row],[Aprobado]]="A",NETWORKDAYS(Planeador[[#This Row],[Fecha de Solicitud]],Planeador[[#This Row],[Fecha de Entrega]]),"0")</f>
        <v>0</v>
      </c>
      <c r="Z37" s="65">
        <f>IF(Planeador[[#This Row],[Dificultad]]&lt;&gt;"",Planeador[[#This Row],[ΔT]]*Planeador[[#This Row],[Dificultad]],"0")</f>
        <v>0</v>
      </c>
      <c r="AA37" s="65">
        <f>IF(Planeador[[#This Row],[Dificultad]]&lt;&gt;"",Planeador[[#This Row],[ΔT]]/Planeador[[#This Row],[Dificultad]],"0")</f>
        <v>0</v>
      </c>
      <c r="AB37" s="65" t="str">
        <f>IF(Planeador[[#This Row],[Aprobado]]="A",NETWORKDAYS(Planeador[[#This Row],[Fecha de Solicitud]],Planeador[[#This Row],[Fecha de Entrega]])/5,"0,00")</f>
        <v>0,00</v>
      </c>
    </row>
    <row r="38" spans="2:28" ht="25.5">
      <c r="B38" s="3" t="s">
        <v>36</v>
      </c>
      <c r="C38" s="89" t="s">
        <v>64</v>
      </c>
      <c r="D38" s="8" t="s">
        <v>61</v>
      </c>
      <c r="E38" s="8" t="s">
        <v>55</v>
      </c>
      <c r="F38" s="7"/>
      <c r="G38" s="7" t="s">
        <v>96</v>
      </c>
      <c r="H38" s="7"/>
      <c r="I38" s="7" t="s">
        <v>96</v>
      </c>
      <c r="M38" s="14" t="s">
        <v>65</v>
      </c>
      <c r="N38" s="9">
        <v>40967</v>
      </c>
      <c r="O38" s="3" t="s">
        <v>51</v>
      </c>
      <c r="P38" s="3">
        <v>3</v>
      </c>
      <c r="Q38" s="12">
        <v>0.2</v>
      </c>
      <c r="R38" s="56"/>
      <c r="S38" s="18"/>
      <c r="T38" s="9"/>
      <c r="U38" s="14"/>
      <c r="W38" s="3" t="s">
        <v>102</v>
      </c>
      <c r="X38" s="59"/>
      <c r="Y38" s="66" t="str">
        <f>IF(Planeador[[#This Row],[Aprobado]]="A",NETWORKDAYS(Planeador[[#This Row],[Fecha de Solicitud]],Planeador[[#This Row],[Fecha de Entrega]]),"0")</f>
        <v>0</v>
      </c>
      <c r="Z38" s="65">
        <f>IF(Planeador[[#This Row],[Dificultad]]&lt;&gt;"",Planeador[[#This Row],[ΔT]]*Planeador[[#This Row],[Dificultad]],"0")</f>
        <v>0</v>
      </c>
      <c r="AA38" s="65">
        <f>IF(Planeador[[#This Row],[Dificultad]]&lt;&gt;"",Planeador[[#This Row],[ΔT]]/Planeador[[#This Row],[Dificultad]],"0")</f>
        <v>0</v>
      </c>
      <c r="AB38" s="65" t="str">
        <f>IF(Planeador[[#This Row],[Aprobado]]="A",NETWORKDAYS(Planeador[[#This Row],[Fecha de Solicitud]],Planeador[[#This Row],[Fecha de Entrega]])/5,"0,00")</f>
        <v>0,00</v>
      </c>
    </row>
    <row r="39" spans="2:28" ht="63.75">
      <c r="B39" s="3" t="s">
        <v>37</v>
      </c>
      <c r="C39" s="89" t="s">
        <v>71</v>
      </c>
      <c r="D39" s="8" t="s">
        <v>50</v>
      </c>
      <c r="E39" s="14" t="s">
        <v>89</v>
      </c>
      <c r="F39" s="34"/>
      <c r="G39" s="34" t="s">
        <v>96</v>
      </c>
      <c r="H39" s="34"/>
      <c r="I39" s="34" t="s">
        <v>96</v>
      </c>
      <c r="J39" s="34" t="s">
        <v>96</v>
      </c>
      <c r="K39" s="34" t="s">
        <v>96</v>
      </c>
      <c r="L39" s="34" t="s">
        <v>96</v>
      </c>
      <c r="M39" s="14" t="s">
        <v>319</v>
      </c>
      <c r="N39" s="9">
        <v>40968</v>
      </c>
      <c r="O39" s="3" t="s">
        <v>52</v>
      </c>
      <c r="P39" s="3">
        <v>6</v>
      </c>
      <c r="Q39" s="12">
        <v>0.4</v>
      </c>
      <c r="R39" s="56"/>
      <c r="S39" s="18">
        <v>40976</v>
      </c>
      <c r="T39" s="9"/>
      <c r="U39" s="14" t="s">
        <v>320</v>
      </c>
      <c r="W39" s="3" t="s">
        <v>102</v>
      </c>
      <c r="X39" s="59"/>
      <c r="Y39" s="66" t="str">
        <f>IF(Planeador[[#This Row],[Aprobado]]="A",NETWORKDAYS(Planeador[[#This Row],[Fecha de Solicitud]],Planeador[[#This Row],[Fecha de Entrega]]),"0")</f>
        <v>0</v>
      </c>
      <c r="Z39" s="65">
        <f>IF(Planeador[[#This Row],[Dificultad]]&lt;&gt;"",Planeador[[#This Row],[ΔT]]*Planeador[[#This Row],[Dificultad]],"0")</f>
        <v>0</v>
      </c>
      <c r="AA39" s="65">
        <f>IF(Planeador[[#This Row],[Dificultad]]&lt;&gt;"",Planeador[[#This Row],[ΔT]]/Planeador[[#This Row],[Dificultad]],"0")</f>
        <v>0</v>
      </c>
      <c r="AB39" s="65" t="str">
        <f>IF(Planeador[[#This Row],[Aprobado]]="A",NETWORKDAYS(Planeador[[#This Row],[Fecha de Solicitud]],Planeador[[#This Row],[Fecha de Entrega]])/5,"0,00")</f>
        <v>0,00</v>
      </c>
    </row>
    <row r="40" spans="2:28" ht="38.25">
      <c r="B40" s="3" t="s">
        <v>38</v>
      </c>
      <c r="C40" s="89" t="s">
        <v>325</v>
      </c>
      <c r="D40" s="8" t="s">
        <v>61</v>
      </c>
      <c r="E40" s="8" t="s">
        <v>73</v>
      </c>
      <c r="F40" s="7"/>
      <c r="G40" s="7" t="s">
        <v>96</v>
      </c>
      <c r="H40" s="7"/>
      <c r="I40" s="7" t="s">
        <v>96</v>
      </c>
      <c r="J40" s="7" t="s">
        <v>96</v>
      </c>
      <c r="M40" s="14" t="s">
        <v>100</v>
      </c>
      <c r="N40" s="9">
        <v>40970</v>
      </c>
      <c r="O40" s="3" t="s">
        <v>52</v>
      </c>
      <c r="P40" s="3">
        <v>10</v>
      </c>
      <c r="Q40" s="12">
        <v>1</v>
      </c>
      <c r="R40" s="56"/>
      <c r="S40" s="9">
        <v>41008</v>
      </c>
      <c r="T40" s="9">
        <v>41009</v>
      </c>
      <c r="U40" s="29" t="s">
        <v>74</v>
      </c>
      <c r="V40" s="21" t="s">
        <v>436</v>
      </c>
      <c r="W40" s="3" t="s">
        <v>52</v>
      </c>
      <c r="X40" s="59"/>
      <c r="Y40" s="66">
        <f>IF(Planeador[[#This Row],[Aprobado]]="A",NETWORKDAYS(Planeador[[#This Row],[Fecha de Solicitud]],Planeador[[#This Row],[Fecha de Entrega]]),"0")</f>
        <v>28</v>
      </c>
      <c r="Z40" s="65">
        <f>IF(Planeador[[#This Row],[Dificultad]]&lt;&gt;"",Planeador[[#This Row],[ΔT]]*Planeador[[#This Row],[Dificultad]],"0")</f>
        <v>280</v>
      </c>
      <c r="AA40" s="65">
        <f>IF(Planeador[[#This Row],[Dificultad]]&lt;&gt;"",Planeador[[#This Row],[ΔT]]/Planeador[[#This Row],[Dificultad]],"0")</f>
        <v>2.8</v>
      </c>
      <c r="AB40" s="65">
        <f>IF(Planeador[[#This Row],[Aprobado]]="A",NETWORKDAYS(Planeador[[#This Row],[Fecha de Solicitud]],Planeador[[#This Row],[Fecha de Entrega]])/5,"0,00")</f>
        <v>5.6</v>
      </c>
    </row>
    <row r="41" spans="2:28" ht="63.75">
      <c r="B41" s="3" t="s">
        <v>39</v>
      </c>
      <c r="C41" s="89" t="s">
        <v>76</v>
      </c>
      <c r="D41" s="8" t="s">
        <v>61</v>
      </c>
      <c r="E41" s="8" t="s">
        <v>62</v>
      </c>
      <c r="F41" s="7"/>
      <c r="G41" s="7" t="s">
        <v>96</v>
      </c>
      <c r="H41" s="7"/>
      <c r="I41" s="7" t="s">
        <v>96</v>
      </c>
      <c r="J41" s="7" t="s">
        <v>96</v>
      </c>
      <c r="L41" s="7" t="s">
        <v>96</v>
      </c>
      <c r="M41" s="14" t="s">
        <v>321</v>
      </c>
      <c r="N41" s="9">
        <v>40970</v>
      </c>
      <c r="O41" s="3" t="s">
        <v>51</v>
      </c>
      <c r="P41" s="3">
        <v>5</v>
      </c>
      <c r="Q41" s="12">
        <v>1</v>
      </c>
      <c r="R41" s="56"/>
      <c r="S41" s="18"/>
      <c r="T41" s="9">
        <v>40982</v>
      </c>
      <c r="U41" s="14" t="s">
        <v>112</v>
      </c>
      <c r="W41" s="3" t="s">
        <v>52</v>
      </c>
      <c r="X41" s="59" t="s">
        <v>175</v>
      </c>
      <c r="Y41" s="66">
        <f>IF(Planeador[[#This Row],[Aprobado]]="A",NETWORKDAYS(Planeador[[#This Row],[Fecha de Solicitud]],Planeador[[#This Row],[Fecha de Entrega]]),"0")</f>
        <v>9</v>
      </c>
      <c r="Z41" s="65">
        <f>IF(Planeador[[#This Row],[Dificultad]]&lt;&gt;"",Planeador[[#This Row],[ΔT]]*Planeador[[#This Row],[Dificultad]],"0")</f>
        <v>45</v>
      </c>
      <c r="AA41" s="65">
        <f>IF(Planeador[[#This Row],[Dificultad]]&lt;&gt;"",Planeador[[#This Row],[ΔT]]/Planeador[[#This Row],[Dificultad]],"0")</f>
        <v>1.8</v>
      </c>
      <c r="AB41" s="65">
        <f>IF(Planeador[[#This Row],[Aprobado]]="A",NETWORKDAYS(Planeador[[#This Row],[Fecha de Solicitud]],Planeador[[#This Row],[Fecha de Entrega]])/5,"0,00")</f>
        <v>1.8</v>
      </c>
    </row>
    <row r="42" spans="2:28" ht="25.5">
      <c r="B42" s="39" t="s">
        <v>113</v>
      </c>
      <c r="C42" s="90" t="s">
        <v>115</v>
      </c>
      <c r="D42" s="8" t="s">
        <v>50</v>
      </c>
      <c r="E42" s="38" t="s">
        <v>62</v>
      </c>
      <c r="F42" s="41"/>
      <c r="G42" s="41"/>
      <c r="H42" s="41" t="s">
        <v>96</v>
      </c>
      <c r="I42" s="41"/>
      <c r="J42" s="41"/>
      <c r="K42" s="41"/>
      <c r="L42" s="41"/>
      <c r="M42" s="40" t="s">
        <v>114</v>
      </c>
      <c r="N42" s="42">
        <v>40980</v>
      </c>
      <c r="O42" s="39" t="s">
        <v>111</v>
      </c>
      <c r="P42" s="39">
        <v>4</v>
      </c>
      <c r="Q42" s="43">
        <v>1</v>
      </c>
      <c r="R42" s="57"/>
      <c r="S42" s="44">
        <v>40980</v>
      </c>
      <c r="T42" s="42">
        <v>40980</v>
      </c>
      <c r="U42" s="40"/>
      <c r="V42" s="39"/>
      <c r="W42" s="3" t="s">
        <v>52</v>
      </c>
      <c r="X42" s="59"/>
      <c r="Y42" s="66">
        <f>IF(Planeador[[#This Row],[Aprobado]]="A",NETWORKDAYS(Planeador[[#This Row],[Fecha de Solicitud]],Planeador[[#This Row],[Fecha de Entrega]]),"0")</f>
        <v>1</v>
      </c>
      <c r="Z42" s="65">
        <f>IF(Planeador[[#This Row],[Dificultad]]&lt;&gt;"",Planeador[[#This Row],[ΔT]]*Planeador[[#This Row],[Dificultad]],"0")</f>
        <v>4</v>
      </c>
      <c r="AA42" s="65">
        <f>IF(Planeador[[#This Row],[Dificultad]]&lt;&gt;"",Planeador[[#This Row],[ΔT]]/Planeador[[#This Row],[Dificultad]],"0")</f>
        <v>0.25</v>
      </c>
      <c r="AB42" s="65">
        <f>IF(Planeador[[#This Row],[Aprobado]]="A",NETWORKDAYS(Planeador[[#This Row],[Fecha de Solicitud]],Planeador[[#This Row],[Fecha de Entrega]])/5,"0,00")</f>
        <v>0.2</v>
      </c>
    </row>
    <row r="43" spans="2:28">
      <c r="B43" s="3" t="s">
        <v>151</v>
      </c>
      <c r="C43" s="89" t="s">
        <v>304</v>
      </c>
      <c r="D43" s="8" t="s">
        <v>67</v>
      </c>
      <c r="E43" s="8" t="s">
        <v>62</v>
      </c>
      <c r="F43" s="7" t="s">
        <v>96</v>
      </c>
      <c r="G43" s="7" t="s">
        <v>96</v>
      </c>
      <c r="H43" s="7"/>
      <c r="J43" s="7" t="s">
        <v>96</v>
      </c>
      <c r="M43" s="14" t="s">
        <v>152</v>
      </c>
      <c r="N43" s="9">
        <v>40980</v>
      </c>
      <c r="O43" s="3" t="s">
        <v>154</v>
      </c>
      <c r="P43" s="3">
        <v>9</v>
      </c>
      <c r="Q43" s="12">
        <v>1</v>
      </c>
      <c r="R43" s="56" t="s">
        <v>96</v>
      </c>
      <c r="S43" s="18">
        <v>40983</v>
      </c>
      <c r="T43" s="9">
        <v>40983</v>
      </c>
      <c r="U43" s="14" t="s">
        <v>160</v>
      </c>
      <c r="W43" s="3" t="s">
        <v>52</v>
      </c>
      <c r="X43" s="59"/>
      <c r="Y43" s="66">
        <f>IF(Planeador[[#This Row],[Aprobado]]="A",NETWORKDAYS(Planeador[[#This Row],[Fecha de Solicitud]],Planeador[[#This Row],[Fecha de Entrega]]),"0")</f>
        <v>4</v>
      </c>
      <c r="Z43" s="65">
        <f>IF(Planeador[[#This Row],[Dificultad]]&lt;&gt;"",Planeador[[#This Row],[ΔT]]*Planeador[[#This Row],[Dificultad]],"0")</f>
        <v>36</v>
      </c>
      <c r="AA43" s="65">
        <f>IF(Planeador[[#This Row],[Dificultad]]&lt;&gt;"",Planeador[[#This Row],[ΔT]]/Planeador[[#This Row],[Dificultad]],"0")</f>
        <v>0.44444444444444442</v>
      </c>
      <c r="AB43" s="65">
        <f>IF(Planeador[[#This Row],[Aprobado]]="A",NETWORKDAYS(Planeador[[#This Row],[Fecha de Solicitud]],Planeador[[#This Row],[Fecha de Entrega]])/5,"0,00")</f>
        <v>0.8</v>
      </c>
    </row>
    <row r="44" spans="2:28" ht="38.25">
      <c r="B44" s="3" t="s">
        <v>162</v>
      </c>
      <c r="C44" s="89" t="s">
        <v>163</v>
      </c>
      <c r="D44" s="8" t="s">
        <v>67</v>
      </c>
      <c r="E44" s="14" t="s">
        <v>164</v>
      </c>
      <c r="F44" s="34"/>
      <c r="G44" s="7" t="s">
        <v>96</v>
      </c>
      <c r="H44" s="7" t="s">
        <v>96</v>
      </c>
      <c r="I44" s="7" t="s">
        <v>96</v>
      </c>
      <c r="M44" s="14" t="s">
        <v>165</v>
      </c>
      <c r="N44" s="9">
        <v>40980</v>
      </c>
      <c r="O44" s="3" t="s">
        <v>51</v>
      </c>
      <c r="P44" s="3">
        <v>5</v>
      </c>
      <c r="Q44" s="12">
        <v>0.45</v>
      </c>
      <c r="R44" s="56"/>
      <c r="S44" s="18">
        <v>40980</v>
      </c>
      <c r="T44" s="9"/>
      <c r="U44" s="14" t="s">
        <v>166</v>
      </c>
      <c r="W44" s="3" t="s">
        <v>102</v>
      </c>
      <c r="X44" s="59"/>
      <c r="Y44" s="66" t="str">
        <f>IF(Planeador[[#This Row],[Aprobado]]="A",NETWORKDAYS(Planeador[[#This Row],[Fecha de Solicitud]],Planeador[[#This Row],[Fecha de Entrega]]),"0")</f>
        <v>0</v>
      </c>
      <c r="Z44" s="65">
        <f>IF(Planeador[[#This Row],[Dificultad]]&lt;&gt;"",Planeador[[#This Row],[ΔT]]*Planeador[[#This Row],[Dificultad]],"0")</f>
        <v>0</v>
      </c>
      <c r="AA44" s="65">
        <f>IF(Planeador[[#This Row],[Dificultad]]&lt;&gt;"",Planeador[[#This Row],[ΔT]]/Planeador[[#This Row],[Dificultad]],"0")</f>
        <v>0</v>
      </c>
      <c r="AB44" s="65" t="str">
        <f>IF(Planeador[[#This Row],[Aprobado]]="A",NETWORKDAYS(Planeador[[#This Row],[Fecha de Solicitud]],Planeador[[#This Row],[Fecha de Entrega]])/5,"0,00")</f>
        <v>0,00</v>
      </c>
    </row>
    <row r="45" spans="2:28" ht="38.25">
      <c r="B45" s="3" t="s">
        <v>172</v>
      </c>
      <c r="C45" s="89" t="s">
        <v>314</v>
      </c>
      <c r="D45" s="8" t="s">
        <v>50</v>
      </c>
      <c r="E45" s="14" t="s">
        <v>173</v>
      </c>
      <c r="F45" s="34"/>
      <c r="G45" s="7" t="s">
        <v>96</v>
      </c>
      <c r="H45" s="7" t="s">
        <v>96</v>
      </c>
      <c r="I45" s="7" t="s">
        <v>96</v>
      </c>
      <c r="J45" s="7" t="s">
        <v>96</v>
      </c>
      <c r="M45" s="14" t="s">
        <v>174</v>
      </c>
      <c r="N45" s="9">
        <v>40978</v>
      </c>
      <c r="O45" s="3" t="s">
        <v>111</v>
      </c>
      <c r="P45" s="3">
        <v>4</v>
      </c>
      <c r="Q45" s="12">
        <v>1</v>
      </c>
      <c r="R45" s="56"/>
      <c r="S45" s="18">
        <v>40982</v>
      </c>
      <c r="T45" s="9">
        <v>40984</v>
      </c>
      <c r="U45" s="14"/>
      <c r="W45" s="3" t="s">
        <v>52</v>
      </c>
      <c r="X45" s="59"/>
      <c r="Y45" s="66">
        <f>IF(Planeador[[#This Row],[Aprobado]]="A",NETWORKDAYS(Planeador[[#This Row],[Fecha de Solicitud]],Planeador[[#This Row],[Fecha de Entrega]]),"0")</f>
        <v>5</v>
      </c>
      <c r="Z45" s="65">
        <f>IF(Planeador[[#This Row],[Dificultad]]&lt;&gt;"",Planeador[[#This Row],[ΔT]]*Planeador[[#This Row],[Dificultad]],"0")</f>
        <v>20</v>
      </c>
      <c r="AA45" s="65">
        <f>IF(Planeador[[#This Row],[Dificultad]]&lt;&gt;"",Planeador[[#This Row],[ΔT]]/Planeador[[#This Row],[Dificultad]],"0")</f>
        <v>1.25</v>
      </c>
      <c r="AB45" s="65">
        <f>IF(Planeador[[#This Row],[Aprobado]]="A",NETWORKDAYS(Planeador[[#This Row],[Fecha de Solicitud]],Planeador[[#This Row],[Fecha de Entrega]])/5,"0,00")</f>
        <v>1</v>
      </c>
    </row>
    <row r="46" spans="2:28" ht="38.25">
      <c r="B46" s="59" t="s">
        <v>272</v>
      </c>
      <c r="C46" s="91" t="s">
        <v>273</v>
      </c>
      <c r="D46" s="72" t="s">
        <v>50</v>
      </c>
      <c r="E46" s="72" t="s">
        <v>274</v>
      </c>
      <c r="F46" s="78"/>
      <c r="G46" s="7" t="s">
        <v>96</v>
      </c>
      <c r="H46" s="7" t="s">
        <v>96</v>
      </c>
      <c r="I46" s="7" t="s">
        <v>96</v>
      </c>
      <c r="J46" s="7" t="s">
        <v>96</v>
      </c>
      <c r="M46" s="14" t="s">
        <v>322</v>
      </c>
      <c r="N46" s="73">
        <v>40985</v>
      </c>
      <c r="O46" s="59" t="s">
        <v>52</v>
      </c>
      <c r="P46" s="59">
        <v>6</v>
      </c>
      <c r="Q46" s="74">
        <v>1</v>
      </c>
      <c r="R46" s="75"/>
      <c r="S46" s="76">
        <v>40989</v>
      </c>
      <c r="T46" s="73">
        <v>40994</v>
      </c>
      <c r="U46" s="14" t="s">
        <v>346</v>
      </c>
      <c r="V46" s="59"/>
      <c r="W46" s="3" t="s">
        <v>52</v>
      </c>
      <c r="X46" s="3" t="s">
        <v>345</v>
      </c>
      <c r="Y46" s="77">
        <f>IF(Planeador[[#This Row],[Aprobado]]="A",NETWORKDAYS(Planeador[[#This Row],[Fecha de Solicitud]],Planeador[[#This Row],[Fecha de Entrega]]),"0")</f>
        <v>6</v>
      </c>
      <c r="Z46" s="79">
        <f>IF(Planeador[[#This Row],[Dificultad]]&lt;&gt;"",Planeador[[#This Row],[ΔT]]*Planeador[[#This Row],[Dificultad]],"0")</f>
        <v>36</v>
      </c>
      <c r="AA46" s="65">
        <f>IF(Planeador[[#This Row],[Dificultad]]&lt;&gt;"",Planeador[[#This Row],[ΔT]]/Planeador[[#This Row],[Dificultad]],"0")</f>
        <v>1</v>
      </c>
      <c r="AB46" s="65">
        <f>IF(Planeador[[#This Row],[Aprobado]]="A",NETWORKDAYS(Planeador[[#This Row],[Fecha de Solicitud]],Planeador[[#This Row],[Fecha de Entrega]])/5,"0,00")</f>
        <v>1.2</v>
      </c>
    </row>
    <row r="47" spans="2:28" ht="76.5">
      <c r="B47" s="59" t="s">
        <v>275</v>
      </c>
      <c r="C47" s="89" t="s">
        <v>289</v>
      </c>
      <c r="D47" s="72" t="s">
        <v>61</v>
      </c>
      <c r="E47" s="8" t="s">
        <v>276</v>
      </c>
      <c r="F47" s="7"/>
      <c r="G47" s="7" t="s">
        <v>96</v>
      </c>
      <c r="H47" s="7"/>
      <c r="I47" s="7" t="s">
        <v>96</v>
      </c>
      <c r="M47" s="14" t="s">
        <v>323</v>
      </c>
      <c r="N47" s="73">
        <v>40985</v>
      </c>
      <c r="O47" s="59" t="s">
        <v>154</v>
      </c>
      <c r="P47" s="59">
        <v>7</v>
      </c>
      <c r="Q47" s="74">
        <v>1</v>
      </c>
      <c r="R47" s="75"/>
      <c r="S47" s="76">
        <v>40989</v>
      </c>
      <c r="T47" s="73">
        <v>40989</v>
      </c>
      <c r="U47" s="14" t="s">
        <v>324</v>
      </c>
      <c r="V47" s="3" t="s">
        <v>99</v>
      </c>
      <c r="W47" s="3" t="s">
        <v>52</v>
      </c>
      <c r="X47" s="3" t="s">
        <v>288</v>
      </c>
      <c r="Y47" s="77">
        <f>IF(Planeador[[#This Row],[Aprobado]]="A",NETWORKDAYS(Planeador[[#This Row],[Fecha de Solicitud]],Planeador[[#This Row],[Fecha de Entrega]]),"0")</f>
        <v>3</v>
      </c>
      <c r="Z47" s="79">
        <f>IF(Planeador[[#This Row],[Dificultad]]&lt;&gt;"",Planeador[[#This Row],[ΔT]]*Planeador[[#This Row],[Dificultad]],"0")</f>
        <v>21</v>
      </c>
      <c r="AA47" s="65">
        <f>IF(Planeador[[#This Row],[Dificultad]]&lt;&gt;"",Planeador[[#This Row],[ΔT]]/Planeador[[#This Row],[Dificultad]],"0")</f>
        <v>0.42857142857142855</v>
      </c>
      <c r="AB47" s="65">
        <f>IF(Planeador[[#This Row],[Aprobado]]="A",NETWORKDAYS(Planeador[[#This Row],[Fecha de Solicitud]],Planeador[[#This Row],[Fecha de Entrega]])/5,"0,00")</f>
        <v>0.6</v>
      </c>
    </row>
    <row r="48" spans="2:28" ht="25.5">
      <c r="B48" s="59" t="s">
        <v>277</v>
      </c>
      <c r="C48" s="91" t="s">
        <v>278</v>
      </c>
      <c r="D48" s="72" t="s">
        <v>61</v>
      </c>
      <c r="E48" s="72" t="s">
        <v>181</v>
      </c>
      <c r="F48" s="78"/>
      <c r="G48" s="7" t="s">
        <v>96</v>
      </c>
      <c r="H48" s="7"/>
      <c r="I48" s="7" t="s">
        <v>96</v>
      </c>
      <c r="M48" s="71" t="s">
        <v>279</v>
      </c>
      <c r="N48" s="73">
        <v>40989</v>
      </c>
      <c r="O48" s="3" t="s">
        <v>51</v>
      </c>
      <c r="P48" s="59">
        <v>4</v>
      </c>
      <c r="Q48" s="74">
        <v>1</v>
      </c>
      <c r="R48" s="56" t="s">
        <v>96</v>
      </c>
      <c r="S48" s="76">
        <v>40989</v>
      </c>
      <c r="T48" s="73">
        <v>40989</v>
      </c>
      <c r="U48" s="14" t="s">
        <v>283</v>
      </c>
      <c r="V48" s="3" t="s">
        <v>99</v>
      </c>
      <c r="W48" s="3" t="s">
        <v>52</v>
      </c>
      <c r="X48" s="59"/>
      <c r="Y48" s="77">
        <f>IF(Planeador[[#This Row],[Aprobado]]="A",NETWORKDAYS(Planeador[[#This Row],[Fecha de Solicitud]],Planeador[[#This Row],[Fecha de Entrega]]),"0")</f>
        <v>1</v>
      </c>
      <c r="Z48" s="79">
        <f>IF(Planeador[[#This Row],[Dificultad]]&lt;&gt;"",Planeador[[#This Row],[ΔT]]*Planeador[[#This Row],[Dificultad]],"0")</f>
        <v>4</v>
      </c>
      <c r="AA48" s="65">
        <f>IF(Planeador[[#This Row],[Dificultad]]&lt;&gt;"",Planeador[[#This Row],[ΔT]]/Planeador[[#This Row],[Dificultad]],"0")</f>
        <v>0.25</v>
      </c>
      <c r="AB48" s="65">
        <f>IF(Planeador[[#This Row],[Aprobado]]="A",NETWORKDAYS(Planeador[[#This Row],[Fecha de Solicitud]],Planeador[[#This Row],[Fecha de Entrega]])/5,"0,00")</f>
        <v>0.2</v>
      </c>
    </row>
    <row r="49" spans="2:28" ht="38.25">
      <c r="B49" s="3" t="s">
        <v>280</v>
      </c>
      <c r="C49" s="91" t="s">
        <v>281</v>
      </c>
      <c r="D49" s="72" t="s">
        <v>50</v>
      </c>
      <c r="E49" s="72" t="s">
        <v>62</v>
      </c>
      <c r="F49" s="78"/>
      <c r="G49" s="78"/>
      <c r="H49" s="78" t="s">
        <v>96</v>
      </c>
      <c r="I49" s="78"/>
      <c r="J49" s="78"/>
      <c r="K49" s="78"/>
      <c r="L49" s="78"/>
      <c r="M49" s="71" t="s">
        <v>282</v>
      </c>
      <c r="N49" s="73">
        <v>40982</v>
      </c>
      <c r="O49" s="59" t="s">
        <v>51</v>
      </c>
      <c r="P49" s="59">
        <v>4</v>
      </c>
      <c r="Q49" s="74">
        <v>1</v>
      </c>
      <c r="R49" s="75"/>
      <c r="S49" s="76">
        <v>40982</v>
      </c>
      <c r="T49" s="73">
        <v>40982</v>
      </c>
      <c r="U49" s="14" t="s">
        <v>303</v>
      </c>
      <c r="V49" s="59"/>
      <c r="W49" s="59" t="s">
        <v>52</v>
      </c>
      <c r="X49" s="59"/>
      <c r="Y49" s="77">
        <f>IF(Planeador[[#This Row],[Aprobado]]="A",NETWORKDAYS(Planeador[[#This Row],[Fecha de Solicitud]],Planeador[[#This Row],[Fecha de Entrega]]),"0")</f>
        <v>1</v>
      </c>
      <c r="Z49" s="79">
        <f>IF(Planeador[[#This Row],[Dificultad]]&lt;&gt;"",Planeador[[#This Row],[ΔT]]*Planeador[[#This Row],[Dificultad]],"0")</f>
        <v>4</v>
      </c>
      <c r="AA49" s="65">
        <f>IF(Planeador[[#This Row],[Dificultad]]&lt;&gt;"",Planeador[[#This Row],[ΔT]]/Planeador[[#This Row],[Dificultad]],"0")</f>
        <v>0.25</v>
      </c>
      <c r="AB49" s="65">
        <f>IF(Planeador[[#This Row],[Aprobado]]="A",NETWORKDAYS(Planeador[[#This Row],[Fecha de Solicitud]],Planeador[[#This Row],[Fecha de Entrega]])/5,"0,00")</f>
        <v>0.2</v>
      </c>
    </row>
    <row r="50" spans="2:28" ht="51">
      <c r="B50" s="3" t="s">
        <v>284</v>
      </c>
      <c r="C50" s="89" t="s">
        <v>194</v>
      </c>
      <c r="D50" s="8" t="s">
        <v>50</v>
      </c>
      <c r="E50" s="8" t="s">
        <v>285</v>
      </c>
      <c r="F50" s="7"/>
      <c r="G50" s="7" t="s">
        <v>96</v>
      </c>
      <c r="H50" s="7"/>
      <c r="I50" s="7" t="s">
        <v>96</v>
      </c>
      <c r="J50" s="7" t="s">
        <v>96</v>
      </c>
      <c r="M50" s="14" t="s">
        <v>286</v>
      </c>
      <c r="N50" s="9">
        <v>40989</v>
      </c>
      <c r="O50" s="3" t="s">
        <v>111</v>
      </c>
      <c r="P50" s="3">
        <v>5</v>
      </c>
      <c r="Q50" s="12">
        <v>0.1</v>
      </c>
      <c r="R50" s="56"/>
      <c r="S50" s="18">
        <v>40991</v>
      </c>
      <c r="T50" s="9"/>
      <c r="U50" s="14" t="s">
        <v>394</v>
      </c>
      <c r="W50" s="3" t="s">
        <v>102</v>
      </c>
      <c r="X50" s="3"/>
      <c r="Y50" s="66" t="str">
        <f>IF(Planeador[[#This Row],[Aprobado]]="A",NETWORKDAYS(Planeador[[#This Row],[Fecha de Solicitud]],Planeador[[#This Row],[Fecha de Entrega]]),"0")</f>
        <v>0</v>
      </c>
      <c r="Z50" s="65">
        <f>IF(Planeador[[#This Row],[Dificultad]]&lt;&gt;"",Planeador[[#This Row],[ΔT]]*Planeador[[#This Row],[Dificultad]],"0")</f>
        <v>0</v>
      </c>
      <c r="AA50" s="65">
        <f>IF(Planeador[[#This Row],[Dificultad]]&lt;&gt;"",Planeador[[#This Row],[ΔT]]/Planeador[[#This Row],[Dificultad]],"0")</f>
        <v>0</v>
      </c>
      <c r="AB50" s="65" t="str">
        <f>IF(Planeador[[#This Row],[Aprobado]]="A",NETWORKDAYS(Planeador[[#This Row],[Fecha de Solicitud]],Planeador[[#This Row],[Fecha de Entrega]])/5,"0,00")</f>
        <v>0,00</v>
      </c>
    </row>
    <row r="51" spans="2:28" ht="38.25">
      <c r="B51" s="59" t="s">
        <v>290</v>
      </c>
      <c r="C51" s="91" t="s">
        <v>291</v>
      </c>
      <c r="D51" s="72" t="s">
        <v>50</v>
      </c>
      <c r="E51" s="72" t="s">
        <v>62</v>
      </c>
      <c r="F51" s="78"/>
      <c r="G51" s="78"/>
      <c r="H51" s="78" t="s">
        <v>96</v>
      </c>
      <c r="I51" s="78"/>
      <c r="J51" s="78"/>
      <c r="K51" s="78"/>
      <c r="L51" s="78"/>
      <c r="M51" s="14" t="s">
        <v>294</v>
      </c>
      <c r="N51" s="73">
        <v>40990</v>
      </c>
      <c r="O51" s="59" t="s">
        <v>111</v>
      </c>
      <c r="P51" s="59">
        <v>4</v>
      </c>
      <c r="Q51" s="74">
        <v>1</v>
      </c>
      <c r="R51" s="75"/>
      <c r="S51" s="76">
        <v>40991</v>
      </c>
      <c r="T51" s="73">
        <v>40994</v>
      </c>
      <c r="U51" s="71"/>
      <c r="V51" s="59"/>
      <c r="W51" s="3" t="s">
        <v>52</v>
      </c>
      <c r="X51" s="59"/>
      <c r="Y51" s="77">
        <f>IF(Planeador[[#This Row],[Aprobado]]="A",NETWORKDAYS(Planeador[[#This Row],[Fecha de Solicitud]],Planeador[[#This Row],[Fecha de Entrega]]),"0")</f>
        <v>3</v>
      </c>
      <c r="Z51" s="79">
        <f>IF(Planeador[[#This Row],[Dificultad]]&lt;&gt;"",Planeador[[#This Row],[ΔT]]*Planeador[[#This Row],[Dificultad]],"0")</f>
        <v>12</v>
      </c>
      <c r="AA51" s="65">
        <f>IF(Planeador[[#This Row],[Dificultad]]&lt;&gt;"",Planeador[[#This Row],[ΔT]]/Planeador[[#This Row],[Dificultad]],"0")</f>
        <v>0.75</v>
      </c>
      <c r="AB51" s="65">
        <f>IF(Planeador[[#This Row],[Aprobado]]="A",NETWORKDAYS(Planeador[[#This Row],[Fecha de Solicitud]],Planeador[[#This Row],[Fecha de Entrega]])/5,"0,00")</f>
        <v>0.6</v>
      </c>
    </row>
    <row r="52" spans="2:28" ht="38.25">
      <c r="B52" s="3" t="s">
        <v>292</v>
      </c>
      <c r="C52" s="89" t="s">
        <v>304</v>
      </c>
      <c r="D52" s="8" t="s">
        <v>67</v>
      </c>
      <c r="E52" s="8" t="s">
        <v>200</v>
      </c>
      <c r="F52" s="7" t="s">
        <v>96</v>
      </c>
      <c r="G52" s="7" t="s">
        <v>96</v>
      </c>
      <c r="H52" s="7"/>
      <c r="J52" s="7" t="s">
        <v>96</v>
      </c>
      <c r="M52" s="14" t="s">
        <v>293</v>
      </c>
      <c r="N52" s="9">
        <v>40992</v>
      </c>
      <c r="O52" s="3" t="s">
        <v>154</v>
      </c>
      <c r="P52" s="3">
        <v>7</v>
      </c>
      <c r="Q52" s="12">
        <v>1</v>
      </c>
      <c r="R52" s="56" t="s">
        <v>96</v>
      </c>
      <c r="S52" s="18">
        <v>40996</v>
      </c>
      <c r="T52" s="9">
        <v>40996</v>
      </c>
      <c r="U52" s="14" t="s">
        <v>305</v>
      </c>
      <c r="W52" s="3" t="s">
        <v>52</v>
      </c>
      <c r="X52" s="3"/>
      <c r="Y52" s="66">
        <f>IF(Planeador[[#This Row],[Aprobado]]="A",NETWORKDAYS(Planeador[[#This Row],[Fecha de Solicitud]],Planeador[[#This Row],[Fecha de Entrega]]),"0")</f>
        <v>3</v>
      </c>
      <c r="Z52" s="65">
        <f>IF(Planeador[[#This Row],[Dificultad]]&lt;&gt;"",Planeador[[#This Row],[ΔT]]*Planeador[[#This Row],[Dificultad]],"0")</f>
        <v>21</v>
      </c>
      <c r="AA52" s="65">
        <f>IF(Planeador[[#This Row],[Dificultad]]&lt;&gt;"",Planeador[[#This Row],[ΔT]]/Planeador[[#This Row],[Dificultad]],"0")</f>
        <v>0.42857142857142855</v>
      </c>
      <c r="AB52" s="65">
        <f>IF(Planeador[[#This Row],[Aprobado]]="A",NETWORKDAYS(Planeador[[#This Row],[Fecha de Solicitud]],Planeador[[#This Row],[Fecha de Entrega]])/5,"0,00")</f>
        <v>0.6</v>
      </c>
    </row>
    <row r="53" spans="2:28" ht="51">
      <c r="B53" s="3" t="s">
        <v>328</v>
      </c>
      <c r="C53" s="89" t="s">
        <v>227</v>
      </c>
      <c r="D53" s="8" t="s">
        <v>50</v>
      </c>
      <c r="E53" s="8" t="s">
        <v>62</v>
      </c>
      <c r="F53" s="7"/>
      <c r="G53" s="7" t="s">
        <v>96</v>
      </c>
      <c r="H53" s="7"/>
      <c r="I53" s="7" t="s">
        <v>96</v>
      </c>
      <c r="M53" s="14" t="s">
        <v>329</v>
      </c>
      <c r="N53" s="9">
        <v>40995</v>
      </c>
      <c r="O53" s="3" t="s">
        <v>51</v>
      </c>
      <c r="P53" s="3">
        <v>3</v>
      </c>
      <c r="Q53" s="12">
        <v>1</v>
      </c>
      <c r="R53" s="56"/>
      <c r="S53" s="18">
        <v>40996</v>
      </c>
      <c r="T53" s="9">
        <v>40997</v>
      </c>
      <c r="U53" s="14" t="s">
        <v>344</v>
      </c>
      <c r="W53" s="3" t="s">
        <v>52</v>
      </c>
      <c r="X53" s="3"/>
      <c r="Y53" s="66">
        <f>IF(Planeador[[#This Row],[Aprobado]]="A",NETWORKDAYS(Planeador[[#This Row],[Fecha de Solicitud]],Planeador[[#This Row],[Fecha de Entrega]]),"0")</f>
        <v>3</v>
      </c>
      <c r="Z53" s="65">
        <f>IF(Planeador[[#This Row],[Dificultad]]&lt;&gt;"",Planeador[[#This Row],[ΔT]]*Planeador[[#This Row],[Dificultad]],"0")</f>
        <v>9</v>
      </c>
      <c r="AA53" s="65">
        <f>IF(Planeador[[#This Row],[Dificultad]]&lt;&gt;"",Planeador[[#This Row],[ΔT]]/Planeador[[#This Row],[Dificultad]],"0")</f>
        <v>1</v>
      </c>
      <c r="AB53" s="65">
        <f>IF(Planeador[[#This Row],[Aprobado]]="A",NETWORKDAYS(Planeador[[#This Row],[Fecha de Solicitud]],Planeador[[#This Row],[Fecha de Entrega]])/5,"0,00")</f>
        <v>0.6</v>
      </c>
    </row>
    <row r="54" spans="2:28" ht="25.5">
      <c r="B54" s="3" t="s">
        <v>341</v>
      </c>
      <c r="C54" s="89" t="s">
        <v>342</v>
      </c>
      <c r="D54" s="8" t="s">
        <v>50</v>
      </c>
      <c r="E54" s="8" t="s">
        <v>62</v>
      </c>
      <c r="F54" s="7"/>
      <c r="G54" s="7" t="s">
        <v>96</v>
      </c>
      <c r="H54" s="7" t="s">
        <v>96</v>
      </c>
      <c r="I54" s="7" t="s">
        <v>96</v>
      </c>
      <c r="M54" s="14" t="s">
        <v>343</v>
      </c>
      <c r="N54" s="9">
        <v>40997</v>
      </c>
      <c r="O54" s="3" t="s">
        <v>51</v>
      </c>
      <c r="P54" s="3">
        <v>5</v>
      </c>
      <c r="Q54" s="12">
        <v>1</v>
      </c>
      <c r="R54" s="56"/>
      <c r="S54" s="18">
        <v>40998</v>
      </c>
      <c r="T54" s="18">
        <v>40998</v>
      </c>
      <c r="U54" s="14"/>
      <c r="W54" s="3" t="s">
        <v>52</v>
      </c>
      <c r="X54" s="3"/>
      <c r="Y54" s="66">
        <f>IF(Planeador[[#This Row],[Aprobado]]="A",NETWORKDAYS(Planeador[[#This Row],[Fecha de Solicitud]],Planeador[[#This Row],[Fecha de Entrega]]),"0")</f>
        <v>2</v>
      </c>
      <c r="Z54" s="65">
        <f>IF(Planeador[[#This Row],[Dificultad]]&lt;&gt;"",Planeador[[#This Row],[ΔT]]*Planeador[[#This Row],[Dificultad]],"0")</f>
        <v>10</v>
      </c>
      <c r="AA54" s="65">
        <f>IF(Planeador[[#This Row],[Dificultad]]&lt;&gt;"",Planeador[[#This Row],[ΔT]]/Planeador[[#This Row],[Dificultad]],"0")</f>
        <v>0.4</v>
      </c>
      <c r="AB54" s="65">
        <f>IF(Planeador[[#This Row],[Aprobado]]="A",NETWORKDAYS(Planeador[[#This Row],[Fecha de Solicitud]],Planeador[[#This Row],[Fecha de Entrega]])/5,"0,00")</f>
        <v>0.4</v>
      </c>
    </row>
    <row r="55" spans="2:28" ht="38.25">
      <c r="B55" s="3" t="s">
        <v>351</v>
      </c>
      <c r="C55" s="89" t="s">
        <v>238</v>
      </c>
      <c r="D55" s="8" t="s">
        <v>50</v>
      </c>
      <c r="E55" s="8" t="s">
        <v>181</v>
      </c>
      <c r="F55" s="7"/>
      <c r="G55" s="7" t="s">
        <v>96</v>
      </c>
      <c r="H55" s="7"/>
      <c r="I55" s="7" t="s">
        <v>96</v>
      </c>
      <c r="M55" s="14" t="s">
        <v>352</v>
      </c>
      <c r="N55" s="9">
        <v>41003</v>
      </c>
      <c r="O55" s="3" t="s">
        <v>51</v>
      </c>
      <c r="P55" s="3">
        <v>4</v>
      </c>
      <c r="Q55" s="12">
        <v>1</v>
      </c>
      <c r="R55" s="56"/>
      <c r="S55" s="18"/>
      <c r="T55" s="9">
        <v>41008</v>
      </c>
      <c r="U55" s="14"/>
      <c r="W55" s="3" t="s">
        <v>52</v>
      </c>
      <c r="X55" s="3"/>
      <c r="Y55" s="66">
        <f>IF(Planeador[[#This Row],[Aprobado]]="A",NETWORKDAYS(Planeador[[#This Row],[Fecha de Solicitud]],Planeador[[#This Row],[Fecha de Entrega]]),"0")</f>
        <v>4</v>
      </c>
      <c r="Z55" s="65">
        <f>IF(Planeador[[#This Row],[Dificultad]]&lt;&gt;"",Planeador[[#This Row],[ΔT]]*Planeador[[#This Row],[Dificultad]],"0")</f>
        <v>16</v>
      </c>
      <c r="AA55" s="65">
        <f>IF(Planeador[[#This Row],[Dificultad]]&lt;&gt;"",Planeador[[#This Row],[ΔT]]/Planeador[[#This Row],[Dificultad]],"0")</f>
        <v>1</v>
      </c>
      <c r="AB55" s="65">
        <f>IF(Planeador[[#This Row],[Aprobado]]="A",NETWORKDAYS(Planeador[[#This Row],[Fecha de Solicitud]],Planeador[[#This Row],[Fecha de Entrega]])/5,"0,00")</f>
        <v>0.8</v>
      </c>
    </row>
    <row r="56" spans="2:28" ht="38.25">
      <c r="B56" s="3" t="s">
        <v>353</v>
      </c>
      <c r="C56" s="89" t="s">
        <v>354</v>
      </c>
      <c r="D56" s="8" t="s">
        <v>124</v>
      </c>
      <c r="E56" s="8" t="s">
        <v>355</v>
      </c>
      <c r="F56" s="7"/>
      <c r="G56" s="7"/>
      <c r="H56" s="7" t="s">
        <v>96</v>
      </c>
      <c r="M56" s="14" t="s">
        <v>356</v>
      </c>
      <c r="N56" s="9">
        <v>41003</v>
      </c>
      <c r="O56" s="3" t="s">
        <v>52</v>
      </c>
      <c r="P56" s="3">
        <v>10</v>
      </c>
      <c r="Q56" s="12">
        <v>1</v>
      </c>
      <c r="R56" s="56"/>
      <c r="S56" s="18"/>
      <c r="T56" s="9">
        <v>41047</v>
      </c>
      <c r="U56" s="14" t="s">
        <v>470</v>
      </c>
      <c r="W56" s="3" t="s">
        <v>52</v>
      </c>
      <c r="X56" s="3"/>
      <c r="Y56" s="66">
        <f>IF(Planeador[[#This Row],[Aprobado]]="A",NETWORKDAYS(Planeador[[#This Row],[Fecha de Solicitud]],Planeador[[#This Row],[Fecha de Entrega]]),"0")</f>
        <v>33</v>
      </c>
      <c r="Z56" s="65">
        <f>IF(Planeador[[#This Row],[Dificultad]]&lt;&gt;"",Planeador[[#This Row],[ΔT]]*Planeador[[#This Row],[Dificultad]],"0")</f>
        <v>330</v>
      </c>
      <c r="AA56" s="65">
        <f>IF(Planeador[[#This Row],[Dificultad]]&lt;&gt;"",Planeador[[#This Row],[ΔT]]/Planeador[[#This Row],[Dificultad]],"0")</f>
        <v>3.3</v>
      </c>
      <c r="AB56" s="65">
        <f>IF(Planeador[[#This Row],[Aprobado]]="A",NETWORKDAYS(Planeador[[#This Row],[Fecha de Solicitud]],Planeador[[#This Row],[Fecha de Entrega]])/5,"0,00")</f>
        <v>6.6</v>
      </c>
    </row>
    <row r="57" spans="2:28" ht="51">
      <c r="B57" s="3" t="s">
        <v>357</v>
      </c>
      <c r="C57" s="89" t="s">
        <v>358</v>
      </c>
      <c r="D57" s="8" t="s">
        <v>50</v>
      </c>
      <c r="E57" s="8" t="s">
        <v>181</v>
      </c>
      <c r="F57" s="7"/>
      <c r="G57" s="7" t="s">
        <v>96</v>
      </c>
      <c r="H57" s="7"/>
      <c r="I57" s="7" t="s">
        <v>96</v>
      </c>
      <c r="M57" s="14" t="s">
        <v>359</v>
      </c>
      <c r="N57" s="9">
        <v>41008</v>
      </c>
      <c r="O57" s="3" t="s">
        <v>52</v>
      </c>
      <c r="P57" s="3">
        <v>4</v>
      </c>
      <c r="Q57" s="12">
        <v>1</v>
      </c>
      <c r="R57" s="56"/>
      <c r="S57" s="18">
        <v>41010</v>
      </c>
      <c r="T57" s="9">
        <v>41010</v>
      </c>
      <c r="U57" s="14" t="s">
        <v>360</v>
      </c>
      <c r="W57" s="3" t="s">
        <v>52</v>
      </c>
      <c r="X57" s="3"/>
      <c r="Y57" s="66">
        <f>IF(Planeador[[#This Row],[Aprobado]]="A",NETWORKDAYS(Planeador[[#This Row],[Fecha de Solicitud]],Planeador[[#This Row],[Fecha de Entrega]]),"0")</f>
        <v>3</v>
      </c>
      <c r="Z57" s="65">
        <f>IF(Planeador[[#This Row],[Dificultad]]&lt;&gt;"",Planeador[[#This Row],[ΔT]]*Planeador[[#This Row],[Dificultad]],"0")</f>
        <v>12</v>
      </c>
      <c r="AA57" s="65">
        <f>IF(Planeador[[#This Row],[Dificultad]]&lt;&gt;"",Planeador[[#This Row],[ΔT]]/Planeador[[#This Row],[Dificultad]],"0")</f>
        <v>0.75</v>
      </c>
      <c r="AB57" s="65">
        <f>IF(Planeador[[#This Row],[Aprobado]]="A",NETWORKDAYS(Planeador[[#This Row],[Fecha de Solicitud]],Planeador[[#This Row],[Fecha de Entrega]])/5,"0,00")</f>
        <v>0.6</v>
      </c>
    </row>
    <row r="58" spans="2:28" ht="51">
      <c r="B58" s="3" t="s">
        <v>361</v>
      </c>
      <c r="C58" s="89" t="s">
        <v>362</v>
      </c>
      <c r="D58" s="8" t="s">
        <v>363</v>
      </c>
      <c r="E58" s="8" t="s">
        <v>181</v>
      </c>
      <c r="F58" s="7"/>
      <c r="G58" s="7" t="s">
        <v>96</v>
      </c>
      <c r="H58" s="7"/>
      <c r="M58" s="14" t="s">
        <v>365</v>
      </c>
      <c r="N58" s="9">
        <v>41011</v>
      </c>
      <c r="O58" s="3" t="s">
        <v>51</v>
      </c>
      <c r="P58" s="3">
        <v>3</v>
      </c>
      <c r="Q58" s="12">
        <v>1</v>
      </c>
      <c r="R58" s="56"/>
      <c r="S58" s="18"/>
      <c r="T58" s="9">
        <v>41025</v>
      </c>
      <c r="U58" s="14"/>
      <c r="W58" s="3" t="s">
        <v>52</v>
      </c>
      <c r="X58" s="3" t="s">
        <v>401</v>
      </c>
      <c r="Y58" s="66">
        <f>IF(Planeador[[#This Row],[Aprobado]]="A",NETWORKDAYS(Planeador[[#This Row],[Fecha de Solicitud]],Planeador[[#This Row],[Fecha de Entrega]]),"0")</f>
        <v>11</v>
      </c>
      <c r="Z58" s="65">
        <f>IF(Planeador[[#This Row],[Dificultad]]&lt;&gt;"",Planeador[[#This Row],[ΔT]]*Planeador[[#This Row],[Dificultad]],"0")</f>
        <v>33</v>
      </c>
      <c r="AA58" s="65">
        <f>IF(Planeador[[#This Row],[Dificultad]]&lt;&gt;"",Planeador[[#This Row],[ΔT]]/Planeador[[#This Row],[Dificultad]],"0")</f>
        <v>3.6666666666666665</v>
      </c>
      <c r="AB58" s="65">
        <f>IF(Planeador[[#This Row],[Aprobado]]="A",NETWORKDAYS(Planeador[[#This Row],[Fecha de Solicitud]],Planeador[[#This Row],[Fecha de Entrega]])/5,"0,00")</f>
        <v>2.2000000000000002</v>
      </c>
    </row>
    <row r="59" spans="2:28" ht="25.5">
      <c r="B59" s="92" t="s">
        <v>366</v>
      </c>
      <c r="C59" s="89" t="s">
        <v>368</v>
      </c>
      <c r="D59" s="93" t="s">
        <v>61</v>
      </c>
      <c r="E59" s="93" t="s">
        <v>181</v>
      </c>
      <c r="F59" s="94"/>
      <c r="G59" s="94" t="s">
        <v>96</v>
      </c>
      <c r="H59" s="94"/>
      <c r="I59" s="94" t="s">
        <v>96</v>
      </c>
      <c r="J59" s="94"/>
      <c r="K59" s="94"/>
      <c r="L59" s="94"/>
      <c r="M59" s="14" t="s">
        <v>367</v>
      </c>
      <c r="N59" s="96">
        <v>41015</v>
      </c>
      <c r="O59" s="92" t="s">
        <v>52</v>
      </c>
      <c r="P59" s="92">
        <v>3</v>
      </c>
      <c r="Q59" s="97">
        <v>1</v>
      </c>
      <c r="R59" s="98"/>
      <c r="S59" s="99">
        <v>41015</v>
      </c>
      <c r="T59" s="96">
        <v>41015</v>
      </c>
      <c r="U59" s="95"/>
      <c r="V59" s="92"/>
      <c r="W59" s="3" t="s">
        <v>52</v>
      </c>
      <c r="X59" s="3" t="s">
        <v>369</v>
      </c>
      <c r="Y59" s="100">
        <f>IF(Planeador[[#This Row],[Aprobado]]="A",NETWORKDAYS(Planeador[[#This Row],[Fecha de Solicitud]],Planeador[[#This Row],[Fecha de Entrega]]),"0")</f>
        <v>1</v>
      </c>
      <c r="Z59" s="101">
        <f>IF(Planeador[[#This Row],[Dificultad]]&lt;&gt;"",Planeador[[#This Row],[ΔT]]*Planeador[[#This Row],[Dificultad]],"0")</f>
        <v>3</v>
      </c>
      <c r="AA59" s="101">
        <f>IF(Planeador[[#This Row],[Dificultad]]&lt;&gt;"",Planeador[[#This Row],[ΔT]]/Planeador[[#This Row],[Dificultad]],"0")</f>
        <v>0.33333333333333331</v>
      </c>
      <c r="AB59" s="101">
        <f>IF(Planeador[[#This Row],[Aprobado]]="A",NETWORKDAYS(Planeador[[#This Row],[Fecha de Solicitud]],Planeador[[#This Row],[Fecha de Entrega]])/5,"0,00")</f>
        <v>0.2</v>
      </c>
    </row>
    <row r="60" spans="2:28" ht="38.25">
      <c r="B60" s="102" t="s">
        <v>370</v>
      </c>
      <c r="C60" s="103" t="s">
        <v>372</v>
      </c>
      <c r="D60" s="104" t="s">
        <v>61</v>
      </c>
      <c r="E60" s="104" t="s">
        <v>181</v>
      </c>
      <c r="F60" s="105"/>
      <c r="G60" s="105" t="s">
        <v>96</v>
      </c>
      <c r="H60" s="105"/>
      <c r="I60" s="105" t="s">
        <v>96</v>
      </c>
      <c r="J60" s="105"/>
      <c r="K60" s="105"/>
      <c r="L60" s="105"/>
      <c r="M60" s="106" t="s">
        <v>371</v>
      </c>
      <c r="N60" s="107">
        <v>41016</v>
      </c>
      <c r="O60" s="102" t="s">
        <v>52</v>
      </c>
      <c r="P60" s="102">
        <v>3</v>
      </c>
      <c r="Q60" s="108">
        <v>1</v>
      </c>
      <c r="R60" s="109"/>
      <c r="S60" s="110">
        <v>41016</v>
      </c>
      <c r="T60" s="107">
        <v>41016</v>
      </c>
      <c r="U60" s="106"/>
      <c r="V60" s="102"/>
      <c r="W60" s="102" t="s">
        <v>52</v>
      </c>
      <c r="X60" s="102"/>
      <c r="Y60" s="111">
        <f>IF(Planeador[[#This Row],[Aprobado]]="A",NETWORKDAYS(Planeador[[#This Row],[Fecha de Solicitud]],Planeador[[#This Row],[Fecha de Entrega]]),"0")</f>
        <v>1</v>
      </c>
      <c r="Z60" s="112">
        <f>IF(Planeador[[#This Row],[Dificultad]]&lt;&gt;"",Planeador[[#This Row],[ΔT]]*Planeador[[#This Row],[Dificultad]],"0")</f>
        <v>3</v>
      </c>
      <c r="AA60" s="112">
        <f>IF(Planeador[[#This Row],[Dificultad]]&lt;&gt;"",Planeador[[#This Row],[ΔT]]/Planeador[[#This Row],[Dificultad]],"0")</f>
        <v>0.33333333333333331</v>
      </c>
      <c r="AB60" s="112">
        <f>IF(Planeador[[#This Row],[Aprobado]]="A",NETWORKDAYS(Planeador[[#This Row],[Fecha de Solicitud]],Planeador[[#This Row],[Fecha de Entrega]])/5,"0,00")</f>
        <v>0.2</v>
      </c>
    </row>
    <row r="61" spans="2:28" ht="51">
      <c r="B61" s="102" t="s">
        <v>373</v>
      </c>
      <c r="C61" s="89" t="s">
        <v>374</v>
      </c>
      <c r="D61" s="104" t="s">
        <v>363</v>
      </c>
      <c r="E61" s="104" t="s">
        <v>62</v>
      </c>
      <c r="F61" s="105"/>
      <c r="G61" s="105" t="s">
        <v>96</v>
      </c>
      <c r="H61" s="105" t="s">
        <v>96</v>
      </c>
      <c r="I61" s="105" t="s">
        <v>96</v>
      </c>
      <c r="J61" s="105"/>
      <c r="K61" s="105"/>
      <c r="L61" s="105"/>
      <c r="M61" s="14" t="s">
        <v>375</v>
      </c>
      <c r="N61" s="107">
        <v>41016</v>
      </c>
      <c r="O61" s="102" t="s">
        <v>51</v>
      </c>
      <c r="P61" s="102">
        <v>6</v>
      </c>
      <c r="Q61" s="108">
        <v>0.1</v>
      </c>
      <c r="R61" s="109"/>
      <c r="S61" s="110">
        <v>41017</v>
      </c>
      <c r="T61" s="110">
        <v>41017</v>
      </c>
      <c r="U61" s="106" t="s">
        <v>376</v>
      </c>
      <c r="V61" s="102"/>
      <c r="W61" s="102" t="s">
        <v>52</v>
      </c>
      <c r="X61" s="102"/>
      <c r="Y61" s="111">
        <f>IF(Planeador[[#This Row],[Aprobado]]="A",NETWORKDAYS(Planeador[[#This Row],[Fecha de Solicitud]],Planeador[[#This Row],[Fecha de Entrega]]),"0")</f>
        <v>2</v>
      </c>
      <c r="Z61" s="112">
        <f>IF(Planeador[[#This Row],[Dificultad]]&lt;&gt;"",Planeador[[#This Row],[ΔT]]*Planeador[[#This Row],[Dificultad]],"0")</f>
        <v>12</v>
      </c>
      <c r="AA61" s="112">
        <f>IF(Planeador[[#This Row],[Dificultad]]&lt;&gt;"",Planeador[[#This Row],[ΔT]]/Planeador[[#This Row],[Dificultad]],"0")</f>
        <v>0.33333333333333331</v>
      </c>
      <c r="AB61" s="112">
        <f>IF(Planeador[[#This Row],[Aprobado]]="A",NETWORKDAYS(Planeador[[#This Row],[Fecha de Solicitud]],Planeador[[#This Row],[Fecha de Entrega]])/5,"0,00")</f>
        <v>0.4</v>
      </c>
    </row>
    <row r="62" spans="2:28" ht="25.5">
      <c r="B62" s="102" t="s">
        <v>378</v>
      </c>
      <c r="C62" s="103" t="s">
        <v>379</v>
      </c>
      <c r="D62" s="104" t="s">
        <v>61</v>
      </c>
      <c r="E62" s="104" t="s">
        <v>55</v>
      </c>
      <c r="F62" s="105" t="s">
        <v>96</v>
      </c>
      <c r="G62" s="105"/>
      <c r="H62" s="105"/>
      <c r="I62" s="105"/>
      <c r="J62" s="105"/>
      <c r="K62" s="105"/>
      <c r="L62" s="105"/>
      <c r="M62" s="106" t="s">
        <v>380</v>
      </c>
      <c r="N62" s="107">
        <v>41018</v>
      </c>
      <c r="O62" s="102" t="s">
        <v>52</v>
      </c>
      <c r="P62" s="102">
        <v>2</v>
      </c>
      <c r="Q62" s="108">
        <v>1</v>
      </c>
      <c r="R62" s="109" t="s">
        <v>96</v>
      </c>
      <c r="S62" s="110">
        <v>41018</v>
      </c>
      <c r="T62" s="107">
        <v>41018</v>
      </c>
      <c r="U62" s="106" t="s">
        <v>381</v>
      </c>
      <c r="V62" s="102"/>
      <c r="W62" s="102" t="s">
        <v>52</v>
      </c>
      <c r="X62" s="102" t="s">
        <v>382</v>
      </c>
      <c r="Y62" s="111">
        <f>IF(Planeador[[#This Row],[Aprobado]]="A",NETWORKDAYS(Planeador[[#This Row],[Fecha de Solicitud]],Planeador[[#This Row],[Fecha de Entrega]]),"0")</f>
        <v>1</v>
      </c>
      <c r="Z62" s="112">
        <f>IF(Planeador[[#This Row],[Dificultad]]&lt;&gt;"",Planeador[[#This Row],[ΔT]]*Planeador[[#This Row],[Dificultad]],"0")</f>
        <v>2</v>
      </c>
      <c r="AA62" s="112">
        <f>IF(Planeador[[#This Row],[Dificultad]]&lt;&gt;"",Planeador[[#This Row],[ΔT]]/Planeador[[#This Row],[Dificultad]],"0")</f>
        <v>0.5</v>
      </c>
      <c r="AB62" s="112">
        <f>IF(Planeador[[#This Row],[Aprobado]]="A",NETWORKDAYS(Planeador[[#This Row],[Fecha de Solicitud]],Planeador[[#This Row],[Fecha de Entrega]])/5,"0,00")</f>
        <v>0.2</v>
      </c>
    </row>
    <row r="63" spans="2:28" ht="38.25">
      <c r="B63" s="102" t="s">
        <v>384</v>
      </c>
      <c r="C63" s="103" t="s">
        <v>385</v>
      </c>
      <c r="D63" s="104" t="s">
        <v>50</v>
      </c>
      <c r="E63" s="104" t="s">
        <v>55</v>
      </c>
      <c r="F63" s="105"/>
      <c r="G63" s="105" t="s">
        <v>96</v>
      </c>
      <c r="H63" s="105"/>
      <c r="I63" s="105" t="s">
        <v>96</v>
      </c>
      <c r="J63" s="105"/>
      <c r="K63" s="105"/>
      <c r="L63" s="105"/>
      <c r="M63" s="106" t="s">
        <v>386</v>
      </c>
      <c r="N63" s="107">
        <v>41018</v>
      </c>
      <c r="O63" s="102" t="s">
        <v>52</v>
      </c>
      <c r="P63" s="102">
        <v>3</v>
      </c>
      <c r="Q63" s="108">
        <v>0.1</v>
      </c>
      <c r="R63" s="109"/>
      <c r="S63" s="110">
        <v>41019</v>
      </c>
      <c r="T63" s="107"/>
      <c r="U63" s="14" t="s">
        <v>471</v>
      </c>
      <c r="V63" s="102"/>
      <c r="W63" s="102" t="s">
        <v>102</v>
      </c>
      <c r="X63" s="102"/>
      <c r="Y63" s="111" t="str">
        <f>IF(Planeador[[#This Row],[Aprobado]]="A",NETWORKDAYS(Planeador[[#This Row],[Fecha de Solicitud]],Planeador[[#This Row],[Fecha de Entrega]]),"0")</f>
        <v>0</v>
      </c>
      <c r="Z63" s="112">
        <f>IF(Planeador[[#This Row],[Dificultad]]&lt;&gt;"",Planeador[[#This Row],[ΔT]]*Planeador[[#This Row],[Dificultad]],"0")</f>
        <v>0</v>
      </c>
      <c r="AA63" s="112">
        <f>IF(Planeador[[#This Row],[Dificultad]]&lt;&gt;"",Planeador[[#This Row],[ΔT]]/Planeador[[#This Row],[Dificultad]],"0")</f>
        <v>0</v>
      </c>
      <c r="AB63" s="112" t="str">
        <f>IF(Planeador[[#This Row],[Aprobado]]="A",NETWORKDAYS(Planeador[[#This Row],[Fecha de Solicitud]],Planeador[[#This Row],[Fecha de Entrega]])/5,"0,00")</f>
        <v>0,00</v>
      </c>
    </row>
    <row r="64" spans="2:28" ht="38.25">
      <c r="B64" s="3" t="s">
        <v>387</v>
      </c>
      <c r="C64" s="89" t="s">
        <v>388</v>
      </c>
      <c r="D64" s="8" t="s">
        <v>124</v>
      </c>
      <c r="E64" s="8" t="s">
        <v>202</v>
      </c>
      <c r="F64" s="7"/>
      <c r="G64" s="7" t="s">
        <v>96</v>
      </c>
      <c r="H64" s="7" t="s">
        <v>96</v>
      </c>
      <c r="I64" s="7" t="s">
        <v>96</v>
      </c>
      <c r="M64" s="14" t="s">
        <v>389</v>
      </c>
      <c r="N64" s="9">
        <v>41018</v>
      </c>
      <c r="O64" s="3" t="s">
        <v>52</v>
      </c>
      <c r="P64" s="3">
        <v>4</v>
      </c>
      <c r="Q64" s="12">
        <v>0.1</v>
      </c>
      <c r="R64" s="56" t="s">
        <v>96</v>
      </c>
      <c r="S64" s="18">
        <v>41019</v>
      </c>
      <c r="T64" s="9"/>
      <c r="U64" s="14" t="s">
        <v>393</v>
      </c>
      <c r="W64" s="3" t="s">
        <v>102</v>
      </c>
      <c r="X64" s="3"/>
      <c r="Y64" s="66" t="str">
        <f>IF(Planeador[[#This Row],[Aprobado]]="A",NETWORKDAYS(Planeador[[#This Row],[Fecha de Solicitud]],Planeador[[#This Row],[Fecha de Entrega]]),"0")</f>
        <v>0</v>
      </c>
      <c r="Z64" s="65">
        <f>IF(Planeador[[#This Row],[Dificultad]]&lt;&gt;"",Planeador[[#This Row],[ΔT]]*Planeador[[#This Row],[Dificultad]],"0")</f>
        <v>0</v>
      </c>
      <c r="AA64" s="65">
        <f>IF(Planeador[[#This Row],[Dificultad]]&lt;&gt;"",Planeador[[#This Row],[ΔT]]/Planeador[[#This Row],[Dificultad]],"0")</f>
        <v>0</v>
      </c>
      <c r="AB64" s="65" t="str">
        <f>IF(Planeador[[#This Row],[Aprobado]]="A",NETWORKDAYS(Planeador[[#This Row],[Fecha de Solicitud]],Planeador[[#This Row],[Fecha de Entrega]])/5,"0,00")</f>
        <v>0,00</v>
      </c>
    </row>
    <row r="65" spans="2:28" ht="58.5" customHeight="1">
      <c r="B65" s="102" t="s">
        <v>390</v>
      </c>
      <c r="C65" s="103" t="s">
        <v>391</v>
      </c>
      <c r="D65" s="104" t="s">
        <v>61</v>
      </c>
      <c r="E65" s="104" t="s">
        <v>181</v>
      </c>
      <c r="F65" s="105"/>
      <c r="G65" s="105" t="s">
        <v>96</v>
      </c>
      <c r="H65" s="105"/>
      <c r="I65" s="105" t="s">
        <v>96</v>
      </c>
      <c r="J65" s="105"/>
      <c r="K65" s="105"/>
      <c r="L65" s="105"/>
      <c r="M65" s="14" t="s">
        <v>392</v>
      </c>
      <c r="N65" s="107">
        <v>41019</v>
      </c>
      <c r="O65" s="102" t="s">
        <v>52</v>
      </c>
      <c r="P65" s="102">
        <v>5</v>
      </c>
      <c r="Q65" s="108">
        <v>1</v>
      </c>
      <c r="R65" s="109"/>
      <c r="S65" s="110">
        <v>41020</v>
      </c>
      <c r="T65" s="107">
        <v>41020</v>
      </c>
      <c r="U65" s="106"/>
      <c r="V65" s="102"/>
      <c r="W65" s="3" t="s">
        <v>52</v>
      </c>
      <c r="X65" s="102"/>
      <c r="Y65" s="111">
        <f>IF(Planeador[[#This Row],[Aprobado]]="A",NETWORKDAYS(Planeador[[#This Row],[Fecha de Solicitud]],Planeador[[#This Row],[Fecha de Entrega]]),"0")</f>
        <v>1</v>
      </c>
      <c r="Z65" s="112">
        <f>IF(Planeador[[#This Row],[Dificultad]]&lt;&gt;"",Planeador[[#This Row],[ΔT]]*Planeador[[#This Row],[Dificultad]],"0")</f>
        <v>5</v>
      </c>
      <c r="AA65" s="112">
        <f>IF(Planeador[[#This Row],[Dificultad]]&lt;&gt;"",Planeador[[#This Row],[ΔT]]/Planeador[[#This Row],[Dificultad]],"0")</f>
        <v>0.2</v>
      </c>
      <c r="AB65" s="112">
        <f>IF(Planeador[[#This Row],[Aprobado]]="A",NETWORKDAYS(Planeador[[#This Row],[Fecha de Solicitud]],Planeador[[#This Row],[Fecha de Entrega]])/5,"0,00")</f>
        <v>0.2</v>
      </c>
    </row>
    <row r="66" spans="2:28" ht="51">
      <c r="B66" s="3" t="s">
        <v>395</v>
      </c>
      <c r="C66" s="89" t="s">
        <v>368</v>
      </c>
      <c r="D66" s="8" t="s">
        <v>61</v>
      </c>
      <c r="E66" s="8" t="s">
        <v>62</v>
      </c>
      <c r="F66" s="7"/>
      <c r="G66" s="7" t="s">
        <v>96</v>
      </c>
      <c r="H66" s="7" t="s">
        <v>96</v>
      </c>
      <c r="I66" s="7" t="s">
        <v>96</v>
      </c>
      <c r="M66" s="14" t="s">
        <v>396</v>
      </c>
      <c r="N66" s="9">
        <v>41022</v>
      </c>
      <c r="O66" s="3" t="s">
        <v>154</v>
      </c>
      <c r="P66" s="3">
        <v>7</v>
      </c>
      <c r="Q66" s="12">
        <v>0.1</v>
      </c>
      <c r="R66" s="56"/>
      <c r="S66" s="18">
        <v>41023</v>
      </c>
      <c r="T66" s="9"/>
      <c r="U66" s="14" t="s">
        <v>400</v>
      </c>
      <c r="W66" s="3" t="s">
        <v>102</v>
      </c>
      <c r="X66" s="3"/>
      <c r="Y66" s="66" t="str">
        <f>IF(Planeador[[#This Row],[Aprobado]]="A",NETWORKDAYS(Planeador[[#This Row],[Fecha de Solicitud]],Planeador[[#This Row],[Fecha de Entrega]]),"0")</f>
        <v>0</v>
      </c>
      <c r="Z66" s="65">
        <f>IF(Planeador[[#This Row],[Dificultad]]&lt;&gt;"",Planeador[[#This Row],[ΔT]]*Planeador[[#This Row],[Dificultad]],"0")</f>
        <v>0</v>
      </c>
      <c r="AA66" s="65">
        <f>IF(Planeador[[#This Row],[Dificultad]]&lt;&gt;"",Planeador[[#This Row],[ΔT]]/Planeador[[#This Row],[Dificultad]],"0")</f>
        <v>0</v>
      </c>
      <c r="AB66" s="65" t="str">
        <f>IF(Planeador[[#This Row],[Aprobado]]="A",NETWORKDAYS(Planeador[[#This Row],[Fecha de Solicitud]],Planeador[[#This Row],[Fecha de Entrega]])/5,"0,00")</f>
        <v>0,00</v>
      </c>
    </row>
    <row r="67" spans="2:28" ht="51">
      <c r="B67" s="3" t="s">
        <v>397</v>
      </c>
      <c r="C67" s="103" t="s">
        <v>398</v>
      </c>
      <c r="D67" s="104" t="s">
        <v>50</v>
      </c>
      <c r="E67" s="104" t="s">
        <v>181</v>
      </c>
      <c r="F67" s="105"/>
      <c r="G67" s="105" t="s">
        <v>96</v>
      </c>
      <c r="H67" s="105"/>
      <c r="I67" s="105" t="s">
        <v>96</v>
      </c>
      <c r="J67" s="105"/>
      <c r="K67" s="105"/>
      <c r="L67" s="105"/>
      <c r="M67" s="106" t="s">
        <v>399</v>
      </c>
      <c r="N67" s="107">
        <v>41022</v>
      </c>
      <c r="O67" s="102" t="s">
        <v>52</v>
      </c>
      <c r="P67" s="102">
        <v>3</v>
      </c>
      <c r="Q67" s="108">
        <v>1</v>
      </c>
      <c r="R67" s="109"/>
      <c r="S67" s="110">
        <v>41022</v>
      </c>
      <c r="T67" s="107">
        <v>41022</v>
      </c>
      <c r="U67" s="106"/>
      <c r="V67" s="102"/>
      <c r="W67" s="3" t="s">
        <v>52</v>
      </c>
      <c r="X67" s="102"/>
      <c r="Y67" s="111">
        <f>IF(Planeador[[#This Row],[Aprobado]]="A",NETWORKDAYS(Planeador[[#This Row],[Fecha de Solicitud]],Planeador[[#This Row],[Fecha de Entrega]]),"0")</f>
        <v>1</v>
      </c>
      <c r="Z67" s="112">
        <f>IF(Planeador[[#This Row],[Dificultad]]&lt;&gt;"",Planeador[[#This Row],[ΔT]]*Planeador[[#This Row],[Dificultad]],"0")</f>
        <v>3</v>
      </c>
      <c r="AA67" s="112">
        <f>IF(Planeador[[#This Row],[Dificultad]]&lt;&gt;"",Planeador[[#This Row],[ΔT]]/Planeador[[#This Row],[Dificultad]],"0")</f>
        <v>0.33333333333333331</v>
      </c>
      <c r="AB67" s="112">
        <f>IF(Planeador[[#This Row],[Aprobado]]="A",NETWORKDAYS(Planeador[[#This Row],[Fecha de Solicitud]],Planeador[[#This Row],[Fecha de Entrega]])/5,"0,00")</f>
        <v>0.2</v>
      </c>
    </row>
    <row r="68" spans="2:28" ht="38.25">
      <c r="B68" s="3" t="s">
        <v>402</v>
      </c>
      <c r="C68" s="103" t="s">
        <v>404</v>
      </c>
      <c r="D68" s="104" t="s">
        <v>67</v>
      </c>
      <c r="E68" s="104" t="s">
        <v>57</v>
      </c>
      <c r="F68" s="105"/>
      <c r="G68" s="105" t="s">
        <v>96</v>
      </c>
      <c r="H68" s="105"/>
      <c r="I68" s="105" t="s">
        <v>96</v>
      </c>
      <c r="J68" s="105"/>
      <c r="K68" s="105"/>
      <c r="L68" s="105"/>
      <c r="M68" s="106" t="s">
        <v>403</v>
      </c>
      <c r="N68" s="107">
        <v>41025</v>
      </c>
      <c r="O68" s="102" t="s">
        <v>154</v>
      </c>
      <c r="P68" s="102">
        <v>6</v>
      </c>
      <c r="Q68" s="108">
        <v>1</v>
      </c>
      <c r="R68" s="109"/>
      <c r="S68" s="110">
        <v>41025</v>
      </c>
      <c r="T68" s="107">
        <v>41025</v>
      </c>
      <c r="U68" s="106"/>
      <c r="V68" s="102"/>
      <c r="W68" s="3" t="s">
        <v>52</v>
      </c>
      <c r="X68" s="3" t="s">
        <v>405</v>
      </c>
      <c r="Y68" s="111">
        <f>IF(Planeador[[#This Row],[Aprobado]]="A",NETWORKDAYS(Planeador[[#This Row],[Fecha de Solicitud]],Planeador[[#This Row],[Fecha de Entrega]]),"0")</f>
        <v>1</v>
      </c>
      <c r="Z68" s="112">
        <f>IF(Planeador[[#This Row],[Dificultad]]&lt;&gt;"",Planeador[[#This Row],[ΔT]]*Planeador[[#This Row],[Dificultad]],"0")</f>
        <v>6</v>
      </c>
      <c r="AA68" s="112">
        <f>IF(Planeador[[#This Row],[Dificultad]]&lt;&gt;"",Planeador[[#This Row],[ΔT]]/Planeador[[#This Row],[Dificultad]],"0")</f>
        <v>0.16666666666666666</v>
      </c>
      <c r="AB68" s="112">
        <f>IF(Planeador[[#This Row],[Aprobado]]="A",NETWORKDAYS(Planeador[[#This Row],[Fecha de Solicitud]],Planeador[[#This Row],[Fecha de Entrega]])/5,"0,00")</f>
        <v>0.2</v>
      </c>
    </row>
    <row r="69" spans="2:28" ht="25.5">
      <c r="B69" s="3" t="s">
        <v>406</v>
      </c>
      <c r="C69" s="89" t="s">
        <v>407</v>
      </c>
      <c r="D69" s="8" t="s">
        <v>61</v>
      </c>
      <c r="E69" s="8" t="s">
        <v>181</v>
      </c>
      <c r="F69" s="7"/>
      <c r="G69" s="7" t="s">
        <v>96</v>
      </c>
      <c r="H69" s="7"/>
      <c r="I69" s="7" t="s">
        <v>96</v>
      </c>
      <c r="M69" s="14" t="s">
        <v>408</v>
      </c>
      <c r="N69" s="9">
        <v>41026</v>
      </c>
      <c r="O69" s="3" t="s">
        <v>154</v>
      </c>
      <c r="P69" s="3">
        <v>2</v>
      </c>
      <c r="Q69" s="12">
        <v>1</v>
      </c>
      <c r="R69" s="56"/>
      <c r="S69" s="18">
        <v>41026</v>
      </c>
      <c r="T69" s="9">
        <v>41026</v>
      </c>
      <c r="U69" s="14"/>
      <c r="W69" s="3" t="s">
        <v>52</v>
      </c>
      <c r="X69" s="3" t="s">
        <v>409</v>
      </c>
      <c r="Y69" s="66">
        <f>IF(Planeador[[#This Row],[Aprobado]]="A",NETWORKDAYS(Planeador[[#This Row],[Fecha de Solicitud]],Planeador[[#This Row],[Fecha de Entrega]]),"0")</f>
        <v>1</v>
      </c>
      <c r="Z69" s="65">
        <f>IF(Planeador[[#This Row],[Dificultad]]&lt;&gt;"",Planeador[[#This Row],[ΔT]]*Planeador[[#This Row],[Dificultad]],"0")</f>
        <v>2</v>
      </c>
      <c r="AA69" s="65">
        <f>IF(Planeador[[#This Row],[Dificultad]]&lt;&gt;"",Planeador[[#This Row],[ΔT]]/Planeador[[#This Row],[Dificultad]],"0")</f>
        <v>0.5</v>
      </c>
      <c r="AB69" s="65">
        <f>IF(Planeador[[#This Row],[Aprobado]]="A",NETWORKDAYS(Planeador[[#This Row],[Fecha de Solicitud]],Planeador[[#This Row],[Fecha de Entrega]])/5,"0,00")</f>
        <v>0.2</v>
      </c>
    </row>
    <row r="70" spans="2:28" ht="51">
      <c r="B70" s="3" t="s">
        <v>410</v>
      </c>
      <c r="C70" s="114" t="s">
        <v>411</v>
      </c>
      <c r="D70" s="115" t="s">
        <v>67</v>
      </c>
      <c r="E70" s="117" t="s">
        <v>412</v>
      </c>
      <c r="F70" s="116" t="s">
        <v>96</v>
      </c>
      <c r="G70" s="116" t="s">
        <v>96</v>
      </c>
      <c r="H70" s="116"/>
      <c r="I70" s="116" t="s">
        <v>96</v>
      </c>
      <c r="J70" s="116" t="s">
        <v>96</v>
      </c>
      <c r="K70" s="116"/>
      <c r="L70" s="116"/>
      <c r="M70" s="117" t="s">
        <v>413</v>
      </c>
      <c r="N70" s="118">
        <v>41024</v>
      </c>
      <c r="O70" s="113" t="s">
        <v>154</v>
      </c>
      <c r="P70" s="113">
        <v>9</v>
      </c>
      <c r="Q70" s="119">
        <v>1</v>
      </c>
      <c r="R70" s="120" t="s">
        <v>96</v>
      </c>
      <c r="S70" s="121">
        <v>41031</v>
      </c>
      <c r="T70" s="118">
        <v>41031</v>
      </c>
      <c r="U70" s="117"/>
      <c r="V70" s="113"/>
      <c r="W70" s="3" t="s">
        <v>52</v>
      </c>
      <c r="X70" s="3" t="s">
        <v>415</v>
      </c>
      <c r="Y70" s="122">
        <f>IF(Planeador[[#This Row],[Aprobado]]="A",NETWORKDAYS(Planeador[[#This Row],[Fecha de Solicitud]],Planeador[[#This Row],[Fecha de Entrega]]),"0")</f>
        <v>6</v>
      </c>
      <c r="Z70" s="123">
        <f>IF(Planeador[[#This Row],[Dificultad]]&lt;&gt;"",Planeador[[#This Row],[ΔT]]*Planeador[[#This Row],[Dificultad]],"0")</f>
        <v>54</v>
      </c>
      <c r="AA70" s="123">
        <f>IF(Planeador[[#This Row],[Dificultad]]&lt;&gt;"",Planeador[[#This Row],[ΔT]]/Planeador[[#This Row],[Dificultad]],"0")</f>
        <v>0.66666666666666663</v>
      </c>
      <c r="AB70" s="123">
        <f>IF(Planeador[[#This Row],[Aprobado]]="A",NETWORKDAYS(Planeador[[#This Row],[Fecha de Solicitud]],Planeador[[#This Row],[Fecha de Entrega]])/5,"0,00")</f>
        <v>1.2</v>
      </c>
    </row>
    <row r="71" spans="2:28" ht="25.5">
      <c r="B71" s="3" t="s">
        <v>414</v>
      </c>
      <c r="C71" s="89" t="s">
        <v>420</v>
      </c>
      <c r="D71" s="8" t="s">
        <v>61</v>
      </c>
      <c r="E71" s="8" t="s">
        <v>181</v>
      </c>
      <c r="F71" s="7"/>
      <c r="G71" s="7" t="s">
        <v>96</v>
      </c>
      <c r="H71" s="7"/>
      <c r="I71" s="7" t="s">
        <v>96</v>
      </c>
      <c r="M71" s="14" t="s">
        <v>422</v>
      </c>
      <c r="N71" s="9">
        <v>41031</v>
      </c>
      <c r="O71" s="3" t="s">
        <v>154</v>
      </c>
      <c r="P71" s="3">
        <v>2</v>
      </c>
      <c r="Q71" s="12">
        <v>1</v>
      </c>
      <c r="R71" s="56"/>
      <c r="S71" s="18">
        <v>41031</v>
      </c>
      <c r="T71" s="9">
        <v>41032</v>
      </c>
      <c r="U71" s="14"/>
      <c r="V71" s="3" t="s">
        <v>214</v>
      </c>
      <c r="W71" s="3" t="s">
        <v>52</v>
      </c>
      <c r="X71" s="3" t="s">
        <v>421</v>
      </c>
      <c r="Y71" s="66">
        <f>IF(Planeador[[#This Row],[Aprobado]]="A",NETWORKDAYS(Planeador[[#This Row],[Fecha de Solicitud]],Planeador[[#This Row],[Fecha de Entrega]]),"0")</f>
        <v>2</v>
      </c>
      <c r="Z71" s="65">
        <f>IF(Planeador[[#This Row],[Dificultad]]&lt;&gt;"",Planeador[[#This Row],[ΔT]]*Planeador[[#This Row],[Dificultad]],"0")</f>
        <v>4</v>
      </c>
      <c r="AA71" s="65">
        <f>IF(Planeador[[#This Row],[Dificultad]]&lt;&gt;"",Planeador[[#This Row],[ΔT]]/Planeador[[#This Row],[Dificultad]],"0")</f>
        <v>1</v>
      </c>
      <c r="AB71" s="65">
        <f>IF(Planeador[[#This Row],[Aprobado]]="A",NETWORKDAYS(Planeador[[#This Row],[Fecha de Solicitud]],Planeador[[#This Row],[Fecha de Entrega]])/5,"0,00")</f>
        <v>0.4</v>
      </c>
    </row>
    <row r="72" spans="2:28" ht="42" customHeight="1">
      <c r="B72" s="3" t="s">
        <v>416</v>
      </c>
      <c r="C72" s="89" t="s">
        <v>417</v>
      </c>
      <c r="D72" s="8" t="s">
        <v>61</v>
      </c>
      <c r="E72" s="8" t="s">
        <v>181</v>
      </c>
      <c r="F72" s="7" t="s">
        <v>96</v>
      </c>
      <c r="G72" s="7"/>
      <c r="H72" s="7"/>
      <c r="M72" s="14" t="s">
        <v>418</v>
      </c>
      <c r="N72" s="9">
        <v>41031</v>
      </c>
      <c r="O72" s="3" t="s">
        <v>154</v>
      </c>
      <c r="P72" s="3">
        <v>3</v>
      </c>
      <c r="Q72" s="12">
        <v>1</v>
      </c>
      <c r="R72" s="56"/>
      <c r="S72" s="18">
        <v>41031</v>
      </c>
      <c r="T72" s="9">
        <v>41031</v>
      </c>
      <c r="U72" s="14"/>
      <c r="W72" s="3" t="s">
        <v>52</v>
      </c>
      <c r="X72" s="3" t="s">
        <v>419</v>
      </c>
      <c r="Y72" s="66">
        <f>IF(Planeador[[#This Row],[Aprobado]]="A",NETWORKDAYS(Planeador[[#This Row],[Fecha de Solicitud]],Planeador[[#This Row],[Fecha de Entrega]]),"0")</f>
        <v>1</v>
      </c>
      <c r="Z72" s="65">
        <f>IF(Planeador[[#This Row],[Dificultad]]&lt;&gt;"",Planeador[[#This Row],[ΔT]]*Planeador[[#This Row],[Dificultad]],"0")</f>
        <v>3</v>
      </c>
      <c r="AA72" s="65">
        <f>IF(Planeador[[#This Row],[Dificultad]]&lt;&gt;"",Planeador[[#This Row],[ΔT]]/Planeador[[#This Row],[Dificultad]],"0")</f>
        <v>0.33333333333333331</v>
      </c>
      <c r="AB72" s="65">
        <f>IF(Planeador[[#This Row],[Aprobado]]="A",NETWORKDAYS(Planeador[[#This Row],[Fecha de Solicitud]],Planeador[[#This Row],[Fecha de Entrega]])/5,"0,00")</f>
        <v>0.2</v>
      </c>
    </row>
    <row r="73" spans="2:28" ht="42" customHeight="1">
      <c r="B73" s="3" t="s">
        <v>423</v>
      </c>
      <c r="C73" s="125" t="s">
        <v>425</v>
      </c>
      <c r="D73" s="126" t="s">
        <v>61</v>
      </c>
      <c r="E73" s="126" t="s">
        <v>55</v>
      </c>
      <c r="F73" s="127"/>
      <c r="G73" s="127" t="s">
        <v>96</v>
      </c>
      <c r="H73" s="127" t="s">
        <v>96</v>
      </c>
      <c r="I73" s="127" t="s">
        <v>96</v>
      </c>
      <c r="J73" s="127"/>
      <c r="K73" s="127"/>
      <c r="L73" s="127"/>
      <c r="M73" s="128" t="s">
        <v>426</v>
      </c>
      <c r="N73" s="129">
        <v>41034</v>
      </c>
      <c r="O73" s="124" t="s">
        <v>154</v>
      </c>
      <c r="P73" s="124">
        <v>7</v>
      </c>
      <c r="Q73" s="130">
        <v>1</v>
      </c>
      <c r="R73" s="131"/>
      <c r="S73" s="132">
        <v>41036</v>
      </c>
      <c r="T73" s="129">
        <v>41040</v>
      </c>
      <c r="U73" s="128" t="s">
        <v>427</v>
      </c>
      <c r="V73" s="124"/>
      <c r="W73" s="124" t="s">
        <v>52</v>
      </c>
      <c r="X73" s="124" t="s">
        <v>439</v>
      </c>
      <c r="Y73" s="133">
        <f>IF(Planeador[[#This Row],[Aprobado]]="A",NETWORKDAYS(Planeador[[#This Row],[Fecha de Solicitud]],Planeador[[#This Row],[Fecha de Entrega]]),"0")</f>
        <v>5</v>
      </c>
      <c r="Z73" s="134">
        <f>IF(Planeador[[#This Row],[Dificultad]]&lt;&gt;"",Planeador[[#This Row],[ΔT]]*Planeador[[#This Row],[Dificultad]],"0")</f>
        <v>35</v>
      </c>
      <c r="AA73" s="134">
        <f>IF(Planeador[[#This Row],[Dificultad]]&lt;&gt;"",Planeador[[#This Row],[ΔT]]/Planeador[[#This Row],[Dificultad]],"0")</f>
        <v>0.7142857142857143</v>
      </c>
      <c r="AB73" s="134">
        <f>IF(Planeador[[#This Row],[Aprobado]]="A",NETWORKDAYS(Planeador[[#This Row],[Fecha de Solicitud]],Planeador[[#This Row],[Fecha de Entrega]])/5,"0,00")</f>
        <v>1</v>
      </c>
    </row>
    <row r="74" spans="2:28" ht="42" customHeight="1">
      <c r="B74" s="3" t="s">
        <v>424</v>
      </c>
      <c r="C74" s="125" t="s">
        <v>428</v>
      </c>
      <c r="D74" s="126" t="s">
        <v>50</v>
      </c>
      <c r="E74" s="126" t="s">
        <v>55</v>
      </c>
      <c r="F74" s="127"/>
      <c r="G74" s="127" t="s">
        <v>96</v>
      </c>
      <c r="H74" s="127" t="s">
        <v>96</v>
      </c>
      <c r="I74" s="127" t="s">
        <v>96</v>
      </c>
      <c r="J74" s="127"/>
      <c r="K74" s="127"/>
      <c r="L74" s="127"/>
      <c r="M74" s="128" t="s">
        <v>429</v>
      </c>
      <c r="N74" s="129">
        <v>41024</v>
      </c>
      <c r="O74" s="124" t="s">
        <v>52</v>
      </c>
      <c r="P74" s="124">
        <v>5</v>
      </c>
      <c r="Q74" s="130">
        <v>0.15</v>
      </c>
      <c r="R74" s="131"/>
      <c r="S74" s="132">
        <v>41037</v>
      </c>
      <c r="T74" s="129"/>
      <c r="U74" s="128" t="s">
        <v>472</v>
      </c>
      <c r="V74" s="124"/>
      <c r="W74" s="124" t="s">
        <v>102</v>
      </c>
      <c r="X74" s="124"/>
      <c r="Y74" s="133" t="str">
        <f>IF(Planeador[[#This Row],[Aprobado]]="A",NETWORKDAYS(Planeador[[#This Row],[Fecha de Solicitud]],Planeador[[#This Row],[Fecha de Entrega]]),"0")</f>
        <v>0</v>
      </c>
      <c r="Z74" s="134">
        <f>IF(Planeador[[#This Row],[Dificultad]]&lt;&gt;"",Planeador[[#This Row],[ΔT]]*Planeador[[#This Row],[Dificultad]],"0")</f>
        <v>0</v>
      </c>
      <c r="AA74" s="134">
        <f>IF(Planeador[[#This Row],[Dificultad]]&lt;&gt;"",Planeador[[#This Row],[ΔT]]/Planeador[[#This Row],[Dificultad]],"0")</f>
        <v>0</v>
      </c>
      <c r="AB74" s="134" t="str">
        <f>IF(Planeador[[#This Row],[Aprobado]]="A",NETWORKDAYS(Planeador[[#This Row],[Fecha de Solicitud]],Planeador[[#This Row],[Fecha de Entrega]])/5,"0,00")</f>
        <v>0,00</v>
      </c>
    </row>
    <row r="75" spans="2:28" ht="42" customHeight="1">
      <c r="B75" s="3" t="s">
        <v>430</v>
      </c>
      <c r="C75" s="125" t="s">
        <v>411</v>
      </c>
      <c r="D75" s="126" t="s">
        <v>61</v>
      </c>
      <c r="E75" s="117" t="s">
        <v>412</v>
      </c>
      <c r="F75" s="127"/>
      <c r="G75" s="127" t="s">
        <v>96</v>
      </c>
      <c r="H75" s="127" t="s">
        <v>96</v>
      </c>
      <c r="I75" s="127" t="s">
        <v>96</v>
      </c>
      <c r="J75" s="127"/>
      <c r="K75" s="127"/>
      <c r="L75" s="127"/>
      <c r="M75" s="128" t="s">
        <v>431</v>
      </c>
      <c r="N75" s="129">
        <v>41036</v>
      </c>
      <c r="O75" s="124" t="s">
        <v>154</v>
      </c>
      <c r="P75" s="124">
        <v>7</v>
      </c>
      <c r="Q75" s="130">
        <v>1</v>
      </c>
      <c r="R75" s="131"/>
      <c r="S75" s="132">
        <v>41038</v>
      </c>
      <c r="T75" s="129">
        <v>41038</v>
      </c>
      <c r="U75" s="128"/>
      <c r="V75" s="3" t="s">
        <v>436</v>
      </c>
      <c r="W75" s="3" t="s">
        <v>52</v>
      </c>
      <c r="X75" s="124"/>
      <c r="Y75" s="133">
        <f>IF(Planeador[[#This Row],[Aprobado]]="A",NETWORKDAYS(Planeador[[#This Row],[Fecha de Solicitud]],Planeador[[#This Row],[Fecha de Entrega]]),"0")</f>
        <v>3</v>
      </c>
      <c r="Z75" s="134">
        <f>IF(Planeador[[#This Row],[Dificultad]]&lt;&gt;"",Planeador[[#This Row],[ΔT]]*Planeador[[#This Row],[Dificultad]],"0")</f>
        <v>21</v>
      </c>
      <c r="AA75" s="134">
        <f>IF(Planeador[[#This Row],[Dificultad]]&lt;&gt;"",Planeador[[#This Row],[ΔT]]/Planeador[[#This Row],[Dificultad]],"0")</f>
        <v>0.42857142857142855</v>
      </c>
      <c r="AB75" s="134">
        <f>IF(Planeador[[#This Row],[Aprobado]]="A",NETWORKDAYS(Planeador[[#This Row],[Fecha de Solicitud]],Planeador[[#This Row],[Fecha de Entrega]])/5,"0,00")</f>
        <v>0.6</v>
      </c>
    </row>
    <row r="76" spans="2:28" ht="42" customHeight="1">
      <c r="B76" s="3" t="s">
        <v>432</v>
      </c>
      <c r="C76" s="125" t="s">
        <v>433</v>
      </c>
      <c r="D76" s="126" t="s">
        <v>124</v>
      </c>
      <c r="E76" s="126" t="s">
        <v>202</v>
      </c>
      <c r="F76" s="127" t="s">
        <v>96</v>
      </c>
      <c r="G76" s="127" t="s">
        <v>96</v>
      </c>
      <c r="H76" s="127"/>
      <c r="I76" s="127" t="s">
        <v>96</v>
      </c>
      <c r="J76" s="127"/>
      <c r="K76" s="127"/>
      <c r="L76" s="127"/>
      <c r="M76" s="128" t="s">
        <v>434</v>
      </c>
      <c r="N76" s="129">
        <v>41038</v>
      </c>
      <c r="O76" s="124" t="s">
        <v>52</v>
      </c>
      <c r="P76" s="124">
        <v>2</v>
      </c>
      <c r="Q76" s="130">
        <v>1</v>
      </c>
      <c r="R76" s="131"/>
      <c r="S76" s="132"/>
      <c r="T76" s="129">
        <v>41038</v>
      </c>
      <c r="U76" s="14" t="s">
        <v>435</v>
      </c>
      <c r="V76" s="124"/>
      <c r="W76" s="124" t="s">
        <v>52</v>
      </c>
      <c r="X76" s="124"/>
      <c r="Y76" s="133">
        <f>IF(Planeador[[#This Row],[Aprobado]]="A",NETWORKDAYS(Planeador[[#This Row],[Fecha de Solicitud]],Planeador[[#This Row],[Fecha de Entrega]]),"0")</f>
        <v>1</v>
      </c>
      <c r="Z76" s="134">
        <f>IF(Planeador[[#This Row],[Dificultad]]&lt;&gt;"",Planeador[[#This Row],[ΔT]]*Planeador[[#This Row],[Dificultad]],"0")</f>
        <v>2</v>
      </c>
      <c r="AA76" s="134">
        <f>IF(Planeador[[#This Row],[Dificultad]]&lt;&gt;"",Planeador[[#This Row],[ΔT]]/Planeador[[#This Row],[Dificultad]],"0")</f>
        <v>0.5</v>
      </c>
      <c r="AB76" s="134">
        <f>IF(Planeador[[#This Row],[Aprobado]]="A",NETWORKDAYS(Planeador[[#This Row],[Fecha de Solicitud]],Planeador[[#This Row],[Fecha de Entrega]])/5,"0,00")</f>
        <v>0.2</v>
      </c>
    </row>
    <row r="77" spans="2:28" ht="42" customHeight="1">
      <c r="B77" s="3" t="s">
        <v>437</v>
      </c>
      <c r="C77" s="89" t="s">
        <v>555</v>
      </c>
      <c r="D77" s="8" t="s">
        <v>61</v>
      </c>
      <c r="E77" s="8" t="s">
        <v>55</v>
      </c>
      <c r="F77" s="7"/>
      <c r="G77" s="7" t="s">
        <v>96</v>
      </c>
      <c r="H77" s="7" t="s">
        <v>96</v>
      </c>
      <c r="I77" s="7" t="s">
        <v>96</v>
      </c>
      <c r="M77" s="14" t="s">
        <v>557</v>
      </c>
      <c r="N77" s="9">
        <v>41038</v>
      </c>
      <c r="O77" s="3" t="s">
        <v>52</v>
      </c>
      <c r="P77" s="3">
        <v>4</v>
      </c>
      <c r="Q77" s="12">
        <v>1</v>
      </c>
      <c r="R77" s="56"/>
      <c r="S77" s="18"/>
      <c r="T77" s="9">
        <v>41039</v>
      </c>
      <c r="U77" s="14"/>
      <c r="W77" s="3" t="s">
        <v>52</v>
      </c>
      <c r="X77" s="3" t="s">
        <v>438</v>
      </c>
      <c r="Y77" s="66">
        <f>IF(Planeador[[#This Row],[Aprobado]]="A",NETWORKDAYS(Planeador[[#This Row],[Fecha de Solicitud]],Planeador[[#This Row],[Fecha de Entrega]]),"0")</f>
        <v>2</v>
      </c>
      <c r="Z77" s="65">
        <f>IF(Planeador[[#This Row],[Dificultad]]&lt;&gt;"",Planeador[[#This Row],[ΔT]]*Planeador[[#This Row],[Dificultad]],"0")</f>
        <v>8</v>
      </c>
      <c r="AA77" s="65">
        <f>IF(Planeador[[#This Row],[Dificultad]]&lt;&gt;"",Planeador[[#This Row],[ΔT]]/Planeador[[#This Row],[Dificultad]],"0")</f>
        <v>0.5</v>
      </c>
      <c r="AB77" s="65">
        <f>IF(Planeador[[#This Row],[Aprobado]]="A",NETWORKDAYS(Planeador[[#This Row],[Fecha de Solicitud]],Planeador[[#This Row],[Fecha de Entrega]])/5,"0,00")</f>
        <v>0.4</v>
      </c>
    </row>
    <row r="78" spans="2:28" ht="42" customHeight="1">
      <c r="B78" s="3" t="s">
        <v>440</v>
      </c>
      <c r="C78" s="125" t="s">
        <v>411</v>
      </c>
      <c r="D78" s="126" t="s">
        <v>61</v>
      </c>
      <c r="E78" s="14" t="s">
        <v>441</v>
      </c>
      <c r="F78" s="127" t="s">
        <v>96</v>
      </c>
      <c r="G78" s="127" t="s">
        <v>96</v>
      </c>
      <c r="H78" s="127"/>
      <c r="I78" s="127" t="s">
        <v>96</v>
      </c>
      <c r="J78" s="127"/>
      <c r="K78" s="127"/>
      <c r="L78" s="127"/>
      <c r="M78" s="128" t="s">
        <v>442</v>
      </c>
      <c r="N78" s="129">
        <v>41041</v>
      </c>
      <c r="O78" s="124" t="s">
        <v>154</v>
      </c>
      <c r="P78" s="124">
        <v>5</v>
      </c>
      <c r="Q78" s="130">
        <v>1</v>
      </c>
      <c r="R78" s="131"/>
      <c r="S78" s="132">
        <v>41043</v>
      </c>
      <c r="T78" s="129">
        <v>41045</v>
      </c>
      <c r="U78" s="128" t="s">
        <v>443</v>
      </c>
      <c r="V78" s="124"/>
      <c r="W78" s="124" t="s">
        <v>52</v>
      </c>
      <c r="X78" s="124"/>
      <c r="Y78" s="133">
        <f>IF(Planeador[[#This Row],[Aprobado]]="A",NETWORKDAYS(Planeador[[#This Row],[Fecha de Solicitud]],Planeador[[#This Row],[Fecha de Entrega]]),"0")</f>
        <v>3</v>
      </c>
      <c r="Z78" s="134">
        <f>IF(Planeador[[#This Row],[Dificultad]]&lt;&gt;"",Planeador[[#This Row],[ΔT]]*Planeador[[#This Row],[Dificultad]],"0")</f>
        <v>15</v>
      </c>
      <c r="AA78" s="134">
        <f>IF(Planeador[[#This Row],[Dificultad]]&lt;&gt;"",Planeador[[#This Row],[ΔT]]/Planeador[[#This Row],[Dificultad]],"0")</f>
        <v>0.6</v>
      </c>
      <c r="AB78" s="134">
        <f>IF(Planeador[[#This Row],[Aprobado]]="A",NETWORKDAYS(Planeador[[#This Row],[Fecha de Solicitud]],Planeador[[#This Row],[Fecha de Entrega]])/5,"0,00")</f>
        <v>0.6</v>
      </c>
    </row>
    <row r="79" spans="2:28" ht="42" customHeight="1">
      <c r="B79" s="3" t="s">
        <v>444</v>
      </c>
      <c r="C79" s="125" t="s">
        <v>289</v>
      </c>
      <c r="D79" s="126" t="s">
        <v>61</v>
      </c>
      <c r="E79" s="126" t="s">
        <v>445</v>
      </c>
      <c r="F79" s="127" t="s">
        <v>96</v>
      </c>
      <c r="G79" s="127"/>
      <c r="H79" s="127"/>
      <c r="I79" s="127"/>
      <c r="J79" s="127" t="s">
        <v>96</v>
      </c>
      <c r="K79" s="127"/>
      <c r="L79" s="127"/>
      <c r="M79" s="128" t="s">
        <v>446</v>
      </c>
      <c r="N79" s="129">
        <v>41043</v>
      </c>
      <c r="O79" s="124" t="s">
        <v>154</v>
      </c>
      <c r="P79" s="124">
        <v>2</v>
      </c>
      <c r="Q79" s="130">
        <v>1</v>
      </c>
      <c r="R79" s="131" t="s">
        <v>96</v>
      </c>
      <c r="S79" s="132">
        <v>41043</v>
      </c>
      <c r="T79" s="129">
        <v>41043</v>
      </c>
      <c r="U79" s="128"/>
      <c r="V79" s="124"/>
      <c r="W79" s="124" t="s">
        <v>52</v>
      </c>
      <c r="X79" s="124" t="s">
        <v>447</v>
      </c>
      <c r="Y79" s="133">
        <f>IF(Planeador[[#This Row],[Aprobado]]="A",NETWORKDAYS(Planeador[[#This Row],[Fecha de Solicitud]],Planeador[[#This Row],[Fecha de Entrega]]),"0")</f>
        <v>1</v>
      </c>
      <c r="Z79" s="134">
        <f>IF(Planeador[[#This Row],[Dificultad]]&lt;&gt;"",Planeador[[#This Row],[ΔT]]*Planeador[[#This Row],[Dificultad]],"0")</f>
        <v>2</v>
      </c>
      <c r="AA79" s="134">
        <f>IF(Planeador[[#This Row],[Dificultad]]&lt;&gt;"",Planeador[[#This Row],[ΔT]]/Planeador[[#This Row],[Dificultad]],"0")</f>
        <v>0.5</v>
      </c>
      <c r="AB79" s="134">
        <f>IF(Planeador[[#This Row],[Aprobado]]="A",NETWORKDAYS(Planeador[[#This Row],[Fecha de Solicitud]],Planeador[[#This Row],[Fecha de Entrega]])/5,"0,00")</f>
        <v>0.2</v>
      </c>
    </row>
    <row r="80" spans="2:28" ht="42" customHeight="1">
      <c r="B80" s="3" t="s">
        <v>448</v>
      </c>
      <c r="C80" s="125" t="s">
        <v>449</v>
      </c>
      <c r="D80" s="126" t="s">
        <v>61</v>
      </c>
      <c r="E80" s="126" t="s">
        <v>234</v>
      </c>
      <c r="F80" s="127" t="s">
        <v>96</v>
      </c>
      <c r="G80" s="127"/>
      <c r="H80" s="127"/>
      <c r="I80" s="127"/>
      <c r="J80" s="127"/>
      <c r="K80" s="127"/>
      <c r="L80" s="127"/>
      <c r="M80" s="128" t="s">
        <v>450</v>
      </c>
      <c r="N80" s="129">
        <v>41045</v>
      </c>
      <c r="O80" s="124" t="s">
        <v>154</v>
      </c>
      <c r="P80" s="124">
        <v>2</v>
      </c>
      <c r="Q80" s="130">
        <v>1</v>
      </c>
      <c r="R80" s="131" t="s">
        <v>96</v>
      </c>
      <c r="S80" s="129">
        <v>41045</v>
      </c>
      <c r="T80" s="129">
        <v>41045</v>
      </c>
      <c r="U80" s="128"/>
      <c r="V80" s="124"/>
      <c r="W80" s="124" t="s">
        <v>52</v>
      </c>
      <c r="X80" s="124" t="s">
        <v>451</v>
      </c>
      <c r="Y80" s="133">
        <f>IF(Planeador[[#This Row],[Aprobado]]="A",NETWORKDAYS(Planeador[[#This Row],[Fecha de Solicitud]],Planeador[[#This Row],[Fecha de Entrega]]),"0")</f>
        <v>1</v>
      </c>
      <c r="Z80" s="134">
        <f>IF(Planeador[[#This Row],[Dificultad]]&lt;&gt;"",Planeador[[#This Row],[ΔT]]*Planeador[[#This Row],[Dificultad]],"0")</f>
        <v>2</v>
      </c>
      <c r="AA80" s="134">
        <f>IF(Planeador[[#This Row],[Dificultad]]&lt;&gt;"",Planeador[[#This Row],[ΔT]]/Planeador[[#This Row],[Dificultad]],"0")</f>
        <v>0.5</v>
      </c>
      <c r="AB80" s="134">
        <f>IF(Planeador[[#This Row],[Aprobado]]="A",NETWORKDAYS(Planeador[[#This Row],[Fecha de Solicitud]],Planeador[[#This Row],[Fecha de Entrega]])/5,"0,00")</f>
        <v>0.2</v>
      </c>
    </row>
    <row r="81" spans="2:28" ht="42" customHeight="1">
      <c r="B81" s="3" t="s">
        <v>452</v>
      </c>
      <c r="C81" s="125" t="s">
        <v>227</v>
      </c>
      <c r="D81" s="126" t="s">
        <v>124</v>
      </c>
      <c r="E81" s="126" t="s">
        <v>181</v>
      </c>
      <c r="F81" s="127" t="s">
        <v>96</v>
      </c>
      <c r="G81" s="127"/>
      <c r="H81" s="127"/>
      <c r="I81" s="127"/>
      <c r="J81" s="127"/>
      <c r="K81" s="127"/>
      <c r="L81" s="127"/>
      <c r="M81" s="128" t="s">
        <v>456</v>
      </c>
      <c r="N81" s="129">
        <v>41045</v>
      </c>
      <c r="O81" s="124" t="s">
        <v>154</v>
      </c>
      <c r="P81" s="124">
        <v>1</v>
      </c>
      <c r="Q81" s="130">
        <v>1</v>
      </c>
      <c r="R81" s="131" t="s">
        <v>96</v>
      </c>
      <c r="S81" s="129">
        <v>41045</v>
      </c>
      <c r="T81" s="129">
        <v>41045</v>
      </c>
      <c r="U81" s="128"/>
      <c r="V81" s="124"/>
      <c r="W81" s="124" t="s">
        <v>52</v>
      </c>
      <c r="X81" s="124" t="s">
        <v>453</v>
      </c>
      <c r="Y81" s="133">
        <f>IF(Planeador[[#This Row],[Aprobado]]="A",NETWORKDAYS(Planeador[[#This Row],[Fecha de Solicitud]],Planeador[[#This Row],[Fecha de Entrega]]),"0")</f>
        <v>1</v>
      </c>
      <c r="Z81" s="134">
        <f>IF(Planeador[[#This Row],[Dificultad]]&lt;&gt;"",Planeador[[#This Row],[ΔT]]*Planeador[[#This Row],[Dificultad]],"0")</f>
        <v>1</v>
      </c>
      <c r="AA81" s="134">
        <f>IF(Planeador[[#This Row],[Dificultad]]&lt;&gt;"",Planeador[[#This Row],[ΔT]]/Planeador[[#This Row],[Dificultad]],"0")</f>
        <v>1</v>
      </c>
      <c r="AB81" s="134">
        <f>IF(Planeador[[#This Row],[Aprobado]]="A",NETWORKDAYS(Planeador[[#This Row],[Fecha de Solicitud]],Planeador[[#This Row],[Fecha de Entrega]])/5,"0,00")</f>
        <v>0.2</v>
      </c>
    </row>
    <row r="82" spans="2:28" ht="42" customHeight="1">
      <c r="B82" s="3" t="s">
        <v>454</v>
      </c>
      <c r="C82" s="89" t="s">
        <v>455</v>
      </c>
      <c r="D82" s="126" t="s">
        <v>67</v>
      </c>
      <c r="E82" s="126" t="s">
        <v>181</v>
      </c>
      <c r="F82" s="127"/>
      <c r="G82" s="127" t="s">
        <v>96</v>
      </c>
      <c r="H82" s="127"/>
      <c r="I82" s="127" t="s">
        <v>96</v>
      </c>
      <c r="J82" s="127"/>
      <c r="K82" s="127"/>
      <c r="L82" s="127"/>
      <c r="M82" s="128" t="s">
        <v>457</v>
      </c>
      <c r="N82" s="129">
        <v>41043</v>
      </c>
      <c r="O82" s="124" t="s">
        <v>154</v>
      </c>
      <c r="P82" s="124">
        <v>5</v>
      </c>
      <c r="Q82" s="130">
        <v>1</v>
      </c>
      <c r="R82" s="131"/>
      <c r="S82" s="132">
        <v>41045</v>
      </c>
      <c r="T82" s="129">
        <v>41046</v>
      </c>
      <c r="U82" s="128"/>
      <c r="V82" s="124"/>
      <c r="W82" s="3" t="s">
        <v>52</v>
      </c>
      <c r="X82" s="3" t="s">
        <v>460</v>
      </c>
      <c r="Y82" s="133">
        <f>IF(Planeador[[#This Row],[Aprobado]]="A",NETWORKDAYS(Planeador[[#This Row],[Fecha de Solicitud]],Planeador[[#This Row],[Fecha de Entrega]]),"0")</f>
        <v>4</v>
      </c>
      <c r="Z82" s="134">
        <f>IF(Planeador[[#This Row],[Dificultad]]&lt;&gt;"",Planeador[[#This Row],[ΔT]]*Planeador[[#This Row],[Dificultad]],"0")</f>
        <v>20</v>
      </c>
      <c r="AA82" s="134">
        <f>IF(Planeador[[#This Row],[Dificultad]]&lt;&gt;"",Planeador[[#This Row],[ΔT]]/Planeador[[#This Row],[Dificultad]],"0")</f>
        <v>0.8</v>
      </c>
      <c r="AB82" s="134">
        <f>IF(Planeador[[#This Row],[Aprobado]]="A",NETWORKDAYS(Planeador[[#This Row],[Fecha de Solicitud]],Planeador[[#This Row],[Fecha de Entrega]])/5,"0,00")</f>
        <v>0.8</v>
      </c>
    </row>
    <row r="83" spans="2:28" ht="42" customHeight="1">
      <c r="B83" s="3" t="s">
        <v>458</v>
      </c>
      <c r="C83" s="89" t="s">
        <v>555</v>
      </c>
      <c r="D83" s="8" t="s">
        <v>61</v>
      </c>
      <c r="E83" s="8" t="s">
        <v>55</v>
      </c>
      <c r="F83" s="7"/>
      <c r="G83" s="7" t="s">
        <v>96</v>
      </c>
      <c r="H83" s="7" t="s">
        <v>96</v>
      </c>
      <c r="I83" s="7" t="s">
        <v>96</v>
      </c>
      <c r="M83" s="14" t="s">
        <v>459</v>
      </c>
      <c r="N83" s="9">
        <v>41046</v>
      </c>
      <c r="O83" s="3" t="s">
        <v>51</v>
      </c>
      <c r="P83" s="3">
        <v>4</v>
      </c>
      <c r="Q83" s="12">
        <v>0.1</v>
      </c>
      <c r="R83" s="56"/>
      <c r="S83" s="18">
        <v>41046</v>
      </c>
      <c r="T83" s="9">
        <v>41046</v>
      </c>
      <c r="U83" s="14" t="s">
        <v>511</v>
      </c>
      <c r="W83" s="3" t="s">
        <v>102</v>
      </c>
      <c r="X83" s="3"/>
      <c r="Y83" s="66" t="str">
        <f>IF(Planeador[[#This Row],[Aprobado]]="A",NETWORKDAYS(Planeador[[#This Row],[Fecha de Solicitud]],Planeador[[#This Row],[Fecha de Entrega]]),"0")</f>
        <v>0</v>
      </c>
      <c r="Z83" s="65">
        <f>IF(Planeador[[#This Row],[Dificultad]]&lt;&gt;"",Planeador[[#This Row],[ΔT]]*Planeador[[#This Row],[Dificultad]],"0")</f>
        <v>0</v>
      </c>
      <c r="AA83" s="65">
        <f>IF(Planeador[[#This Row],[Dificultad]]&lt;&gt;"",Planeador[[#This Row],[ΔT]]/Planeador[[#This Row],[Dificultad]],"0")</f>
        <v>0</v>
      </c>
      <c r="AB83" s="65" t="str">
        <f>IF(Planeador[[#This Row],[Aprobado]]="A",NETWORKDAYS(Planeador[[#This Row],[Fecha de Solicitud]],Planeador[[#This Row],[Fecha de Entrega]])/5,"0,00")</f>
        <v>0,00</v>
      </c>
    </row>
    <row r="84" spans="2:28" ht="42" customHeight="1">
      <c r="B84" s="3" t="s">
        <v>461</v>
      </c>
      <c r="C84" s="125" t="s">
        <v>425</v>
      </c>
      <c r="D84" s="126" t="s">
        <v>61</v>
      </c>
      <c r="E84" s="126" t="s">
        <v>181</v>
      </c>
      <c r="F84" s="127"/>
      <c r="G84" s="127" t="s">
        <v>96</v>
      </c>
      <c r="H84" s="127"/>
      <c r="I84" s="127" t="s">
        <v>96</v>
      </c>
      <c r="J84" s="127"/>
      <c r="K84" s="127"/>
      <c r="L84" s="127"/>
      <c r="M84" s="128" t="s">
        <v>462</v>
      </c>
      <c r="N84" s="129">
        <v>41047</v>
      </c>
      <c r="O84" s="124" t="s">
        <v>111</v>
      </c>
      <c r="P84" s="124">
        <v>3</v>
      </c>
      <c r="Q84" s="130">
        <v>1</v>
      </c>
      <c r="R84" s="131"/>
      <c r="S84" s="132"/>
      <c r="T84" s="129">
        <v>41047</v>
      </c>
      <c r="U84" s="128" t="s">
        <v>463</v>
      </c>
      <c r="V84" s="124"/>
      <c r="W84" s="124" t="s">
        <v>52</v>
      </c>
      <c r="X84" s="124"/>
      <c r="Y84" s="133">
        <f>IF(Planeador[[#This Row],[Aprobado]]="A",NETWORKDAYS(Planeador[[#This Row],[Fecha de Solicitud]],Planeador[[#This Row],[Fecha de Entrega]]),"0")</f>
        <v>1</v>
      </c>
      <c r="Z84" s="134">
        <f>IF(Planeador[[#This Row],[Dificultad]]&lt;&gt;"",Planeador[[#This Row],[ΔT]]*Planeador[[#This Row],[Dificultad]],"0")</f>
        <v>3</v>
      </c>
      <c r="AA84" s="134">
        <f>IF(Planeador[[#This Row],[Dificultad]]&lt;&gt;"",Planeador[[#This Row],[ΔT]]/Planeador[[#This Row],[Dificultad]],"0")</f>
        <v>0.33333333333333331</v>
      </c>
      <c r="AB84" s="134">
        <f>IF(Planeador[[#This Row],[Aprobado]]="A",NETWORKDAYS(Planeador[[#This Row],[Fecha de Solicitud]],Planeador[[#This Row],[Fecha de Entrega]])/5,"0,00")</f>
        <v>0.2</v>
      </c>
    </row>
    <row r="85" spans="2:28" ht="42" customHeight="1">
      <c r="B85" s="3" t="s">
        <v>464</v>
      </c>
      <c r="C85" s="125" t="s">
        <v>417</v>
      </c>
      <c r="D85" s="126" t="s">
        <v>61</v>
      </c>
      <c r="E85" s="128" t="s">
        <v>465</v>
      </c>
      <c r="F85" s="127"/>
      <c r="G85" s="127" t="s">
        <v>96</v>
      </c>
      <c r="H85" s="127"/>
      <c r="I85" s="127" t="s">
        <v>96</v>
      </c>
      <c r="J85" s="127"/>
      <c r="K85" s="127"/>
      <c r="L85" s="127"/>
      <c r="M85" s="128" t="s">
        <v>466</v>
      </c>
      <c r="N85" s="129">
        <v>41047</v>
      </c>
      <c r="O85" s="124" t="s">
        <v>51</v>
      </c>
      <c r="P85" s="124">
        <v>4</v>
      </c>
      <c r="Q85" s="130">
        <v>1</v>
      </c>
      <c r="R85" s="131"/>
      <c r="S85" s="132"/>
      <c r="T85" s="129">
        <v>41051</v>
      </c>
      <c r="U85" s="128" t="s">
        <v>474</v>
      </c>
      <c r="V85" s="124"/>
      <c r="W85" s="124" t="s">
        <v>52</v>
      </c>
      <c r="X85" s="124" t="s">
        <v>473</v>
      </c>
      <c r="Y85" s="133">
        <f>IF(Planeador[[#This Row],[Aprobado]]="A",NETWORKDAYS(Planeador[[#This Row],[Fecha de Solicitud]],Planeador[[#This Row],[Fecha de Entrega]]),"0")</f>
        <v>3</v>
      </c>
      <c r="Z85" s="134">
        <f>IF(Planeador[[#This Row],[Dificultad]]&lt;&gt;"",Planeador[[#This Row],[ΔT]]*Planeador[[#This Row],[Dificultad]],"0")</f>
        <v>12</v>
      </c>
      <c r="AA85" s="134">
        <f>IF(Planeador[[#This Row],[Dificultad]]&lt;&gt;"",Planeador[[#This Row],[ΔT]]/Planeador[[#This Row],[Dificultad]],"0")</f>
        <v>0.75</v>
      </c>
      <c r="AB85" s="134">
        <f>IF(Planeador[[#This Row],[Aprobado]]="A",NETWORKDAYS(Planeador[[#This Row],[Fecha de Solicitud]],Planeador[[#This Row],[Fecha de Entrega]])/5,"0,00")</f>
        <v>0.6</v>
      </c>
    </row>
    <row r="86" spans="2:28" ht="42" customHeight="1">
      <c r="B86" s="3" t="s">
        <v>467</v>
      </c>
      <c r="C86" s="125" t="s">
        <v>60</v>
      </c>
      <c r="D86" s="126" t="s">
        <v>122</v>
      </c>
      <c r="E86" s="126" t="s">
        <v>62</v>
      </c>
      <c r="F86" s="127" t="s">
        <v>96</v>
      </c>
      <c r="G86" s="127"/>
      <c r="H86" s="127" t="s">
        <v>96</v>
      </c>
      <c r="I86" s="127"/>
      <c r="J86" s="127"/>
      <c r="K86" s="127"/>
      <c r="L86" s="127"/>
      <c r="M86" s="128" t="s">
        <v>468</v>
      </c>
      <c r="N86" s="129">
        <v>41047</v>
      </c>
      <c r="O86" s="124" t="s">
        <v>52</v>
      </c>
      <c r="P86" s="124">
        <v>4</v>
      </c>
      <c r="Q86" s="130">
        <v>1</v>
      </c>
      <c r="R86" s="131" t="s">
        <v>96</v>
      </c>
      <c r="S86" s="132">
        <v>41047</v>
      </c>
      <c r="T86" s="129">
        <v>41047</v>
      </c>
      <c r="U86" s="128" t="s">
        <v>469</v>
      </c>
      <c r="V86" s="124"/>
      <c r="W86" s="124" t="s">
        <v>52</v>
      </c>
      <c r="X86" s="124"/>
      <c r="Y86" s="133">
        <f>IF(Planeador[[#This Row],[Aprobado]]="A",NETWORKDAYS(Planeador[[#This Row],[Fecha de Solicitud]],Planeador[[#This Row],[Fecha de Entrega]]),"0")</f>
        <v>1</v>
      </c>
      <c r="Z86" s="134">
        <f>IF(Planeador[[#This Row],[Dificultad]]&lt;&gt;"",Planeador[[#This Row],[ΔT]]*Planeador[[#This Row],[Dificultad]],"0")</f>
        <v>4</v>
      </c>
      <c r="AA86" s="134">
        <f>IF(Planeador[[#This Row],[Dificultad]]&lt;&gt;"",Planeador[[#This Row],[ΔT]]/Planeador[[#This Row],[Dificultad]],"0")</f>
        <v>0.25</v>
      </c>
      <c r="AB86" s="134">
        <f>IF(Planeador[[#This Row],[Aprobado]]="A",NETWORKDAYS(Planeador[[#This Row],[Fecha de Solicitud]],Planeador[[#This Row],[Fecha de Entrega]])/5,"0,00")</f>
        <v>0.2</v>
      </c>
    </row>
    <row r="87" spans="2:28" ht="42" customHeight="1">
      <c r="B87" s="3" t="s">
        <v>475</v>
      </c>
      <c r="C87" s="125" t="s">
        <v>476</v>
      </c>
      <c r="D87" s="126" t="s">
        <v>124</v>
      </c>
      <c r="E87" s="126" t="s">
        <v>209</v>
      </c>
      <c r="F87" s="127" t="s">
        <v>96</v>
      </c>
      <c r="G87" s="127"/>
      <c r="H87" s="127"/>
      <c r="I87" s="127"/>
      <c r="J87" s="127"/>
      <c r="K87" s="127"/>
      <c r="L87" s="127"/>
      <c r="M87" s="128" t="s">
        <v>477</v>
      </c>
      <c r="N87" s="129">
        <v>41052</v>
      </c>
      <c r="O87" s="124" t="s">
        <v>51</v>
      </c>
      <c r="P87" s="124">
        <v>1</v>
      </c>
      <c r="Q87" s="130">
        <v>1</v>
      </c>
      <c r="R87" s="131"/>
      <c r="S87" s="132"/>
      <c r="T87" s="129">
        <v>41052</v>
      </c>
      <c r="U87" s="128" t="s">
        <v>478</v>
      </c>
      <c r="V87" s="124"/>
      <c r="W87" s="124" t="s">
        <v>52</v>
      </c>
      <c r="X87" s="124"/>
      <c r="Y87" s="133">
        <f>IF(Planeador[[#This Row],[Aprobado]]="A",NETWORKDAYS(Planeador[[#This Row],[Fecha de Solicitud]],Planeador[[#This Row],[Fecha de Entrega]]),"0")</f>
        <v>1</v>
      </c>
      <c r="Z87" s="134">
        <f>IF(Planeador[[#This Row],[Dificultad]]&lt;&gt;"",Planeador[[#This Row],[ΔT]]*Planeador[[#This Row],[Dificultad]],"0")</f>
        <v>1</v>
      </c>
      <c r="AA87" s="134">
        <f>IF(Planeador[[#This Row],[Dificultad]]&lt;&gt;"",Planeador[[#This Row],[ΔT]]/Planeador[[#This Row],[Dificultad]],"0")</f>
        <v>1</v>
      </c>
      <c r="AB87" s="134">
        <f>IF(Planeador[[#This Row],[Aprobado]]="A",NETWORKDAYS(Planeador[[#This Row],[Fecha de Solicitud]],Planeador[[#This Row],[Fecha de Entrega]])/5,"0,00")</f>
        <v>0.2</v>
      </c>
    </row>
    <row r="88" spans="2:28" ht="42" customHeight="1">
      <c r="B88" s="3" t="s">
        <v>479</v>
      </c>
      <c r="C88" s="125" t="s">
        <v>480</v>
      </c>
      <c r="D88" s="126" t="s">
        <v>50</v>
      </c>
      <c r="E88" s="126" t="s">
        <v>55</v>
      </c>
      <c r="F88" s="127"/>
      <c r="G88" s="127" t="s">
        <v>96</v>
      </c>
      <c r="H88" s="127" t="s">
        <v>96</v>
      </c>
      <c r="I88" s="127" t="s">
        <v>96</v>
      </c>
      <c r="J88" s="127"/>
      <c r="K88" s="127"/>
      <c r="L88" s="127"/>
      <c r="M88" s="128" t="s">
        <v>481</v>
      </c>
      <c r="N88" s="129">
        <v>41052</v>
      </c>
      <c r="O88" s="124" t="s">
        <v>52</v>
      </c>
      <c r="P88" s="124">
        <v>4</v>
      </c>
      <c r="Q88" s="130">
        <v>1</v>
      </c>
      <c r="R88" s="131"/>
      <c r="S88" s="132">
        <v>41052</v>
      </c>
      <c r="T88" s="129">
        <v>41053</v>
      </c>
      <c r="U88" s="128" t="s">
        <v>482</v>
      </c>
      <c r="V88" s="124"/>
      <c r="W88" s="3" t="s">
        <v>52</v>
      </c>
      <c r="X88" s="124"/>
      <c r="Y88" s="133">
        <f>IF(Planeador[[#This Row],[Aprobado]]="A",NETWORKDAYS(Planeador[[#This Row],[Fecha de Solicitud]],Planeador[[#This Row],[Fecha de Entrega]]),"0")</f>
        <v>2</v>
      </c>
      <c r="Z88" s="134">
        <f>IF(Planeador[[#This Row],[Dificultad]]&lt;&gt;"",Planeador[[#This Row],[ΔT]]*Planeador[[#This Row],[Dificultad]],"0")</f>
        <v>8</v>
      </c>
      <c r="AA88" s="134">
        <f>IF(Planeador[[#This Row],[Dificultad]]&lt;&gt;"",Planeador[[#This Row],[ΔT]]/Planeador[[#This Row],[Dificultad]],"0")</f>
        <v>0.5</v>
      </c>
      <c r="AB88" s="134">
        <f>IF(Planeador[[#This Row],[Aprobado]]="A",NETWORKDAYS(Planeador[[#This Row],[Fecha de Solicitud]],Planeador[[#This Row],[Fecha de Entrega]])/5,"0,00")</f>
        <v>0.4</v>
      </c>
    </row>
    <row r="89" spans="2:28" ht="42" customHeight="1">
      <c r="B89" s="3" t="s">
        <v>483</v>
      </c>
      <c r="C89" s="125" t="s">
        <v>428</v>
      </c>
      <c r="D89" s="126" t="s">
        <v>61</v>
      </c>
      <c r="E89" s="126" t="s">
        <v>55</v>
      </c>
      <c r="F89" s="127"/>
      <c r="G89" s="127" t="s">
        <v>96</v>
      </c>
      <c r="H89" s="127" t="s">
        <v>96</v>
      </c>
      <c r="I89" s="127" t="s">
        <v>96</v>
      </c>
      <c r="J89" s="127"/>
      <c r="K89" s="127"/>
      <c r="L89" s="127"/>
      <c r="M89" s="14" t="s">
        <v>484</v>
      </c>
      <c r="N89" s="129">
        <v>41052</v>
      </c>
      <c r="O89" s="124" t="s">
        <v>52</v>
      </c>
      <c r="P89" s="124">
        <v>6</v>
      </c>
      <c r="Q89" s="130">
        <v>1</v>
      </c>
      <c r="R89" s="131"/>
      <c r="S89" s="132"/>
      <c r="T89" s="129">
        <v>41060</v>
      </c>
      <c r="U89" s="128" t="s">
        <v>485</v>
      </c>
      <c r="V89" s="124"/>
      <c r="W89" s="3" t="s">
        <v>52</v>
      </c>
      <c r="X89" s="124"/>
      <c r="Y89" s="133">
        <f>IF(Planeador[[#This Row],[Aprobado]]="A",NETWORKDAYS(Planeador[[#This Row],[Fecha de Solicitud]],Planeador[[#This Row],[Fecha de Entrega]]),"0")</f>
        <v>7</v>
      </c>
      <c r="Z89" s="134">
        <f>IF(Planeador[[#This Row],[Dificultad]]&lt;&gt;"",Planeador[[#This Row],[ΔT]]*Planeador[[#This Row],[Dificultad]],"0")</f>
        <v>42</v>
      </c>
      <c r="AA89" s="134">
        <f>IF(Planeador[[#This Row],[Dificultad]]&lt;&gt;"",Planeador[[#This Row],[ΔT]]/Planeador[[#This Row],[Dificultad]],"0")</f>
        <v>1.1666666666666667</v>
      </c>
      <c r="AB89" s="134">
        <f>IF(Planeador[[#This Row],[Aprobado]]="A",NETWORKDAYS(Planeador[[#This Row],[Fecha de Solicitud]],Planeador[[#This Row],[Fecha de Entrega]])/5,"0,00")</f>
        <v>1.4</v>
      </c>
    </row>
    <row r="90" spans="2:28" ht="42" customHeight="1">
      <c r="B90" s="3" t="s">
        <v>486</v>
      </c>
      <c r="C90" s="89" t="s">
        <v>493</v>
      </c>
      <c r="D90" s="126" t="s">
        <v>67</v>
      </c>
      <c r="E90" s="126" t="s">
        <v>181</v>
      </c>
      <c r="F90" s="127"/>
      <c r="G90" s="127" t="s">
        <v>96</v>
      </c>
      <c r="H90" s="127"/>
      <c r="I90" s="127" t="s">
        <v>96</v>
      </c>
      <c r="J90" s="127"/>
      <c r="K90" s="127"/>
      <c r="L90" s="127"/>
      <c r="M90" s="14" t="s">
        <v>489</v>
      </c>
      <c r="N90" s="129">
        <v>41052</v>
      </c>
      <c r="O90" s="124" t="s">
        <v>154</v>
      </c>
      <c r="P90" s="124">
        <v>4</v>
      </c>
      <c r="Q90" s="130">
        <v>1</v>
      </c>
      <c r="R90" s="131"/>
      <c r="S90" s="132">
        <v>41053</v>
      </c>
      <c r="T90" s="129">
        <v>41053</v>
      </c>
      <c r="U90" s="128"/>
      <c r="V90" s="124"/>
      <c r="W90" s="3" t="s">
        <v>52</v>
      </c>
      <c r="X90" s="3" t="s">
        <v>494</v>
      </c>
      <c r="Y90" s="133">
        <f>IF(Planeador[[#This Row],[Aprobado]]="A",NETWORKDAYS(Planeador[[#This Row],[Fecha de Solicitud]],Planeador[[#This Row],[Fecha de Entrega]]),"0")</f>
        <v>2</v>
      </c>
      <c r="Z90" s="134">
        <f>IF(Planeador[[#This Row],[Dificultad]]&lt;&gt;"",Planeador[[#This Row],[ΔT]]*Planeador[[#This Row],[Dificultad]],"0")</f>
        <v>8</v>
      </c>
      <c r="AA90" s="134">
        <f>IF(Planeador[[#This Row],[Dificultad]]&lt;&gt;"",Planeador[[#This Row],[ΔT]]/Planeador[[#This Row],[Dificultad]],"0")</f>
        <v>0.5</v>
      </c>
      <c r="AB90" s="134">
        <f>IF(Planeador[[#This Row],[Aprobado]]="A",NETWORKDAYS(Planeador[[#This Row],[Fecha de Solicitud]],Planeador[[#This Row],[Fecha de Entrega]])/5,"0,00")</f>
        <v>0.4</v>
      </c>
    </row>
    <row r="91" spans="2:28" ht="42" customHeight="1">
      <c r="B91" s="3" t="s">
        <v>487</v>
      </c>
      <c r="C91" s="125" t="s">
        <v>372</v>
      </c>
      <c r="D91" s="126" t="s">
        <v>61</v>
      </c>
      <c r="E91" s="126" t="s">
        <v>62</v>
      </c>
      <c r="F91" s="127"/>
      <c r="G91" s="127" t="s">
        <v>96</v>
      </c>
      <c r="H91" s="127"/>
      <c r="I91" s="127" t="s">
        <v>96</v>
      </c>
      <c r="J91" s="127"/>
      <c r="K91" s="127"/>
      <c r="L91" s="127"/>
      <c r="M91" s="128" t="s">
        <v>488</v>
      </c>
      <c r="N91" s="129">
        <v>41053</v>
      </c>
      <c r="O91" s="124" t="s">
        <v>154</v>
      </c>
      <c r="P91" s="124">
        <v>3</v>
      </c>
      <c r="Q91" s="130">
        <v>1</v>
      </c>
      <c r="R91" s="131" t="s">
        <v>96</v>
      </c>
      <c r="S91" s="132">
        <v>41053</v>
      </c>
      <c r="T91" s="129">
        <v>41053</v>
      </c>
      <c r="U91" s="128"/>
      <c r="V91" s="124"/>
      <c r="W91" s="124" t="s">
        <v>52</v>
      </c>
      <c r="X91" s="124"/>
      <c r="Y91" s="133">
        <f>IF(Planeador[[#This Row],[Aprobado]]="A",NETWORKDAYS(Planeador[[#This Row],[Fecha de Solicitud]],Planeador[[#This Row],[Fecha de Entrega]]),"0")</f>
        <v>1</v>
      </c>
      <c r="Z91" s="134">
        <f>IF(Planeador[[#This Row],[Dificultad]]&lt;&gt;"",Planeador[[#This Row],[ΔT]]*Planeador[[#This Row],[Dificultad]],"0")</f>
        <v>3</v>
      </c>
      <c r="AA91" s="134">
        <f>IF(Planeador[[#This Row],[Dificultad]]&lt;&gt;"",Planeador[[#This Row],[ΔT]]/Planeador[[#This Row],[Dificultad]],"0")</f>
        <v>0.33333333333333331</v>
      </c>
      <c r="AB91" s="134">
        <f>IF(Planeador[[#This Row],[Aprobado]]="A",NETWORKDAYS(Planeador[[#This Row],[Fecha de Solicitud]],Planeador[[#This Row],[Fecha de Entrega]])/5,"0,00")</f>
        <v>0.2</v>
      </c>
    </row>
    <row r="92" spans="2:28" ht="42" customHeight="1">
      <c r="B92" s="3" t="s">
        <v>490</v>
      </c>
      <c r="C92" s="89" t="s">
        <v>425</v>
      </c>
      <c r="D92" s="8" t="s">
        <v>61</v>
      </c>
      <c r="E92" s="8" t="s">
        <v>181</v>
      </c>
      <c r="F92" s="7" t="s">
        <v>96</v>
      </c>
      <c r="G92" s="7" t="s">
        <v>96</v>
      </c>
      <c r="H92" s="7"/>
      <c r="M92" s="14" t="s">
        <v>491</v>
      </c>
      <c r="N92" s="9">
        <v>41053</v>
      </c>
      <c r="O92" s="3" t="s">
        <v>154</v>
      </c>
      <c r="P92" s="3">
        <v>4</v>
      </c>
      <c r="Q92" s="12">
        <v>1</v>
      </c>
      <c r="R92" s="56" t="s">
        <v>96</v>
      </c>
      <c r="S92" s="18">
        <v>41053</v>
      </c>
      <c r="T92" s="9">
        <v>41053</v>
      </c>
      <c r="U92" s="14"/>
      <c r="W92" s="3" t="s">
        <v>52</v>
      </c>
      <c r="X92" s="3" t="s">
        <v>492</v>
      </c>
      <c r="Y92" s="66">
        <f>IF(Planeador[[#This Row],[Aprobado]]="A",NETWORKDAYS(Planeador[[#This Row],[Fecha de Solicitud]],Planeador[[#This Row],[Fecha de Entrega]]),"0")</f>
        <v>1</v>
      </c>
      <c r="Z92" s="65">
        <f>IF(Planeador[[#This Row],[Dificultad]]&lt;&gt;"",Planeador[[#This Row],[ΔT]]*Planeador[[#This Row],[Dificultad]],"0")</f>
        <v>4</v>
      </c>
      <c r="AA92" s="65">
        <f>IF(Planeador[[#This Row],[Dificultad]]&lt;&gt;"",Planeador[[#This Row],[ΔT]]/Planeador[[#This Row],[Dificultad]],"0")</f>
        <v>0.25</v>
      </c>
      <c r="AB92" s="65">
        <f>IF(Planeador[[#This Row],[Aprobado]]="A",NETWORKDAYS(Planeador[[#This Row],[Fecha de Solicitud]],Planeador[[#This Row],[Fecha de Entrega]])/5,"0,00")</f>
        <v>0.2</v>
      </c>
    </row>
    <row r="93" spans="2:28" ht="42" customHeight="1">
      <c r="B93" s="3" t="s">
        <v>495</v>
      </c>
      <c r="C93" s="136" t="s">
        <v>496</v>
      </c>
      <c r="D93" s="137" t="s">
        <v>61</v>
      </c>
      <c r="E93" s="137" t="s">
        <v>62</v>
      </c>
      <c r="F93" s="138"/>
      <c r="G93" s="138" t="s">
        <v>96</v>
      </c>
      <c r="H93" s="138"/>
      <c r="I93" s="138" t="s">
        <v>96</v>
      </c>
      <c r="J93" s="138"/>
      <c r="K93" s="138"/>
      <c r="L93" s="138"/>
      <c r="M93" s="139" t="s">
        <v>497</v>
      </c>
      <c r="N93" s="140">
        <v>41053</v>
      </c>
      <c r="O93" s="135" t="s">
        <v>51</v>
      </c>
      <c r="P93" s="135">
        <v>5</v>
      </c>
      <c r="Q93" s="141">
        <v>0.1</v>
      </c>
      <c r="R93" s="142"/>
      <c r="S93" s="143">
        <v>41054</v>
      </c>
      <c r="T93" s="140"/>
      <c r="U93" s="139" t="s">
        <v>512</v>
      </c>
      <c r="V93" s="135"/>
      <c r="W93" s="135" t="s">
        <v>102</v>
      </c>
      <c r="X93" s="135"/>
      <c r="Y93" s="144" t="str">
        <f>IF(Planeador[[#This Row],[Aprobado]]="A",NETWORKDAYS(Planeador[[#This Row],[Fecha de Solicitud]],Planeador[[#This Row],[Fecha de Entrega]]),"0")</f>
        <v>0</v>
      </c>
      <c r="Z93" s="145">
        <f>IF(Planeador[[#This Row],[Dificultad]]&lt;&gt;"",Planeador[[#This Row],[ΔT]]*Planeador[[#This Row],[Dificultad]],"0")</f>
        <v>0</v>
      </c>
      <c r="AA93" s="145">
        <f>IF(Planeador[[#This Row],[Dificultad]]&lt;&gt;"",Planeador[[#This Row],[ΔT]]/Planeador[[#This Row],[Dificultad]],"0")</f>
        <v>0</v>
      </c>
      <c r="AB93" s="145" t="str">
        <f>IF(Planeador[[#This Row],[Aprobado]]="A",NETWORKDAYS(Planeador[[#This Row],[Fecha de Solicitud]],Planeador[[#This Row],[Fecha de Entrega]])/5,"0,00")</f>
        <v>0,00</v>
      </c>
    </row>
    <row r="94" spans="2:28" ht="42" customHeight="1">
      <c r="B94" s="3" t="s">
        <v>498</v>
      </c>
      <c r="C94" s="89" t="s">
        <v>501</v>
      </c>
      <c r="D94" s="8" t="s">
        <v>499</v>
      </c>
      <c r="E94" s="8" t="s">
        <v>62</v>
      </c>
      <c r="F94" s="7" t="s">
        <v>96</v>
      </c>
      <c r="G94" s="7" t="s">
        <v>96</v>
      </c>
      <c r="H94" s="138"/>
      <c r="I94" s="7" t="s">
        <v>96</v>
      </c>
      <c r="J94" s="138"/>
      <c r="K94" s="138"/>
      <c r="L94" s="138"/>
      <c r="M94" s="14" t="s">
        <v>502</v>
      </c>
      <c r="N94" s="140">
        <v>41053</v>
      </c>
      <c r="O94" s="3" t="s">
        <v>52</v>
      </c>
      <c r="P94" s="135">
        <v>6</v>
      </c>
      <c r="Q94" s="141">
        <v>1</v>
      </c>
      <c r="R94" s="142"/>
      <c r="S94" s="143">
        <v>41054</v>
      </c>
      <c r="T94" s="140">
        <v>41058</v>
      </c>
      <c r="U94" s="139"/>
      <c r="V94" s="135"/>
      <c r="W94" s="135" t="s">
        <v>52</v>
      </c>
      <c r="X94" s="135"/>
      <c r="Y94" s="144">
        <f>IF(Planeador[[#This Row],[Aprobado]]="A",NETWORKDAYS(Planeador[[#This Row],[Fecha de Solicitud]],Planeador[[#This Row],[Fecha de Entrega]]),"0")</f>
        <v>4</v>
      </c>
      <c r="Z94" s="145">
        <f>IF(Planeador[[#This Row],[Dificultad]]&lt;&gt;"",Planeador[[#This Row],[ΔT]]*Planeador[[#This Row],[Dificultad]],"0")</f>
        <v>24</v>
      </c>
      <c r="AA94" s="145">
        <f>IF(Planeador[[#This Row],[Dificultad]]&lt;&gt;"",Planeador[[#This Row],[ΔT]]/Planeador[[#This Row],[Dificultad]],"0")</f>
        <v>0.66666666666666663</v>
      </c>
      <c r="AB94" s="145">
        <f>IF(Planeador[[#This Row],[Aprobado]]="A",NETWORKDAYS(Planeador[[#This Row],[Fecha de Solicitud]],Planeador[[#This Row],[Fecha de Entrega]])/5,"0,00")</f>
        <v>0.8</v>
      </c>
    </row>
    <row r="95" spans="2:28" ht="42" customHeight="1">
      <c r="B95" s="3" t="s">
        <v>503</v>
      </c>
      <c r="C95" s="136" t="s">
        <v>493</v>
      </c>
      <c r="D95" s="137" t="s">
        <v>124</v>
      </c>
      <c r="E95" s="137" t="s">
        <v>181</v>
      </c>
      <c r="F95" s="138" t="s">
        <v>96</v>
      </c>
      <c r="G95" s="138" t="s">
        <v>96</v>
      </c>
      <c r="H95" s="138" t="s">
        <v>96</v>
      </c>
      <c r="I95" s="138"/>
      <c r="J95" s="138"/>
      <c r="K95" s="138"/>
      <c r="L95" s="138"/>
      <c r="M95" s="139" t="s">
        <v>504</v>
      </c>
      <c r="N95" s="140">
        <v>41055</v>
      </c>
      <c r="O95" s="135" t="s">
        <v>52</v>
      </c>
      <c r="P95" s="135">
        <v>3</v>
      </c>
      <c r="Q95" s="141">
        <v>1</v>
      </c>
      <c r="R95" s="142"/>
      <c r="S95" s="143">
        <v>41055</v>
      </c>
      <c r="T95" s="140">
        <v>41055</v>
      </c>
      <c r="U95" s="139"/>
      <c r="V95" s="135"/>
      <c r="W95" s="135" t="s">
        <v>52</v>
      </c>
      <c r="X95" s="135"/>
      <c r="Y95" s="144">
        <f>IF(Planeador[[#This Row],[Aprobado]]="A",NETWORKDAYS(Planeador[[#This Row],[Fecha de Solicitud]],Planeador[[#This Row],[Fecha de Entrega]]),"0")</f>
        <v>0</v>
      </c>
      <c r="Z95" s="145">
        <f>IF(Planeador[[#This Row],[Dificultad]]&lt;&gt;"",Planeador[[#This Row],[ΔT]]*Planeador[[#This Row],[Dificultad]],"0")</f>
        <v>0</v>
      </c>
      <c r="AA95" s="145">
        <f>IF(Planeador[[#This Row],[Dificultad]]&lt;&gt;"",Planeador[[#This Row],[ΔT]]/Planeador[[#This Row],[Dificultad]],"0")</f>
        <v>0</v>
      </c>
      <c r="AB95" s="145">
        <f>IF(Planeador[[#This Row],[Aprobado]]="A",NETWORKDAYS(Planeador[[#This Row],[Fecha de Solicitud]],Planeador[[#This Row],[Fecha de Entrega]])/5,"0,00")</f>
        <v>0</v>
      </c>
    </row>
    <row r="96" spans="2:28" ht="42" customHeight="1">
      <c r="B96" s="135" t="s">
        <v>505</v>
      </c>
      <c r="C96" s="136" t="s">
        <v>506</v>
      </c>
      <c r="D96" s="137" t="s">
        <v>61</v>
      </c>
      <c r="E96" s="137" t="s">
        <v>181</v>
      </c>
      <c r="F96" s="138"/>
      <c r="G96" s="138" t="s">
        <v>96</v>
      </c>
      <c r="H96" s="138"/>
      <c r="I96" s="138" t="s">
        <v>96</v>
      </c>
      <c r="J96" s="138"/>
      <c r="K96" s="138"/>
      <c r="L96" s="138"/>
      <c r="M96" s="139" t="s">
        <v>507</v>
      </c>
      <c r="N96" s="140">
        <v>41057</v>
      </c>
      <c r="O96" s="135" t="s">
        <v>52</v>
      </c>
      <c r="P96" s="135">
        <v>3</v>
      </c>
      <c r="Q96" s="141">
        <v>1</v>
      </c>
      <c r="R96" s="142"/>
      <c r="S96" s="143">
        <v>41057</v>
      </c>
      <c r="T96" s="140">
        <v>41057</v>
      </c>
      <c r="U96" s="139"/>
      <c r="V96" s="135"/>
      <c r="W96" s="135" t="s">
        <v>52</v>
      </c>
      <c r="X96" s="3" t="s">
        <v>508</v>
      </c>
      <c r="Y96" s="144">
        <f>IF(Planeador[[#This Row],[Aprobado]]="A",NETWORKDAYS(Planeador[[#This Row],[Fecha de Solicitud]],Planeador[[#This Row],[Fecha de Entrega]]),"0")</f>
        <v>1</v>
      </c>
      <c r="Z96" s="145">
        <f>IF(Planeador[[#This Row],[Dificultad]]&lt;&gt;"",Planeador[[#This Row],[ΔT]]*Planeador[[#This Row],[Dificultad]],"0")</f>
        <v>3</v>
      </c>
      <c r="AA96" s="145">
        <f>IF(Planeador[[#This Row],[Dificultad]]&lt;&gt;"",Planeador[[#This Row],[ΔT]]/Planeador[[#This Row],[Dificultad]],"0")</f>
        <v>0.33333333333333331</v>
      </c>
      <c r="AB96" s="145">
        <f>IF(Planeador[[#This Row],[Aprobado]]="A",NETWORKDAYS(Planeador[[#This Row],[Fecha de Solicitud]],Planeador[[#This Row],[Fecha de Entrega]])/5,"0,00")</f>
        <v>0.2</v>
      </c>
    </row>
    <row r="97" spans="2:28" ht="42" customHeight="1">
      <c r="B97" s="135" t="s">
        <v>509</v>
      </c>
      <c r="C97" s="136" t="s">
        <v>411</v>
      </c>
      <c r="D97" s="137" t="s">
        <v>61</v>
      </c>
      <c r="E97" s="137" t="s">
        <v>57</v>
      </c>
      <c r="F97" s="138" t="s">
        <v>96</v>
      </c>
      <c r="G97" s="138"/>
      <c r="H97" s="138"/>
      <c r="I97" s="138"/>
      <c r="J97" s="138"/>
      <c r="K97" s="138"/>
      <c r="L97" s="138"/>
      <c r="M97" s="139" t="s">
        <v>510</v>
      </c>
      <c r="N97" s="140">
        <v>41059</v>
      </c>
      <c r="O97" s="135" t="s">
        <v>154</v>
      </c>
      <c r="P97" s="135">
        <v>2</v>
      </c>
      <c r="Q97" s="141">
        <v>1</v>
      </c>
      <c r="R97" s="142"/>
      <c r="S97" s="143">
        <v>41059</v>
      </c>
      <c r="T97" s="140">
        <v>41059</v>
      </c>
      <c r="U97" s="139"/>
      <c r="V97" s="135"/>
      <c r="W97" s="135" t="s">
        <v>52</v>
      </c>
      <c r="X97" s="135"/>
      <c r="Y97" s="144">
        <f>IF(Planeador[[#This Row],[Aprobado]]="A",NETWORKDAYS(Planeador[[#This Row],[Fecha de Solicitud]],Planeador[[#This Row],[Fecha de Entrega]]),"0")</f>
        <v>1</v>
      </c>
      <c r="Z97" s="145">
        <f>IF(Planeador[[#This Row],[Dificultad]]&lt;&gt;"",Planeador[[#This Row],[ΔT]]*Planeador[[#This Row],[Dificultad]],"0")</f>
        <v>2</v>
      </c>
      <c r="AA97" s="145">
        <f>IF(Planeador[[#This Row],[Dificultad]]&lt;&gt;"",Planeador[[#This Row],[ΔT]]/Planeador[[#This Row],[Dificultad]],"0")</f>
        <v>0.5</v>
      </c>
      <c r="AB97" s="145">
        <f>IF(Planeador[[#This Row],[Aprobado]]="A",NETWORKDAYS(Planeador[[#This Row],[Fecha de Solicitud]],Planeador[[#This Row],[Fecha de Entrega]])/5,"0,00")</f>
        <v>0.2</v>
      </c>
    </row>
    <row r="98" spans="2:28" ht="42" customHeight="1">
      <c r="B98" s="135" t="s">
        <v>513</v>
      </c>
      <c r="C98" s="136" t="s">
        <v>514</v>
      </c>
      <c r="D98" s="137" t="s">
        <v>124</v>
      </c>
      <c r="E98" s="137" t="s">
        <v>181</v>
      </c>
      <c r="F98" s="138"/>
      <c r="G98" s="138" t="s">
        <v>96</v>
      </c>
      <c r="H98" s="138"/>
      <c r="I98" s="138" t="s">
        <v>96</v>
      </c>
      <c r="J98" s="138"/>
      <c r="K98" s="138"/>
      <c r="L98" s="138"/>
      <c r="M98" s="139" t="s">
        <v>515</v>
      </c>
      <c r="N98" s="140">
        <v>41060</v>
      </c>
      <c r="O98" s="135" t="s">
        <v>51</v>
      </c>
      <c r="P98" s="135">
        <v>2</v>
      </c>
      <c r="Q98" s="141">
        <v>1</v>
      </c>
      <c r="R98" s="142"/>
      <c r="S98" s="143">
        <v>41061</v>
      </c>
      <c r="T98" s="140">
        <v>41065</v>
      </c>
      <c r="U98" s="139" t="s">
        <v>516</v>
      </c>
      <c r="V98" s="135"/>
      <c r="W98" s="135" t="s">
        <v>52</v>
      </c>
      <c r="X98" s="3" t="s">
        <v>535</v>
      </c>
      <c r="Y98" s="144">
        <f>IF(Planeador[[#This Row],[Aprobado]]="A",NETWORKDAYS(Planeador[[#This Row],[Fecha de Solicitud]],Planeador[[#This Row],[Fecha de Entrega]]),"0")</f>
        <v>4</v>
      </c>
      <c r="Z98" s="145">
        <f>IF(Planeador[[#This Row],[Dificultad]]&lt;&gt;"",Planeador[[#This Row],[ΔT]]*Planeador[[#This Row],[Dificultad]],"0")</f>
        <v>8</v>
      </c>
      <c r="AA98" s="145">
        <f>IF(Planeador[[#This Row],[Dificultad]]&lt;&gt;"",Planeador[[#This Row],[ΔT]]/Planeador[[#This Row],[Dificultad]],"0")</f>
        <v>2</v>
      </c>
      <c r="AB98" s="145">
        <f>IF(Planeador[[#This Row],[Aprobado]]="A",NETWORKDAYS(Planeador[[#This Row],[Fecha de Solicitud]],Planeador[[#This Row],[Fecha de Entrega]])/5,"0,00")</f>
        <v>0.8</v>
      </c>
    </row>
    <row r="99" spans="2:28" ht="42" customHeight="1">
      <c r="B99" s="135" t="s">
        <v>517</v>
      </c>
      <c r="C99" s="136" t="s">
        <v>496</v>
      </c>
      <c r="D99" s="137" t="s">
        <v>61</v>
      </c>
      <c r="E99" s="137" t="s">
        <v>55</v>
      </c>
      <c r="F99" s="138"/>
      <c r="G99" s="138" t="s">
        <v>96</v>
      </c>
      <c r="H99" s="138" t="s">
        <v>96</v>
      </c>
      <c r="I99" s="138" t="s">
        <v>96</v>
      </c>
      <c r="J99" s="138"/>
      <c r="K99" s="138"/>
      <c r="L99" s="138"/>
      <c r="M99" s="139" t="s">
        <v>518</v>
      </c>
      <c r="N99" s="140">
        <v>41061</v>
      </c>
      <c r="O99" s="135" t="s">
        <v>52</v>
      </c>
      <c r="P99" s="135">
        <v>3</v>
      </c>
      <c r="Q99" s="141">
        <v>1</v>
      </c>
      <c r="R99" s="142"/>
      <c r="S99" s="143">
        <v>41061</v>
      </c>
      <c r="T99" s="140"/>
      <c r="U99" s="139"/>
      <c r="V99" s="135" t="s">
        <v>214</v>
      </c>
      <c r="W99" s="135" t="s">
        <v>52</v>
      </c>
      <c r="X99" s="135"/>
      <c r="Y99" s="144">
        <f>IF(Planeador[[#This Row],[Aprobado]]="A",NETWORKDAYS(Planeador[[#This Row],[Fecha de Solicitud]],Planeador[[#This Row],[Fecha de Entrega]]),"0")</f>
        <v>-29330</v>
      </c>
      <c r="Z99" s="145">
        <f>IF(Planeador[[#This Row],[Dificultad]]&lt;&gt;"",Planeador[[#This Row],[ΔT]]*Planeador[[#This Row],[Dificultad]],"0")</f>
        <v>-87990</v>
      </c>
      <c r="AA99" s="145">
        <f>IF(Planeador[[#This Row],[Dificultad]]&lt;&gt;"",Planeador[[#This Row],[ΔT]]/Planeador[[#This Row],[Dificultad]],"0")</f>
        <v>-9776.6666666666661</v>
      </c>
      <c r="AB99" s="145">
        <f>IF(Planeador[[#This Row],[Aprobado]]="A",NETWORKDAYS(Planeador[[#This Row],[Fecha de Solicitud]],Planeador[[#This Row],[Fecha de Entrega]])/5,"0,00")</f>
        <v>-5866</v>
      </c>
    </row>
    <row r="100" spans="2:28" ht="42" customHeight="1">
      <c r="B100" s="135" t="s">
        <v>519</v>
      </c>
      <c r="C100" s="136" t="s">
        <v>521</v>
      </c>
      <c r="D100" s="137" t="s">
        <v>499</v>
      </c>
      <c r="E100" s="137" t="s">
        <v>62</v>
      </c>
      <c r="F100" s="138"/>
      <c r="G100" s="138" t="s">
        <v>96</v>
      </c>
      <c r="H100" s="138"/>
      <c r="I100" s="138" t="s">
        <v>96</v>
      </c>
      <c r="J100" s="138"/>
      <c r="K100" s="138"/>
      <c r="L100" s="138"/>
      <c r="M100" s="139" t="s">
        <v>520</v>
      </c>
      <c r="N100" s="140">
        <v>41062</v>
      </c>
      <c r="O100" s="135" t="s">
        <v>51</v>
      </c>
      <c r="P100" s="135">
        <v>4</v>
      </c>
      <c r="Q100" s="141">
        <v>1</v>
      </c>
      <c r="R100" s="142"/>
      <c r="S100" s="143">
        <v>41062</v>
      </c>
      <c r="T100" s="140">
        <v>41062</v>
      </c>
      <c r="U100" s="139"/>
      <c r="V100" s="135"/>
      <c r="W100" s="135" t="s">
        <v>52</v>
      </c>
      <c r="X100" s="135"/>
      <c r="Y100" s="144">
        <f>IF(Planeador[[#This Row],[Aprobado]]="A",NETWORKDAYS(Planeador[[#This Row],[Fecha de Solicitud]],Planeador[[#This Row],[Fecha de Entrega]]),"0")</f>
        <v>0</v>
      </c>
      <c r="Z100" s="145">
        <f>IF(Planeador[[#This Row],[Dificultad]]&lt;&gt;"",Planeador[[#This Row],[ΔT]]*Planeador[[#This Row],[Dificultad]],"0")</f>
        <v>0</v>
      </c>
      <c r="AA100" s="145">
        <f>IF(Planeador[[#This Row],[Dificultad]]&lt;&gt;"",Planeador[[#This Row],[ΔT]]/Planeador[[#This Row],[Dificultad]],"0")</f>
        <v>0</v>
      </c>
      <c r="AB100" s="145">
        <f>IF(Planeador[[#This Row],[Aprobado]]="A",NETWORKDAYS(Planeador[[#This Row],[Fecha de Solicitud]],Planeador[[#This Row],[Fecha de Entrega]])/5,"0,00")</f>
        <v>0</v>
      </c>
    </row>
    <row r="101" spans="2:28" ht="42" customHeight="1">
      <c r="B101" s="135" t="s">
        <v>522</v>
      </c>
      <c r="C101" s="136" t="s">
        <v>523</v>
      </c>
      <c r="D101" s="137" t="s">
        <v>61</v>
      </c>
      <c r="E101" s="137" t="s">
        <v>524</v>
      </c>
      <c r="F101" s="138" t="s">
        <v>96</v>
      </c>
      <c r="G101" s="138"/>
      <c r="H101" s="138"/>
      <c r="I101" s="138"/>
      <c r="J101" s="138"/>
      <c r="K101" s="138"/>
      <c r="L101" s="138"/>
      <c r="M101" s="139" t="s">
        <v>525</v>
      </c>
      <c r="N101" s="140">
        <v>41061</v>
      </c>
      <c r="O101" s="135" t="s">
        <v>52</v>
      </c>
      <c r="P101" s="135">
        <v>2</v>
      </c>
      <c r="Q101" s="141">
        <v>1</v>
      </c>
      <c r="R101" s="142"/>
      <c r="S101" s="143">
        <v>41061</v>
      </c>
      <c r="T101" s="140">
        <v>41061</v>
      </c>
      <c r="U101" s="139"/>
      <c r="V101" s="135"/>
      <c r="W101" s="135" t="s">
        <v>52</v>
      </c>
      <c r="X101" s="135" t="s">
        <v>528</v>
      </c>
      <c r="Y101" s="144">
        <f>IF(Planeador[[#This Row],[Aprobado]]="A",NETWORKDAYS(Planeador[[#This Row],[Fecha de Solicitud]],Planeador[[#This Row],[Fecha de Entrega]]),"0")</f>
        <v>1</v>
      </c>
      <c r="Z101" s="145">
        <f>IF(Planeador[[#This Row],[Dificultad]]&lt;&gt;"",Planeador[[#This Row],[ΔT]]*Planeador[[#This Row],[Dificultad]],"0")</f>
        <v>2</v>
      </c>
      <c r="AA101" s="145">
        <f>IF(Planeador[[#This Row],[Dificultad]]&lt;&gt;"",Planeador[[#This Row],[ΔT]]/Planeador[[#This Row],[Dificultad]],"0")</f>
        <v>0.5</v>
      </c>
      <c r="AB101" s="145">
        <f>IF(Planeador[[#This Row],[Aprobado]]="A",NETWORKDAYS(Planeador[[#This Row],[Fecha de Solicitud]],Planeador[[#This Row],[Fecha de Entrega]])/5,"0,00")</f>
        <v>0.2</v>
      </c>
    </row>
    <row r="102" spans="2:28" ht="42" customHeight="1">
      <c r="B102" s="135" t="s">
        <v>526</v>
      </c>
      <c r="C102" s="136" t="s">
        <v>227</v>
      </c>
      <c r="D102" s="137" t="s">
        <v>124</v>
      </c>
      <c r="E102" s="8" t="s">
        <v>181</v>
      </c>
      <c r="F102" s="138"/>
      <c r="G102" s="138" t="s">
        <v>96</v>
      </c>
      <c r="H102" s="138"/>
      <c r="I102" s="138" t="s">
        <v>96</v>
      </c>
      <c r="J102" s="138"/>
      <c r="K102" s="138"/>
      <c r="L102" s="138"/>
      <c r="M102" s="139" t="s">
        <v>527</v>
      </c>
      <c r="N102" s="140">
        <v>41064</v>
      </c>
      <c r="O102" s="135" t="s">
        <v>51</v>
      </c>
      <c r="P102" s="135">
        <v>2</v>
      </c>
      <c r="Q102" s="141">
        <v>1</v>
      </c>
      <c r="R102" s="142"/>
      <c r="S102" s="143"/>
      <c r="T102" s="140">
        <v>41065</v>
      </c>
      <c r="U102" s="14" t="s">
        <v>534</v>
      </c>
      <c r="V102" s="135"/>
      <c r="W102" s="3" t="s">
        <v>52</v>
      </c>
      <c r="X102" s="3" t="s">
        <v>533</v>
      </c>
      <c r="Y102" s="144">
        <f>IF(Planeador[[#This Row],[Aprobado]]="A",NETWORKDAYS(Planeador[[#This Row],[Fecha de Solicitud]],Planeador[[#This Row],[Fecha de Entrega]]),"0")</f>
        <v>2</v>
      </c>
      <c r="Z102" s="145">
        <f>IF(Planeador[[#This Row],[Dificultad]]&lt;&gt;"",Planeador[[#This Row],[ΔT]]*Planeador[[#This Row],[Dificultad]],"0")</f>
        <v>4</v>
      </c>
      <c r="AA102" s="145">
        <f>IF(Planeador[[#This Row],[Dificultad]]&lt;&gt;"",Planeador[[#This Row],[ΔT]]/Planeador[[#This Row],[Dificultad]],"0")</f>
        <v>1</v>
      </c>
      <c r="AB102" s="145">
        <f>IF(Planeador[[#This Row],[Aprobado]]="A",NETWORKDAYS(Planeador[[#This Row],[Fecha de Solicitud]],Planeador[[#This Row],[Fecha de Entrega]])/5,"0,00")</f>
        <v>0.4</v>
      </c>
    </row>
    <row r="103" spans="2:28" ht="42" customHeight="1">
      <c r="B103" s="135" t="s">
        <v>529</v>
      </c>
      <c r="C103" s="136" t="s">
        <v>289</v>
      </c>
      <c r="D103" s="137" t="s">
        <v>67</v>
      </c>
      <c r="E103" s="137" t="s">
        <v>530</v>
      </c>
      <c r="F103" s="138" t="s">
        <v>96</v>
      </c>
      <c r="G103" s="138"/>
      <c r="H103" s="138"/>
      <c r="I103" s="138"/>
      <c r="J103" s="138"/>
      <c r="K103" s="138"/>
      <c r="L103" s="138"/>
      <c r="M103" s="139" t="s">
        <v>531</v>
      </c>
      <c r="N103" s="140">
        <v>41064</v>
      </c>
      <c r="O103" s="135" t="s">
        <v>52</v>
      </c>
      <c r="P103" s="135">
        <v>2</v>
      </c>
      <c r="Q103" s="141">
        <v>1</v>
      </c>
      <c r="R103" s="142"/>
      <c r="S103" s="143">
        <v>41064</v>
      </c>
      <c r="T103" s="140">
        <v>41065</v>
      </c>
      <c r="U103" s="14" t="s">
        <v>544</v>
      </c>
      <c r="V103" s="135"/>
      <c r="W103" s="135" t="s">
        <v>52</v>
      </c>
      <c r="X103" s="3" t="s">
        <v>532</v>
      </c>
      <c r="Y103" s="144">
        <f>IF(Planeador[[#This Row],[Aprobado]]="A",NETWORKDAYS(Planeador[[#This Row],[Fecha de Solicitud]],Planeador[[#This Row],[Fecha de Entrega]]),"0")</f>
        <v>2</v>
      </c>
      <c r="Z103" s="145">
        <f>IF(Planeador[[#This Row],[Dificultad]]&lt;&gt;"",Planeador[[#This Row],[ΔT]]*Planeador[[#This Row],[Dificultad]],"0")</f>
        <v>4</v>
      </c>
      <c r="AA103" s="145">
        <f>IF(Planeador[[#This Row],[Dificultad]]&lt;&gt;"",Planeador[[#This Row],[ΔT]]/Planeador[[#This Row],[Dificultad]],"0")</f>
        <v>1</v>
      </c>
      <c r="AB103" s="145">
        <f>IF(Planeador[[#This Row],[Aprobado]]="A",NETWORKDAYS(Planeador[[#This Row],[Fecha de Solicitud]],Planeador[[#This Row],[Fecha de Entrega]])/5,"0,00")</f>
        <v>0.4</v>
      </c>
    </row>
    <row r="104" spans="2:28" ht="42" customHeight="1">
      <c r="B104" s="135" t="s">
        <v>536</v>
      </c>
      <c r="C104" s="89" t="s">
        <v>312</v>
      </c>
      <c r="D104" s="137" t="s">
        <v>67</v>
      </c>
      <c r="E104" s="137" t="s">
        <v>537</v>
      </c>
      <c r="F104" s="138" t="s">
        <v>96</v>
      </c>
      <c r="G104" s="138" t="s">
        <v>96</v>
      </c>
      <c r="H104" s="138"/>
      <c r="I104" s="138"/>
      <c r="J104" s="138"/>
      <c r="K104" s="138"/>
      <c r="L104" s="138"/>
      <c r="M104" s="139" t="s">
        <v>538</v>
      </c>
      <c r="N104" s="140">
        <v>41065</v>
      </c>
      <c r="O104" s="135" t="s">
        <v>154</v>
      </c>
      <c r="P104" s="135">
        <v>3</v>
      </c>
      <c r="Q104" s="141">
        <v>1</v>
      </c>
      <c r="R104" s="142"/>
      <c r="S104" s="143">
        <v>41065</v>
      </c>
      <c r="T104" s="140">
        <v>41065</v>
      </c>
      <c r="U104" s="139"/>
      <c r="V104" s="135"/>
      <c r="W104" s="3" t="s">
        <v>52</v>
      </c>
      <c r="X104" s="3" t="s">
        <v>539</v>
      </c>
      <c r="Y104" s="144">
        <f>IF(Planeador[[#This Row],[Aprobado]]="A",NETWORKDAYS(Planeador[[#This Row],[Fecha de Solicitud]],Planeador[[#This Row],[Fecha de Entrega]]),"0")</f>
        <v>1</v>
      </c>
      <c r="Z104" s="145">
        <f>IF(Planeador[[#This Row],[Dificultad]]&lt;&gt;"",Planeador[[#This Row],[ΔT]]*Planeador[[#This Row],[Dificultad]],"0")</f>
        <v>3</v>
      </c>
      <c r="AA104" s="145">
        <f>IF(Planeador[[#This Row],[Dificultad]]&lt;&gt;"",Planeador[[#This Row],[ΔT]]/Planeador[[#This Row],[Dificultad]],"0")</f>
        <v>0.33333333333333331</v>
      </c>
      <c r="AB104" s="145">
        <f>IF(Planeador[[#This Row],[Aprobado]]="A",NETWORKDAYS(Planeador[[#This Row],[Fecha de Solicitud]],Planeador[[#This Row],[Fecha de Entrega]])/5,"0,00")</f>
        <v>0.2</v>
      </c>
    </row>
    <row r="105" spans="2:28" ht="42" customHeight="1">
      <c r="B105" s="135" t="s">
        <v>540</v>
      </c>
      <c r="C105" s="89" t="s">
        <v>496</v>
      </c>
      <c r="D105" s="8" t="s">
        <v>61</v>
      </c>
      <c r="E105" s="8" t="s">
        <v>62</v>
      </c>
      <c r="F105" s="7"/>
      <c r="G105" s="7" t="s">
        <v>96</v>
      </c>
      <c r="H105" s="7"/>
      <c r="I105" s="7" t="s">
        <v>96</v>
      </c>
      <c r="M105" s="14" t="s">
        <v>541</v>
      </c>
      <c r="N105" s="9">
        <v>41066</v>
      </c>
      <c r="O105" s="3" t="s">
        <v>51</v>
      </c>
      <c r="P105" s="3">
        <v>4</v>
      </c>
      <c r="Q105" s="12">
        <v>1</v>
      </c>
      <c r="R105" s="56"/>
      <c r="S105" s="18">
        <v>41066</v>
      </c>
      <c r="T105" s="9">
        <v>41067</v>
      </c>
      <c r="U105" s="14"/>
      <c r="W105" s="3" t="s">
        <v>52</v>
      </c>
      <c r="X105" s="3"/>
      <c r="Y105" s="66">
        <f>IF(Planeador[[#This Row],[Aprobado]]="A",NETWORKDAYS(Planeador[[#This Row],[Fecha de Solicitud]],Planeador[[#This Row],[Fecha de Entrega]]),"0")</f>
        <v>2</v>
      </c>
      <c r="Z105" s="65">
        <f>IF(Planeador[[#This Row],[Dificultad]]&lt;&gt;"",Planeador[[#This Row],[ΔT]]*Planeador[[#This Row],[Dificultad]],"0")</f>
        <v>8</v>
      </c>
      <c r="AA105" s="65">
        <f>IF(Planeador[[#This Row],[Dificultad]]&lt;&gt;"",Planeador[[#This Row],[ΔT]]/Planeador[[#This Row],[Dificultad]],"0")</f>
        <v>0.5</v>
      </c>
      <c r="AB105" s="65">
        <f>IF(Planeador[[#This Row],[Aprobado]]="A",NETWORKDAYS(Planeador[[#This Row],[Fecha de Solicitud]],Planeador[[#This Row],[Fecha de Entrega]])/5,"0,00")</f>
        <v>0.4</v>
      </c>
    </row>
    <row r="106" spans="2:28" ht="42" customHeight="1">
      <c r="B106" s="135" t="s">
        <v>542</v>
      </c>
      <c r="C106" s="89" t="s">
        <v>496</v>
      </c>
      <c r="D106" s="8" t="s">
        <v>122</v>
      </c>
      <c r="E106" s="8" t="s">
        <v>62</v>
      </c>
      <c r="F106" s="7" t="s">
        <v>96</v>
      </c>
      <c r="G106" s="7"/>
      <c r="H106" s="7" t="s">
        <v>96</v>
      </c>
      <c r="M106" s="14" t="s">
        <v>543</v>
      </c>
      <c r="N106" s="9">
        <v>41066</v>
      </c>
      <c r="O106" s="3" t="s">
        <v>52</v>
      </c>
      <c r="P106" s="3">
        <v>3</v>
      </c>
      <c r="Q106" s="12">
        <v>1</v>
      </c>
      <c r="R106" s="56"/>
      <c r="S106" s="18">
        <v>41066</v>
      </c>
      <c r="T106" s="9">
        <v>41066</v>
      </c>
      <c r="U106" s="14"/>
      <c r="W106" s="3" t="s">
        <v>52</v>
      </c>
      <c r="X106" s="3"/>
      <c r="Y106" s="66">
        <f>IF(Planeador[[#This Row],[Aprobado]]="A",NETWORKDAYS(Planeador[[#This Row],[Fecha de Solicitud]],Planeador[[#This Row],[Fecha de Entrega]]),"0")</f>
        <v>1</v>
      </c>
      <c r="Z106" s="65">
        <f>IF(Planeador[[#This Row],[Dificultad]]&lt;&gt;"",Planeador[[#This Row],[ΔT]]*Planeador[[#This Row],[Dificultad]],"0")</f>
        <v>3</v>
      </c>
      <c r="AA106" s="65">
        <f>IF(Planeador[[#This Row],[Dificultad]]&lt;&gt;"",Planeador[[#This Row],[ΔT]]/Planeador[[#This Row],[Dificultad]],"0")</f>
        <v>0.33333333333333331</v>
      </c>
      <c r="AB106" s="65">
        <f>IF(Planeador[[#This Row],[Aprobado]]="A",NETWORKDAYS(Planeador[[#This Row],[Fecha de Solicitud]],Planeador[[#This Row],[Fecha de Entrega]])/5,"0,00")</f>
        <v>0.2</v>
      </c>
    </row>
    <row r="107" spans="2:28" ht="42" customHeight="1">
      <c r="B107" s="135" t="s">
        <v>545</v>
      </c>
      <c r="C107" s="147" t="s">
        <v>546</v>
      </c>
      <c r="D107" s="148" t="s">
        <v>50</v>
      </c>
      <c r="E107" s="148" t="s">
        <v>57</v>
      </c>
      <c r="F107" s="149"/>
      <c r="G107" s="149" t="s">
        <v>96</v>
      </c>
      <c r="H107" s="149" t="s">
        <v>96</v>
      </c>
      <c r="I107" s="149" t="s">
        <v>96</v>
      </c>
      <c r="J107" s="149"/>
      <c r="K107" s="149"/>
      <c r="L107" s="149"/>
      <c r="M107" s="150" t="s">
        <v>547</v>
      </c>
      <c r="N107" s="151">
        <v>41067</v>
      </c>
      <c r="O107" s="146" t="s">
        <v>52</v>
      </c>
      <c r="P107" s="146">
        <v>4</v>
      </c>
      <c r="Q107" s="152">
        <v>0.7</v>
      </c>
      <c r="R107" s="153"/>
      <c r="S107" s="154">
        <v>41067</v>
      </c>
      <c r="T107" s="151"/>
      <c r="U107" s="150"/>
      <c r="V107" s="146"/>
      <c r="W107" s="146" t="s">
        <v>136</v>
      </c>
      <c r="X107" s="146"/>
      <c r="Y107" s="155" t="str">
        <f>IF(Planeador[[#This Row],[Aprobado]]="A",NETWORKDAYS(Planeador[[#This Row],[Fecha de Solicitud]],Planeador[[#This Row],[Fecha de Entrega]]),"0")</f>
        <v>0</v>
      </c>
      <c r="Z107" s="156">
        <f>IF(Planeador[[#This Row],[Dificultad]]&lt;&gt;"",Planeador[[#This Row],[ΔT]]*Planeador[[#This Row],[Dificultad]],"0")</f>
        <v>0</v>
      </c>
      <c r="AA107" s="156">
        <f>IF(Planeador[[#This Row],[Dificultad]]&lt;&gt;"",Planeador[[#This Row],[ΔT]]/Planeador[[#This Row],[Dificultad]],"0")</f>
        <v>0</v>
      </c>
      <c r="AB107" s="156" t="str">
        <f>IF(Planeador[[#This Row],[Aprobado]]="A",NETWORKDAYS(Planeador[[#This Row],[Fecha de Solicitud]],Planeador[[#This Row],[Fecha de Entrega]])/5,"0,00")</f>
        <v>0,00</v>
      </c>
    </row>
    <row r="108" spans="2:28" ht="42" customHeight="1">
      <c r="B108" s="135" t="s">
        <v>548</v>
      </c>
      <c r="C108" s="158" t="s">
        <v>325</v>
      </c>
      <c r="D108" s="159" t="s">
        <v>61</v>
      </c>
      <c r="E108" s="159" t="s">
        <v>73</v>
      </c>
      <c r="F108" s="160" t="s">
        <v>96</v>
      </c>
      <c r="G108" s="160"/>
      <c r="H108" s="160"/>
      <c r="I108" s="160"/>
      <c r="J108" s="160"/>
      <c r="K108" s="160"/>
      <c r="L108" s="160"/>
      <c r="M108" s="161" t="s">
        <v>549</v>
      </c>
      <c r="N108" s="162">
        <v>41072</v>
      </c>
      <c r="O108" s="157" t="s">
        <v>154</v>
      </c>
      <c r="P108" s="157">
        <v>5</v>
      </c>
      <c r="Q108" s="163">
        <v>1</v>
      </c>
      <c r="R108" s="164"/>
      <c r="S108" s="165">
        <v>41072</v>
      </c>
      <c r="T108" s="162">
        <v>41073</v>
      </c>
      <c r="U108" s="14" t="s">
        <v>562</v>
      </c>
      <c r="V108" s="157"/>
      <c r="W108" s="3" t="s">
        <v>52</v>
      </c>
      <c r="X108" s="157"/>
      <c r="Y108" s="166">
        <f>IF(Planeador[[#This Row],[Aprobado]]="A",NETWORKDAYS(Planeador[[#This Row],[Fecha de Solicitud]],Planeador[[#This Row],[Fecha de Entrega]]),"0")</f>
        <v>2</v>
      </c>
      <c r="Z108" s="167">
        <f>IF(Planeador[[#This Row],[Dificultad]]&lt;&gt;"",Planeador[[#This Row],[ΔT]]*Planeador[[#This Row],[Dificultad]],"0")</f>
        <v>10</v>
      </c>
      <c r="AA108" s="167">
        <f>IF(Planeador[[#This Row],[Dificultad]]&lt;&gt;"",Planeador[[#This Row],[ΔT]]/Planeador[[#This Row],[Dificultad]],"0")</f>
        <v>0.4</v>
      </c>
      <c r="AB108" s="167">
        <f>IF(Planeador[[#This Row],[Aprobado]]="A",NETWORKDAYS(Planeador[[#This Row],[Fecha de Solicitud]],Planeador[[#This Row],[Fecha de Entrega]])/5,"0,00")</f>
        <v>0.4</v>
      </c>
    </row>
    <row r="109" spans="2:28" ht="42" customHeight="1">
      <c r="B109" s="135" t="s">
        <v>550</v>
      </c>
      <c r="C109" s="158" t="s">
        <v>551</v>
      </c>
      <c r="D109" s="159" t="s">
        <v>124</v>
      </c>
      <c r="E109" s="159" t="s">
        <v>552</v>
      </c>
      <c r="F109" s="7" t="s">
        <v>96</v>
      </c>
      <c r="G109" s="160" t="s">
        <v>96</v>
      </c>
      <c r="H109" s="160"/>
      <c r="I109" s="160"/>
      <c r="J109" s="160"/>
      <c r="K109" s="160"/>
      <c r="L109" s="160"/>
      <c r="M109" s="161" t="s">
        <v>553</v>
      </c>
      <c r="N109" s="162">
        <v>41072</v>
      </c>
      <c r="O109" s="157" t="s">
        <v>51</v>
      </c>
      <c r="P109" s="157">
        <v>3</v>
      </c>
      <c r="Q109" s="163">
        <v>1</v>
      </c>
      <c r="R109" s="164"/>
      <c r="S109" s="165">
        <v>41073</v>
      </c>
      <c r="T109" s="162">
        <v>41074</v>
      </c>
      <c r="U109" s="14" t="s">
        <v>554</v>
      </c>
      <c r="V109" s="157"/>
      <c r="W109" s="3" t="s">
        <v>52</v>
      </c>
      <c r="X109" s="3" t="s">
        <v>561</v>
      </c>
      <c r="Y109" s="166">
        <f>IF(Planeador[[#This Row],[Aprobado]]="A",NETWORKDAYS(Planeador[[#This Row],[Fecha de Solicitud]],Planeador[[#This Row],[Fecha de Entrega]]),"0")</f>
        <v>3</v>
      </c>
      <c r="Z109" s="167">
        <f>IF(Planeador[[#This Row],[Dificultad]]&lt;&gt;"",Planeador[[#This Row],[ΔT]]*Planeador[[#This Row],[Dificultad]],"0")</f>
        <v>9</v>
      </c>
      <c r="AA109" s="167">
        <f>IF(Planeador[[#This Row],[Dificultad]]&lt;&gt;"",Planeador[[#This Row],[ΔT]]/Planeador[[#This Row],[Dificultad]],"0")</f>
        <v>1</v>
      </c>
      <c r="AB109" s="167">
        <f>IF(Planeador[[#This Row],[Aprobado]]="A",NETWORKDAYS(Planeador[[#This Row],[Fecha de Solicitud]],Planeador[[#This Row],[Fecha de Entrega]])/5,"0,00")</f>
        <v>0.6</v>
      </c>
    </row>
    <row r="110" spans="2:28" ht="42" customHeight="1">
      <c r="B110" s="3" t="s">
        <v>567</v>
      </c>
      <c r="C110" s="89" t="s">
        <v>555</v>
      </c>
      <c r="D110" s="159" t="s">
        <v>61</v>
      </c>
      <c r="E110" s="159" t="s">
        <v>55</v>
      </c>
      <c r="F110" s="160"/>
      <c r="G110" s="160" t="s">
        <v>96</v>
      </c>
      <c r="H110" s="160"/>
      <c r="I110" s="160" t="s">
        <v>96</v>
      </c>
      <c r="J110" s="160"/>
      <c r="K110" s="160"/>
      <c r="L110" s="160"/>
      <c r="M110" s="161" t="s">
        <v>556</v>
      </c>
      <c r="N110" s="162">
        <v>41073</v>
      </c>
      <c r="O110" s="157" t="s">
        <v>51</v>
      </c>
      <c r="P110" s="157">
        <v>5</v>
      </c>
      <c r="Q110" s="163">
        <v>1</v>
      </c>
      <c r="R110" s="164"/>
      <c r="S110" s="165">
        <v>41073</v>
      </c>
      <c r="T110" s="162">
        <v>41073</v>
      </c>
      <c r="U110" s="161"/>
      <c r="V110" s="157"/>
      <c r="W110" s="3" t="s">
        <v>52</v>
      </c>
      <c r="X110" s="3" t="s">
        <v>558</v>
      </c>
      <c r="Y110" s="166">
        <f>IF(Planeador[[#This Row],[Aprobado]]="A",NETWORKDAYS(Planeador[[#This Row],[Fecha de Solicitud]],Planeador[[#This Row],[Fecha de Entrega]]),"0")</f>
        <v>1</v>
      </c>
      <c r="Z110" s="167">
        <f>IF(Planeador[[#This Row],[Dificultad]]&lt;&gt;"",Planeador[[#This Row],[ΔT]]*Planeador[[#This Row],[Dificultad]],"0")</f>
        <v>5</v>
      </c>
      <c r="AA110" s="167">
        <f>IF(Planeador[[#This Row],[Dificultad]]&lt;&gt;"",Planeador[[#This Row],[ΔT]]/Planeador[[#This Row],[Dificultad]],"0")</f>
        <v>0.2</v>
      </c>
      <c r="AB110" s="167">
        <f>IF(Planeador[[#This Row],[Aprobado]]="A",NETWORKDAYS(Planeador[[#This Row],[Fecha de Solicitud]],Planeador[[#This Row],[Fecha de Entrega]])/5,"0,00")</f>
        <v>0.2</v>
      </c>
    </row>
    <row r="111" spans="2:28" ht="42" customHeight="1">
      <c r="B111" s="3" t="s">
        <v>568</v>
      </c>
      <c r="C111" s="169" t="s">
        <v>559</v>
      </c>
      <c r="D111" s="170" t="s">
        <v>50</v>
      </c>
      <c r="E111" s="170" t="s">
        <v>62</v>
      </c>
      <c r="F111" s="171" t="s">
        <v>96</v>
      </c>
      <c r="G111" s="171" t="s">
        <v>96</v>
      </c>
      <c r="H111" s="171" t="s">
        <v>96</v>
      </c>
      <c r="I111" s="171" t="s">
        <v>96</v>
      </c>
      <c r="J111" s="171"/>
      <c r="K111" s="171"/>
      <c r="L111" s="171"/>
      <c r="M111" s="172" t="s">
        <v>560</v>
      </c>
      <c r="N111" s="173">
        <v>41074</v>
      </c>
      <c r="O111" s="3" t="s">
        <v>154</v>
      </c>
      <c r="P111" s="168">
        <v>4</v>
      </c>
      <c r="Q111" s="174">
        <v>1</v>
      </c>
      <c r="R111" s="175"/>
      <c r="S111" s="176"/>
      <c r="T111" s="173">
        <v>41075</v>
      </c>
      <c r="U111" s="172"/>
      <c r="V111" s="168"/>
      <c r="W111" s="3" t="s">
        <v>52</v>
      </c>
      <c r="X111" s="168"/>
      <c r="Y111" s="177">
        <f>IF(Planeador[[#This Row],[Aprobado]]="A",NETWORKDAYS(Planeador[[#This Row],[Fecha de Solicitud]],Planeador[[#This Row],[Fecha de Entrega]]),"0")</f>
        <v>2</v>
      </c>
      <c r="Z111" s="178">
        <f>IF(Planeador[[#This Row],[Dificultad]]&lt;&gt;"",Planeador[[#This Row],[ΔT]]*Planeador[[#This Row],[Dificultad]],"0")</f>
        <v>8</v>
      </c>
      <c r="AA111" s="178">
        <f>IF(Planeador[[#This Row],[Dificultad]]&lt;&gt;"",Planeador[[#This Row],[ΔT]]/Planeador[[#This Row],[Dificultad]],"0")</f>
        <v>0.5</v>
      </c>
      <c r="AB111" s="178">
        <f>IF(Planeador[[#This Row],[Aprobado]]="A",NETWORKDAYS(Planeador[[#This Row],[Fecha de Solicitud]],Planeador[[#This Row],[Fecha de Entrega]])/5,"0,00")</f>
        <v>0.4</v>
      </c>
    </row>
    <row r="112" spans="2:28" ht="42" customHeight="1">
      <c r="B112" s="3" t="s">
        <v>563</v>
      </c>
      <c r="C112" s="169" t="s">
        <v>564</v>
      </c>
      <c r="D112" s="170" t="s">
        <v>67</v>
      </c>
      <c r="E112" s="170" t="s">
        <v>565</v>
      </c>
      <c r="F112" s="171" t="s">
        <v>96</v>
      </c>
      <c r="G112" s="171" t="s">
        <v>96</v>
      </c>
      <c r="H112" s="171"/>
      <c r="I112" s="171"/>
      <c r="J112" s="171"/>
      <c r="K112" s="171"/>
      <c r="L112" s="171"/>
      <c r="M112" s="172" t="s">
        <v>566</v>
      </c>
      <c r="N112" s="173">
        <v>41074</v>
      </c>
      <c r="O112" s="168" t="s">
        <v>154</v>
      </c>
      <c r="P112" s="168">
        <v>4</v>
      </c>
      <c r="Q112" s="174">
        <v>1</v>
      </c>
      <c r="R112" s="175"/>
      <c r="S112" s="176"/>
      <c r="T112" s="173">
        <v>41075</v>
      </c>
      <c r="U112" s="172"/>
      <c r="V112" s="168"/>
      <c r="W112" s="168" t="s">
        <v>52</v>
      </c>
      <c r="X112" s="168"/>
      <c r="Y112" s="177">
        <f>IF(Planeador[[#This Row],[Aprobado]]="A",NETWORKDAYS(Planeador[[#This Row],[Fecha de Solicitud]],Planeador[[#This Row],[Fecha de Entrega]]),"0")</f>
        <v>2</v>
      </c>
      <c r="Z112" s="178">
        <f>IF(Planeador[[#This Row],[Dificultad]]&lt;&gt;"",Planeador[[#This Row],[ΔT]]*Planeador[[#This Row],[Dificultad]],"0")</f>
        <v>8</v>
      </c>
      <c r="AA112" s="178">
        <f>IF(Planeador[[#This Row],[Dificultad]]&lt;&gt;"",Planeador[[#This Row],[ΔT]]/Planeador[[#This Row],[Dificultad]],"0")</f>
        <v>0.5</v>
      </c>
      <c r="AB112" s="178">
        <f>IF(Planeador[[#This Row],[Aprobado]]="A",NETWORKDAYS(Planeador[[#This Row],[Fecha de Solicitud]],Planeador[[#This Row],[Fecha de Entrega]])/5,"0,00")</f>
        <v>0.4</v>
      </c>
    </row>
    <row r="113" spans="2:28" ht="42" customHeight="1">
      <c r="B113" s="3" t="s">
        <v>569</v>
      </c>
      <c r="C113" s="89" t="s">
        <v>559</v>
      </c>
      <c r="D113" s="8" t="s">
        <v>50</v>
      </c>
      <c r="E113" s="8" t="s">
        <v>181</v>
      </c>
      <c r="F113" s="7" t="s">
        <v>96</v>
      </c>
      <c r="G113" s="7"/>
      <c r="H113" s="7"/>
      <c r="M113" s="14" t="s">
        <v>570</v>
      </c>
      <c r="N113" s="9">
        <v>41076</v>
      </c>
      <c r="O113" s="3" t="s">
        <v>51</v>
      </c>
      <c r="P113" s="3">
        <v>2</v>
      </c>
      <c r="Q113" s="12">
        <v>1</v>
      </c>
      <c r="R113" s="56" t="s">
        <v>96</v>
      </c>
      <c r="S113" s="18">
        <v>41076</v>
      </c>
      <c r="T113" s="9">
        <v>41076</v>
      </c>
      <c r="U113" s="14" t="s">
        <v>575</v>
      </c>
      <c r="W113" s="3" t="s">
        <v>52</v>
      </c>
      <c r="X113" s="3"/>
      <c r="Y113" s="66">
        <f>IF(Planeador[[#This Row],[Aprobado]]="A",NETWORKDAYS(Planeador[[#This Row],[Fecha de Solicitud]],Planeador[[#This Row],[Fecha de Entrega]]),"0")</f>
        <v>0</v>
      </c>
      <c r="Z113" s="65">
        <f>IF(Planeador[[#This Row],[Dificultad]]&lt;&gt;"",Planeador[[#This Row],[ΔT]]*Planeador[[#This Row],[Dificultad]],"0")</f>
        <v>0</v>
      </c>
      <c r="AA113" s="65">
        <f>IF(Planeador[[#This Row],[Dificultad]]&lt;&gt;"",Planeador[[#This Row],[ΔT]]/Planeador[[#This Row],[Dificultad]],"0")</f>
        <v>0</v>
      </c>
      <c r="AB113" s="65">
        <f>IF(Planeador[[#This Row],[Aprobado]]="A",NETWORKDAYS(Planeador[[#This Row],[Fecha de Solicitud]],Planeador[[#This Row],[Fecha de Entrega]])/5,"0,00")</f>
        <v>0</v>
      </c>
    </row>
    <row r="114" spans="2:28" ht="42" customHeight="1">
      <c r="B114" s="3" t="s">
        <v>571</v>
      </c>
      <c r="C114" s="89" t="s">
        <v>572</v>
      </c>
      <c r="D114" s="8" t="s">
        <v>61</v>
      </c>
      <c r="E114" s="8" t="s">
        <v>181</v>
      </c>
      <c r="F114" s="7"/>
      <c r="G114" s="7" t="s">
        <v>96</v>
      </c>
      <c r="H114" s="7"/>
      <c r="I114" s="7" t="s">
        <v>96</v>
      </c>
      <c r="M114" s="14" t="s">
        <v>573</v>
      </c>
      <c r="N114" s="9">
        <v>41076</v>
      </c>
      <c r="O114" s="3" t="s">
        <v>51</v>
      </c>
      <c r="P114" s="3">
        <v>3</v>
      </c>
      <c r="Q114" s="12">
        <v>1</v>
      </c>
      <c r="R114" s="56"/>
      <c r="S114" s="18">
        <v>41076</v>
      </c>
      <c r="T114" s="9">
        <v>41076</v>
      </c>
      <c r="U114" s="14"/>
      <c r="W114" s="3" t="s">
        <v>52</v>
      </c>
      <c r="X114" s="3" t="s">
        <v>574</v>
      </c>
      <c r="Y114" s="66">
        <f>IF(Planeador[[#This Row],[Aprobado]]="A",NETWORKDAYS(Planeador[[#This Row],[Fecha de Solicitud]],Planeador[[#This Row],[Fecha de Entrega]]),"0")</f>
        <v>0</v>
      </c>
      <c r="Z114" s="65">
        <f>IF(Planeador[[#This Row],[Dificultad]]&lt;&gt;"",Planeador[[#This Row],[ΔT]]*Planeador[[#This Row],[Dificultad]],"0")</f>
        <v>0</v>
      </c>
      <c r="AA114" s="65">
        <f>IF(Planeador[[#This Row],[Dificultad]]&lt;&gt;"",Planeador[[#This Row],[ΔT]]/Planeador[[#This Row],[Dificultad]],"0")</f>
        <v>0</v>
      </c>
      <c r="AB114" s="65">
        <f>IF(Planeador[[#This Row],[Aprobado]]="A",NETWORKDAYS(Planeador[[#This Row],[Fecha de Solicitud]],Planeador[[#This Row],[Fecha de Entrega]])/5,"0,00")</f>
        <v>0</v>
      </c>
    </row>
    <row r="115" spans="2:28" ht="42" customHeight="1">
      <c r="B115" s="3" t="s">
        <v>576</v>
      </c>
      <c r="C115" s="180" t="s">
        <v>577</v>
      </c>
      <c r="D115" s="181" t="s">
        <v>61</v>
      </c>
      <c r="E115" s="181" t="s">
        <v>181</v>
      </c>
      <c r="F115" s="182"/>
      <c r="G115" s="182" t="s">
        <v>96</v>
      </c>
      <c r="H115" s="182"/>
      <c r="I115" s="182" t="s">
        <v>96</v>
      </c>
      <c r="J115" s="182"/>
      <c r="K115" s="182"/>
      <c r="L115" s="182"/>
      <c r="M115" s="183" t="s">
        <v>578</v>
      </c>
      <c r="N115" s="184">
        <v>41079</v>
      </c>
      <c r="O115" s="179" t="s">
        <v>52</v>
      </c>
      <c r="P115" s="179">
        <v>2</v>
      </c>
      <c r="Q115" s="185">
        <v>1</v>
      </c>
      <c r="R115" s="186" t="s">
        <v>96</v>
      </c>
      <c r="S115" s="187">
        <v>41076</v>
      </c>
      <c r="T115" s="184">
        <v>41076</v>
      </c>
      <c r="U115" s="183" t="s">
        <v>580</v>
      </c>
      <c r="V115" s="179"/>
      <c r="W115" s="179" t="s">
        <v>52</v>
      </c>
      <c r="X115" s="179" t="s">
        <v>579</v>
      </c>
      <c r="Y115" s="188">
        <f>IF(Planeador[[#This Row],[Aprobado]]="A",NETWORKDAYS(Planeador[[#This Row],[Fecha de Solicitud]],Planeador[[#This Row],[Fecha de Entrega]]),"0")</f>
        <v>-2</v>
      </c>
      <c r="Z115" s="189">
        <f>IF(Planeador[[#This Row],[Dificultad]]&lt;&gt;"",Planeador[[#This Row],[ΔT]]*Planeador[[#This Row],[Dificultad]],"0")</f>
        <v>-4</v>
      </c>
      <c r="AA115" s="189">
        <f>IF(Planeador[[#This Row],[Dificultad]]&lt;&gt;"",Planeador[[#This Row],[ΔT]]/Planeador[[#This Row],[Dificultad]],"0")</f>
        <v>-1</v>
      </c>
      <c r="AB115" s="189">
        <f>IF(Planeador[[#This Row],[Aprobado]]="A",NETWORKDAYS(Planeador[[#This Row],[Fecha de Solicitud]],Planeador[[#This Row],[Fecha de Entrega]])/5,"0,00")</f>
        <v>-0.4</v>
      </c>
    </row>
    <row r="116" spans="2:28" ht="42" customHeight="1">
      <c r="B116" s="3" t="s">
        <v>581</v>
      </c>
      <c r="C116" s="180" t="s">
        <v>354</v>
      </c>
      <c r="D116" s="181" t="s">
        <v>67</v>
      </c>
      <c r="E116" s="181" t="s">
        <v>582</v>
      </c>
      <c r="F116" s="182" t="s">
        <v>96</v>
      </c>
      <c r="G116" s="182"/>
      <c r="H116" s="182"/>
      <c r="I116" s="182"/>
      <c r="J116" s="182"/>
      <c r="K116" s="182"/>
      <c r="L116" s="182"/>
      <c r="M116" s="183" t="s">
        <v>583</v>
      </c>
      <c r="N116" s="184">
        <v>41080</v>
      </c>
      <c r="O116" s="179" t="s">
        <v>52</v>
      </c>
      <c r="P116" s="179">
        <v>4</v>
      </c>
      <c r="Q116" s="185">
        <v>0.7</v>
      </c>
      <c r="R116" s="186"/>
      <c r="S116" s="187">
        <v>41082</v>
      </c>
      <c r="T116" s="184"/>
      <c r="U116" s="183"/>
      <c r="V116" s="179"/>
      <c r="W116" s="179" t="s">
        <v>136</v>
      </c>
      <c r="X116" s="179"/>
      <c r="Y116" s="188" t="str">
        <f>IF(Planeador[[#This Row],[Aprobado]]="A",NETWORKDAYS(Planeador[[#This Row],[Fecha de Solicitud]],Planeador[[#This Row],[Fecha de Entrega]]),"0")</f>
        <v>0</v>
      </c>
      <c r="Z116" s="189">
        <f>IF(Planeador[[#This Row],[Dificultad]]&lt;&gt;"",Planeador[[#This Row],[ΔT]]*Planeador[[#This Row],[Dificultad]],"0")</f>
        <v>0</v>
      </c>
      <c r="AA116" s="189">
        <f>IF(Planeador[[#This Row],[Dificultad]]&lt;&gt;"",Planeador[[#This Row],[ΔT]]/Planeador[[#This Row],[Dificultad]],"0")</f>
        <v>0</v>
      </c>
      <c r="AB116" s="189" t="str">
        <f>IF(Planeador[[#This Row],[Aprobado]]="A",NETWORKDAYS(Planeador[[#This Row],[Fecha de Solicitud]],Planeador[[#This Row],[Fecha de Entrega]])/5,"0,00")</f>
        <v>0,00</v>
      </c>
    </row>
    <row r="117" spans="2:28" ht="42" customHeight="1">
      <c r="B117" s="3" t="s">
        <v>584</v>
      </c>
      <c r="C117" s="180" t="s">
        <v>585</v>
      </c>
      <c r="D117" s="181" t="s">
        <v>61</v>
      </c>
      <c r="E117" s="181" t="s">
        <v>55</v>
      </c>
      <c r="F117" s="182"/>
      <c r="G117" s="182" t="s">
        <v>96</v>
      </c>
      <c r="H117" s="182"/>
      <c r="I117" s="182" t="s">
        <v>96</v>
      </c>
      <c r="J117" s="182"/>
      <c r="K117" s="182"/>
      <c r="L117" s="182"/>
      <c r="M117" s="183" t="s">
        <v>586</v>
      </c>
      <c r="N117" s="184">
        <v>41082</v>
      </c>
      <c r="O117" s="179" t="s">
        <v>52</v>
      </c>
      <c r="P117" s="179">
        <v>5</v>
      </c>
      <c r="Q117" s="185">
        <v>0.1</v>
      </c>
      <c r="R117" s="186"/>
      <c r="S117" s="187">
        <v>41087</v>
      </c>
      <c r="T117" s="184"/>
      <c r="U117" s="183" t="s">
        <v>587</v>
      </c>
      <c r="V117" s="179"/>
      <c r="W117" s="179" t="s">
        <v>102</v>
      </c>
      <c r="X117" s="179"/>
      <c r="Y117" s="188" t="str">
        <f>IF(Planeador[[#This Row],[Aprobado]]="A",NETWORKDAYS(Planeador[[#This Row],[Fecha de Solicitud]],Planeador[[#This Row],[Fecha de Entrega]]),"0")</f>
        <v>0</v>
      </c>
      <c r="Z117" s="189">
        <f>IF(Planeador[[#This Row],[Dificultad]]&lt;&gt;"",Planeador[[#This Row],[ΔT]]*Planeador[[#This Row],[Dificultad]],"0")</f>
        <v>0</v>
      </c>
      <c r="AA117" s="189">
        <f>IF(Planeador[[#This Row],[Dificultad]]&lt;&gt;"",Planeador[[#This Row],[ΔT]]/Planeador[[#This Row],[Dificultad]],"0")</f>
        <v>0</v>
      </c>
      <c r="AB117" s="189" t="str">
        <f>IF(Planeador[[#This Row],[Aprobado]]="A",NETWORKDAYS(Planeador[[#This Row],[Fecha de Solicitud]],Planeador[[#This Row],[Fecha de Entrega]])/5,"0,00")</f>
        <v>0,00</v>
      </c>
    </row>
    <row r="118" spans="2:28" ht="42" customHeight="1">
      <c r="B118" s="3" t="s">
        <v>588</v>
      </c>
      <c r="C118" s="180" t="s">
        <v>589</v>
      </c>
      <c r="D118" s="181" t="s">
        <v>124</v>
      </c>
      <c r="E118" s="181" t="s">
        <v>234</v>
      </c>
      <c r="F118" s="182" t="s">
        <v>96</v>
      </c>
      <c r="G118" s="182" t="s">
        <v>96</v>
      </c>
      <c r="H118" s="182"/>
      <c r="I118" s="182"/>
      <c r="J118" s="182"/>
      <c r="K118" s="182"/>
      <c r="L118" s="182"/>
      <c r="M118" s="183" t="s">
        <v>591</v>
      </c>
      <c r="N118" s="184">
        <v>41082</v>
      </c>
      <c r="O118" s="3" t="s">
        <v>111</v>
      </c>
      <c r="P118" s="179">
        <v>5</v>
      </c>
      <c r="Q118" s="185">
        <v>1</v>
      </c>
      <c r="R118" s="186"/>
      <c r="S118" s="187"/>
      <c r="T118" s="184"/>
      <c r="U118" s="183" t="s">
        <v>590</v>
      </c>
      <c r="V118" s="179"/>
      <c r="W118" s="3" t="s">
        <v>52</v>
      </c>
      <c r="X118" s="3" t="s">
        <v>592</v>
      </c>
      <c r="Y118" s="188">
        <f>IF(Planeador[[#This Row],[Aprobado]]="A",NETWORKDAYS(Planeador[[#This Row],[Fecha de Solicitud]],Planeador[[#This Row],[Fecha de Entrega]]),"0")</f>
        <v>-29345</v>
      </c>
      <c r="Z118" s="189">
        <f>IF(Planeador[[#This Row],[Dificultad]]&lt;&gt;"",Planeador[[#This Row],[ΔT]]*Planeador[[#This Row],[Dificultad]],"0")</f>
        <v>-146725</v>
      </c>
      <c r="AA118" s="189">
        <f>IF(Planeador[[#This Row],[Dificultad]]&lt;&gt;"",Planeador[[#This Row],[ΔT]]/Planeador[[#This Row],[Dificultad]],"0")</f>
        <v>-5869</v>
      </c>
      <c r="AB118" s="189">
        <f>IF(Planeador[[#This Row],[Aprobado]]="A",NETWORKDAYS(Planeador[[#This Row],[Fecha de Solicitud]],Planeador[[#This Row],[Fecha de Entrega]])/5,"0,00")</f>
        <v>-5869</v>
      </c>
    </row>
    <row r="119" spans="2:28" ht="42" customHeight="1">
      <c r="B119" s="3" t="s">
        <v>593</v>
      </c>
      <c r="C119" s="180" t="s">
        <v>594</v>
      </c>
      <c r="D119" s="181" t="s">
        <v>50</v>
      </c>
      <c r="E119" s="181" t="s">
        <v>55</v>
      </c>
      <c r="F119" s="182"/>
      <c r="G119" s="182" t="s">
        <v>96</v>
      </c>
      <c r="H119" s="182" t="s">
        <v>96</v>
      </c>
      <c r="I119" s="182" t="s">
        <v>96</v>
      </c>
      <c r="J119" s="182"/>
      <c r="K119" s="182"/>
      <c r="L119" s="182"/>
      <c r="M119" s="183" t="s">
        <v>595</v>
      </c>
      <c r="N119" s="184">
        <v>41085</v>
      </c>
      <c r="O119" s="179" t="s">
        <v>51</v>
      </c>
      <c r="P119" s="179">
        <v>4</v>
      </c>
      <c r="Q119" s="185">
        <v>0.1</v>
      </c>
      <c r="R119" s="186"/>
      <c r="S119" s="187"/>
      <c r="T119" s="184"/>
      <c r="U119" s="183" t="s">
        <v>625</v>
      </c>
      <c r="V119" s="179"/>
      <c r="W119" s="179" t="s">
        <v>102</v>
      </c>
      <c r="X119" s="179"/>
      <c r="Y119" s="188" t="str">
        <f>IF(Planeador[[#This Row],[Aprobado]]="A",NETWORKDAYS(Planeador[[#This Row],[Fecha de Solicitud]],Planeador[[#This Row],[Fecha de Entrega]]),"0")</f>
        <v>0</v>
      </c>
      <c r="Z119" s="189">
        <f>IF(Planeador[[#This Row],[Dificultad]]&lt;&gt;"",Planeador[[#This Row],[ΔT]]*Planeador[[#This Row],[Dificultad]],"0")</f>
        <v>0</v>
      </c>
      <c r="AA119" s="189">
        <f>IF(Planeador[[#This Row],[Dificultad]]&lt;&gt;"",Planeador[[#This Row],[ΔT]]/Planeador[[#This Row],[Dificultad]],"0")</f>
        <v>0</v>
      </c>
      <c r="AB119" s="189" t="str">
        <f>IF(Planeador[[#This Row],[Aprobado]]="A",NETWORKDAYS(Planeador[[#This Row],[Fecha de Solicitud]],Planeador[[#This Row],[Fecha de Entrega]])/5,"0,00")</f>
        <v>0,00</v>
      </c>
    </row>
    <row r="120" spans="2:28" ht="42" customHeight="1">
      <c r="B120" s="3" t="s">
        <v>596</v>
      </c>
      <c r="C120" s="180" t="s">
        <v>599</v>
      </c>
      <c r="D120" s="181" t="s">
        <v>124</v>
      </c>
      <c r="E120" s="181" t="s">
        <v>597</v>
      </c>
      <c r="F120" s="182" t="s">
        <v>96</v>
      </c>
      <c r="G120" s="182" t="s">
        <v>96</v>
      </c>
      <c r="H120" s="182"/>
      <c r="I120" s="182"/>
      <c r="J120" s="182"/>
      <c r="K120" s="182"/>
      <c r="L120" s="182"/>
      <c r="M120" s="183" t="s">
        <v>598</v>
      </c>
      <c r="N120" s="184">
        <v>41083</v>
      </c>
      <c r="O120" s="179" t="s">
        <v>51</v>
      </c>
      <c r="P120" s="179">
        <v>3</v>
      </c>
      <c r="Q120" s="185">
        <v>1</v>
      </c>
      <c r="R120" s="186"/>
      <c r="S120" s="187">
        <v>41085</v>
      </c>
      <c r="T120" s="184">
        <v>41087</v>
      </c>
      <c r="U120" s="14" t="s">
        <v>600</v>
      </c>
      <c r="V120" s="179"/>
      <c r="W120" s="179" t="s">
        <v>52</v>
      </c>
      <c r="X120" s="179"/>
      <c r="Y120" s="188">
        <f>IF(Planeador[[#This Row],[Aprobado]]="A",NETWORKDAYS(Planeador[[#This Row],[Fecha de Solicitud]],Planeador[[#This Row],[Fecha de Entrega]]),"0")</f>
        <v>3</v>
      </c>
      <c r="Z120" s="189">
        <f>IF(Planeador[[#This Row],[Dificultad]]&lt;&gt;"",Planeador[[#This Row],[ΔT]]*Planeador[[#This Row],[Dificultad]],"0")</f>
        <v>9</v>
      </c>
      <c r="AA120" s="189">
        <f>IF(Planeador[[#This Row],[Dificultad]]&lt;&gt;"",Planeador[[#This Row],[ΔT]]/Planeador[[#This Row],[Dificultad]],"0")</f>
        <v>1</v>
      </c>
      <c r="AB120" s="189">
        <f>IF(Planeador[[#This Row],[Aprobado]]="A",NETWORKDAYS(Planeador[[#This Row],[Fecha de Solicitud]],Planeador[[#This Row],[Fecha de Entrega]])/5,"0,00")</f>
        <v>0.6</v>
      </c>
    </row>
    <row r="121" spans="2:28" ht="42" customHeight="1">
      <c r="B121" s="3" t="s">
        <v>601</v>
      </c>
      <c r="C121" s="180" t="s">
        <v>602</v>
      </c>
      <c r="D121" s="181" t="s">
        <v>61</v>
      </c>
      <c r="E121" s="181" t="s">
        <v>57</v>
      </c>
      <c r="F121" s="182" t="s">
        <v>96</v>
      </c>
      <c r="G121" s="182" t="s">
        <v>96</v>
      </c>
      <c r="H121" s="182"/>
      <c r="I121" s="182" t="s">
        <v>96</v>
      </c>
      <c r="J121" s="182" t="s">
        <v>96</v>
      </c>
      <c r="K121" s="182"/>
      <c r="L121" s="182"/>
      <c r="M121" s="183" t="s">
        <v>603</v>
      </c>
      <c r="N121" s="184">
        <v>41085</v>
      </c>
      <c r="O121" s="179" t="s">
        <v>52</v>
      </c>
      <c r="P121" s="179">
        <v>6</v>
      </c>
      <c r="Q121" s="185">
        <v>0.1</v>
      </c>
      <c r="R121" s="186"/>
      <c r="S121" s="187">
        <v>41088</v>
      </c>
      <c r="T121" s="184"/>
      <c r="U121" s="183"/>
      <c r="V121" s="179"/>
      <c r="W121" s="179" t="s">
        <v>136</v>
      </c>
      <c r="X121" s="179"/>
      <c r="Y121" s="188" t="str">
        <f>IF(Planeador[[#This Row],[Aprobado]]="A",NETWORKDAYS(Planeador[[#This Row],[Fecha de Solicitud]],Planeador[[#This Row],[Fecha de Entrega]]),"0")</f>
        <v>0</v>
      </c>
      <c r="Z121" s="189">
        <f>IF(Planeador[[#This Row],[Dificultad]]&lt;&gt;"",Planeador[[#This Row],[ΔT]]*Planeador[[#This Row],[Dificultad]],"0")</f>
        <v>0</v>
      </c>
      <c r="AA121" s="189">
        <f>IF(Planeador[[#This Row],[Dificultad]]&lt;&gt;"",Planeador[[#This Row],[ΔT]]/Planeador[[#This Row],[Dificultad]],"0")</f>
        <v>0</v>
      </c>
      <c r="AB121" s="189" t="str">
        <f>IF(Planeador[[#This Row],[Aprobado]]="A",NETWORKDAYS(Planeador[[#This Row],[Fecha de Solicitud]],Planeador[[#This Row],[Fecha de Entrega]])/5,"0,00")</f>
        <v>0,00</v>
      </c>
    </row>
    <row r="122" spans="2:28" ht="42" customHeight="1">
      <c r="B122" s="3" t="s">
        <v>604</v>
      </c>
      <c r="C122" s="180" t="s">
        <v>605</v>
      </c>
      <c r="D122" s="181" t="s">
        <v>124</v>
      </c>
      <c r="E122" s="181" t="s">
        <v>62</v>
      </c>
      <c r="F122" s="182"/>
      <c r="G122" s="182" t="s">
        <v>96</v>
      </c>
      <c r="H122" s="182"/>
      <c r="I122" s="182" t="s">
        <v>96</v>
      </c>
      <c r="J122" s="182"/>
      <c r="K122" s="182"/>
      <c r="L122" s="182"/>
      <c r="M122" s="183" t="s">
        <v>606</v>
      </c>
      <c r="N122" s="184">
        <v>41085</v>
      </c>
      <c r="O122" s="179" t="s">
        <v>154</v>
      </c>
      <c r="P122" s="179">
        <v>4</v>
      </c>
      <c r="Q122" s="185">
        <v>0.8</v>
      </c>
      <c r="R122" s="186"/>
      <c r="S122" s="187">
        <v>41086</v>
      </c>
      <c r="T122" s="184"/>
      <c r="U122" s="183" t="s">
        <v>624</v>
      </c>
      <c r="V122" s="179"/>
      <c r="W122" s="179" t="s">
        <v>102</v>
      </c>
      <c r="X122" s="179"/>
      <c r="Y122" s="188" t="str">
        <f>IF(Planeador[[#This Row],[Aprobado]]="A",NETWORKDAYS(Planeador[[#This Row],[Fecha de Solicitud]],Planeador[[#This Row],[Fecha de Entrega]]),"0")</f>
        <v>0</v>
      </c>
      <c r="Z122" s="189">
        <f>IF(Planeador[[#This Row],[Dificultad]]&lt;&gt;"",Planeador[[#This Row],[ΔT]]*Planeador[[#This Row],[Dificultad]],"0")</f>
        <v>0</v>
      </c>
      <c r="AA122" s="189">
        <f>IF(Planeador[[#This Row],[Dificultad]]&lt;&gt;"",Planeador[[#This Row],[ΔT]]/Planeador[[#This Row],[Dificultad]],"0")</f>
        <v>0</v>
      </c>
      <c r="AB122" s="189" t="str">
        <f>IF(Planeador[[#This Row],[Aprobado]]="A",NETWORKDAYS(Planeador[[#This Row],[Fecha de Solicitud]],Planeador[[#This Row],[Fecha de Entrega]])/5,"0,00")</f>
        <v>0,00</v>
      </c>
    </row>
    <row r="123" spans="2:28" ht="42" customHeight="1">
      <c r="B123" s="3" t="s">
        <v>607</v>
      </c>
      <c r="C123" s="180" t="s">
        <v>589</v>
      </c>
      <c r="D123" s="181" t="s">
        <v>124</v>
      </c>
      <c r="E123" s="181" t="s">
        <v>234</v>
      </c>
      <c r="F123" s="182" t="s">
        <v>96</v>
      </c>
      <c r="G123" s="182" t="s">
        <v>96</v>
      </c>
      <c r="H123" s="182"/>
      <c r="I123" s="182"/>
      <c r="J123" s="182"/>
      <c r="K123" s="182"/>
      <c r="L123" s="182"/>
      <c r="M123" s="183" t="s">
        <v>608</v>
      </c>
      <c r="N123" s="184">
        <v>41086</v>
      </c>
      <c r="O123" s="179" t="s">
        <v>154</v>
      </c>
      <c r="P123" s="179">
        <v>3</v>
      </c>
      <c r="Q123" s="185">
        <v>1</v>
      </c>
      <c r="R123" s="186"/>
      <c r="S123" s="187">
        <v>41088</v>
      </c>
      <c r="T123" s="184">
        <v>41087</v>
      </c>
      <c r="U123" s="183" t="s">
        <v>609</v>
      </c>
      <c r="V123" s="179"/>
      <c r="W123" s="3" t="s">
        <v>52</v>
      </c>
      <c r="X123" s="3" t="s">
        <v>610</v>
      </c>
      <c r="Y123" s="188">
        <f>IF(Planeador[[#This Row],[Aprobado]]="A",NETWORKDAYS(Planeador[[#This Row],[Fecha de Solicitud]],Planeador[[#This Row],[Fecha de Entrega]]),"0")</f>
        <v>2</v>
      </c>
      <c r="Z123" s="189">
        <f>IF(Planeador[[#This Row],[Dificultad]]&lt;&gt;"",Planeador[[#This Row],[ΔT]]*Planeador[[#This Row],[Dificultad]],"0")</f>
        <v>6</v>
      </c>
      <c r="AA123" s="189">
        <f>IF(Planeador[[#This Row],[Dificultad]]&lt;&gt;"",Planeador[[#This Row],[ΔT]]/Planeador[[#This Row],[Dificultad]],"0")</f>
        <v>0.66666666666666663</v>
      </c>
      <c r="AB123" s="189">
        <f>IF(Planeador[[#This Row],[Aprobado]]="A",NETWORKDAYS(Planeador[[#This Row],[Fecha de Solicitud]],Planeador[[#This Row],[Fecha de Entrega]])/5,"0,00")</f>
        <v>0.4</v>
      </c>
    </row>
    <row r="124" spans="2:28" ht="42" customHeight="1">
      <c r="B124" s="3" t="s">
        <v>611</v>
      </c>
      <c r="C124" s="180" t="s">
        <v>612</v>
      </c>
      <c r="D124" s="181" t="s">
        <v>50</v>
      </c>
      <c r="E124" s="181" t="s">
        <v>274</v>
      </c>
      <c r="F124" s="182" t="s">
        <v>96</v>
      </c>
      <c r="G124" s="182" t="s">
        <v>96</v>
      </c>
      <c r="H124" s="182" t="s">
        <v>96</v>
      </c>
      <c r="I124" s="182" t="s">
        <v>96</v>
      </c>
      <c r="J124" s="182"/>
      <c r="K124" s="182"/>
      <c r="L124" s="182"/>
      <c r="M124" s="183" t="s">
        <v>613</v>
      </c>
      <c r="N124" s="184">
        <v>41088</v>
      </c>
      <c r="O124" s="179" t="s">
        <v>111</v>
      </c>
      <c r="P124" s="179">
        <v>3</v>
      </c>
      <c r="Q124" s="185">
        <v>1</v>
      </c>
      <c r="R124" s="186"/>
      <c r="S124" s="187"/>
      <c r="T124" s="184">
        <v>41088</v>
      </c>
      <c r="U124" s="183"/>
      <c r="V124" s="179"/>
      <c r="W124" s="3" t="s">
        <v>52</v>
      </c>
      <c r="X124" s="179"/>
      <c r="Y124" s="188">
        <f>IF(Planeador[[#This Row],[Aprobado]]="A",NETWORKDAYS(Planeador[[#This Row],[Fecha de Solicitud]],Planeador[[#This Row],[Fecha de Entrega]]),"0")</f>
        <v>1</v>
      </c>
      <c r="Z124" s="189">
        <f>IF(Planeador[[#This Row],[Dificultad]]&lt;&gt;"",Planeador[[#This Row],[ΔT]]*Planeador[[#This Row],[Dificultad]],"0")</f>
        <v>3</v>
      </c>
      <c r="AA124" s="189">
        <f>IF(Planeador[[#This Row],[Dificultad]]&lt;&gt;"",Planeador[[#This Row],[ΔT]]/Planeador[[#This Row],[Dificultad]],"0")</f>
        <v>0.33333333333333331</v>
      </c>
      <c r="AB124" s="189">
        <f>IF(Planeador[[#This Row],[Aprobado]]="A",NETWORKDAYS(Planeador[[#This Row],[Fecha de Solicitud]],Planeador[[#This Row],[Fecha de Entrega]])/5,"0,00")</f>
        <v>0.2</v>
      </c>
    </row>
    <row r="125" spans="2:28" ht="42" customHeight="1">
      <c r="B125" s="3" t="s">
        <v>614</v>
      </c>
      <c r="C125" s="180" t="s">
        <v>615</v>
      </c>
      <c r="D125" s="181" t="s">
        <v>124</v>
      </c>
      <c r="E125" s="181" t="s">
        <v>597</v>
      </c>
      <c r="F125" s="182" t="s">
        <v>96</v>
      </c>
      <c r="G125" s="182" t="s">
        <v>96</v>
      </c>
      <c r="H125" s="182"/>
      <c r="I125" s="182" t="s">
        <v>96</v>
      </c>
      <c r="J125" s="182"/>
      <c r="K125" s="182"/>
      <c r="L125" s="182"/>
      <c r="M125" s="183" t="s">
        <v>616</v>
      </c>
      <c r="N125" s="184">
        <v>41089</v>
      </c>
      <c r="O125" s="179" t="s">
        <v>52</v>
      </c>
      <c r="P125" s="179">
        <v>2</v>
      </c>
      <c r="Q125" s="185">
        <v>1</v>
      </c>
      <c r="R125" s="186"/>
      <c r="S125" s="187"/>
      <c r="T125" s="184">
        <v>41089</v>
      </c>
      <c r="U125" s="183"/>
      <c r="V125" s="179"/>
      <c r="W125" s="3" t="s">
        <v>52</v>
      </c>
      <c r="X125" s="3" t="s">
        <v>617</v>
      </c>
      <c r="Y125" s="188">
        <f>IF(Planeador[[#This Row],[Aprobado]]="A",NETWORKDAYS(Planeador[[#This Row],[Fecha de Solicitud]],Planeador[[#This Row],[Fecha de Entrega]]),"0")</f>
        <v>1</v>
      </c>
      <c r="Z125" s="189">
        <f>IF(Planeador[[#This Row],[Dificultad]]&lt;&gt;"",Planeador[[#This Row],[ΔT]]*Planeador[[#This Row],[Dificultad]],"0")</f>
        <v>2</v>
      </c>
      <c r="AA125" s="189">
        <f>IF(Planeador[[#This Row],[Dificultad]]&lt;&gt;"",Planeador[[#This Row],[ΔT]]/Planeador[[#This Row],[Dificultad]],"0")</f>
        <v>0.5</v>
      </c>
      <c r="AB125" s="189">
        <f>IF(Planeador[[#This Row],[Aprobado]]="A",NETWORKDAYS(Planeador[[#This Row],[Fecha de Solicitud]],Planeador[[#This Row],[Fecha de Entrega]])/5,"0,00")</f>
        <v>0.2</v>
      </c>
    </row>
    <row r="126" spans="2:28" ht="42" customHeight="1">
      <c r="B126" s="3" t="s">
        <v>618</v>
      </c>
      <c r="C126" s="89" t="s">
        <v>555</v>
      </c>
      <c r="D126" s="8" t="s">
        <v>124</v>
      </c>
      <c r="E126" s="8" t="s">
        <v>55</v>
      </c>
      <c r="F126" s="7" t="s">
        <v>96</v>
      </c>
      <c r="G126" s="7" t="s">
        <v>96</v>
      </c>
      <c r="H126" s="7"/>
      <c r="M126" s="14" t="s">
        <v>619</v>
      </c>
      <c r="N126" s="9">
        <v>41089</v>
      </c>
      <c r="O126" s="3" t="s">
        <v>52</v>
      </c>
      <c r="P126" s="3">
        <v>3</v>
      </c>
      <c r="Q126" s="12">
        <v>1</v>
      </c>
      <c r="R126" s="56"/>
      <c r="S126" s="18"/>
      <c r="T126" s="9">
        <v>41090</v>
      </c>
      <c r="U126" s="14" t="s">
        <v>620</v>
      </c>
      <c r="W126" s="3" t="s">
        <v>52</v>
      </c>
      <c r="X126" s="3" t="s">
        <v>621</v>
      </c>
      <c r="Y126" s="66">
        <f>IF(Planeador[[#This Row],[Aprobado]]="A",NETWORKDAYS(Planeador[[#This Row],[Fecha de Solicitud]],Planeador[[#This Row],[Fecha de Entrega]]),"0")</f>
        <v>1</v>
      </c>
      <c r="Z126" s="65">
        <f>IF(Planeador[[#This Row],[Dificultad]]&lt;&gt;"",Planeador[[#This Row],[ΔT]]*Planeador[[#This Row],[Dificultad]],"0")</f>
        <v>3</v>
      </c>
      <c r="AA126" s="65">
        <f>IF(Planeador[[#This Row],[Dificultad]]&lt;&gt;"",Planeador[[#This Row],[ΔT]]/Planeador[[#This Row],[Dificultad]],"0")</f>
        <v>0.33333333333333331</v>
      </c>
      <c r="AB126" s="65">
        <f>IF(Planeador[[#This Row],[Aprobado]]="A",NETWORKDAYS(Planeador[[#This Row],[Fecha de Solicitud]],Planeador[[#This Row],[Fecha de Entrega]])/5,"0,00")</f>
        <v>0.2</v>
      </c>
    </row>
    <row r="127" spans="2:28" ht="42" customHeight="1">
      <c r="B127" s="3" t="s">
        <v>622</v>
      </c>
      <c r="C127" s="180" t="s">
        <v>289</v>
      </c>
      <c r="D127" s="181" t="s">
        <v>124</v>
      </c>
      <c r="E127" s="181" t="s">
        <v>582</v>
      </c>
      <c r="F127" s="182" t="s">
        <v>96</v>
      </c>
      <c r="G127" s="182"/>
      <c r="H127" s="182"/>
      <c r="I127" s="182"/>
      <c r="J127" s="182"/>
      <c r="K127" s="182"/>
      <c r="L127" s="182"/>
      <c r="M127" s="183" t="s">
        <v>623</v>
      </c>
      <c r="N127" s="184">
        <v>41090</v>
      </c>
      <c r="O127" s="179" t="s">
        <v>51</v>
      </c>
      <c r="P127" s="179">
        <v>2</v>
      </c>
      <c r="Q127" s="185">
        <v>1</v>
      </c>
      <c r="R127" s="186"/>
      <c r="S127" s="187">
        <v>41093</v>
      </c>
      <c r="T127" s="184">
        <v>41093</v>
      </c>
      <c r="U127" s="183" t="s">
        <v>638</v>
      </c>
      <c r="V127" s="179"/>
      <c r="W127" s="179" t="s">
        <v>52</v>
      </c>
      <c r="X127" s="179"/>
      <c r="Y127" s="188">
        <f>IF(Planeador[[#This Row],[Aprobado]]="A",NETWORKDAYS(Planeador[[#This Row],[Fecha de Solicitud]],Planeador[[#This Row],[Fecha de Entrega]]),"0")</f>
        <v>2</v>
      </c>
      <c r="Z127" s="189">
        <f>IF(Planeador[[#This Row],[Dificultad]]&lt;&gt;"",Planeador[[#This Row],[ΔT]]*Planeador[[#This Row],[Dificultad]],"0")</f>
        <v>4</v>
      </c>
      <c r="AA127" s="189">
        <f>IF(Planeador[[#This Row],[Dificultad]]&lt;&gt;"",Planeador[[#This Row],[ΔT]]/Planeador[[#This Row],[Dificultad]],"0")</f>
        <v>1</v>
      </c>
      <c r="AB127" s="189">
        <f>IF(Planeador[[#This Row],[Aprobado]]="A",NETWORKDAYS(Planeador[[#This Row],[Fecha de Solicitud]],Planeador[[#This Row],[Fecha de Entrega]])/5,"0,00")</f>
        <v>0.4</v>
      </c>
    </row>
    <row r="128" spans="2:28" ht="42" customHeight="1">
      <c r="B128" s="3" t="s">
        <v>626</v>
      </c>
      <c r="C128" s="180" t="s">
        <v>627</v>
      </c>
      <c r="D128" s="181" t="s">
        <v>124</v>
      </c>
      <c r="E128" s="181" t="s">
        <v>628</v>
      </c>
      <c r="F128" s="182" t="s">
        <v>96</v>
      </c>
      <c r="G128" s="182" t="s">
        <v>96</v>
      </c>
      <c r="H128" s="182"/>
      <c r="I128" s="182"/>
      <c r="J128" s="182"/>
      <c r="K128" s="182"/>
      <c r="L128" s="182"/>
      <c r="M128" s="183" t="s">
        <v>630</v>
      </c>
      <c r="N128" s="184">
        <v>41090</v>
      </c>
      <c r="O128" s="179" t="s">
        <v>51</v>
      </c>
      <c r="P128" s="179">
        <v>2</v>
      </c>
      <c r="Q128" s="185">
        <v>1</v>
      </c>
      <c r="R128" s="186"/>
      <c r="S128" s="187"/>
      <c r="T128" s="184">
        <v>41093</v>
      </c>
      <c r="U128" s="183"/>
      <c r="V128" s="179"/>
      <c r="W128" s="179" t="s">
        <v>52</v>
      </c>
      <c r="X128" s="179" t="s">
        <v>629</v>
      </c>
      <c r="Y128" s="188">
        <f>IF(Planeador[[#This Row],[Aprobado]]="A",NETWORKDAYS(Planeador[[#This Row],[Fecha de Solicitud]],Planeador[[#This Row],[Fecha de Entrega]]),"0")</f>
        <v>2</v>
      </c>
      <c r="Z128" s="189">
        <f>IF(Planeador[[#This Row],[Dificultad]]&lt;&gt;"",Planeador[[#This Row],[ΔT]]*Planeador[[#This Row],[Dificultad]],"0")</f>
        <v>4</v>
      </c>
      <c r="AA128" s="189">
        <f>IF(Planeador[[#This Row],[Dificultad]]&lt;&gt;"",Planeador[[#This Row],[ΔT]]/Planeador[[#This Row],[Dificultad]],"0")</f>
        <v>1</v>
      </c>
      <c r="AB128" s="189">
        <f>IF(Planeador[[#This Row],[Aprobado]]="A",NETWORKDAYS(Planeador[[#This Row],[Fecha de Solicitud]],Planeador[[#This Row],[Fecha de Entrega]])/5,"0,00")</f>
        <v>0.4</v>
      </c>
    </row>
    <row r="129" spans="2:28" ht="42" customHeight="1">
      <c r="B129" s="3" t="s">
        <v>631</v>
      </c>
      <c r="C129" s="180" t="s">
        <v>632</v>
      </c>
      <c r="D129" s="181" t="s">
        <v>124</v>
      </c>
      <c r="E129" s="181" t="s">
        <v>597</v>
      </c>
      <c r="F129" s="182"/>
      <c r="G129" s="182" t="s">
        <v>96</v>
      </c>
      <c r="H129" s="182"/>
      <c r="I129" s="182" t="s">
        <v>96</v>
      </c>
      <c r="J129" s="182"/>
      <c r="K129" s="182"/>
      <c r="L129" s="182"/>
      <c r="M129" s="183" t="s">
        <v>633</v>
      </c>
      <c r="N129" s="184">
        <v>41093</v>
      </c>
      <c r="O129" s="179" t="s">
        <v>111</v>
      </c>
      <c r="P129" s="179">
        <v>2</v>
      </c>
      <c r="Q129" s="185">
        <v>0.5</v>
      </c>
      <c r="R129" s="186"/>
      <c r="S129" s="187"/>
      <c r="T129" s="184"/>
      <c r="U129" s="183"/>
      <c r="V129" s="179"/>
      <c r="W129" s="179" t="s">
        <v>136</v>
      </c>
      <c r="X129" s="179"/>
      <c r="Y129" s="188" t="str">
        <f>IF(Planeador[[#This Row],[Aprobado]]="A",NETWORKDAYS(Planeador[[#This Row],[Fecha de Solicitud]],Planeador[[#This Row],[Fecha de Entrega]]),"0")</f>
        <v>0</v>
      </c>
      <c r="Z129" s="189">
        <f>IF(Planeador[[#This Row],[Dificultad]]&lt;&gt;"",Planeador[[#This Row],[ΔT]]*Planeador[[#This Row],[Dificultad]],"0")</f>
        <v>0</v>
      </c>
      <c r="AA129" s="189">
        <f>IF(Planeador[[#This Row],[Dificultad]]&lt;&gt;"",Planeador[[#This Row],[ΔT]]/Planeador[[#This Row],[Dificultad]],"0")</f>
        <v>0</v>
      </c>
      <c r="AB129" s="189" t="str">
        <f>IF(Planeador[[#This Row],[Aprobado]]="A",NETWORKDAYS(Planeador[[#This Row],[Fecha de Solicitud]],Planeador[[#This Row],[Fecha de Entrega]])/5,"0,00")</f>
        <v>0,00</v>
      </c>
    </row>
    <row r="130" spans="2:28" ht="42" customHeight="1">
      <c r="B130" s="3" t="s">
        <v>634</v>
      </c>
      <c r="C130" s="180" t="s">
        <v>635</v>
      </c>
      <c r="D130" s="181" t="s">
        <v>61</v>
      </c>
      <c r="E130" s="181" t="s">
        <v>636</v>
      </c>
      <c r="F130" s="182" t="s">
        <v>96</v>
      </c>
      <c r="G130" s="182" t="s">
        <v>96</v>
      </c>
      <c r="H130" s="182"/>
      <c r="I130" s="182" t="s">
        <v>96</v>
      </c>
      <c r="J130" s="182"/>
      <c r="K130" s="182"/>
      <c r="L130" s="182"/>
      <c r="M130" s="183" t="s">
        <v>637</v>
      </c>
      <c r="N130" s="184">
        <v>41093</v>
      </c>
      <c r="O130" s="179" t="s">
        <v>52</v>
      </c>
      <c r="P130" s="179">
        <v>2</v>
      </c>
      <c r="Q130" s="185">
        <v>0.8</v>
      </c>
      <c r="R130" s="186"/>
      <c r="S130" s="187"/>
      <c r="T130" s="184"/>
      <c r="U130" s="183"/>
      <c r="V130" s="179"/>
      <c r="W130" s="179" t="s">
        <v>136</v>
      </c>
      <c r="X130" s="179"/>
      <c r="Y130" s="188" t="str">
        <f>IF(Planeador[[#This Row],[Aprobado]]="A",NETWORKDAYS(Planeador[[#This Row],[Fecha de Solicitud]],Planeador[[#This Row],[Fecha de Entrega]]),"0")</f>
        <v>0</v>
      </c>
      <c r="Z130" s="189">
        <f>IF(Planeador[[#This Row],[Dificultad]]&lt;&gt;"",Planeador[[#This Row],[ΔT]]*Planeador[[#This Row],[Dificultad]],"0")</f>
        <v>0</v>
      </c>
      <c r="AA130" s="189">
        <f>IF(Planeador[[#This Row],[Dificultad]]&lt;&gt;"",Planeador[[#This Row],[ΔT]]/Planeador[[#This Row],[Dificultad]],"0")</f>
        <v>0</v>
      </c>
      <c r="AB130" s="189" t="str">
        <f>IF(Planeador[[#This Row],[Aprobado]]="A",NETWORKDAYS(Planeador[[#This Row],[Fecha de Solicitud]],Planeador[[#This Row],[Fecha de Entrega]])/5,"0,00")</f>
        <v>0,00</v>
      </c>
    </row>
    <row r="131" spans="2:28" ht="42" customHeight="1">
      <c r="B131" s="3" t="s">
        <v>639</v>
      </c>
      <c r="C131" s="180" t="s">
        <v>615</v>
      </c>
      <c r="D131" s="181" t="s">
        <v>124</v>
      </c>
      <c r="E131" s="181" t="s">
        <v>597</v>
      </c>
      <c r="F131" s="182" t="s">
        <v>96</v>
      </c>
      <c r="G131" s="182" t="s">
        <v>96</v>
      </c>
      <c r="H131" s="182"/>
      <c r="I131" s="182" t="s">
        <v>96</v>
      </c>
      <c r="J131" s="182"/>
      <c r="K131" s="182"/>
      <c r="L131" s="182"/>
      <c r="M131" s="183" t="s">
        <v>640</v>
      </c>
      <c r="N131" s="184">
        <v>41093</v>
      </c>
      <c r="O131" s="179" t="s">
        <v>51</v>
      </c>
      <c r="P131" s="179">
        <v>2</v>
      </c>
      <c r="Q131" s="185">
        <v>1</v>
      </c>
      <c r="R131" s="186" t="s">
        <v>96</v>
      </c>
      <c r="S131" s="187">
        <v>41094</v>
      </c>
      <c r="T131" s="184"/>
      <c r="U131" s="183"/>
      <c r="V131" s="179"/>
      <c r="W131" s="3" t="s">
        <v>52</v>
      </c>
      <c r="X131" s="3" t="s">
        <v>641</v>
      </c>
      <c r="Y131" s="188">
        <f>IF(Planeador[[#This Row],[Aprobado]]="A",NETWORKDAYS(Planeador[[#This Row],[Fecha de Solicitud]],Planeador[[#This Row],[Fecha de Entrega]]),"0")</f>
        <v>-29352</v>
      </c>
      <c r="Z131" s="189">
        <f>IF(Planeador[[#This Row],[Dificultad]]&lt;&gt;"",Planeador[[#This Row],[ΔT]]*Planeador[[#This Row],[Dificultad]],"0")</f>
        <v>-58704</v>
      </c>
      <c r="AA131" s="189">
        <f>IF(Planeador[[#This Row],[Dificultad]]&lt;&gt;"",Planeador[[#This Row],[ΔT]]/Planeador[[#This Row],[Dificultad]],"0")</f>
        <v>-14676</v>
      </c>
      <c r="AB131" s="189">
        <f>IF(Planeador[[#This Row],[Aprobado]]="A",NETWORKDAYS(Planeador[[#This Row],[Fecha de Solicitud]],Planeador[[#This Row],[Fecha de Entrega]])/5,"0,00")</f>
        <v>-5870.4</v>
      </c>
    </row>
    <row r="132" spans="2:28" ht="42" customHeight="1">
      <c r="B132" s="3" t="s">
        <v>642</v>
      </c>
      <c r="C132" s="180" t="s">
        <v>643</v>
      </c>
      <c r="D132" s="181" t="s">
        <v>50</v>
      </c>
      <c r="E132" s="181" t="s">
        <v>62</v>
      </c>
      <c r="F132" s="7"/>
      <c r="G132" s="7" t="s">
        <v>96</v>
      </c>
      <c r="H132" s="7" t="s">
        <v>96</v>
      </c>
      <c r="I132" s="7" t="s">
        <v>96</v>
      </c>
      <c r="J132" s="182"/>
      <c r="K132" s="182"/>
      <c r="L132" s="182"/>
      <c r="M132" s="14" t="s">
        <v>650</v>
      </c>
      <c r="N132" s="184">
        <v>41095</v>
      </c>
      <c r="O132" s="3" t="s">
        <v>51</v>
      </c>
      <c r="P132" s="179">
        <v>5</v>
      </c>
      <c r="Q132" s="185">
        <v>0.4</v>
      </c>
      <c r="R132" s="186"/>
      <c r="S132" s="187">
        <v>41099</v>
      </c>
      <c r="T132" s="184"/>
      <c r="U132" s="183"/>
      <c r="V132" s="179"/>
      <c r="W132" s="3" t="s">
        <v>136</v>
      </c>
      <c r="X132" s="179"/>
      <c r="Y132" s="188" t="str">
        <f>IF(Planeador[[#This Row],[Aprobado]]="A",NETWORKDAYS(Planeador[[#This Row],[Fecha de Solicitud]],Planeador[[#This Row],[Fecha de Entrega]]),"0")</f>
        <v>0</v>
      </c>
      <c r="Z132" s="189">
        <f>IF(Planeador[[#This Row],[Dificultad]]&lt;&gt;"",Planeador[[#This Row],[ΔT]]*Planeador[[#This Row],[Dificultad]],"0")</f>
        <v>0</v>
      </c>
      <c r="AA132" s="189">
        <f>IF(Planeador[[#This Row],[Dificultad]]&lt;&gt;"",Planeador[[#This Row],[ΔT]]/Planeador[[#This Row],[Dificultad]],"0")</f>
        <v>0</v>
      </c>
      <c r="AB132" s="189" t="str">
        <f>IF(Planeador[[#This Row],[Aprobado]]="A",NETWORKDAYS(Planeador[[#This Row],[Fecha de Solicitud]],Planeador[[#This Row],[Fecha de Entrega]])/5,"0,00")</f>
        <v>0,00</v>
      </c>
    </row>
    <row r="133" spans="2:28" ht="42" customHeight="1">
      <c r="B133" s="3" t="s">
        <v>644</v>
      </c>
      <c r="C133" s="180" t="s">
        <v>645</v>
      </c>
      <c r="D133" s="181" t="s">
        <v>124</v>
      </c>
      <c r="E133" s="181" t="s">
        <v>234</v>
      </c>
      <c r="F133" s="182" t="s">
        <v>96</v>
      </c>
      <c r="G133" s="182" t="s">
        <v>96</v>
      </c>
      <c r="H133" s="182"/>
      <c r="I133" s="182"/>
      <c r="J133" s="182"/>
      <c r="K133" s="182"/>
      <c r="L133" s="182"/>
      <c r="M133" s="183" t="s">
        <v>646</v>
      </c>
      <c r="N133" s="184">
        <v>41096</v>
      </c>
      <c r="O133" s="179" t="s">
        <v>111</v>
      </c>
      <c r="P133" s="179">
        <v>2</v>
      </c>
      <c r="Q133" s="185">
        <v>1</v>
      </c>
      <c r="R133" s="186"/>
      <c r="S133" s="187"/>
      <c r="T133" s="184">
        <v>41096</v>
      </c>
      <c r="U133" s="183"/>
      <c r="V133" s="179"/>
      <c r="W133" s="179" t="s">
        <v>52</v>
      </c>
      <c r="X133" s="179" t="s">
        <v>647</v>
      </c>
      <c r="Y133" s="188">
        <f>IF(Planeador[[#This Row],[Aprobado]]="A",NETWORKDAYS(Planeador[[#This Row],[Fecha de Solicitud]],Planeador[[#This Row],[Fecha de Entrega]]),"0")</f>
        <v>1</v>
      </c>
      <c r="Z133" s="189">
        <f>IF(Planeador[[#This Row],[Dificultad]]&lt;&gt;"",Planeador[[#This Row],[ΔT]]*Planeador[[#This Row],[Dificultad]],"0")</f>
        <v>2</v>
      </c>
      <c r="AA133" s="189">
        <f>IF(Planeador[[#This Row],[Dificultad]]&lt;&gt;"",Planeador[[#This Row],[ΔT]]/Planeador[[#This Row],[Dificultad]],"0")</f>
        <v>0.5</v>
      </c>
      <c r="AB133" s="189">
        <f>IF(Planeador[[#This Row],[Aprobado]]="A",NETWORKDAYS(Planeador[[#This Row],[Fecha de Solicitud]],Planeador[[#This Row],[Fecha de Entrega]])/5,"0,00")</f>
        <v>0.2</v>
      </c>
    </row>
    <row r="134" spans="2:28" ht="42" customHeight="1">
      <c r="B134" s="3" t="s">
        <v>648</v>
      </c>
      <c r="C134" s="89" t="s">
        <v>368</v>
      </c>
      <c r="D134" s="8" t="s">
        <v>61</v>
      </c>
      <c r="E134" s="8" t="s">
        <v>62</v>
      </c>
      <c r="F134" s="7" t="s">
        <v>96</v>
      </c>
      <c r="G134" s="7"/>
      <c r="H134" s="7" t="s">
        <v>96</v>
      </c>
      <c r="M134" s="14" t="s">
        <v>649</v>
      </c>
      <c r="N134" s="9">
        <v>41096</v>
      </c>
      <c r="O134" s="3" t="s">
        <v>154</v>
      </c>
      <c r="P134" s="3">
        <v>5</v>
      </c>
      <c r="Q134" s="12">
        <v>1</v>
      </c>
      <c r="R134" s="56"/>
      <c r="S134" s="18">
        <v>41096</v>
      </c>
      <c r="T134" s="9">
        <v>41096</v>
      </c>
      <c r="U134" s="14"/>
      <c r="W134" s="3" t="s">
        <v>52</v>
      </c>
      <c r="X134" s="3"/>
      <c r="Y134" s="66">
        <f>IF(Planeador[[#This Row],[Aprobado]]="A",NETWORKDAYS(Planeador[[#This Row],[Fecha de Solicitud]],Planeador[[#This Row],[Fecha de Entrega]]),"0")</f>
        <v>1</v>
      </c>
      <c r="Z134" s="65">
        <f>IF(Planeador[[#This Row],[Dificultad]]&lt;&gt;"",Planeador[[#This Row],[ΔT]]*Planeador[[#This Row],[Dificultad]],"0")</f>
        <v>5</v>
      </c>
      <c r="AA134" s="65">
        <f>IF(Planeador[[#This Row],[Dificultad]]&lt;&gt;"",Planeador[[#This Row],[ΔT]]/Planeador[[#This Row],[Dificultad]],"0")</f>
        <v>0.2</v>
      </c>
      <c r="AB134" s="65">
        <f>IF(Planeador[[#This Row],[Aprobado]]="A",NETWORKDAYS(Planeador[[#This Row],[Fecha de Solicitud]],Planeador[[#This Row],[Fecha de Entrega]])/5,"0,00")</f>
        <v>0.2</v>
      </c>
    </row>
    <row r="135" spans="2:28" ht="14.25">
      <c r="B135" s="5">
        <f>SUBTOTAL(103,Planeador[Proyecto])</f>
        <v>132</v>
      </c>
      <c r="C135" s="15"/>
      <c r="D135" s="10"/>
      <c r="E135" s="10"/>
      <c r="F135" s="10">
        <f>SUBTOTAL(103,Planeador[DC])</f>
        <v>45</v>
      </c>
      <c r="G135" s="10">
        <f>SUBTOTAL(103,Planeador[PR])</f>
        <v>110</v>
      </c>
      <c r="H135" s="10">
        <f>SUBTOTAL(103,Planeador[PD])</f>
        <v>43</v>
      </c>
      <c r="I135" s="35">
        <f>SUBTOTAL(103,Planeador[FB])</f>
        <v>83</v>
      </c>
      <c r="J135" s="35">
        <f>SUBTOTAL(103,Planeador[MT])</f>
        <v>17</v>
      </c>
      <c r="K135" s="35">
        <f>SUBTOTAL(103,Planeador[OC])</f>
        <v>1</v>
      </c>
      <c r="L135" s="35">
        <f>SUBTOTAL(103,Planeador[CE])</f>
        <v>4</v>
      </c>
      <c r="M135" s="15"/>
      <c r="N135" s="11"/>
      <c r="O135" s="5"/>
      <c r="P135" s="5">
        <f>SUMIF(Planeador[Aprobado],"A",Planeador[Dificultad])</f>
        <v>414</v>
      </c>
      <c r="Q135" s="190">
        <f>COUNTIF(Planeador[[#Headers],[#Data],[Estado]],"&lt;1")</f>
        <v>28</v>
      </c>
      <c r="R135" s="190"/>
      <c r="S135" s="11"/>
      <c r="T135" s="11"/>
      <c r="U135" s="15"/>
      <c r="V135" s="5"/>
      <c r="W135" s="5">
        <f>COUNTIF(Planeador[[#Headers],[#Data],[Aprobado]],"A")</f>
        <v>102</v>
      </c>
      <c r="X135" s="191">
        <f>SUBTOTAL(103,Planeador[Cotización])</f>
        <v>54</v>
      </c>
      <c r="Y135" s="192">
        <f>SUBTOTAL(109,Planeador[ΔT])</f>
        <v>-87600</v>
      </c>
      <c r="Z135" s="192">
        <f>SUBTOTAL(109,Planeador[ΔTxDif])</f>
        <v>-290911</v>
      </c>
      <c r="AA135" s="192">
        <f>SUBTOTAL(104,Planeador[ΔT/Dif])</f>
        <v>6.166666666666667</v>
      </c>
      <c r="AB135" s="23"/>
    </row>
    <row r="136" spans="2:28">
      <c r="C136" s="14"/>
      <c r="M136" s="14"/>
      <c r="N136" s="9"/>
      <c r="P136" s="3"/>
      <c r="Q136" s="12"/>
      <c r="R136" s="12"/>
      <c r="S136" s="18"/>
      <c r="T136" s="9"/>
      <c r="U136" s="14"/>
      <c r="W136" s="3"/>
    </row>
    <row r="137" spans="2:28">
      <c r="C137" s="14"/>
      <c r="M137" s="14"/>
      <c r="N137" s="9"/>
      <c r="P137" s="3"/>
      <c r="Q137" s="12"/>
      <c r="R137" s="12"/>
      <c r="S137" s="18"/>
      <c r="T137" s="9"/>
      <c r="U137" s="14"/>
      <c r="W137" s="3"/>
    </row>
    <row r="138" spans="2:28">
      <c r="C138" s="14"/>
      <c r="M138" s="14"/>
      <c r="N138" s="9"/>
      <c r="P138" s="3"/>
      <c r="Q138" s="12"/>
      <c r="R138" s="12"/>
      <c r="S138" s="18"/>
      <c r="T138" s="9"/>
      <c r="U138" s="14"/>
      <c r="W138" s="3"/>
    </row>
    <row r="139" spans="2:28">
      <c r="C139" s="15"/>
      <c r="D139" s="10"/>
      <c r="E139" s="10"/>
      <c r="F139" s="10"/>
      <c r="G139" s="10"/>
      <c r="H139" s="10"/>
      <c r="I139" s="35"/>
      <c r="J139" s="35"/>
      <c r="K139" s="35"/>
      <c r="L139" s="35"/>
      <c r="M139" s="15"/>
      <c r="N139" s="11"/>
      <c r="O139" s="5"/>
      <c r="P139" s="5"/>
      <c r="Q139" s="13"/>
      <c r="R139" s="13"/>
      <c r="S139" s="19"/>
      <c r="T139" s="11"/>
      <c r="U139" s="15"/>
      <c r="V139" s="5"/>
      <c r="W139" s="5"/>
    </row>
    <row r="140" spans="2:28">
      <c r="C140" s="14"/>
      <c r="M140" s="14"/>
      <c r="N140" s="9"/>
      <c r="P140" s="3"/>
      <c r="Q140" s="12"/>
      <c r="R140" s="12"/>
      <c r="S140" s="18"/>
      <c r="T140" s="9"/>
      <c r="U140" s="14"/>
      <c r="W140" s="3"/>
    </row>
    <row r="141" spans="2:28">
      <c r="C141" s="14"/>
      <c r="M141" s="14"/>
      <c r="N141" s="9"/>
      <c r="P141" s="3"/>
      <c r="Q141" s="12"/>
      <c r="R141" s="12"/>
      <c r="S141" s="18"/>
      <c r="T141" s="9"/>
      <c r="U141" s="14"/>
      <c r="W141" s="3"/>
    </row>
    <row r="142" spans="2:28">
      <c r="C142" s="14"/>
      <c r="M142" s="14"/>
      <c r="N142" s="9"/>
      <c r="P142" s="3"/>
      <c r="Q142" s="12"/>
      <c r="R142" s="12"/>
      <c r="S142" s="18"/>
      <c r="T142" s="9"/>
      <c r="U142" s="14"/>
      <c r="W142" s="3"/>
    </row>
    <row r="143" spans="2:28">
      <c r="C143" s="14"/>
      <c r="M143" s="14"/>
      <c r="N143" s="9"/>
      <c r="P143" s="3"/>
      <c r="Q143" s="12"/>
      <c r="R143" s="12"/>
      <c r="S143" s="18"/>
      <c r="T143" s="9"/>
      <c r="U143" s="14"/>
      <c r="W143" s="3"/>
    </row>
    <row r="144" spans="2:28">
      <c r="C144" s="14"/>
      <c r="M144" s="14"/>
      <c r="N144" s="9"/>
      <c r="P144" s="3"/>
      <c r="Q144" s="12"/>
      <c r="R144" s="12"/>
      <c r="S144" s="18"/>
      <c r="T144" s="9"/>
      <c r="U144" s="14"/>
      <c r="W144" s="3"/>
    </row>
    <row r="145" spans="3:23">
      <c r="C145" s="14"/>
      <c r="M145" s="14"/>
      <c r="N145" s="9"/>
      <c r="P145" s="3"/>
      <c r="Q145" s="12"/>
      <c r="R145" s="12"/>
      <c r="S145" s="18"/>
      <c r="T145" s="9"/>
      <c r="U145" s="14"/>
      <c r="W145" s="3"/>
    </row>
    <row r="146" spans="3:23">
      <c r="C146" s="14"/>
      <c r="M146" s="14"/>
      <c r="N146" s="9"/>
      <c r="P146" s="3"/>
      <c r="Q146" s="12"/>
      <c r="R146" s="12"/>
      <c r="S146" s="18"/>
      <c r="T146" s="9"/>
      <c r="U146" s="14"/>
      <c r="W146" s="3"/>
    </row>
    <row r="147" spans="3:23">
      <c r="C147" s="14"/>
      <c r="M147" s="14"/>
      <c r="N147" s="9"/>
      <c r="P147" s="3"/>
      <c r="Q147" s="12"/>
      <c r="R147" s="12"/>
      <c r="S147" s="18"/>
      <c r="T147" s="9"/>
      <c r="U147" s="14"/>
      <c r="W147" s="3"/>
    </row>
    <row r="148" spans="3:23">
      <c r="C148" s="14"/>
      <c r="M148" s="14"/>
      <c r="N148" s="9"/>
      <c r="P148" s="3"/>
      <c r="Q148" s="12"/>
      <c r="R148" s="12"/>
      <c r="S148" s="18"/>
      <c r="T148" s="9"/>
      <c r="U148" s="14"/>
      <c r="W148" s="3"/>
    </row>
    <row r="149" spans="3:23">
      <c r="C149" s="14"/>
      <c r="M149" s="14"/>
      <c r="N149" s="9"/>
      <c r="P149" s="3"/>
      <c r="Q149" s="12"/>
      <c r="R149" s="12"/>
      <c r="S149" s="18"/>
      <c r="T149" s="9"/>
      <c r="U149" s="14"/>
      <c r="W149" s="3"/>
    </row>
    <row r="150" spans="3:23">
      <c r="C150" s="14"/>
      <c r="M150" s="14"/>
      <c r="N150" s="9"/>
      <c r="P150" s="3"/>
      <c r="Q150" s="12"/>
      <c r="R150" s="12"/>
      <c r="S150" s="18"/>
      <c r="T150" s="9"/>
      <c r="U150" s="14"/>
      <c r="W150" s="3"/>
    </row>
    <row r="151" spans="3:23">
      <c r="C151" s="14"/>
      <c r="M151" s="14"/>
      <c r="N151" s="9"/>
      <c r="P151" s="3"/>
      <c r="Q151" s="12"/>
      <c r="R151" s="12"/>
      <c r="S151" s="18"/>
      <c r="T151" s="9"/>
      <c r="U151" s="14"/>
      <c r="W151" s="3"/>
    </row>
    <row r="152" spans="3:23">
      <c r="C152" s="14"/>
      <c r="M152" s="14"/>
      <c r="N152" s="9"/>
      <c r="P152" s="3"/>
      <c r="Q152" s="12"/>
      <c r="R152" s="12"/>
      <c r="S152" s="18"/>
      <c r="T152" s="9"/>
      <c r="U152" s="14"/>
      <c r="W152" s="3"/>
    </row>
    <row r="153" spans="3:23">
      <c r="C153" s="14"/>
      <c r="M153" s="14"/>
      <c r="N153" s="9"/>
      <c r="P153" s="3"/>
      <c r="Q153" s="12"/>
      <c r="R153" s="12"/>
      <c r="S153" s="18"/>
      <c r="T153" s="9"/>
      <c r="U153" s="14"/>
      <c r="W153" s="3"/>
    </row>
    <row r="154" spans="3:23">
      <c r="C154" s="14"/>
      <c r="M154" s="14"/>
      <c r="N154" s="9"/>
      <c r="P154" s="3"/>
      <c r="Q154" s="12"/>
      <c r="R154" s="12"/>
      <c r="S154" s="18"/>
      <c r="T154" s="9"/>
      <c r="U154" s="14"/>
      <c r="W154" s="3"/>
    </row>
    <row r="155" spans="3:23">
      <c r="C155" s="14"/>
      <c r="M155" s="14"/>
      <c r="N155" s="9"/>
      <c r="P155" s="3"/>
      <c r="Q155" s="12"/>
      <c r="R155" s="12"/>
      <c r="S155" s="18"/>
      <c r="T155" s="9"/>
      <c r="U155" s="14"/>
      <c r="W155" s="3"/>
    </row>
    <row r="156" spans="3:23">
      <c r="C156" s="14"/>
      <c r="M156" s="14"/>
      <c r="N156" s="9"/>
      <c r="P156" s="3"/>
      <c r="Q156" s="12"/>
      <c r="R156" s="12"/>
      <c r="S156" s="18"/>
      <c r="T156" s="9"/>
      <c r="U156" s="14"/>
      <c r="W156" s="3"/>
    </row>
    <row r="157" spans="3:23">
      <c r="C157" s="14"/>
      <c r="M157" s="14"/>
      <c r="N157" s="9"/>
      <c r="P157" s="3"/>
      <c r="Q157" s="12"/>
      <c r="R157" s="12"/>
      <c r="S157" s="18"/>
      <c r="T157" s="9"/>
      <c r="U157" s="14"/>
      <c r="W157" s="3"/>
    </row>
    <row r="158" spans="3:23">
      <c r="C158" s="14"/>
      <c r="M158" s="14"/>
      <c r="N158" s="9"/>
      <c r="P158" s="3"/>
      <c r="Q158" s="12"/>
      <c r="R158" s="12"/>
      <c r="S158" s="18"/>
      <c r="T158" s="9"/>
      <c r="U158" s="14"/>
      <c r="W158" s="3"/>
    </row>
    <row r="159" spans="3:23">
      <c r="C159" s="14"/>
      <c r="M159" s="14"/>
      <c r="N159" s="9"/>
      <c r="P159" s="3"/>
      <c r="Q159" s="12"/>
      <c r="R159" s="12"/>
      <c r="S159" s="18"/>
      <c r="T159" s="9"/>
      <c r="U159" s="14"/>
      <c r="W159" s="3"/>
    </row>
    <row r="160" spans="3:23">
      <c r="C160" s="14"/>
      <c r="M160" s="14"/>
      <c r="N160" s="9"/>
      <c r="P160" s="3"/>
      <c r="Q160" s="12"/>
      <c r="R160" s="12"/>
      <c r="S160" s="18"/>
      <c r="T160" s="9"/>
      <c r="U160" s="14"/>
      <c r="W160" s="3"/>
    </row>
    <row r="161" spans="3:23">
      <c r="C161" s="14"/>
      <c r="M161" s="14"/>
      <c r="N161" s="9"/>
      <c r="P161" s="3"/>
      <c r="Q161" s="12"/>
      <c r="R161" s="12"/>
      <c r="S161" s="18"/>
      <c r="T161" s="9"/>
      <c r="U161" s="14"/>
      <c r="W161" s="3"/>
    </row>
    <row r="162" spans="3:23">
      <c r="C162" s="14"/>
      <c r="M162" s="14"/>
      <c r="N162" s="9"/>
      <c r="P162" s="3"/>
      <c r="Q162" s="12"/>
      <c r="R162" s="12"/>
      <c r="S162" s="18"/>
      <c r="T162" s="9"/>
      <c r="U162" s="14"/>
      <c r="W162" s="3"/>
    </row>
    <row r="163" spans="3:23">
      <c r="C163" s="14"/>
      <c r="M163" s="14"/>
      <c r="N163" s="9"/>
      <c r="P163" s="3"/>
      <c r="Q163" s="12"/>
      <c r="R163" s="12"/>
      <c r="S163" s="18"/>
      <c r="T163" s="9"/>
      <c r="U163" s="14"/>
      <c r="W163" s="3"/>
    </row>
    <row r="164" spans="3:23">
      <c r="C164" s="15"/>
      <c r="D164" s="10"/>
      <c r="E164" s="10"/>
      <c r="F164" s="10"/>
      <c r="G164" s="10"/>
      <c r="H164" s="10"/>
      <c r="I164" s="35"/>
      <c r="J164" s="35"/>
      <c r="K164" s="35"/>
      <c r="L164" s="35"/>
      <c r="M164" s="15"/>
      <c r="N164" s="11"/>
      <c r="O164" s="5"/>
      <c r="P164" s="5"/>
      <c r="Q164" s="13"/>
      <c r="R164" s="13"/>
      <c r="S164" s="19"/>
      <c r="T164" s="11"/>
      <c r="U164" s="15"/>
      <c r="V164" s="5"/>
      <c r="W164" s="5"/>
    </row>
    <row r="165" spans="3:23">
      <c r="C165" s="14"/>
      <c r="M165" s="14"/>
      <c r="N165" s="9"/>
      <c r="P165" s="3"/>
      <c r="Q165" s="12"/>
      <c r="R165" s="12"/>
      <c r="S165" s="18"/>
      <c r="T165" s="9"/>
      <c r="U165" s="14"/>
      <c r="W165" s="3"/>
    </row>
    <row r="166" spans="3:23">
      <c r="C166" s="14"/>
      <c r="M166" s="14"/>
      <c r="N166" s="9"/>
      <c r="P166" s="3"/>
      <c r="Q166" s="12"/>
      <c r="R166" s="12"/>
      <c r="S166" s="18"/>
      <c r="T166" s="9"/>
      <c r="U166" s="14"/>
      <c r="W166" s="3"/>
    </row>
    <row r="167" spans="3:23">
      <c r="C167" s="14"/>
      <c r="M167" s="14"/>
      <c r="N167" s="9"/>
      <c r="P167" s="3"/>
      <c r="Q167" s="12"/>
      <c r="R167" s="12"/>
      <c r="S167" s="18"/>
      <c r="T167" s="9"/>
      <c r="U167" s="14"/>
      <c r="W167" s="3"/>
    </row>
    <row r="168" spans="3:23">
      <c r="C168" s="14"/>
      <c r="M168" s="14"/>
      <c r="N168" s="9"/>
      <c r="P168" s="3"/>
      <c r="Q168" s="12"/>
      <c r="R168" s="12"/>
      <c r="S168" s="18"/>
      <c r="T168" s="9"/>
      <c r="U168" s="14"/>
      <c r="W168" s="3"/>
    </row>
    <row r="169" spans="3:23">
      <c r="C169" s="14"/>
      <c r="M169" s="14"/>
      <c r="N169" s="9"/>
      <c r="P169" s="3"/>
      <c r="Q169" s="12"/>
      <c r="R169" s="12"/>
      <c r="S169" s="18"/>
      <c r="T169" s="9"/>
      <c r="U169" s="14"/>
      <c r="W169" s="3"/>
    </row>
    <row r="170" spans="3:23">
      <c r="C170" s="14"/>
      <c r="M170" s="14"/>
      <c r="N170" s="9"/>
      <c r="P170" s="3"/>
      <c r="Q170" s="12"/>
      <c r="R170" s="12"/>
      <c r="S170" s="18"/>
      <c r="T170" s="9"/>
      <c r="U170" s="14"/>
      <c r="W170" s="3"/>
    </row>
    <row r="171" spans="3:23">
      <c r="C171" s="14"/>
      <c r="M171" s="14"/>
      <c r="N171" s="9"/>
      <c r="P171" s="3"/>
      <c r="Q171" s="12"/>
      <c r="R171" s="12"/>
      <c r="S171" s="18"/>
      <c r="T171" s="9"/>
      <c r="U171" s="14"/>
      <c r="W171" s="3"/>
    </row>
    <row r="172" spans="3:23">
      <c r="C172" s="14"/>
      <c r="M172" s="14"/>
      <c r="N172" s="9"/>
      <c r="P172" s="3"/>
      <c r="Q172" s="12"/>
      <c r="R172" s="12"/>
      <c r="S172" s="18"/>
      <c r="T172" s="9"/>
      <c r="U172" s="14"/>
      <c r="W172" s="3"/>
    </row>
    <row r="173" spans="3:23">
      <c r="C173" s="14"/>
      <c r="M173" s="14"/>
      <c r="N173" s="9"/>
      <c r="P173" s="3"/>
      <c r="Q173" s="12"/>
      <c r="R173" s="12"/>
      <c r="S173" s="18"/>
      <c r="T173" s="9"/>
      <c r="U173" s="14"/>
      <c r="W173" s="3"/>
    </row>
    <row r="174" spans="3:23">
      <c r="C174" s="14"/>
      <c r="M174" s="14"/>
      <c r="N174" s="9"/>
      <c r="P174" s="3"/>
      <c r="Q174" s="12"/>
      <c r="R174" s="12"/>
      <c r="S174" s="18"/>
      <c r="T174" s="9"/>
      <c r="U174" s="14"/>
      <c r="W174" s="3"/>
    </row>
    <row r="175" spans="3:23">
      <c r="C175" s="14"/>
      <c r="M175" s="14"/>
      <c r="N175" s="9"/>
      <c r="P175" s="3"/>
      <c r="Q175" s="12"/>
      <c r="R175" s="12"/>
      <c r="S175" s="18"/>
      <c r="T175" s="9"/>
      <c r="U175" s="14"/>
      <c r="W175" s="3"/>
    </row>
    <row r="176" spans="3:23">
      <c r="C176" s="15"/>
      <c r="D176" s="10"/>
      <c r="E176" s="10"/>
      <c r="F176" s="10"/>
      <c r="G176" s="10"/>
      <c r="H176" s="10"/>
      <c r="I176" s="35"/>
      <c r="J176" s="35"/>
      <c r="K176" s="35"/>
      <c r="L176" s="35"/>
      <c r="M176" s="15"/>
      <c r="N176" s="11"/>
      <c r="O176" s="5"/>
      <c r="P176" s="5"/>
      <c r="Q176" s="13"/>
      <c r="R176" s="13"/>
      <c r="S176" s="19"/>
      <c r="T176" s="11"/>
      <c r="U176" s="15"/>
      <c r="V176" s="5"/>
      <c r="W176" s="5"/>
    </row>
    <row r="177" spans="3:23">
      <c r="C177" s="14"/>
      <c r="M177" s="14"/>
      <c r="N177" s="9"/>
      <c r="P177" s="3"/>
      <c r="Q177" s="12"/>
      <c r="R177" s="12"/>
      <c r="S177" s="18"/>
      <c r="T177" s="9"/>
      <c r="U177" s="14"/>
      <c r="W177" s="3"/>
    </row>
    <row r="178" spans="3:23">
      <c r="C178" s="14"/>
      <c r="M178" s="14"/>
      <c r="N178" s="9"/>
      <c r="P178" s="3"/>
      <c r="Q178" s="12"/>
      <c r="R178" s="12"/>
      <c r="S178" s="18"/>
      <c r="T178" s="9"/>
      <c r="U178" s="14"/>
      <c r="W178" s="3"/>
    </row>
    <row r="179" spans="3:23">
      <c r="C179" s="14"/>
      <c r="M179" s="14"/>
      <c r="N179" s="9"/>
      <c r="P179" s="3"/>
      <c r="Q179" s="12"/>
      <c r="R179" s="12"/>
      <c r="S179" s="18"/>
      <c r="T179" s="9"/>
      <c r="U179" s="14"/>
      <c r="W179" s="3"/>
    </row>
    <row r="180" spans="3:23">
      <c r="C180" s="14"/>
      <c r="M180" s="14"/>
      <c r="N180" s="9"/>
      <c r="P180" s="3"/>
      <c r="Q180" s="12"/>
      <c r="R180" s="12"/>
      <c r="S180" s="18"/>
      <c r="T180" s="9"/>
      <c r="U180" s="14"/>
      <c r="W180" s="3"/>
    </row>
    <row r="181" spans="3:23">
      <c r="C181" s="14"/>
      <c r="M181" s="14"/>
      <c r="N181" s="9"/>
      <c r="P181" s="3"/>
      <c r="Q181" s="12"/>
      <c r="R181" s="12"/>
      <c r="S181" s="18"/>
      <c r="T181" s="9"/>
      <c r="U181" s="14"/>
      <c r="W181" s="3"/>
    </row>
    <row r="182" spans="3:23">
      <c r="C182" s="14"/>
      <c r="M182" s="14"/>
      <c r="N182" s="9"/>
      <c r="P182" s="3"/>
      <c r="Q182" s="12"/>
      <c r="R182" s="12"/>
      <c r="S182" s="18"/>
      <c r="T182" s="9"/>
      <c r="U182" s="14"/>
      <c r="W182" s="3"/>
    </row>
    <row r="183" spans="3:23">
      <c r="C183" s="14"/>
      <c r="M183" s="14"/>
      <c r="N183" s="9"/>
      <c r="P183" s="3"/>
      <c r="Q183" s="12"/>
      <c r="R183" s="12"/>
      <c r="S183" s="18"/>
      <c r="T183" s="9"/>
      <c r="U183" s="14"/>
      <c r="W183" s="3"/>
    </row>
    <row r="184" spans="3:23">
      <c r="C184" s="14"/>
      <c r="M184" s="14"/>
      <c r="N184" s="9"/>
      <c r="P184" s="3"/>
      <c r="Q184" s="12"/>
      <c r="R184" s="12"/>
      <c r="S184" s="18"/>
      <c r="T184" s="9"/>
      <c r="U184" s="14"/>
      <c r="W184" s="3"/>
    </row>
    <row r="185" spans="3:23">
      <c r="C185" s="14"/>
      <c r="M185" s="14"/>
      <c r="N185" s="9"/>
      <c r="P185" s="3"/>
      <c r="Q185" s="12"/>
      <c r="R185" s="12"/>
      <c r="S185" s="18"/>
      <c r="T185" s="9"/>
      <c r="U185" s="14"/>
      <c r="W185" s="3"/>
    </row>
    <row r="186" spans="3:23">
      <c r="C186" s="14"/>
      <c r="M186" s="14"/>
      <c r="N186" s="9"/>
      <c r="P186" s="3"/>
      <c r="Q186" s="12"/>
      <c r="R186" s="12"/>
      <c r="S186" s="18"/>
      <c r="T186" s="9"/>
      <c r="U186" s="14"/>
      <c r="W186" s="3"/>
    </row>
    <row r="187" spans="3:23">
      <c r="C187" s="14"/>
      <c r="M187" s="14"/>
      <c r="N187" s="9"/>
      <c r="P187" s="3"/>
      <c r="Q187" s="12"/>
      <c r="R187" s="12"/>
      <c r="S187" s="18"/>
      <c r="T187" s="9"/>
      <c r="U187" s="14"/>
      <c r="W187" s="3"/>
    </row>
    <row r="188" spans="3:23">
      <c r="C188" s="14"/>
      <c r="M188" s="14"/>
      <c r="N188" s="9"/>
      <c r="P188" s="3"/>
      <c r="Q188" s="12"/>
      <c r="R188" s="12"/>
      <c r="S188" s="18"/>
      <c r="T188" s="9"/>
      <c r="U188" s="14"/>
      <c r="W188" s="3"/>
    </row>
    <row r="189" spans="3:23">
      <c r="C189" s="15"/>
      <c r="D189" s="10"/>
      <c r="E189" s="10"/>
      <c r="F189" s="10"/>
      <c r="G189" s="10"/>
      <c r="H189" s="10"/>
      <c r="I189" s="35"/>
      <c r="J189" s="35"/>
      <c r="K189" s="35"/>
      <c r="L189" s="35"/>
      <c r="M189" s="15"/>
      <c r="N189" s="11"/>
      <c r="O189" s="5"/>
      <c r="P189" s="5"/>
      <c r="Q189" s="13"/>
      <c r="R189" s="13"/>
      <c r="S189" s="19"/>
      <c r="T189" s="11"/>
      <c r="U189" s="15"/>
      <c r="V189" s="5"/>
      <c r="W189" s="5"/>
    </row>
    <row r="190" spans="3:23">
      <c r="C190" s="15"/>
      <c r="D190" s="10"/>
      <c r="E190" s="10"/>
      <c r="F190" s="10"/>
      <c r="G190" s="10"/>
      <c r="H190" s="10"/>
      <c r="I190" s="35"/>
      <c r="J190" s="35"/>
      <c r="K190" s="35"/>
      <c r="L190" s="35"/>
      <c r="M190" s="15"/>
      <c r="N190" s="11"/>
      <c r="O190" s="5"/>
      <c r="P190" s="5"/>
      <c r="Q190" s="13"/>
      <c r="R190" s="13"/>
      <c r="S190" s="19"/>
      <c r="T190" s="11"/>
      <c r="U190" s="15"/>
      <c r="V190" s="5"/>
      <c r="W190" s="5"/>
    </row>
  </sheetData>
  <conditionalFormatting sqref="Q18:Q45 Q3:Q16">
    <cfRule type="cellIs" dxfId="6" priority="8" operator="greaterThan">
      <formula>1</formula>
    </cfRule>
  </conditionalFormatting>
  <conditionalFormatting sqref="P18:P45 P3:P16">
    <cfRule type="cellIs" dxfId="5" priority="7" operator="greaterThan">
      <formula>10</formula>
    </cfRule>
  </conditionalFormatting>
  <conditionalFormatting sqref="W18:W45 O18:O45 W3:W16 O3:O16">
    <cfRule type="cellIs" dxfId="4" priority="6" operator="equal">
      <formula>""</formula>
    </cfRule>
  </conditionalFormatting>
  <conditionalFormatting sqref="W17">
    <cfRule type="cellIs" dxfId="3" priority="4" operator="equal">
      <formula>""</formula>
    </cfRule>
  </conditionalFormatting>
  <conditionalFormatting sqref="W17">
    <cfRule type="cellIs" dxfId="2" priority="3" operator="equal">
      <formula>""</formula>
    </cfRule>
  </conditionalFormatting>
  <conditionalFormatting sqref="W47">
    <cfRule type="cellIs" dxfId="1" priority="2" operator="equal">
      <formula>""</formula>
    </cfRule>
  </conditionalFormatting>
  <conditionalFormatting sqref="W46">
    <cfRule type="cellIs" dxfId="0" priority="1" operator="equal">
      <formula>""</formula>
    </cfRule>
  </conditionalFormatting>
  <dataValidations count="7">
    <dataValidation type="list" allowBlank="1" showInputMessage="1" showErrorMessage="1" sqref="D3:D134">
      <formula1>Comercial</formula1>
    </dataValidation>
    <dataValidation type="list" allowBlank="1" showInputMessage="1" showErrorMessage="1" sqref="O3:O134">
      <formula1>Prioridad</formula1>
    </dataValidation>
    <dataValidation type="list" allowBlank="1" showInputMessage="1" showErrorMessage="1" sqref="R3:R134 F3:L134">
      <formula1>Marcador</formula1>
    </dataValidation>
    <dataValidation type="list" allowBlank="1" showInputMessage="1" showErrorMessage="1" sqref="W3:W134">
      <formula1>Estado</formula1>
    </dataValidation>
    <dataValidation type="whole" allowBlank="1" showInputMessage="1" showErrorMessage="1" sqref="P3:P134">
      <formula1>0</formula1>
      <formula2>10</formula2>
    </dataValidation>
    <dataValidation type="decimal" allowBlank="1" showInputMessage="1" showErrorMessage="1" sqref="Q3:Q134">
      <formula1>0</formula1>
      <formula2>1</formula2>
    </dataValidation>
    <dataValidation type="date" operator="lessThanOrEqual" allowBlank="1" showInputMessage="1" showErrorMessage="1" sqref="T3:T134">
      <formula1>TODAY()</formula1>
    </dataValidation>
  </dataValidations>
  <pageMargins left="0.7" right="0.7" top="0.75" bottom="0.75" header="0.3" footer="0.3"/>
  <pageSetup orientation="portrait" verticalDpi="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B3:H83"/>
  <sheetViews>
    <sheetView zoomScale="80" zoomScaleNormal="80" zoomScalePageLayoutView="80" workbookViewId="0">
      <selection activeCell="I19" sqref="I19"/>
    </sheetView>
  </sheetViews>
  <sheetFormatPr baseColWidth="10" defaultRowHeight="12.75"/>
  <cols>
    <col min="1" max="1" width="2.85546875" style="51" customWidth="1"/>
    <col min="2" max="2" width="19.85546875" style="51" bestFit="1" customWidth="1"/>
    <col min="3" max="3" width="14.28515625" style="51" bestFit="1" customWidth="1"/>
    <col min="4" max="4" width="2.85546875" style="51" customWidth="1"/>
    <col min="5" max="5" width="18.5703125" style="51" bestFit="1" customWidth="1"/>
    <col min="6" max="6" width="16.7109375" style="51" customWidth="1"/>
    <col min="7" max="7" width="2.85546875" style="51" customWidth="1"/>
    <col min="8" max="8" width="14.5703125" style="51" bestFit="1" customWidth="1"/>
    <col min="9" max="16384" width="11.42578125" style="51"/>
  </cols>
  <sheetData>
    <row r="3" spans="2:8">
      <c r="E3" s="52" t="s">
        <v>265</v>
      </c>
      <c r="F3" s="64">
        <f>MIN(Planeador[Fecha de Solicitud])</f>
        <v>40848</v>
      </c>
    </row>
    <row r="4" spans="2:8">
      <c r="E4" s="52" t="s">
        <v>266</v>
      </c>
      <c r="F4" s="64">
        <f>MAX(Planeador[Fecha de Solicitud])</f>
        <v>41096</v>
      </c>
    </row>
    <row r="5" spans="2:8">
      <c r="E5" s="52" t="s">
        <v>270</v>
      </c>
      <c r="F5" s="64">
        <f ca="1">TODAY()</f>
        <v>41101</v>
      </c>
    </row>
    <row r="7" spans="2:8">
      <c r="E7" s="51" t="s">
        <v>263</v>
      </c>
      <c r="F7" s="51" t="s">
        <v>264</v>
      </c>
    </row>
    <row r="8" spans="2:8">
      <c r="E8" s="48">
        <v>40969</v>
      </c>
      <c r="F8" s="48">
        <f ca="1">TODAY()</f>
        <v>41101</v>
      </c>
    </row>
    <row r="9" spans="2:8">
      <c r="F9" s="52"/>
      <c r="G9" s="46"/>
    </row>
    <row r="10" spans="2:8">
      <c r="B10" s="51" t="s">
        <v>78</v>
      </c>
      <c r="C10" s="51" t="s">
        <v>262</v>
      </c>
      <c r="E10" s="51" t="s">
        <v>78</v>
      </c>
      <c r="F10" s="51" t="s">
        <v>262</v>
      </c>
    </row>
    <row r="11" spans="2:8">
      <c r="B11" s="51" t="s">
        <v>250</v>
      </c>
      <c r="C11" s="51">
        <f>Planeador[[#Totals],[Proyecto]]</f>
        <v>132</v>
      </c>
      <c r="E11" s="51" t="s">
        <v>250</v>
      </c>
      <c r="F11" s="51">
        <f ca="1">COUNTIF(Planeador[Fecha de Solicitud],"&lt;="&amp;Rango[Fecha final])-COUNTIF(Planeador[Fecha de Solicitud],"&lt;"&amp;Rango[Fecha inicial])</f>
        <v>95</v>
      </c>
    </row>
    <row r="12" spans="2:8">
      <c r="B12" s="51" t="s">
        <v>251</v>
      </c>
      <c r="C12" s="51">
        <f>COUNTIF(Planeador[Aprobado],"A")</f>
        <v>102</v>
      </c>
      <c r="E12" s="51" t="s">
        <v>251</v>
      </c>
      <c r="F12" s="51">
        <f ca="1">COUNTIFS(Planeador[Fecha de Solicitud],"&lt;="&amp;Rango[Fecha final],Planeador[Fecha de Solicitud],"&gt;="&amp;Rango[Fecha inicial],Planeador[Aprobado],"A")</f>
        <v>78</v>
      </c>
      <c r="H12" s="69"/>
    </row>
    <row r="13" spans="2:8" s="60" customFormat="1">
      <c r="B13" s="51" t="s">
        <v>252</v>
      </c>
      <c r="C13" s="51">
        <f>COUNTIF(Planeador[Aprobado],"C")</f>
        <v>23</v>
      </c>
      <c r="D13" s="8"/>
      <c r="E13" s="51" t="s">
        <v>252</v>
      </c>
      <c r="F13" s="51">
        <f ca="1">COUNTIFS(Planeador[Fecha de Solicitud],"&lt;="&amp;Rango[Fecha final],Planeador[Fecha de Solicitud],"&gt;="&amp;Rango[Fecha inicial],Planeador[Aprobado],"C")</f>
        <v>11</v>
      </c>
      <c r="G13" s="8"/>
      <c r="H13" s="70"/>
    </row>
    <row r="14" spans="2:8" s="60" customFormat="1">
      <c r="B14" s="51" t="s">
        <v>253</v>
      </c>
      <c r="C14" s="51">
        <f>COUNTIF(Planeador[Aprobado],"R")</f>
        <v>1</v>
      </c>
      <c r="D14" s="8"/>
      <c r="E14" s="51" t="s">
        <v>253</v>
      </c>
      <c r="F14" s="51">
        <f ca="1">COUNTIFS(Planeador[Fecha de Solicitud],"&lt;="&amp;Rango[Fecha final],Planeador[Fecha de Solicitud],"&gt;="&amp;Rango[Fecha inicial],Planeador[Aprobado],"R")</f>
        <v>0</v>
      </c>
      <c r="G14" s="8"/>
      <c r="H14" s="70"/>
    </row>
    <row r="15" spans="2:8">
      <c r="B15" s="51" t="s">
        <v>254</v>
      </c>
      <c r="C15" s="51">
        <f>COUNTIF(Planeador[Aprobado],"P")</f>
        <v>6</v>
      </c>
      <c r="E15" s="51" t="s">
        <v>254</v>
      </c>
      <c r="F15" s="51">
        <f ca="1">COUNTIFS(Planeador[Fecha de Solicitud],"&lt;="&amp;Rango[Fecha final],Planeador[Fecha de Solicitud],"&gt;="&amp;Rango[Fecha inicial],Planeador[Aprobado],"P")</f>
        <v>6</v>
      </c>
    </row>
    <row r="17" spans="2:6">
      <c r="B17" s="51" t="s">
        <v>259</v>
      </c>
      <c r="C17" s="61" t="s">
        <v>260</v>
      </c>
      <c r="E17" s="51" t="s">
        <v>259</v>
      </c>
      <c r="F17" s="61" t="s">
        <v>260</v>
      </c>
    </row>
    <row r="18" spans="2:6">
      <c r="B18" s="51" t="s">
        <v>255</v>
      </c>
      <c r="C18" s="61">
        <f>C12/C11</f>
        <v>0.77272727272727271</v>
      </c>
      <c r="E18" s="51" t="s">
        <v>255</v>
      </c>
      <c r="F18" s="61">
        <f ca="1">F12/F11</f>
        <v>0.82105263157894737</v>
      </c>
    </row>
    <row r="19" spans="2:6">
      <c r="B19" s="51" t="s">
        <v>256</v>
      </c>
      <c r="C19" s="61">
        <f>C13/C11</f>
        <v>0.17424242424242425</v>
      </c>
      <c r="E19" s="51" t="s">
        <v>256</v>
      </c>
      <c r="F19" s="61">
        <f ca="1">F13/F11</f>
        <v>0.11578947368421053</v>
      </c>
    </row>
    <row r="20" spans="2:6">
      <c r="B20" s="60" t="s">
        <v>257</v>
      </c>
      <c r="C20" s="62">
        <f>C15/C11</f>
        <v>4.5454545454545456E-2</v>
      </c>
      <c r="E20" s="60" t="s">
        <v>257</v>
      </c>
      <c r="F20" s="62">
        <f ca="1">F15/F11</f>
        <v>6.3157894736842107E-2</v>
      </c>
    </row>
    <row r="21" spans="2:6">
      <c r="B21" s="60" t="s">
        <v>258</v>
      </c>
      <c r="C21" s="62">
        <f>C14/C11</f>
        <v>7.575757575757576E-3</v>
      </c>
      <c r="E21" s="60" t="s">
        <v>258</v>
      </c>
      <c r="F21" s="62">
        <f ca="1">F14/F11</f>
        <v>0</v>
      </c>
    </row>
    <row r="22" spans="2:6">
      <c r="B22" s="50" t="s">
        <v>261</v>
      </c>
      <c r="C22" s="63">
        <f>SUM(C18:C21)</f>
        <v>1</v>
      </c>
      <c r="E22" s="50" t="s">
        <v>261</v>
      </c>
      <c r="F22" s="63">
        <f ca="1">SUM(F18:F21)</f>
        <v>1</v>
      </c>
    </row>
    <row r="23" spans="2:6">
      <c r="B23" s="67" t="s">
        <v>268</v>
      </c>
      <c r="C23" s="68">
        <f>AVERAGEIFS(Planeador[ΔTxDif],Planeador[Fecha de Solicitud],"&gt;="&amp;F3,Planeador[Fecha de Solicitud],"&lt;="&amp;F4)/SUMIFS(Planeador[Dificultad],Planeador[Fecha de Solicitud],"&gt;="&amp;F3,Planeador[Fecha de Solicitud],"&lt;="&amp;F4)</f>
        <v>-4.2462560210188292</v>
      </c>
      <c r="E23" s="67" t="s">
        <v>268</v>
      </c>
      <c r="F23" s="68">
        <f ca="1">AVERAGEIFS(Planeador[ΔTxDif],Planeador[Fecha de Solicitud],"&gt;="&amp;Rango[Fecha inicial],Planeador[Fecha de Solicitud],"&lt;="&amp;Rango[Fecha final])/SUMIFS(Planeador[Dificultad],Planeador[Fecha de Solicitud],"&gt;="&amp;Rango[Fecha inicial],Planeador[Fecha de Solicitud],"&lt;="&amp;Rango[Fecha final])</f>
        <v>-8.1343079922027304</v>
      </c>
    </row>
    <row r="24" spans="2:6">
      <c r="B24" s="67" t="s">
        <v>269</v>
      </c>
      <c r="C24" s="68">
        <f>C11/NETWORKDAYS(F3,F4)</f>
        <v>0.73743016759776536</v>
      </c>
      <c r="E24" s="67" t="s">
        <v>269</v>
      </c>
      <c r="F24" s="68">
        <f ca="1">F11/NETWORKDAYS(Rango[Fecha inicial],Rango[Fecha final])</f>
        <v>1</v>
      </c>
    </row>
    <row r="27" spans="2:6">
      <c r="B27" s="51" t="s">
        <v>78</v>
      </c>
      <c r="C27" s="51" t="s">
        <v>262</v>
      </c>
      <c r="E27" s="51" t="s">
        <v>41</v>
      </c>
      <c r="F27" s="51" t="s">
        <v>262</v>
      </c>
    </row>
    <row r="28" spans="2:6" ht="14.25">
      <c r="B28" s="51" t="s">
        <v>250</v>
      </c>
      <c r="C28" s="80">
        <f>Planeador[[#Totals],[PR]]</f>
        <v>110</v>
      </c>
      <c r="E28" s="85" t="s">
        <v>67</v>
      </c>
      <c r="F28" s="80">
        <f>COUNTIF(Planeador[Gestor],CantGestores[[#This Row],[Gestor]])</f>
        <v>20</v>
      </c>
    </row>
    <row r="29" spans="2:6" ht="14.25">
      <c r="B29" s="51" t="s">
        <v>330</v>
      </c>
      <c r="C29" s="80">
        <f>Planeador[[#Totals],[PD]]</f>
        <v>43</v>
      </c>
      <c r="E29" s="86" t="s">
        <v>50</v>
      </c>
      <c r="F29" s="80">
        <f>COUNTIF(Planeador[Gestor],CantGestores[[#This Row],[Gestor]])</f>
        <v>30</v>
      </c>
    </row>
    <row r="30" spans="2:6" ht="14.25">
      <c r="B30" s="67" t="s">
        <v>331</v>
      </c>
      <c r="C30" s="81">
        <f>Planeador[[#Totals],[MT]]</f>
        <v>17</v>
      </c>
      <c r="E30" s="87" t="s">
        <v>61</v>
      </c>
      <c r="F30" s="80">
        <f>COUNTIF(Planeador[Gestor],CantGestores[[#This Row],[Gestor]])</f>
        <v>53</v>
      </c>
    </row>
    <row r="31" spans="2:6" ht="14.25">
      <c r="B31" s="67" t="s">
        <v>332</v>
      </c>
      <c r="C31" s="81">
        <f>Planeador[[#Totals],[FB]]</f>
        <v>83</v>
      </c>
      <c r="E31" s="86" t="s">
        <v>122</v>
      </c>
      <c r="F31" s="80">
        <f>COUNTIF(Planeador[Gestor],CantGestores[[#This Row],[Gestor]])</f>
        <v>3</v>
      </c>
    </row>
    <row r="32" spans="2:6" ht="14.25">
      <c r="B32" s="67" t="s">
        <v>333</v>
      </c>
      <c r="C32" s="81">
        <f>Planeador[[#Totals],[OC]]</f>
        <v>1</v>
      </c>
      <c r="E32" s="87" t="s">
        <v>124</v>
      </c>
      <c r="F32" s="80">
        <f>COUNTIF(Planeador[Gestor],CantGestores[[#This Row],[Gestor]])</f>
        <v>20</v>
      </c>
    </row>
    <row r="33" spans="2:6" ht="14.25">
      <c r="B33" s="67" t="s">
        <v>334</v>
      </c>
      <c r="C33" s="81">
        <f>Planeador[[#Totals],[CE]]</f>
        <v>4</v>
      </c>
      <c r="E33" s="88" t="s">
        <v>126</v>
      </c>
      <c r="F33" s="80">
        <f>COUNTIF(Planeador[Gestor],CantGestores[[#This Row],[Gestor]])</f>
        <v>2</v>
      </c>
    </row>
    <row r="35" spans="2:6">
      <c r="B35" s="51" t="s">
        <v>259</v>
      </c>
      <c r="C35" s="51" t="s">
        <v>260</v>
      </c>
      <c r="E35" s="51" t="s">
        <v>259</v>
      </c>
      <c r="F35" s="51" t="s">
        <v>260</v>
      </c>
    </row>
    <row r="36" spans="2:6">
      <c r="B36" s="51" t="s">
        <v>335</v>
      </c>
      <c r="C36" s="82">
        <f>C28/SUM(CantConcepto[Cantidad])</f>
        <v>0.4263565891472868</v>
      </c>
      <c r="E36" s="51" t="str">
        <f>CONCATENATE("Ind. ",E28)</f>
        <v>Ind. AGM</v>
      </c>
      <c r="F36" s="82">
        <f>F28/SUM(CantGestores[Cantidad])</f>
        <v>0.15625</v>
      </c>
    </row>
    <row r="37" spans="2:6">
      <c r="B37" s="51" t="s">
        <v>336</v>
      </c>
      <c r="C37" s="82">
        <f>C29/SUM(CantConcepto[Cantidad])</f>
        <v>0.16666666666666666</v>
      </c>
      <c r="E37" s="51" t="str">
        <f t="shared" ref="E37:E41" si="0">CONCATENATE("Ind. ",E29)</f>
        <v>Ind. DSC</v>
      </c>
      <c r="F37" s="82">
        <f>F29/SUM(CantGestores[Cantidad])</f>
        <v>0.234375</v>
      </c>
    </row>
    <row r="38" spans="2:6">
      <c r="B38" s="51" t="s">
        <v>337</v>
      </c>
      <c r="C38" s="82">
        <f>C30/SUM(CantConcepto[Cantidad])</f>
        <v>6.589147286821706E-2</v>
      </c>
      <c r="E38" s="51" t="str">
        <f t="shared" si="0"/>
        <v>Ind. FAP</v>
      </c>
      <c r="F38" s="82">
        <f>F30/SUM(CantGestores[Cantidad])</f>
        <v>0.4140625</v>
      </c>
    </row>
    <row r="39" spans="2:6">
      <c r="B39" s="51" t="s">
        <v>338</v>
      </c>
      <c r="C39" s="82">
        <f>C31/SUM(CantConcepto[Cantidad])</f>
        <v>0.32170542635658916</v>
      </c>
      <c r="E39" s="51" t="str">
        <f t="shared" si="0"/>
        <v>Ind. JMR</v>
      </c>
      <c r="F39" s="82">
        <f>F31/SUM(CantGestores[Cantidad])</f>
        <v>2.34375E-2</v>
      </c>
    </row>
    <row r="40" spans="2:6">
      <c r="B40" s="51" t="s">
        <v>339</v>
      </c>
      <c r="C40" s="82">
        <f>C32/SUM(CantConcepto[Cantidad])</f>
        <v>3.875968992248062E-3</v>
      </c>
      <c r="E40" s="51" t="str">
        <f t="shared" si="0"/>
        <v>Ind. JSE</v>
      </c>
      <c r="F40" s="82">
        <f>F32/SUM(CantGestores[Cantidad])</f>
        <v>0.15625</v>
      </c>
    </row>
    <row r="41" spans="2:6">
      <c r="B41" s="51" t="s">
        <v>340</v>
      </c>
      <c r="C41" s="82">
        <f>C33/SUM(CantConcepto[Cantidad])</f>
        <v>1.5503875968992248E-2</v>
      </c>
      <c r="E41" s="51" t="str">
        <f t="shared" si="0"/>
        <v>Ind. NGM</v>
      </c>
      <c r="F41" s="82">
        <f>F33/SUM(CantGestores[Cantidad])</f>
        <v>1.5625E-2</v>
      </c>
    </row>
    <row r="42" spans="2:6">
      <c r="B42" s="83" t="s">
        <v>261</v>
      </c>
      <c r="C42" s="84">
        <f>SUM(C36:C41)</f>
        <v>1</v>
      </c>
      <c r="E42" s="51" t="s">
        <v>261</v>
      </c>
      <c r="F42" s="82">
        <f>SUBTOTAL(109,Tabla16[Valor])</f>
        <v>1</v>
      </c>
    </row>
    <row r="62" spans="2:2">
      <c r="B62" s="45"/>
    </row>
    <row r="63" spans="2:2">
      <c r="B63" s="45"/>
    </row>
    <row r="64" spans="2:2">
      <c r="B64" s="45"/>
    </row>
    <row r="65" spans="2:2">
      <c r="B65" s="45"/>
    </row>
    <row r="66" spans="2:2">
      <c r="B66" s="45"/>
    </row>
    <row r="67" spans="2:2">
      <c r="B67" s="45"/>
    </row>
    <row r="68" spans="2:2">
      <c r="B68" s="45"/>
    </row>
    <row r="69" spans="2:2">
      <c r="B69" s="45"/>
    </row>
    <row r="70" spans="2:2">
      <c r="B70" s="45"/>
    </row>
    <row r="71" spans="2:2">
      <c r="B71" s="45"/>
    </row>
    <row r="72" spans="2:2">
      <c r="B72" s="45"/>
    </row>
    <row r="73" spans="2:2">
      <c r="B73" s="45"/>
    </row>
    <row r="74" spans="2:2">
      <c r="B74" s="45"/>
    </row>
    <row r="75" spans="2:2">
      <c r="B75" s="45"/>
    </row>
    <row r="76" spans="2:2">
      <c r="B76" s="45"/>
    </row>
    <row r="77" spans="2:2">
      <c r="B77" s="45"/>
    </row>
    <row r="78" spans="2:2">
      <c r="B78" s="45"/>
    </row>
    <row r="79" spans="2:2">
      <c r="B79" s="45"/>
    </row>
    <row r="80" spans="2:2">
      <c r="B80" s="45"/>
    </row>
    <row r="81" spans="2:2">
      <c r="B81" s="45"/>
    </row>
    <row r="82" spans="2:2">
      <c r="B82" s="45"/>
    </row>
    <row r="83" spans="2:2">
      <c r="B83" s="45"/>
    </row>
  </sheetData>
  <conditionalFormatting sqref="C18:C21">
    <cfRule type="dataBar" priority="8">
      <dataBar>
        <cfvo type="min"/>
        <cfvo type="max"/>
        <color rgb="FF638EC6"/>
      </dataBar>
    </cfRule>
  </conditionalFormatting>
  <conditionalFormatting sqref="C17">
    <cfRule type="dataBar" priority="7">
      <dataBar>
        <cfvo type="min"/>
        <cfvo type="max"/>
        <color rgb="FF638EC6"/>
      </dataBar>
    </cfRule>
  </conditionalFormatting>
  <conditionalFormatting sqref="C18:C22">
    <cfRule type="dataBar" priority="6">
      <dataBar>
        <cfvo type="min"/>
        <cfvo type="max"/>
        <color theme="7" tint="-0.249977111117893"/>
      </dataBar>
    </cfRule>
  </conditionalFormatting>
  <conditionalFormatting sqref="F18:F21">
    <cfRule type="dataBar" priority="5">
      <dataBar>
        <cfvo type="min"/>
        <cfvo type="max"/>
        <color rgb="FF638EC6"/>
      </dataBar>
    </cfRule>
  </conditionalFormatting>
  <conditionalFormatting sqref="F17">
    <cfRule type="dataBar" priority="4">
      <dataBar>
        <cfvo type="min"/>
        <cfvo type="max"/>
        <color rgb="FF638EC6"/>
      </dataBar>
    </cfRule>
  </conditionalFormatting>
  <conditionalFormatting sqref="F18:F22">
    <cfRule type="dataBar" priority="3">
      <dataBar>
        <cfvo type="min"/>
        <cfvo type="max"/>
        <color theme="7" tint="-0.249977111117893"/>
      </dataBar>
    </cfRule>
  </conditionalFormatting>
  <conditionalFormatting sqref="C36:C42">
    <cfRule type="dataBar" priority="2">
      <dataBar>
        <cfvo type="min"/>
        <cfvo type="max"/>
        <color theme="7" tint="-0.249977111117893"/>
      </dataBar>
    </cfRule>
  </conditionalFormatting>
  <conditionalFormatting sqref="F36:F41">
    <cfRule type="dataBar" priority="1">
      <dataBar>
        <cfvo type="min"/>
        <cfvo type="max"/>
        <color theme="7" tint="-0.249977111117893"/>
      </dataBar>
    </cfRule>
  </conditionalFormatting>
  <dataValidations count="2">
    <dataValidation type="date" allowBlank="1" showInputMessage="1" showErrorMessage="1" sqref="E8">
      <formula1>F3</formula1>
      <formula2>F8</formula2>
    </dataValidation>
    <dataValidation type="date" allowBlank="1" showInputMessage="1" showErrorMessage="1" sqref="F8">
      <formula1>F3</formula1>
      <formula2>F5</formula2>
    </dataValidation>
  </dataValidations>
  <pageMargins left="0.7" right="0.7" top="0.75" bottom="0.75" header="0.3" footer="0.3"/>
  <pageSetup orientation="portrait" r:id="rId1"/>
  <headerFooter>
    <oddFooter>&amp;C&amp;"Swis721 LtEx BT,Light"Dismet S.A.S. - www.dismet.com</oddFooter>
  </headerFooter>
  <tableParts count="9">
    <tablePart r:id="rId2"/>
    <tablePart r:id="rId3"/>
    <tablePart r:id="rId4"/>
    <tablePart r:id="rId5"/>
    <tablePart r:id="rId6"/>
    <tablePart r:id="rId7"/>
    <tablePart r:id="rId8"/>
    <tablePart r:id="rId9"/>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7:H80"/>
  <sheetViews>
    <sheetView view="pageLayout" topLeftCell="A7" zoomScale="80" zoomScalePageLayoutView="80" workbookViewId="0">
      <selection activeCell="G9" sqref="G9"/>
    </sheetView>
  </sheetViews>
  <sheetFormatPr baseColWidth="10" defaultRowHeight="12.75"/>
  <cols>
    <col min="1" max="1" width="2.85546875" style="51" customWidth="1"/>
    <col min="2" max="2" width="11.5703125" style="51" customWidth="1"/>
    <col min="3" max="3" width="11.5703125" style="45" customWidth="1"/>
    <col min="4" max="4" width="14.28515625" style="51" customWidth="1"/>
    <col min="5" max="5" width="11.7109375" style="51" customWidth="1"/>
    <col min="6" max="6" width="14.5703125" style="51" bestFit="1" customWidth="1"/>
    <col min="7" max="7" width="11.42578125" style="51" customWidth="1"/>
    <col min="8" max="8" width="12.28515625" style="51" customWidth="1"/>
    <col min="9" max="16384" width="11.42578125" style="51"/>
  </cols>
  <sheetData>
    <row r="7" spans="2:8">
      <c r="B7" s="50" t="s">
        <v>116</v>
      </c>
      <c r="D7" s="53" t="s">
        <v>27</v>
      </c>
    </row>
    <row r="9" spans="2:8">
      <c r="B9" s="51" t="s">
        <v>133</v>
      </c>
      <c r="C9" s="45" t="str">
        <f>VLOOKUP($D$7,Planeador[],2,FALSE)</f>
        <v>Cemex</v>
      </c>
      <c r="G9" s="52" t="s">
        <v>43</v>
      </c>
      <c r="H9" s="46" t="str">
        <f>VLOOKUP($D$7,Planeador[],12,FALSE)</f>
        <v>Banda transportadora con puente con doble pasarela</v>
      </c>
    </row>
    <row r="10" spans="2:8">
      <c r="B10" s="51" t="s">
        <v>134</v>
      </c>
      <c r="C10" s="45" t="str">
        <f>VLOOKUP($B$59,Comerciales[],2,FALSE)</f>
        <v>Fredy Alexander Puentes</v>
      </c>
    </row>
    <row r="13" spans="2:8" s="29" customFormat="1" ht="64.5" customHeight="1">
      <c r="B13" s="29" t="s">
        <v>135</v>
      </c>
      <c r="C13" s="195" t="str">
        <f>VLOOKUP($D$7,Planeador[],4,FALSE)</f>
        <v>Banda transportadora</v>
      </c>
      <c r="D13" s="195"/>
      <c r="E13" s="195"/>
      <c r="F13" s="195"/>
      <c r="G13" s="195"/>
      <c r="H13" s="195"/>
    </row>
    <row r="14" spans="2:8">
      <c r="B14" s="51" t="s">
        <v>161</v>
      </c>
      <c r="D14" s="51" t="e">
        <f>VLOOKUP($B$67,Prioridades[],2,FALSE)</f>
        <v>#N/A</v>
      </c>
    </row>
    <row r="16" spans="2:8">
      <c r="B16" s="51" t="s">
        <v>117</v>
      </c>
      <c r="D16" s="45" t="e">
        <f>IF(VLOOKUP($B$60,Estados[],2,FALSE)="Proceso", "En Proceso",VLOOKUP($B$60,Estados[],2,FALSE))</f>
        <v>#N/A</v>
      </c>
    </row>
    <row r="17" spans="2:6">
      <c r="B17" s="51" t="str">
        <f>IF(VLOOKUP($D$7,Planeador[],17,FALSE)=0,"Fecha Estimada","Fecha de Entrega")</f>
        <v>Fecha de Entrega</v>
      </c>
      <c r="D17" s="48" t="str">
        <f>IF(VLOOKUP($D$7,Planeador[],17,FALSE)=0,VLOOKUP($D$7,Planeador[],16,FALSE),VLOOKUP($D$7,Planeador[],17,FALSE))</f>
        <v>X</v>
      </c>
    </row>
    <row r="23" spans="2:6">
      <c r="B23" s="51" t="s">
        <v>138</v>
      </c>
    </row>
    <row r="24" spans="2:6">
      <c r="C24" s="51" t="s">
        <v>145</v>
      </c>
      <c r="F24" s="51" t="str">
        <f>IF(VLOOKUP($D$7,Planeador[],5,FALSE)="X",VLOOKUP($D$7,Planeador[],5,FALSE),"")</f>
        <v>X</v>
      </c>
    </row>
    <row r="25" spans="2:6">
      <c r="C25" s="51" t="s">
        <v>146</v>
      </c>
      <c r="F25" s="51" t="str">
        <f>IF(VLOOKUP($D$7,Planeador[],6,FALSE)="X",VLOOKUP($D$7,Planeador[],6,FALSE),"")</f>
        <v>X</v>
      </c>
    </row>
    <row r="26" spans="2:6">
      <c r="C26" s="45" t="s">
        <v>147</v>
      </c>
      <c r="F26" s="51" t="str">
        <f>IF(VLOOKUP($D$7,Planeador[],7,FALSE)="X",VLOOKUP($D$7,Planeador[],7,FALSE),"")</f>
        <v/>
      </c>
    </row>
    <row r="27" spans="2:6">
      <c r="C27" s="45" t="s">
        <v>148</v>
      </c>
      <c r="F27" s="51" t="str">
        <f>IF(VLOOKUP($D$7,Planeador[],8,FALSE)="X",VLOOKUP($D$7,Planeador[],8,FALSE),"")</f>
        <v>X</v>
      </c>
    </row>
    <row r="28" spans="2:6">
      <c r="C28" s="45" t="s">
        <v>149</v>
      </c>
      <c r="F28" s="51" t="str">
        <f>IF(VLOOKUP($D$7,Planeador[],9,FALSE)="X",VLOOKUP($D$7,Planeador[],9,FALSE),"")</f>
        <v>X</v>
      </c>
    </row>
    <row r="29" spans="2:6">
      <c r="C29" s="45" t="s">
        <v>150</v>
      </c>
      <c r="F29" s="51" t="str">
        <f>IF(VLOOKUP($D$7,Planeador[],5,FALSE)="X",VLOOKUP($D$7,Planeador[],5,FALSE),"")</f>
        <v>X</v>
      </c>
    </row>
    <row r="57" spans="2:3">
      <c r="B57" s="51" t="s">
        <v>132</v>
      </c>
    </row>
    <row r="59" spans="2:3">
      <c r="B59" s="45" t="str">
        <f>VLOOKUP($D$7,Planeador[],3,FALSE)</f>
        <v>FAP</v>
      </c>
      <c r="C59" s="45" t="s">
        <v>41</v>
      </c>
    </row>
    <row r="60" spans="2:3">
      <c r="B60" s="45" t="str">
        <f>VLOOKUP($D$7,Planeador[],21,FALSE)</f>
        <v>R2</v>
      </c>
      <c r="C60" s="45" t="s">
        <v>44</v>
      </c>
    </row>
    <row r="61" spans="2:3">
      <c r="B61" s="45" t="str">
        <f>VLOOKUP($D$7,Planeador[],5,FALSE)</f>
        <v>X</v>
      </c>
      <c r="C61" s="45" t="s">
        <v>139</v>
      </c>
    </row>
    <row r="62" spans="2:3">
      <c r="B62" s="45" t="str">
        <f>VLOOKUP($D$7,Planeador[],6,FALSE)</f>
        <v>X</v>
      </c>
      <c r="C62" s="45" t="s">
        <v>140</v>
      </c>
    </row>
    <row r="63" spans="2:3">
      <c r="B63" s="45">
        <f>VLOOKUP($D$7,Planeador[],7,FALSE)</f>
        <v>0</v>
      </c>
      <c r="C63" s="45" t="s">
        <v>141</v>
      </c>
    </row>
    <row r="64" spans="2:3">
      <c r="B64" s="45" t="str">
        <f>VLOOKUP($D$7,Planeador[],8,FALSE)</f>
        <v>X</v>
      </c>
      <c r="C64" s="45" t="s">
        <v>142</v>
      </c>
    </row>
    <row r="65" spans="2:3">
      <c r="B65" s="45" t="str">
        <f>VLOOKUP($D$7,Planeador[],9,FALSE)</f>
        <v>X</v>
      </c>
      <c r="C65" s="45" t="s">
        <v>143</v>
      </c>
    </row>
    <row r="66" spans="2:3">
      <c r="B66" s="45">
        <f>VLOOKUP($D$7,Planeador[],10,FALSE)</f>
        <v>0</v>
      </c>
      <c r="C66" s="45" t="s">
        <v>144</v>
      </c>
    </row>
    <row r="67" spans="2:3">
      <c r="B67" s="45">
        <f>VLOOKUP($D$7,Planeador[],13,FALSE)</f>
        <v>40943</v>
      </c>
      <c r="C67" s="45" t="s">
        <v>47</v>
      </c>
    </row>
    <row r="68" spans="2:3">
      <c r="B68" s="45"/>
    </row>
    <row r="69" spans="2:3">
      <c r="B69" s="45"/>
    </row>
    <row r="70" spans="2:3">
      <c r="B70" s="45"/>
    </row>
    <row r="71" spans="2:3">
      <c r="B71" s="45"/>
    </row>
    <row r="72" spans="2:3">
      <c r="B72" s="45"/>
    </row>
    <row r="73" spans="2:3">
      <c r="B73" s="45"/>
    </row>
    <row r="74" spans="2:3">
      <c r="B74" s="45"/>
    </row>
    <row r="75" spans="2:3">
      <c r="B75" s="45"/>
    </row>
    <row r="76" spans="2:3">
      <c r="B76" s="45"/>
    </row>
    <row r="77" spans="2:3">
      <c r="B77" s="45"/>
    </row>
    <row r="78" spans="2:3">
      <c r="B78" s="45"/>
    </row>
    <row r="79" spans="2:3">
      <c r="B79" s="45"/>
    </row>
    <row r="80" spans="2:3">
      <c r="B80" s="45"/>
    </row>
  </sheetData>
  <mergeCells count="1">
    <mergeCell ref="C13:H13"/>
  </mergeCells>
  <dataValidations disablePrompts="1" count="1">
    <dataValidation type="list" allowBlank="1" showInputMessage="1" showErrorMessage="1" sqref="D7">
      <formula1>Proyecto</formula1>
    </dataValidation>
  </dataValidations>
  <pageMargins left="0.7" right="0.7" top="0.75" bottom="0.75" header="0.3" footer="0.3"/>
  <pageSetup orientation="portrait" r:id="rId1"/>
  <headerFooter>
    <oddFooter>&amp;C&amp;"Swis721 LtEx BT,Light"Dismet S.A.S. - www.dismet.com</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3:O11"/>
  <sheetViews>
    <sheetView topLeftCell="C1" zoomScale="80" zoomScaleNormal="80" workbookViewId="0">
      <selection activeCell="I14" sqref="I14"/>
    </sheetView>
  </sheetViews>
  <sheetFormatPr baseColWidth="10" defaultRowHeight="14.25"/>
  <cols>
    <col min="1" max="1" width="2.85546875" style="23" customWidth="1"/>
    <col min="2" max="2" width="14.5703125" style="23" customWidth="1"/>
    <col min="3" max="3" width="27.7109375" style="23" customWidth="1"/>
    <col min="4" max="4" width="2.85546875" style="23" customWidth="1"/>
    <col min="5" max="5" width="17.42578125" style="23" customWidth="1"/>
    <col min="6" max="6" width="32.85546875" style="23" customWidth="1"/>
    <col min="7" max="7" width="2.85546875" style="23" customWidth="1"/>
    <col min="8" max="8" width="13.140625" style="23" customWidth="1"/>
    <col min="9" max="9" width="14.5703125" style="23" customWidth="1"/>
    <col min="10" max="10" width="2.85546875" style="23" customWidth="1"/>
    <col min="11" max="11" width="15.7109375" style="23" bestFit="1" customWidth="1"/>
    <col min="12" max="12" width="14.5703125" style="23" bestFit="1" customWidth="1"/>
    <col min="13" max="13" width="2.85546875" style="23" customWidth="1"/>
    <col min="14" max="14" width="15" style="23" customWidth="1"/>
    <col min="15" max="15" width="38.5703125" style="23" bestFit="1" customWidth="1"/>
    <col min="16" max="16384" width="11.42578125" style="23"/>
  </cols>
  <sheetData>
    <row r="3" spans="2:15">
      <c r="B3" s="23" t="s">
        <v>104</v>
      </c>
      <c r="C3" s="23" t="s">
        <v>105</v>
      </c>
      <c r="E3" s="23" t="s">
        <v>118</v>
      </c>
      <c r="F3" s="23" t="s">
        <v>105</v>
      </c>
      <c r="H3" s="23" t="s">
        <v>44</v>
      </c>
      <c r="I3" s="23" t="s">
        <v>105</v>
      </c>
      <c r="K3" s="23" t="s">
        <v>47</v>
      </c>
      <c r="L3" s="23" t="s">
        <v>105</v>
      </c>
      <c r="N3" s="23" t="s">
        <v>170</v>
      </c>
      <c r="O3" s="23" t="s">
        <v>42</v>
      </c>
    </row>
    <row r="4" spans="2:15">
      <c r="B4" s="23">
        <v>1</v>
      </c>
      <c r="C4" s="23" t="s">
        <v>62</v>
      </c>
      <c r="E4" s="23" t="s">
        <v>67</v>
      </c>
      <c r="F4" s="23" t="s">
        <v>119</v>
      </c>
      <c r="H4" s="47" t="s">
        <v>52</v>
      </c>
      <c r="I4" s="23" t="s">
        <v>48</v>
      </c>
      <c r="K4" s="23" t="s">
        <v>153</v>
      </c>
      <c r="L4" s="23" t="s">
        <v>155</v>
      </c>
      <c r="N4" s="23" t="s">
        <v>96</v>
      </c>
      <c r="O4" s="23" t="s">
        <v>171</v>
      </c>
    </row>
    <row r="5" spans="2:15">
      <c r="B5" s="37">
        <v>2</v>
      </c>
      <c r="C5" s="37" t="s">
        <v>57</v>
      </c>
      <c r="E5" s="23" t="s">
        <v>50</v>
      </c>
      <c r="F5" s="23" t="s">
        <v>121</v>
      </c>
      <c r="H5" s="47" t="s">
        <v>59</v>
      </c>
      <c r="I5" s="23" t="s">
        <v>128</v>
      </c>
      <c r="K5" s="23" t="s">
        <v>111</v>
      </c>
      <c r="L5" s="23" t="s">
        <v>156</v>
      </c>
    </row>
    <row r="6" spans="2:15">
      <c r="B6" s="37">
        <v>3</v>
      </c>
      <c r="C6" s="37" t="s">
        <v>55</v>
      </c>
      <c r="E6" s="23" t="s">
        <v>61</v>
      </c>
      <c r="F6" s="23" t="s">
        <v>120</v>
      </c>
      <c r="H6" s="47" t="s">
        <v>102</v>
      </c>
      <c r="I6" s="23" t="s">
        <v>129</v>
      </c>
      <c r="K6" s="23" t="s">
        <v>51</v>
      </c>
      <c r="L6" s="23" t="s">
        <v>157</v>
      </c>
    </row>
    <row r="7" spans="2:15">
      <c r="B7" s="37">
        <v>4</v>
      </c>
      <c r="C7" s="37" t="s">
        <v>107</v>
      </c>
      <c r="E7" s="23" t="s">
        <v>122</v>
      </c>
      <c r="F7" s="23" t="s">
        <v>123</v>
      </c>
      <c r="H7" s="49" t="s">
        <v>136</v>
      </c>
      <c r="I7" s="37" t="s">
        <v>137</v>
      </c>
      <c r="K7" s="23" t="s">
        <v>52</v>
      </c>
      <c r="L7" s="23" t="s">
        <v>158</v>
      </c>
    </row>
    <row r="8" spans="2:15">
      <c r="B8" s="37">
        <v>5</v>
      </c>
      <c r="C8" s="37" t="s">
        <v>108</v>
      </c>
      <c r="E8" s="23" t="s">
        <v>124</v>
      </c>
      <c r="F8" s="23" t="s">
        <v>125</v>
      </c>
      <c r="K8" s="23" t="s">
        <v>154</v>
      </c>
      <c r="L8" s="23" t="s">
        <v>159</v>
      </c>
    </row>
    <row r="9" spans="2:15">
      <c r="E9" s="37" t="s">
        <v>126</v>
      </c>
      <c r="F9" s="37" t="s">
        <v>127</v>
      </c>
    </row>
    <row r="10" spans="2:15">
      <c r="E10" s="37" t="s">
        <v>363</v>
      </c>
      <c r="F10" s="37" t="s">
        <v>364</v>
      </c>
    </row>
    <row r="11" spans="2:15">
      <c r="E11" s="37" t="s">
        <v>499</v>
      </c>
      <c r="F11" s="37" t="s">
        <v>500</v>
      </c>
    </row>
  </sheetData>
  <pageMargins left="0.7" right="0.7" top="0.75" bottom="0.75" header="0.3" footer="0.3"/>
  <tableParts count="5">
    <tablePart r:id="rId1"/>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2:E23"/>
  <sheetViews>
    <sheetView showGridLines="0" topLeftCell="A4" zoomScale="80" zoomScaleNormal="80" workbookViewId="0">
      <selection activeCell="D13" sqref="D13"/>
    </sheetView>
  </sheetViews>
  <sheetFormatPr baseColWidth="10" defaultRowHeight="14.25"/>
  <cols>
    <col min="1" max="1" width="2.85546875" style="23" customWidth="1"/>
    <col min="2" max="2" width="19.5703125" style="23" customWidth="1"/>
    <col min="3" max="3" width="16.42578125" style="23" customWidth="1"/>
    <col min="4" max="4" width="66.7109375" style="27" customWidth="1"/>
    <col min="5" max="5" width="57.28515625" style="27" bestFit="1" customWidth="1"/>
    <col min="6" max="16384" width="11.42578125" style="23"/>
  </cols>
  <sheetData>
    <row r="2" spans="2:5" s="26" customFormat="1" ht="15">
      <c r="B2" s="25" t="s">
        <v>78</v>
      </c>
      <c r="C2" s="25" t="s">
        <v>302</v>
      </c>
      <c r="D2" s="28" t="s">
        <v>79</v>
      </c>
      <c r="E2" s="28" t="s">
        <v>347</v>
      </c>
    </row>
    <row r="3" spans="2:5" ht="85.5">
      <c r="B3" s="22" t="s">
        <v>41</v>
      </c>
      <c r="C3" s="22" t="s">
        <v>81</v>
      </c>
      <c r="D3" s="24" t="s">
        <v>82</v>
      </c>
      <c r="E3" s="24" t="s">
        <v>348</v>
      </c>
    </row>
    <row r="4" spans="2:5" ht="128.25">
      <c r="B4" s="22" t="s">
        <v>56</v>
      </c>
      <c r="C4" s="22" t="s">
        <v>90</v>
      </c>
      <c r="D4" s="24" t="s">
        <v>295</v>
      </c>
      <c r="E4" s="24" t="s">
        <v>350</v>
      </c>
    </row>
    <row r="5" spans="2:5" ht="242.25">
      <c r="B5" s="36" t="s">
        <v>97</v>
      </c>
      <c r="C5" s="36" t="s">
        <v>98</v>
      </c>
      <c r="D5" s="24" t="s">
        <v>383</v>
      </c>
      <c r="E5" s="24" t="s">
        <v>349</v>
      </c>
    </row>
    <row r="6" spans="2:5" ht="57">
      <c r="B6" s="22" t="s">
        <v>47</v>
      </c>
      <c r="C6" s="22" t="s">
        <v>83</v>
      </c>
      <c r="D6" s="24" t="s">
        <v>296</v>
      </c>
      <c r="E6" s="24"/>
    </row>
    <row r="7" spans="2:5" ht="42.75">
      <c r="B7" s="22" t="s">
        <v>77</v>
      </c>
      <c r="C7" s="22" t="s">
        <v>84</v>
      </c>
      <c r="D7" s="24" t="s">
        <v>297</v>
      </c>
      <c r="E7" s="24"/>
    </row>
    <row r="8" spans="2:5" ht="42.75">
      <c r="B8" s="22" t="s">
        <v>44</v>
      </c>
      <c r="C8" s="22" t="s">
        <v>85</v>
      </c>
      <c r="D8" s="24" t="s">
        <v>298</v>
      </c>
      <c r="E8" s="24"/>
    </row>
    <row r="9" spans="2:5" ht="28.5">
      <c r="B9" s="54" t="s">
        <v>168</v>
      </c>
      <c r="C9" s="54" t="s">
        <v>167</v>
      </c>
      <c r="D9" s="55" t="s">
        <v>169</v>
      </c>
      <c r="E9" s="24"/>
    </row>
    <row r="10" spans="2:5" ht="28.5">
      <c r="B10" s="22" t="s">
        <v>72</v>
      </c>
      <c r="C10" s="30">
        <v>40970</v>
      </c>
      <c r="D10" s="24" t="s">
        <v>86</v>
      </c>
      <c r="E10" s="24"/>
    </row>
    <row r="11" spans="2:5" ht="28.5">
      <c r="B11" s="22" t="s">
        <v>87</v>
      </c>
      <c r="C11" s="30">
        <v>40852</v>
      </c>
      <c r="D11" s="24" t="s">
        <v>299</v>
      </c>
      <c r="E11" s="24"/>
    </row>
    <row r="12" spans="2:5" ht="71.25">
      <c r="B12" s="22" t="s">
        <v>75</v>
      </c>
      <c r="C12" s="22" t="s">
        <v>80</v>
      </c>
      <c r="D12" s="24" t="s">
        <v>88</v>
      </c>
      <c r="E12" s="24"/>
    </row>
    <row r="13" spans="2:5" ht="156.75">
      <c r="B13" s="31" t="s">
        <v>300</v>
      </c>
      <c r="C13" s="31" t="s">
        <v>91</v>
      </c>
      <c r="D13" s="32" t="s">
        <v>301</v>
      </c>
      <c r="E13" s="24"/>
    </row>
    <row r="14" spans="2:5">
      <c r="B14" s="22"/>
      <c r="C14" s="22"/>
      <c r="D14" s="24"/>
    </row>
    <row r="15" spans="2:5">
      <c r="B15" s="22"/>
      <c r="C15" s="22"/>
      <c r="D15" s="24"/>
    </row>
    <row r="16" spans="2:5">
      <c r="B16" s="22"/>
      <c r="C16" s="22"/>
      <c r="D16" s="24"/>
    </row>
    <row r="17" spans="2:4">
      <c r="B17" s="22"/>
      <c r="C17" s="22"/>
      <c r="D17" s="24"/>
    </row>
    <row r="18" spans="2:4">
      <c r="B18" s="22"/>
      <c r="C18" s="22"/>
      <c r="D18" s="24"/>
    </row>
    <row r="19" spans="2:4">
      <c r="B19" s="22"/>
      <c r="C19" s="22"/>
      <c r="D19" s="24"/>
    </row>
    <row r="20" spans="2:4">
      <c r="B20" s="22"/>
      <c r="C20" s="22"/>
      <c r="D20" s="24"/>
    </row>
    <row r="21" spans="2:4">
      <c r="B21" s="22"/>
      <c r="C21" s="22"/>
      <c r="D21" s="24"/>
    </row>
    <row r="22" spans="2:4">
      <c r="B22" s="22"/>
      <c r="C22" s="22"/>
      <c r="D22" s="24"/>
    </row>
    <row r="23" spans="2:4">
      <c r="B23" s="22"/>
      <c r="C23" s="22"/>
      <c r="D23" s="24"/>
    </row>
  </sheetData>
  <dataConsolidate/>
  <pageMargins left="0.7" right="0.7" top="0.75" bottom="0.75" header="0.3" footer="0.3"/>
  <pageSetup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7"/>
  <sheetViews>
    <sheetView workbookViewId="0">
      <selection activeCell="C124" sqref="C124"/>
    </sheetView>
  </sheetViews>
  <sheetFormatPr baseColWidth="10" defaultRowHeight="15"/>
  <cols>
    <col min="1" max="1" width="15" customWidth="1"/>
    <col min="2" max="3" width="24.28515625" bestFit="1" customWidth="1"/>
  </cols>
  <sheetData>
    <row r="1" spans="1:3">
      <c r="A1" t="s">
        <v>836</v>
      </c>
      <c r="B1" t="s">
        <v>835</v>
      </c>
      <c r="C1" s="194" t="s">
        <v>838</v>
      </c>
    </row>
    <row r="2" spans="1:3" ht="15" customHeight="1">
      <c r="A2" t="s">
        <v>681</v>
      </c>
      <c r="B2" s="196" t="s">
        <v>57</v>
      </c>
      <c r="C2" t="s">
        <v>662</v>
      </c>
    </row>
    <row r="3" spans="1:3" ht="15" customHeight="1">
      <c r="A3" t="s">
        <v>682</v>
      </c>
      <c r="B3" s="196" t="s">
        <v>837</v>
      </c>
      <c r="C3" t="s">
        <v>662</v>
      </c>
    </row>
    <row r="4" spans="1:3">
      <c r="A4" t="s">
        <v>682</v>
      </c>
      <c r="B4" t="s">
        <v>107</v>
      </c>
      <c r="C4" t="s">
        <v>678</v>
      </c>
    </row>
    <row r="5" spans="1:3">
      <c r="A5" t="s">
        <v>683</v>
      </c>
      <c r="B5" t="s">
        <v>55</v>
      </c>
      <c r="C5" t="s">
        <v>831</v>
      </c>
    </row>
    <row r="6" spans="1:3">
      <c r="A6" t="s">
        <v>684</v>
      </c>
      <c r="B6" t="s">
        <v>57</v>
      </c>
      <c r="C6" t="s">
        <v>662</v>
      </c>
    </row>
    <row r="7" spans="1:3">
      <c r="A7" t="s">
        <v>685</v>
      </c>
      <c r="B7" t="s">
        <v>57</v>
      </c>
      <c r="C7" t="s">
        <v>662</v>
      </c>
    </row>
    <row r="8" spans="1:3">
      <c r="A8" t="s">
        <v>686</v>
      </c>
      <c r="B8" t="s">
        <v>178</v>
      </c>
      <c r="C8" t="s">
        <v>653</v>
      </c>
    </row>
    <row r="9" spans="1:3">
      <c r="A9" t="s">
        <v>687</v>
      </c>
      <c r="B9" t="s">
        <v>181</v>
      </c>
      <c r="C9" t="s">
        <v>660</v>
      </c>
    </row>
    <row r="10" spans="1:3">
      <c r="A10" t="s">
        <v>688</v>
      </c>
      <c r="B10" t="s">
        <v>62</v>
      </c>
      <c r="C10" t="s">
        <v>653</v>
      </c>
    </row>
    <row r="11" spans="1:3">
      <c r="A11" t="s">
        <v>689</v>
      </c>
      <c r="B11" t="s">
        <v>181</v>
      </c>
      <c r="C11" t="s">
        <v>660</v>
      </c>
    </row>
    <row r="12" spans="1:3">
      <c r="A12" t="s">
        <v>690</v>
      </c>
      <c r="B12" t="s">
        <v>62</v>
      </c>
      <c r="C12" t="s">
        <v>653</v>
      </c>
    </row>
    <row r="13" spans="1:3">
      <c r="A13" t="s">
        <v>691</v>
      </c>
      <c r="B13" t="s">
        <v>62</v>
      </c>
      <c r="C13" t="s">
        <v>653</v>
      </c>
    </row>
    <row r="14" spans="1:3">
      <c r="A14" t="s">
        <v>692</v>
      </c>
      <c r="B14" t="s">
        <v>62</v>
      </c>
      <c r="C14" t="s">
        <v>653</v>
      </c>
    </row>
    <row r="15" spans="1:3">
      <c r="A15" t="s">
        <v>692</v>
      </c>
      <c r="B15" t="s">
        <v>636</v>
      </c>
      <c r="C15" t="s">
        <v>830</v>
      </c>
    </row>
    <row r="16" spans="1:3">
      <c r="A16" t="s">
        <v>693</v>
      </c>
      <c r="B16" t="s">
        <v>181</v>
      </c>
      <c r="C16" t="s">
        <v>660</v>
      </c>
    </row>
    <row r="17" spans="1:3">
      <c r="A17" t="s">
        <v>694</v>
      </c>
      <c r="B17" t="s">
        <v>195</v>
      </c>
      <c r="C17" t="s">
        <v>666</v>
      </c>
    </row>
    <row r="18" spans="1:3">
      <c r="A18" t="s">
        <v>695</v>
      </c>
      <c r="B18" t="s">
        <v>274</v>
      </c>
      <c r="C18" t="s">
        <v>669</v>
      </c>
    </row>
    <row r="19" spans="1:3">
      <c r="A19" t="s">
        <v>696</v>
      </c>
      <c r="B19" t="s">
        <v>200</v>
      </c>
      <c r="C19" t="s">
        <v>666</v>
      </c>
    </row>
    <row r="20" spans="1:3">
      <c r="A20" t="s">
        <v>697</v>
      </c>
      <c r="B20" t="s">
        <v>200</v>
      </c>
      <c r="C20" t="s">
        <v>666</v>
      </c>
    </row>
    <row r="21" spans="1:3">
      <c r="A21" t="s">
        <v>698</v>
      </c>
      <c r="B21" t="s">
        <v>209</v>
      </c>
      <c r="C21" t="s">
        <v>833</v>
      </c>
    </row>
    <row r="22" spans="1:3">
      <c r="A22" t="s">
        <v>699</v>
      </c>
      <c r="B22" t="s">
        <v>55</v>
      </c>
      <c r="C22" t="s">
        <v>831</v>
      </c>
    </row>
    <row r="23" spans="1:3">
      <c r="A23" t="s">
        <v>699</v>
      </c>
      <c r="B23" t="s">
        <v>209</v>
      </c>
      <c r="C23" t="s">
        <v>833</v>
      </c>
    </row>
    <row r="24" spans="1:3">
      <c r="A24" t="s">
        <v>700</v>
      </c>
      <c r="B24" t="s">
        <v>57</v>
      </c>
      <c r="C24" t="s">
        <v>662</v>
      </c>
    </row>
    <row r="25" spans="1:3">
      <c r="A25" t="s">
        <v>700</v>
      </c>
      <c r="B25" t="s">
        <v>55</v>
      </c>
      <c r="C25" t="s">
        <v>831</v>
      </c>
    </row>
    <row r="26" spans="1:3">
      <c r="A26" t="s">
        <v>701</v>
      </c>
      <c r="B26" t="s">
        <v>209</v>
      </c>
      <c r="C26" t="s">
        <v>833</v>
      </c>
    </row>
    <row r="27" spans="1:3">
      <c r="A27" t="s">
        <v>702</v>
      </c>
      <c r="B27" t="s">
        <v>219</v>
      </c>
      <c r="C27" t="s">
        <v>654</v>
      </c>
    </row>
    <row r="28" spans="1:3">
      <c r="A28" t="s">
        <v>703</v>
      </c>
      <c r="B28" t="s">
        <v>223</v>
      </c>
      <c r="C28" t="s">
        <v>667</v>
      </c>
    </row>
    <row r="29" spans="1:3">
      <c r="A29" t="s">
        <v>704</v>
      </c>
      <c r="B29" t="s">
        <v>228</v>
      </c>
      <c r="C29" t="s">
        <v>655</v>
      </c>
    </row>
    <row r="30" spans="1:3">
      <c r="A30" t="s">
        <v>705</v>
      </c>
      <c r="B30" t="s">
        <v>55</v>
      </c>
      <c r="C30" t="s">
        <v>831</v>
      </c>
    </row>
    <row r="31" spans="1:3">
      <c r="A31" t="s">
        <v>706</v>
      </c>
      <c r="B31" t="s">
        <v>234</v>
      </c>
      <c r="C31" t="s">
        <v>666</v>
      </c>
    </row>
    <row r="32" spans="1:3">
      <c r="A32" t="s">
        <v>707</v>
      </c>
      <c r="B32" t="s">
        <v>62</v>
      </c>
      <c r="C32" t="s">
        <v>653</v>
      </c>
    </row>
    <row r="33" spans="1:3">
      <c r="A33" t="s">
        <v>708</v>
      </c>
      <c r="B33" t="s">
        <v>57</v>
      </c>
      <c r="C33" t="s">
        <v>662</v>
      </c>
    </row>
    <row r="34" spans="1:3">
      <c r="A34" t="s">
        <v>709</v>
      </c>
      <c r="B34" t="s">
        <v>62</v>
      </c>
      <c r="C34" t="s">
        <v>653</v>
      </c>
    </row>
    <row r="35" spans="1:3">
      <c r="A35" t="s">
        <v>710</v>
      </c>
      <c r="B35" t="s">
        <v>55</v>
      </c>
      <c r="C35" t="s">
        <v>831</v>
      </c>
    </row>
    <row r="36" spans="1:3">
      <c r="A36" t="s">
        <v>711</v>
      </c>
      <c r="B36" t="s">
        <v>55</v>
      </c>
      <c r="C36" t="s">
        <v>831</v>
      </c>
    </row>
    <row r="37" spans="1:3">
      <c r="A37" t="s">
        <v>712</v>
      </c>
      <c r="B37" t="s">
        <v>181</v>
      </c>
      <c r="C37" t="s">
        <v>660</v>
      </c>
    </row>
    <row r="38" spans="1:3">
      <c r="A38" t="s">
        <v>713</v>
      </c>
      <c r="B38" t="s">
        <v>55</v>
      </c>
      <c r="C38" t="s">
        <v>831</v>
      </c>
    </row>
    <row r="39" spans="1:3">
      <c r="A39" t="s">
        <v>714</v>
      </c>
      <c r="B39" t="s">
        <v>62</v>
      </c>
      <c r="C39" t="s">
        <v>653</v>
      </c>
    </row>
    <row r="40" spans="1:3">
      <c r="A40" t="s">
        <v>715</v>
      </c>
      <c r="B40" t="s">
        <v>55</v>
      </c>
      <c r="C40" t="s">
        <v>831</v>
      </c>
    </row>
    <row r="41" spans="1:3">
      <c r="A41" t="s">
        <v>716</v>
      </c>
      <c r="B41" t="s">
        <v>55</v>
      </c>
      <c r="C41" t="s">
        <v>831</v>
      </c>
    </row>
    <row r="42" spans="1:3">
      <c r="A42" t="s">
        <v>717</v>
      </c>
      <c r="B42" t="s">
        <v>62</v>
      </c>
      <c r="C42" t="s">
        <v>653</v>
      </c>
    </row>
    <row r="43" spans="1:3">
      <c r="A43" t="s">
        <v>717</v>
      </c>
      <c r="B43" t="s">
        <v>57</v>
      </c>
      <c r="C43" t="s">
        <v>662</v>
      </c>
    </row>
    <row r="44" spans="1:3">
      <c r="A44" t="s">
        <v>717</v>
      </c>
      <c r="B44" t="s">
        <v>55</v>
      </c>
      <c r="C44" t="s">
        <v>831</v>
      </c>
    </row>
    <row r="45" spans="1:3">
      <c r="A45" t="s">
        <v>718</v>
      </c>
      <c r="B45" t="s">
        <v>73</v>
      </c>
      <c r="C45" t="s">
        <v>679</v>
      </c>
    </row>
    <row r="46" spans="1:3">
      <c r="A46" t="s">
        <v>719</v>
      </c>
      <c r="B46" t="s">
        <v>62</v>
      </c>
      <c r="C46" t="s">
        <v>653</v>
      </c>
    </row>
    <row r="47" spans="1:3">
      <c r="A47" t="s">
        <v>720</v>
      </c>
      <c r="B47" t="s">
        <v>62</v>
      </c>
      <c r="C47" t="s">
        <v>653</v>
      </c>
    </row>
    <row r="48" spans="1:3">
      <c r="A48" t="s">
        <v>721</v>
      </c>
      <c r="B48" t="s">
        <v>62</v>
      </c>
      <c r="C48" t="s">
        <v>653</v>
      </c>
    </row>
    <row r="49" spans="1:3">
      <c r="A49" t="s">
        <v>722</v>
      </c>
      <c r="B49" t="s">
        <v>62</v>
      </c>
      <c r="C49" t="s">
        <v>653</v>
      </c>
    </row>
    <row r="50" spans="1:3">
      <c r="A50" t="s">
        <v>722</v>
      </c>
      <c r="B50" t="s">
        <v>108</v>
      </c>
      <c r="C50" t="s">
        <v>832</v>
      </c>
    </row>
    <row r="51" spans="1:3">
      <c r="A51" t="s">
        <v>722</v>
      </c>
      <c r="B51" t="s">
        <v>636</v>
      </c>
      <c r="C51" t="s">
        <v>830</v>
      </c>
    </row>
    <row r="52" spans="1:3">
      <c r="A52" t="s">
        <v>723</v>
      </c>
      <c r="B52" t="s">
        <v>62</v>
      </c>
      <c r="C52" t="s">
        <v>653</v>
      </c>
    </row>
    <row r="53" spans="1:3">
      <c r="A53" t="s">
        <v>723</v>
      </c>
      <c r="B53" t="s">
        <v>55</v>
      </c>
      <c r="C53" t="s">
        <v>831</v>
      </c>
    </row>
    <row r="54" spans="1:3">
      <c r="A54" t="s">
        <v>724</v>
      </c>
      <c r="B54" t="s">
        <v>274</v>
      </c>
      <c r="C54" t="s">
        <v>669</v>
      </c>
    </row>
    <row r="55" spans="1:3">
      <c r="A55" t="s">
        <v>725</v>
      </c>
      <c r="B55" t="s">
        <v>276</v>
      </c>
      <c r="C55" t="s">
        <v>673</v>
      </c>
    </row>
    <row r="56" spans="1:3">
      <c r="A56" t="s">
        <v>726</v>
      </c>
      <c r="B56" t="s">
        <v>181</v>
      </c>
      <c r="C56" t="s">
        <v>660</v>
      </c>
    </row>
    <row r="57" spans="1:3">
      <c r="A57" t="s">
        <v>727</v>
      </c>
      <c r="B57" t="s">
        <v>62</v>
      </c>
      <c r="C57" t="s">
        <v>653</v>
      </c>
    </row>
    <row r="58" spans="1:3">
      <c r="A58" t="s">
        <v>728</v>
      </c>
      <c r="B58" t="s">
        <v>285</v>
      </c>
      <c r="C58" t="s">
        <v>666</v>
      </c>
    </row>
    <row r="59" spans="1:3">
      <c r="A59" t="s">
        <v>729</v>
      </c>
      <c r="B59" t="s">
        <v>62</v>
      </c>
      <c r="C59" t="s">
        <v>653</v>
      </c>
    </row>
    <row r="60" spans="1:3">
      <c r="A60" t="s">
        <v>730</v>
      </c>
      <c r="B60" t="s">
        <v>200</v>
      </c>
      <c r="C60" t="s">
        <v>666</v>
      </c>
    </row>
    <row r="61" spans="1:3">
      <c r="A61" t="s">
        <v>731</v>
      </c>
      <c r="B61" t="s">
        <v>62</v>
      </c>
      <c r="C61" t="s">
        <v>653</v>
      </c>
    </row>
    <row r="62" spans="1:3">
      <c r="A62" t="s">
        <v>732</v>
      </c>
      <c r="B62" t="s">
        <v>62</v>
      </c>
      <c r="C62" t="s">
        <v>653</v>
      </c>
    </row>
    <row r="63" spans="1:3">
      <c r="A63" t="s">
        <v>733</v>
      </c>
      <c r="B63" t="s">
        <v>181</v>
      </c>
      <c r="C63" t="s">
        <v>660</v>
      </c>
    </row>
    <row r="64" spans="1:3">
      <c r="A64" t="s">
        <v>734</v>
      </c>
      <c r="B64" t="s">
        <v>355</v>
      </c>
      <c r="C64" t="s">
        <v>666</v>
      </c>
    </row>
    <row r="65" spans="1:3">
      <c r="A65" t="s">
        <v>735</v>
      </c>
      <c r="B65" t="s">
        <v>181</v>
      </c>
      <c r="C65" t="s">
        <v>660</v>
      </c>
    </row>
    <row r="66" spans="1:3">
      <c r="A66" t="s">
        <v>736</v>
      </c>
      <c r="B66" t="s">
        <v>181</v>
      </c>
      <c r="C66" t="s">
        <v>660</v>
      </c>
    </row>
    <row r="67" spans="1:3">
      <c r="A67" t="s">
        <v>737</v>
      </c>
      <c r="B67" t="s">
        <v>181</v>
      </c>
      <c r="C67" t="s">
        <v>660</v>
      </c>
    </row>
    <row r="68" spans="1:3">
      <c r="A68" t="s">
        <v>738</v>
      </c>
      <c r="B68" t="s">
        <v>181</v>
      </c>
      <c r="C68" t="s">
        <v>660</v>
      </c>
    </row>
    <row r="69" spans="1:3">
      <c r="A69" t="s">
        <v>739</v>
      </c>
      <c r="B69" t="s">
        <v>62</v>
      </c>
      <c r="C69" t="s">
        <v>653</v>
      </c>
    </row>
    <row r="70" spans="1:3">
      <c r="A70" t="s">
        <v>740</v>
      </c>
      <c r="B70" t="s">
        <v>55</v>
      </c>
      <c r="C70" t="s">
        <v>831</v>
      </c>
    </row>
    <row r="71" spans="1:3">
      <c r="A71" t="s">
        <v>741</v>
      </c>
      <c r="B71" t="s">
        <v>55</v>
      </c>
      <c r="C71" t="s">
        <v>831</v>
      </c>
    </row>
    <row r="72" spans="1:3">
      <c r="A72" t="s">
        <v>742</v>
      </c>
      <c r="B72" t="s">
        <v>202</v>
      </c>
      <c r="C72" t="s">
        <v>669</v>
      </c>
    </row>
    <row r="73" spans="1:3">
      <c r="A73" t="s">
        <v>743</v>
      </c>
      <c r="B73" t="s">
        <v>181</v>
      </c>
      <c r="C73" t="s">
        <v>660</v>
      </c>
    </row>
    <row r="74" spans="1:3">
      <c r="A74" t="s">
        <v>744</v>
      </c>
      <c r="B74" t="s">
        <v>62</v>
      </c>
      <c r="C74" t="s">
        <v>653</v>
      </c>
    </row>
    <row r="75" spans="1:3">
      <c r="A75" t="s">
        <v>745</v>
      </c>
      <c r="B75" t="s">
        <v>181</v>
      </c>
      <c r="C75" t="s">
        <v>660</v>
      </c>
    </row>
    <row r="76" spans="1:3">
      <c r="A76" t="s">
        <v>746</v>
      </c>
      <c r="B76" t="s">
        <v>57</v>
      </c>
      <c r="C76" t="s">
        <v>662</v>
      </c>
    </row>
    <row r="77" spans="1:3">
      <c r="A77" t="s">
        <v>747</v>
      </c>
      <c r="B77" t="s">
        <v>181</v>
      </c>
      <c r="C77" t="s">
        <v>660</v>
      </c>
    </row>
    <row r="78" spans="1:3">
      <c r="A78" t="s">
        <v>748</v>
      </c>
      <c r="B78" t="s">
        <v>62</v>
      </c>
      <c r="C78" t="s">
        <v>653</v>
      </c>
    </row>
    <row r="79" spans="1:3">
      <c r="A79" t="s">
        <v>748</v>
      </c>
      <c r="B79" t="s">
        <v>57</v>
      </c>
      <c r="C79" t="s">
        <v>662</v>
      </c>
    </row>
    <row r="80" spans="1:3">
      <c r="A80" t="s">
        <v>749</v>
      </c>
      <c r="B80" t="s">
        <v>181</v>
      </c>
      <c r="C80" t="s">
        <v>660</v>
      </c>
    </row>
    <row r="81" spans="1:3">
      <c r="A81" t="s">
        <v>750</v>
      </c>
      <c r="B81" t="s">
        <v>181</v>
      </c>
      <c r="C81" t="s">
        <v>660</v>
      </c>
    </row>
    <row r="82" spans="1:3">
      <c r="A82" t="s">
        <v>751</v>
      </c>
      <c r="B82" t="s">
        <v>55</v>
      </c>
      <c r="C82" t="s">
        <v>831</v>
      </c>
    </row>
    <row r="83" spans="1:3">
      <c r="A83" t="s">
        <v>752</v>
      </c>
      <c r="B83" t="s">
        <v>55</v>
      </c>
      <c r="C83" t="s">
        <v>831</v>
      </c>
    </row>
    <row r="84" spans="1:3">
      <c r="A84" t="s">
        <v>753</v>
      </c>
      <c r="B84" t="s">
        <v>62</v>
      </c>
      <c r="C84" t="s">
        <v>653</v>
      </c>
    </row>
    <row r="85" spans="1:3">
      <c r="A85" t="s">
        <v>753</v>
      </c>
      <c r="B85" t="s">
        <v>57</v>
      </c>
      <c r="C85" t="s">
        <v>662</v>
      </c>
    </row>
    <row r="86" spans="1:3">
      <c r="A86" t="s">
        <v>754</v>
      </c>
      <c r="B86" t="s">
        <v>202</v>
      </c>
      <c r="C86" t="s">
        <v>669</v>
      </c>
    </row>
    <row r="87" spans="1:3">
      <c r="A87" t="s">
        <v>755</v>
      </c>
      <c r="B87" t="s">
        <v>55</v>
      </c>
      <c r="C87" t="s">
        <v>831</v>
      </c>
    </row>
    <row r="88" spans="1:3">
      <c r="A88" t="s">
        <v>756</v>
      </c>
      <c r="B88" t="s">
        <v>62</v>
      </c>
      <c r="C88" t="s">
        <v>653</v>
      </c>
    </row>
    <row r="89" spans="1:3">
      <c r="A89" t="s">
        <v>756</v>
      </c>
      <c r="B89" t="s">
        <v>57</v>
      </c>
      <c r="C89" t="s">
        <v>662</v>
      </c>
    </row>
    <row r="90" spans="1:3">
      <c r="A90" t="s">
        <v>756</v>
      </c>
      <c r="B90" t="s">
        <v>55</v>
      </c>
      <c r="C90" t="s">
        <v>831</v>
      </c>
    </row>
    <row r="91" spans="1:3">
      <c r="A91" t="s">
        <v>757</v>
      </c>
      <c r="B91" t="s">
        <v>445</v>
      </c>
      <c r="C91" t="s">
        <v>666</v>
      </c>
    </row>
    <row r="92" spans="1:3">
      <c r="A92" t="s">
        <v>758</v>
      </c>
      <c r="B92" t="s">
        <v>234</v>
      </c>
      <c r="C92" t="s">
        <v>666</v>
      </c>
    </row>
    <row r="93" spans="1:3">
      <c r="A93" t="s">
        <v>759</v>
      </c>
      <c r="B93" t="s">
        <v>181</v>
      </c>
      <c r="C93" t="s">
        <v>660</v>
      </c>
    </row>
    <row r="94" spans="1:3">
      <c r="A94" t="s">
        <v>760</v>
      </c>
      <c r="B94" t="s">
        <v>181</v>
      </c>
      <c r="C94" t="s">
        <v>660</v>
      </c>
    </row>
    <row r="95" spans="1:3">
      <c r="A95" t="s">
        <v>761</v>
      </c>
      <c r="B95" t="s">
        <v>55</v>
      </c>
      <c r="C95" t="s">
        <v>831</v>
      </c>
    </row>
    <row r="96" spans="1:3">
      <c r="A96" t="s">
        <v>762</v>
      </c>
      <c r="B96" t="s">
        <v>181</v>
      </c>
      <c r="C96" t="s">
        <v>660</v>
      </c>
    </row>
    <row r="97" spans="1:5">
      <c r="A97" t="s">
        <v>763</v>
      </c>
      <c r="B97" t="s">
        <v>657</v>
      </c>
      <c r="C97" t="s">
        <v>660</v>
      </c>
    </row>
    <row r="98" spans="1:5">
      <c r="A98" t="s">
        <v>763</v>
      </c>
      <c r="B98" t="s">
        <v>209</v>
      </c>
      <c r="C98" t="s">
        <v>833</v>
      </c>
    </row>
    <row r="99" spans="1:5">
      <c r="A99" t="s">
        <v>764</v>
      </c>
      <c r="B99" t="s">
        <v>62</v>
      </c>
      <c r="C99" t="s">
        <v>653</v>
      </c>
    </row>
    <row r="100" spans="1:5">
      <c r="A100" t="s">
        <v>765</v>
      </c>
      <c r="B100" t="s">
        <v>209</v>
      </c>
      <c r="C100" t="s">
        <v>833</v>
      </c>
      <c r="D100" t="s">
        <v>651</v>
      </c>
      <c r="E100" t="s">
        <v>813</v>
      </c>
    </row>
    <row r="101" spans="1:5">
      <c r="A101" t="s">
        <v>766</v>
      </c>
      <c r="B101" t="s">
        <v>55</v>
      </c>
      <c r="C101" t="s">
        <v>831</v>
      </c>
      <c r="D101" t="s">
        <v>652</v>
      </c>
      <c r="E101" t="s">
        <v>814</v>
      </c>
    </row>
    <row r="102" spans="1:5">
      <c r="A102" t="s">
        <v>767</v>
      </c>
      <c r="B102" t="s">
        <v>55</v>
      </c>
      <c r="C102" t="s">
        <v>831</v>
      </c>
      <c r="D102" t="s">
        <v>653</v>
      </c>
      <c r="E102" t="s">
        <v>62</v>
      </c>
    </row>
    <row r="103" spans="1:5">
      <c r="A103" t="s">
        <v>768</v>
      </c>
      <c r="B103" t="s">
        <v>181</v>
      </c>
      <c r="C103" t="s">
        <v>660</v>
      </c>
      <c r="D103" t="s">
        <v>654</v>
      </c>
      <c r="E103" t="s">
        <v>219</v>
      </c>
    </row>
    <row r="104" spans="1:5">
      <c r="A104" t="s">
        <v>769</v>
      </c>
      <c r="B104" t="s">
        <v>62</v>
      </c>
      <c r="C104" t="s">
        <v>653</v>
      </c>
      <c r="D104" t="s">
        <v>655</v>
      </c>
      <c r="E104" t="s">
        <v>228</v>
      </c>
    </row>
    <row r="105" spans="1:5">
      <c r="A105" t="s">
        <v>770</v>
      </c>
      <c r="B105" t="s">
        <v>181</v>
      </c>
      <c r="C105" t="s">
        <v>660</v>
      </c>
      <c r="D105" t="s">
        <v>656</v>
      </c>
      <c r="E105" t="s">
        <v>815</v>
      </c>
    </row>
    <row r="106" spans="1:5">
      <c r="A106" t="s">
        <v>771</v>
      </c>
      <c r="B106" t="s">
        <v>62</v>
      </c>
      <c r="C106" t="s">
        <v>653</v>
      </c>
      <c r="D106" t="s">
        <v>658</v>
      </c>
      <c r="E106" t="s">
        <v>659</v>
      </c>
    </row>
    <row r="107" spans="1:5">
      <c r="A107" t="s">
        <v>772</v>
      </c>
      <c r="B107" t="s">
        <v>62</v>
      </c>
      <c r="C107" t="s">
        <v>653</v>
      </c>
      <c r="D107" t="s">
        <v>660</v>
      </c>
      <c r="E107" t="s">
        <v>657</v>
      </c>
    </row>
    <row r="108" spans="1:5">
      <c r="A108" t="s">
        <v>773</v>
      </c>
      <c r="B108" t="s">
        <v>181</v>
      </c>
      <c r="C108" t="s">
        <v>660</v>
      </c>
      <c r="D108" t="s">
        <v>661</v>
      </c>
      <c r="E108" t="s">
        <v>816</v>
      </c>
    </row>
    <row r="109" spans="1:5">
      <c r="A109" t="s">
        <v>774</v>
      </c>
      <c r="B109" t="s">
        <v>181</v>
      </c>
      <c r="C109" t="s">
        <v>660</v>
      </c>
      <c r="D109" t="s">
        <v>662</v>
      </c>
      <c r="E109" t="s">
        <v>57</v>
      </c>
    </row>
    <row r="110" spans="1:5">
      <c r="A110" t="s">
        <v>775</v>
      </c>
      <c r="B110" t="s">
        <v>57</v>
      </c>
      <c r="C110" t="s">
        <v>662</v>
      </c>
      <c r="D110" t="s">
        <v>663</v>
      </c>
      <c r="E110" t="s">
        <v>817</v>
      </c>
    </row>
    <row r="111" spans="1:5">
      <c r="A111" t="s">
        <v>776</v>
      </c>
      <c r="B111" t="s">
        <v>181</v>
      </c>
      <c r="C111" t="s">
        <v>660</v>
      </c>
      <c r="D111" t="s">
        <v>664</v>
      </c>
      <c r="E111" t="s">
        <v>818</v>
      </c>
    </row>
    <row r="112" spans="1:5">
      <c r="A112" t="s">
        <v>777</v>
      </c>
      <c r="B112" t="s">
        <v>55</v>
      </c>
      <c r="C112" t="s">
        <v>831</v>
      </c>
      <c r="D112" t="s">
        <v>665</v>
      </c>
      <c r="E112" t="s">
        <v>819</v>
      </c>
    </row>
    <row r="113" spans="1:5">
      <c r="A113" t="s">
        <v>778</v>
      </c>
      <c r="B113" t="s">
        <v>62</v>
      </c>
      <c r="C113" t="s">
        <v>653</v>
      </c>
      <c r="D113" t="s">
        <v>666</v>
      </c>
      <c r="E113" t="s">
        <v>524</v>
      </c>
    </row>
    <row r="114" spans="1:5">
      <c r="A114" t="s">
        <v>779</v>
      </c>
      <c r="B114" t="s">
        <v>524</v>
      </c>
      <c r="C114" t="s">
        <v>839</v>
      </c>
      <c r="D114" t="s">
        <v>667</v>
      </c>
      <c r="E114" t="s">
        <v>223</v>
      </c>
    </row>
    <row r="115" spans="1:5">
      <c r="A115" t="s">
        <v>780</v>
      </c>
      <c r="B115" t="s">
        <v>181</v>
      </c>
      <c r="C115" t="s">
        <v>660</v>
      </c>
      <c r="D115" t="s">
        <v>668</v>
      </c>
      <c r="E115" t="s">
        <v>820</v>
      </c>
    </row>
    <row r="116" spans="1:5">
      <c r="A116" t="s">
        <v>781</v>
      </c>
      <c r="B116" t="s">
        <v>530</v>
      </c>
      <c r="C116" t="s">
        <v>668</v>
      </c>
      <c r="D116" t="s">
        <v>669</v>
      </c>
      <c r="E116" t="s">
        <v>274</v>
      </c>
    </row>
    <row r="117" spans="1:5">
      <c r="A117" t="s">
        <v>782</v>
      </c>
      <c r="B117" t="s">
        <v>537</v>
      </c>
      <c r="C117" t="s">
        <v>658</v>
      </c>
      <c r="D117" t="s">
        <v>670</v>
      </c>
      <c r="E117" t="s">
        <v>821</v>
      </c>
    </row>
    <row r="118" spans="1:5">
      <c r="A118" t="s">
        <v>783</v>
      </c>
      <c r="B118" t="s">
        <v>62</v>
      </c>
      <c r="C118" t="s">
        <v>653</v>
      </c>
      <c r="D118" t="s">
        <v>671</v>
      </c>
      <c r="E118" t="s">
        <v>822</v>
      </c>
    </row>
    <row r="119" spans="1:5">
      <c r="A119" t="s">
        <v>784</v>
      </c>
      <c r="B119" t="s">
        <v>62</v>
      </c>
      <c r="C119" t="s">
        <v>653</v>
      </c>
      <c r="D119" t="s">
        <v>672</v>
      </c>
      <c r="E119" t="s">
        <v>823</v>
      </c>
    </row>
    <row r="120" spans="1:5">
      <c r="A120" t="s">
        <v>785</v>
      </c>
      <c r="B120" t="s">
        <v>57</v>
      </c>
      <c r="C120" t="s">
        <v>662</v>
      </c>
      <c r="D120" t="s">
        <v>673</v>
      </c>
      <c r="E120" t="s">
        <v>276</v>
      </c>
    </row>
    <row r="121" spans="1:5">
      <c r="A121" t="s">
        <v>786</v>
      </c>
      <c r="B121" t="s">
        <v>73</v>
      </c>
      <c r="C121" t="s">
        <v>679</v>
      </c>
      <c r="D121" t="s">
        <v>674</v>
      </c>
      <c r="E121" t="s">
        <v>824</v>
      </c>
    </row>
    <row r="122" spans="1:5">
      <c r="A122" t="s">
        <v>787</v>
      </c>
      <c r="B122" t="s">
        <v>552</v>
      </c>
      <c r="C122" t="s">
        <v>660</v>
      </c>
      <c r="D122" t="s">
        <v>675</v>
      </c>
      <c r="E122" t="s">
        <v>825</v>
      </c>
    </row>
    <row r="123" spans="1:5">
      <c r="A123" t="s">
        <v>788</v>
      </c>
      <c r="B123" t="s">
        <v>55</v>
      </c>
      <c r="C123" t="s">
        <v>831</v>
      </c>
      <c r="D123" t="s">
        <v>676</v>
      </c>
      <c r="E123" t="s">
        <v>628</v>
      </c>
    </row>
    <row r="124" spans="1:5">
      <c r="A124" t="s">
        <v>789</v>
      </c>
      <c r="B124" t="s">
        <v>62</v>
      </c>
      <c r="C124" t="s">
        <v>653</v>
      </c>
      <c r="D124" t="s">
        <v>677</v>
      </c>
      <c r="E124" t="s">
        <v>826</v>
      </c>
    </row>
    <row r="125" spans="1:5">
      <c r="A125" t="s">
        <v>790</v>
      </c>
      <c r="B125" t="s">
        <v>565</v>
      </c>
      <c r="C125" t="s">
        <v>658</v>
      </c>
      <c r="D125" t="s">
        <v>678</v>
      </c>
      <c r="E125" t="s">
        <v>107</v>
      </c>
    </row>
    <row r="126" spans="1:5">
      <c r="A126" t="s">
        <v>791</v>
      </c>
      <c r="B126" t="s">
        <v>181</v>
      </c>
      <c r="C126" t="s">
        <v>660</v>
      </c>
      <c r="D126" t="s">
        <v>679</v>
      </c>
      <c r="E126" t="s">
        <v>73</v>
      </c>
    </row>
    <row r="127" spans="1:5">
      <c r="A127" t="s">
        <v>792</v>
      </c>
      <c r="B127" t="s">
        <v>181</v>
      </c>
      <c r="C127" t="s">
        <v>660</v>
      </c>
      <c r="D127" t="s">
        <v>680</v>
      </c>
      <c r="E127" t="s">
        <v>827</v>
      </c>
    </row>
    <row r="128" spans="1:5">
      <c r="A128" t="s">
        <v>793</v>
      </c>
      <c r="B128" t="s">
        <v>181</v>
      </c>
      <c r="C128" t="s">
        <v>660</v>
      </c>
      <c r="D128" t="s">
        <v>828</v>
      </c>
      <c r="E128" t="s">
        <v>829</v>
      </c>
    </row>
    <row r="129" spans="1:5">
      <c r="A129" t="s">
        <v>794</v>
      </c>
      <c r="B129" t="s">
        <v>582</v>
      </c>
      <c r="C129" t="s">
        <v>666</v>
      </c>
      <c r="D129" t="s">
        <v>830</v>
      </c>
      <c r="E129" t="s">
        <v>636</v>
      </c>
    </row>
    <row r="130" spans="1:5">
      <c r="A130" t="s">
        <v>795</v>
      </c>
      <c r="B130" t="s">
        <v>55</v>
      </c>
      <c r="C130" t="s">
        <v>831</v>
      </c>
      <c r="D130" t="s">
        <v>831</v>
      </c>
      <c r="E130" t="s">
        <v>55</v>
      </c>
    </row>
    <row r="131" spans="1:5">
      <c r="A131" t="s">
        <v>796</v>
      </c>
      <c r="B131" t="s">
        <v>234</v>
      </c>
      <c r="C131" t="s">
        <v>666</v>
      </c>
      <c r="D131" t="s">
        <v>832</v>
      </c>
      <c r="E131" t="s">
        <v>108</v>
      </c>
    </row>
    <row r="132" spans="1:5">
      <c r="A132" t="s">
        <v>797</v>
      </c>
      <c r="B132" t="s">
        <v>55</v>
      </c>
      <c r="C132" t="s">
        <v>831</v>
      </c>
      <c r="D132" t="s">
        <v>833</v>
      </c>
      <c r="E132" t="s">
        <v>209</v>
      </c>
    </row>
    <row r="133" spans="1:5">
      <c r="A133" t="s">
        <v>798</v>
      </c>
      <c r="B133" t="s">
        <v>597</v>
      </c>
      <c r="C133" t="s">
        <v>660</v>
      </c>
    </row>
    <row r="134" spans="1:5">
      <c r="A134" t="s">
        <v>799</v>
      </c>
      <c r="B134" t="s">
        <v>57</v>
      </c>
      <c r="C134" t="s">
        <v>662</v>
      </c>
    </row>
    <row r="135" spans="1:5">
      <c r="A135" t="s">
        <v>800</v>
      </c>
      <c r="B135" t="s">
        <v>62</v>
      </c>
      <c r="C135" t="s">
        <v>653</v>
      </c>
    </row>
    <row r="136" spans="1:5">
      <c r="A136" t="s">
        <v>801</v>
      </c>
      <c r="B136" t="s">
        <v>234</v>
      </c>
      <c r="C136" t="s">
        <v>666</v>
      </c>
    </row>
    <row r="137" spans="1:5">
      <c r="A137" t="s">
        <v>802</v>
      </c>
      <c r="B137" t="s">
        <v>274</v>
      </c>
      <c r="C137" t="s">
        <v>669</v>
      </c>
    </row>
    <row r="138" spans="1:5">
      <c r="A138" t="s">
        <v>803</v>
      </c>
      <c r="B138" t="s">
        <v>597</v>
      </c>
      <c r="C138" t="s">
        <v>660</v>
      </c>
    </row>
    <row r="139" spans="1:5">
      <c r="A139" t="s">
        <v>804</v>
      </c>
      <c r="B139" t="s">
        <v>55</v>
      </c>
      <c r="C139" t="s">
        <v>831</v>
      </c>
    </row>
    <row r="140" spans="1:5">
      <c r="A140" t="s">
        <v>805</v>
      </c>
      <c r="B140" t="s">
        <v>582</v>
      </c>
      <c r="C140" t="s">
        <v>666</v>
      </c>
    </row>
    <row r="141" spans="1:5">
      <c r="A141" t="s">
        <v>806</v>
      </c>
      <c r="B141" t="s">
        <v>628</v>
      </c>
      <c r="C141" t="s">
        <v>676</v>
      </c>
    </row>
    <row r="142" spans="1:5">
      <c r="A142" t="s">
        <v>807</v>
      </c>
      <c r="B142" t="s">
        <v>597</v>
      </c>
      <c r="C142" t="s">
        <v>660</v>
      </c>
    </row>
    <row r="143" spans="1:5">
      <c r="A143" t="s">
        <v>808</v>
      </c>
      <c r="B143" t="s">
        <v>636</v>
      </c>
      <c r="C143" t="s">
        <v>830</v>
      </c>
    </row>
    <row r="144" spans="1:5">
      <c r="A144" t="s">
        <v>809</v>
      </c>
      <c r="B144" t="s">
        <v>597</v>
      </c>
      <c r="C144" t="s">
        <v>660</v>
      </c>
    </row>
    <row r="145" spans="1:3">
      <c r="A145" t="s">
        <v>810</v>
      </c>
      <c r="B145" t="s">
        <v>62</v>
      </c>
      <c r="C145" t="s">
        <v>653</v>
      </c>
    </row>
    <row r="146" spans="1:3">
      <c r="A146" t="s">
        <v>811</v>
      </c>
      <c r="B146" t="s">
        <v>234</v>
      </c>
      <c r="C146" t="s">
        <v>666</v>
      </c>
    </row>
    <row r="147" spans="1:3">
      <c r="A147" t="s">
        <v>812</v>
      </c>
      <c r="B147" t="s">
        <v>62</v>
      </c>
      <c r="C147" t="s">
        <v>653</v>
      </c>
    </row>
  </sheetData>
  <dataValidations count="1">
    <dataValidation type="list" allowBlank="1" showInputMessage="1" showErrorMessage="1" sqref="B2:B147">
      <formula1>Equipos_Nombre</formula1>
    </dataValidation>
  </dataValidations>
  <pageMargins left="0.7" right="0.7" top="0.75" bottom="0.75" header="0.3" footer="0.3"/>
  <ignoredErrors>
    <ignoredError sqref="B99:B147 B2:B13 B16:B21 B26:B41 B45:B48 B54:B77 B80:B83 B86:B87 B91:B96" listDataValidation="1"/>
  </ignoredErrors>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tabSelected="1" topLeftCell="A22" workbookViewId="0">
      <selection activeCell="B36" sqref="B36"/>
    </sheetView>
  </sheetViews>
  <sheetFormatPr baseColWidth="10" defaultRowHeight="15"/>
  <cols>
    <col min="1" max="1" width="12.140625" customWidth="1"/>
    <col min="2" max="2" width="28.5703125" bestFit="1" customWidth="1"/>
  </cols>
  <sheetData>
    <row r="1" spans="1:2">
      <c r="A1" s="194" t="s">
        <v>834</v>
      </c>
      <c r="B1" s="194" t="s">
        <v>835</v>
      </c>
    </row>
    <row r="2" spans="1:2">
      <c r="A2" t="s">
        <v>651</v>
      </c>
      <c r="B2" t="s">
        <v>813</v>
      </c>
    </row>
    <row r="3" spans="1:2">
      <c r="A3" t="s">
        <v>652</v>
      </c>
      <c r="B3" t="s">
        <v>814</v>
      </c>
    </row>
    <row r="4" spans="1:2">
      <c r="A4" t="s">
        <v>653</v>
      </c>
      <c r="B4" t="s">
        <v>62</v>
      </c>
    </row>
    <row r="5" spans="1:2">
      <c r="A5" t="s">
        <v>654</v>
      </c>
      <c r="B5" t="s">
        <v>219</v>
      </c>
    </row>
    <row r="6" spans="1:2">
      <c r="A6" t="s">
        <v>655</v>
      </c>
      <c r="B6" t="s">
        <v>228</v>
      </c>
    </row>
    <row r="7" spans="1:2">
      <c r="A7" t="s">
        <v>656</v>
      </c>
      <c r="B7" t="s">
        <v>815</v>
      </c>
    </row>
    <row r="8" spans="1:2">
      <c r="A8" t="s">
        <v>658</v>
      </c>
      <c r="B8" t="s">
        <v>659</v>
      </c>
    </row>
    <row r="9" spans="1:2">
      <c r="A9" t="s">
        <v>660</v>
      </c>
      <c r="B9" t="s">
        <v>657</v>
      </c>
    </row>
    <row r="10" spans="1:2">
      <c r="A10" t="s">
        <v>661</v>
      </c>
      <c r="B10" t="s">
        <v>816</v>
      </c>
    </row>
    <row r="11" spans="1:2">
      <c r="A11" t="s">
        <v>662</v>
      </c>
      <c r="B11" t="s">
        <v>57</v>
      </c>
    </row>
    <row r="12" spans="1:2">
      <c r="A12" t="s">
        <v>663</v>
      </c>
      <c r="B12" t="s">
        <v>817</v>
      </c>
    </row>
    <row r="13" spans="1:2">
      <c r="A13" t="s">
        <v>664</v>
      </c>
      <c r="B13" t="s">
        <v>818</v>
      </c>
    </row>
    <row r="14" spans="1:2">
      <c r="A14" t="s">
        <v>665</v>
      </c>
      <c r="B14" t="s">
        <v>819</v>
      </c>
    </row>
    <row r="15" spans="1:2">
      <c r="A15" t="s">
        <v>666</v>
      </c>
      <c r="B15" t="s">
        <v>840</v>
      </c>
    </row>
    <row r="16" spans="1:2">
      <c r="A16" t="s">
        <v>667</v>
      </c>
      <c r="B16" t="s">
        <v>223</v>
      </c>
    </row>
    <row r="17" spans="1:2">
      <c r="A17" t="s">
        <v>668</v>
      </c>
      <c r="B17" t="s">
        <v>820</v>
      </c>
    </row>
    <row r="18" spans="1:2">
      <c r="A18" t="s">
        <v>669</v>
      </c>
      <c r="B18" t="s">
        <v>274</v>
      </c>
    </row>
    <row r="19" spans="1:2">
      <c r="A19" t="s">
        <v>670</v>
      </c>
      <c r="B19" t="s">
        <v>821</v>
      </c>
    </row>
    <row r="20" spans="1:2">
      <c r="A20" t="s">
        <v>671</v>
      </c>
      <c r="B20" t="s">
        <v>822</v>
      </c>
    </row>
    <row r="21" spans="1:2">
      <c r="A21" t="s">
        <v>672</v>
      </c>
      <c r="B21" t="s">
        <v>823</v>
      </c>
    </row>
    <row r="22" spans="1:2">
      <c r="A22" t="s">
        <v>673</v>
      </c>
      <c r="B22" t="s">
        <v>276</v>
      </c>
    </row>
    <row r="23" spans="1:2">
      <c r="A23" t="s">
        <v>674</v>
      </c>
      <c r="B23" t="s">
        <v>824</v>
      </c>
    </row>
    <row r="24" spans="1:2">
      <c r="A24" t="s">
        <v>675</v>
      </c>
      <c r="B24" t="s">
        <v>825</v>
      </c>
    </row>
    <row r="25" spans="1:2">
      <c r="A25" t="s">
        <v>676</v>
      </c>
      <c r="B25" t="s">
        <v>628</v>
      </c>
    </row>
    <row r="26" spans="1:2">
      <c r="A26" t="s">
        <v>677</v>
      </c>
      <c r="B26" t="s">
        <v>826</v>
      </c>
    </row>
    <row r="27" spans="1:2">
      <c r="A27" t="s">
        <v>678</v>
      </c>
      <c r="B27" t="s">
        <v>107</v>
      </c>
    </row>
    <row r="28" spans="1:2">
      <c r="A28" t="s">
        <v>679</v>
      </c>
      <c r="B28" t="s">
        <v>73</v>
      </c>
    </row>
    <row r="29" spans="1:2">
      <c r="A29" t="s">
        <v>680</v>
      </c>
      <c r="B29" t="s">
        <v>827</v>
      </c>
    </row>
    <row r="30" spans="1:2">
      <c r="A30" t="s">
        <v>828</v>
      </c>
      <c r="B30" t="s">
        <v>829</v>
      </c>
    </row>
    <row r="31" spans="1:2">
      <c r="A31" t="s">
        <v>830</v>
      </c>
      <c r="B31" t="s">
        <v>636</v>
      </c>
    </row>
    <row r="32" spans="1:2">
      <c r="A32" t="s">
        <v>831</v>
      </c>
      <c r="B32" t="s">
        <v>55</v>
      </c>
    </row>
    <row r="33" spans="1:2">
      <c r="A33" t="s">
        <v>832</v>
      </c>
      <c r="B33" t="s">
        <v>108</v>
      </c>
    </row>
    <row r="34" spans="1:2">
      <c r="A34" t="s">
        <v>833</v>
      </c>
      <c r="B34" t="s">
        <v>209</v>
      </c>
    </row>
    <row r="35" spans="1:2">
      <c r="A35" t="s">
        <v>839</v>
      </c>
      <c r="B35" t="s">
        <v>524</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15</vt:i4>
      </vt:variant>
    </vt:vector>
  </HeadingPairs>
  <TitlesOfParts>
    <vt:vector size="22" baseType="lpstr">
      <vt:lpstr>Presupuestos</vt:lpstr>
      <vt:lpstr>Indicadores</vt:lpstr>
      <vt:lpstr>Informe</vt:lpstr>
      <vt:lpstr>Referencias</vt:lpstr>
      <vt:lpstr>Abreviaturas</vt:lpstr>
      <vt:lpstr>Referencias 1</vt:lpstr>
      <vt:lpstr>Equipos</vt:lpstr>
      <vt:lpstr>Indicadores!Área_de_impresión</vt:lpstr>
      <vt:lpstr>Informe!Área_de_impresión</vt:lpstr>
      <vt:lpstr>Indicadores!Comercial</vt:lpstr>
      <vt:lpstr>Comercial</vt:lpstr>
      <vt:lpstr>Equipos_Nombre</vt:lpstr>
      <vt:lpstr>Indicadores!Estado</vt:lpstr>
      <vt:lpstr>Estado</vt:lpstr>
      <vt:lpstr>Indicadores!Marcador</vt:lpstr>
      <vt:lpstr>Marcador</vt:lpstr>
      <vt:lpstr>Indicadores!Nombre</vt:lpstr>
      <vt:lpstr>Nombre</vt:lpstr>
      <vt:lpstr>Indicadores!Prioridad</vt:lpstr>
      <vt:lpstr>Prioridad</vt:lpstr>
      <vt:lpstr>Indicadores!Proyecto</vt:lpstr>
      <vt:lpstr>Proyecto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Planeador</dc:title>
  <dc:creator>Julian Salamanca E.</dc:creator>
  <cp:keywords>Planeador</cp:keywords>
  <dc:description>Documento para registro y planeación de proyectos.</dc:description>
  <cp:lastModifiedBy>dismet</cp:lastModifiedBy>
  <dcterms:created xsi:type="dcterms:W3CDTF">2012-02-28T21:11:02Z</dcterms:created>
  <dcterms:modified xsi:type="dcterms:W3CDTF">2012-07-11T19:57:55Z</dcterms:modified>
</cp:coreProperties>
</file>