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673"/>
  </bookViews>
  <sheets>
    <sheet name="Plant1" sheetId="11" r:id="rId1"/>
    <sheet name="Plant 2" sheetId="4" r:id="rId2"/>
    <sheet name="Plant 3" sheetId="5" r:id="rId3"/>
    <sheet name="Plant 4" sheetId="6" r:id="rId4"/>
    <sheet name="Plant 5" sheetId="2" r:id="rId5"/>
    <sheet name="Plant 6" sheetId="7" r:id="rId6"/>
    <sheet name="Plant 7" sheetId="8" r:id="rId7"/>
    <sheet name="Plant 8" sheetId="3" r:id="rId8"/>
    <sheet name="Plant 9" sheetId="9" r:id="rId9"/>
    <sheet name="Plant 10" sheetId="10" r:id="rId10"/>
  </sheets>
  <definedNames>
    <definedName name="solver_adj" localSheetId="9" hidden="1">'Plant 10'!$D$2</definedName>
    <definedName name="solver_adj" localSheetId="1" hidden="1">'Plant 2'!$D$2</definedName>
    <definedName name="solver_adj" localSheetId="2" hidden="1">'Plant 3'!$D$2</definedName>
    <definedName name="solver_adj" localSheetId="3" hidden="1">'Plant 4'!$D$2</definedName>
    <definedName name="solver_adj" localSheetId="4" hidden="1">'Plant 5'!$D$2</definedName>
    <definedName name="solver_adj" localSheetId="5" hidden="1">'Plant 6'!$D$2</definedName>
    <definedName name="solver_adj" localSheetId="6" hidden="1">'Plant 7'!$D$2</definedName>
    <definedName name="solver_adj" localSheetId="7" hidden="1">'Plant 8'!$D$2</definedName>
    <definedName name="solver_adj" localSheetId="8" hidden="1">'Plant 9'!$D$2</definedName>
    <definedName name="solver_adj" localSheetId="0" hidden="1">Plant1!$D$2</definedName>
    <definedName name="solver_cvg" localSheetId="9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0" hidden="1">0.0001</definedName>
    <definedName name="solver_drv" localSheetId="9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0" hidden="1">2</definedName>
    <definedName name="solver_eng" localSheetId="9" hidden="1">1</definedName>
    <definedName name="solver_eng" localSheetId="1" hidden="1">1</definedName>
    <definedName name="solver_eng" localSheetId="2" hidden="1">2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0" hidden="1">1</definedName>
    <definedName name="solver_est" localSheetId="9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0" hidden="1">1</definedName>
    <definedName name="solver_itr" localSheetId="9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0" hidden="1">2147483647</definedName>
    <definedName name="solver_lhs1" localSheetId="9" hidden="1">'Plant 10'!$D$2</definedName>
    <definedName name="solver_lhs1" localSheetId="1" hidden="1">'Plant 2'!$E$7</definedName>
    <definedName name="solver_lhs1" localSheetId="2" hidden="1">'Plant 3'!$D$2</definedName>
    <definedName name="solver_lhs1" localSheetId="3" hidden="1">'Plant 4'!$D$2</definedName>
    <definedName name="solver_lhs1" localSheetId="4" hidden="1">'Plant 5'!$D$2</definedName>
    <definedName name="solver_lhs1" localSheetId="5" hidden="1">'Plant 6'!$D$2</definedName>
    <definedName name="solver_lhs1" localSheetId="6" hidden="1">'Plant 7'!$D$2</definedName>
    <definedName name="solver_lhs1" localSheetId="7" hidden="1">'Plant 8'!$D$2</definedName>
    <definedName name="solver_lhs1" localSheetId="8" hidden="1">'Plant 9'!$D$2</definedName>
    <definedName name="solver_lhs1" localSheetId="0" hidden="1">Plant1!$E$7</definedName>
    <definedName name="solver_mip" localSheetId="9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0" hidden="1">2147483647</definedName>
    <definedName name="solver_mni" localSheetId="9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0" hidden="1">30</definedName>
    <definedName name="solver_mrt" localSheetId="9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0" hidden="1">0.075</definedName>
    <definedName name="solver_msl" localSheetId="9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0" hidden="1">2</definedName>
    <definedName name="solver_neg" localSheetId="9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0" hidden="1">1</definedName>
    <definedName name="solver_nod" localSheetId="9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0" hidden="1">2147483647</definedName>
    <definedName name="solver_num" localSheetId="9" hidden="1">1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um" localSheetId="4" hidden="1">1</definedName>
    <definedName name="solver_num" localSheetId="5" hidden="1">1</definedName>
    <definedName name="solver_num" localSheetId="6" hidden="1">1</definedName>
    <definedName name="solver_num" localSheetId="7" hidden="1">1</definedName>
    <definedName name="solver_num" localSheetId="8" hidden="1">1</definedName>
    <definedName name="solver_num" localSheetId="0" hidden="1">1</definedName>
    <definedName name="solver_nwt" localSheetId="9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0" hidden="1">1</definedName>
    <definedName name="solver_opt" localSheetId="9" hidden="1">'Plant 10'!$B$59</definedName>
    <definedName name="solver_opt" localSheetId="1" hidden="1">'Plant 2'!$B$59</definedName>
    <definedName name="solver_opt" localSheetId="2" hidden="1">'Plant 3'!$B$59</definedName>
    <definedName name="solver_opt" localSheetId="3" hidden="1">'Plant 4'!$B$59</definedName>
    <definedName name="solver_opt" localSheetId="4" hidden="1">'Plant 5'!$B$59</definedName>
    <definedName name="solver_opt" localSheetId="5" hidden="1">'Plant 6'!$B$59</definedName>
    <definedName name="solver_opt" localSheetId="6" hidden="1">'Plant 7'!$B$59</definedName>
    <definedName name="solver_opt" localSheetId="7" hidden="1">'Plant 8'!$B$59</definedName>
    <definedName name="solver_opt" localSheetId="8" hidden="1">'Plant 9'!$B$59</definedName>
    <definedName name="solver_opt" localSheetId="0" hidden="1">Plant1!$B$59</definedName>
    <definedName name="solver_pre" localSheetId="9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0" hidden="1">0.000001</definedName>
    <definedName name="solver_rbv" localSheetId="9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0" hidden="1">2</definedName>
    <definedName name="solver_rel1" localSheetId="9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0" hidden="1">1</definedName>
    <definedName name="solver_rhs1" localSheetId="9" hidden="1">'Plant 10'!$I$2</definedName>
    <definedName name="solver_rhs1" localSheetId="1" hidden="1">'Plant 2'!$D$7</definedName>
    <definedName name="solver_rhs1" localSheetId="2" hidden="1">'Plant 3'!$I$2</definedName>
    <definedName name="solver_rhs1" localSheetId="3" hidden="1">'Plant 4'!$I$2</definedName>
    <definedName name="solver_rhs1" localSheetId="4" hidden="1">'Plant 5'!$I$2</definedName>
    <definedName name="solver_rhs1" localSheetId="5" hidden="1">'Plant 6'!$I$2</definedName>
    <definedName name="solver_rhs1" localSheetId="6" hidden="1">'Plant 7'!$I$2</definedName>
    <definedName name="solver_rhs1" localSheetId="7" hidden="1">'Plant 8'!$I$2</definedName>
    <definedName name="solver_rhs1" localSheetId="8" hidden="1">'Plant 9'!$I$2</definedName>
    <definedName name="solver_rhs1" localSheetId="0" hidden="1">Plant1!$D$7</definedName>
    <definedName name="solver_rlx" localSheetId="9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0" hidden="1">2</definedName>
    <definedName name="solver_rsd" localSheetId="9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0" hidden="1">0</definedName>
    <definedName name="solver_scl" localSheetId="9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0" hidden="1">2</definedName>
    <definedName name="solver_sho" localSheetId="9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0" hidden="1">2</definedName>
    <definedName name="solver_ssz" localSheetId="9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0" hidden="1">100</definedName>
    <definedName name="solver_tim" localSheetId="9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0" hidden="1">2147483647</definedName>
    <definedName name="solver_tol" localSheetId="9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0" hidden="1">0.01</definedName>
    <definedName name="solver_typ" localSheetId="9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0" hidden="1">1</definedName>
    <definedName name="solver_val" localSheetId="9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0" hidden="1">0</definedName>
    <definedName name="solver_ver" localSheetId="9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I73" i="11" l="1"/>
  <c r="I73" i="4"/>
  <c r="I73" i="5"/>
  <c r="I73" i="6"/>
  <c r="I73" i="2"/>
  <c r="I73" i="7"/>
  <c r="I73" i="8"/>
  <c r="I73" i="9"/>
  <c r="B51" i="10"/>
  <c r="B63" i="10"/>
  <c r="B64" i="10"/>
  <c r="B65" i="10"/>
  <c r="B66" i="10"/>
  <c r="B67" i="10"/>
  <c r="B68" i="10"/>
  <c r="B69" i="10"/>
  <c r="B70" i="10"/>
  <c r="B71" i="10"/>
  <c r="B72" i="10"/>
  <c r="B72" i="11"/>
  <c r="B71" i="11"/>
  <c r="B70" i="11"/>
  <c r="B69" i="11"/>
  <c r="B68" i="11"/>
  <c r="B67" i="11"/>
  <c r="B66" i="11"/>
  <c r="B65" i="11"/>
  <c r="B64" i="11"/>
  <c r="B63" i="11"/>
  <c r="B72" i="4"/>
  <c r="B71" i="4"/>
  <c r="B70" i="4"/>
  <c r="B69" i="4"/>
  <c r="B68" i="4"/>
  <c r="B67" i="4"/>
  <c r="B66" i="4"/>
  <c r="B65" i="4"/>
  <c r="B64" i="4"/>
  <c r="B63" i="4"/>
  <c r="B72" i="5"/>
  <c r="B71" i="5"/>
  <c r="B70" i="5"/>
  <c r="B69" i="5"/>
  <c r="B68" i="5"/>
  <c r="B67" i="5"/>
  <c r="B66" i="5"/>
  <c r="B65" i="5"/>
  <c r="B64" i="5"/>
  <c r="B63" i="5"/>
  <c r="B72" i="6"/>
  <c r="B71" i="6"/>
  <c r="B70" i="6"/>
  <c r="B69" i="6"/>
  <c r="B68" i="6"/>
  <c r="B67" i="6"/>
  <c r="B66" i="6"/>
  <c r="B65" i="6"/>
  <c r="B64" i="6"/>
  <c r="B63" i="6"/>
  <c r="B72" i="2"/>
  <c r="B71" i="2"/>
  <c r="B70" i="2"/>
  <c r="B69" i="2"/>
  <c r="B68" i="2"/>
  <c r="B67" i="2"/>
  <c r="B66" i="2"/>
  <c r="B65" i="2"/>
  <c r="B64" i="2"/>
  <c r="B63" i="2"/>
  <c r="B72" i="7"/>
  <c r="B71" i="7"/>
  <c r="B70" i="7"/>
  <c r="B69" i="7"/>
  <c r="B68" i="7"/>
  <c r="B67" i="7"/>
  <c r="B66" i="7"/>
  <c r="B65" i="7"/>
  <c r="B64" i="7"/>
  <c r="B63" i="7"/>
  <c r="B72" i="8"/>
  <c r="B71" i="8"/>
  <c r="B70" i="8"/>
  <c r="B69" i="8"/>
  <c r="B68" i="8"/>
  <c r="B67" i="8"/>
  <c r="B66" i="8"/>
  <c r="B65" i="8"/>
  <c r="B64" i="8"/>
  <c r="B63" i="8"/>
  <c r="B72" i="3"/>
  <c r="B71" i="3"/>
  <c r="B70" i="3"/>
  <c r="B69" i="3"/>
  <c r="B68" i="3"/>
  <c r="B67" i="3"/>
  <c r="B66" i="3"/>
  <c r="B65" i="3"/>
  <c r="B64" i="3"/>
  <c r="B63" i="3"/>
  <c r="B72" i="9"/>
  <c r="B71" i="9"/>
  <c r="B70" i="9"/>
  <c r="B69" i="9"/>
  <c r="B68" i="9"/>
  <c r="B67" i="9"/>
  <c r="B66" i="9"/>
  <c r="B65" i="9"/>
  <c r="B64" i="9"/>
  <c r="B63" i="9"/>
  <c r="B77" i="10" l="1"/>
  <c r="B76" i="10"/>
  <c r="B77" i="9"/>
  <c r="B76" i="9"/>
  <c r="B77" i="3"/>
  <c r="B76" i="3"/>
  <c r="B77" i="8"/>
  <c r="B76" i="8"/>
  <c r="B77" i="7"/>
  <c r="B76" i="7"/>
  <c r="B77" i="2"/>
  <c r="B76" i="2"/>
  <c r="B77" i="6"/>
  <c r="B76" i="6"/>
  <c r="B77" i="5"/>
  <c r="B76" i="5"/>
  <c r="B77" i="4"/>
  <c r="B76" i="4"/>
  <c r="B77" i="11"/>
  <c r="B76" i="11"/>
  <c r="B11" i="11"/>
  <c r="B78" i="11" s="1"/>
  <c r="B6" i="11"/>
  <c r="B80" i="11" s="1"/>
  <c r="B33" i="9"/>
  <c r="B51" i="9" s="1"/>
  <c r="B32" i="11"/>
  <c r="B33" i="11" s="1"/>
  <c r="B51" i="11" s="1"/>
  <c r="B49" i="11"/>
  <c r="B52" i="10"/>
  <c r="B50" i="10"/>
  <c r="B49" i="10"/>
  <c r="B40" i="10"/>
  <c r="B46" i="10" s="1"/>
  <c r="D35" i="10"/>
  <c r="B34" i="10"/>
  <c r="B32" i="10"/>
  <c r="B33" i="10" s="1"/>
  <c r="E27" i="10"/>
  <c r="B25" i="10"/>
  <c r="B26" i="10" s="1"/>
  <c r="B24" i="10"/>
  <c r="G7" i="10"/>
  <c r="F7" i="10"/>
  <c r="E7" i="10"/>
  <c r="B6" i="10"/>
  <c r="B80" i="10" s="1"/>
  <c r="E2" i="10"/>
  <c r="B11" i="10" s="1"/>
  <c r="B78" i="10" s="1"/>
  <c r="B52" i="9"/>
  <c r="B50" i="9"/>
  <c r="B49" i="9"/>
  <c r="B40" i="9"/>
  <c r="B46" i="9" s="1"/>
  <c r="D35" i="9"/>
  <c r="B34" i="9"/>
  <c r="B32" i="9"/>
  <c r="E27" i="9"/>
  <c r="B24" i="9"/>
  <c r="B25" i="9" s="1"/>
  <c r="B26" i="9" s="1"/>
  <c r="B27" i="9" s="1"/>
  <c r="G7" i="9"/>
  <c r="F7" i="9"/>
  <c r="E7" i="9"/>
  <c r="B6" i="9"/>
  <c r="B80" i="9" s="1"/>
  <c r="E2" i="9"/>
  <c r="B11" i="9" s="1"/>
  <c r="B78" i="9" s="1"/>
  <c r="B52" i="8"/>
  <c r="B50" i="8"/>
  <c r="B49" i="8"/>
  <c r="B40" i="8"/>
  <c r="B46" i="8" s="1"/>
  <c r="D35" i="8"/>
  <c r="B34" i="8"/>
  <c r="B32" i="8"/>
  <c r="B33" i="8" s="1"/>
  <c r="B51" i="8" s="1"/>
  <c r="E27" i="8"/>
  <c r="B26" i="8"/>
  <c r="B27" i="8" s="1"/>
  <c r="B30" i="8" s="1"/>
  <c r="B25" i="8"/>
  <c r="B24" i="8"/>
  <c r="G7" i="8"/>
  <c r="F7" i="8"/>
  <c r="E7" i="8"/>
  <c r="B6" i="8"/>
  <c r="C6" i="8" s="1"/>
  <c r="E2" i="8"/>
  <c r="B11" i="8" s="1"/>
  <c r="B78" i="8" s="1"/>
  <c r="B52" i="7"/>
  <c r="B50" i="7"/>
  <c r="B49" i="7"/>
  <c r="B40" i="7"/>
  <c r="B46" i="7" s="1"/>
  <c r="D35" i="7"/>
  <c r="B34" i="7"/>
  <c r="B32" i="7"/>
  <c r="B33" i="7" s="1"/>
  <c r="B51" i="7" s="1"/>
  <c r="E27" i="7"/>
  <c r="B25" i="7"/>
  <c r="B26" i="7" s="1"/>
  <c r="B24" i="7"/>
  <c r="G7" i="7"/>
  <c r="F7" i="7"/>
  <c r="E7" i="7"/>
  <c r="B6" i="7"/>
  <c r="C6" i="7" s="1"/>
  <c r="E2" i="7"/>
  <c r="B11" i="7" s="1"/>
  <c r="B78" i="7" s="1"/>
  <c r="B32" i="4"/>
  <c r="B33" i="4" s="1"/>
  <c r="B24" i="11"/>
  <c r="B25" i="11" s="1"/>
  <c r="B26" i="11" s="1"/>
  <c r="B27" i="11" s="1"/>
  <c r="G7" i="11"/>
  <c r="F7" i="11"/>
  <c r="E7" i="11"/>
  <c r="E2" i="11"/>
  <c r="B52" i="11"/>
  <c r="B50" i="11"/>
  <c r="B40" i="11"/>
  <c r="B46" i="11" s="1"/>
  <c r="D35" i="11"/>
  <c r="B34" i="11"/>
  <c r="E27" i="11"/>
  <c r="B52" i="6"/>
  <c r="B50" i="6"/>
  <c r="B49" i="6"/>
  <c r="B40" i="6"/>
  <c r="B46" i="6" s="1"/>
  <c r="D35" i="6"/>
  <c r="B34" i="6"/>
  <c r="B32" i="6"/>
  <c r="B33" i="6" s="1"/>
  <c r="B51" i="6" s="1"/>
  <c r="E27" i="6"/>
  <c r="B24" i="6" s="1"/>
  <c r="G7" i="6"/>
  <c r="F7" i="6"/>
  <c r="E7" i="6"/>
  <c r="B6" i="6"/>
  <c r="C6" i="6" s="1"/>
  <c r="E2" i="6"/>
  <c r="B11" i="6" s="1"/>
  <c r="B78" i="6" s="1"/>
  <c r="B52" i="5"/>
  <c r="B50" i="5"/>
  <c r="B49" i="5"/>
  <c r="B40" i="5"/>
  <c r="B46" i="5" s="1"/>
  <c r="D35" i="5"/>
  <c r="B34" i="5"/>
  <c r="B32" i="5"/>
  <c r="B33" i="5" s="1"/>
  <c r="B51" i="5" s="1"/>
  <c r="E27" i="5"/>
  <c r="B24" i="5"/>
  <c r="B25" i="5" s="1"/>
  <c r="B26" i="5" s="1"/>
  <c r="B27" i="5" s="1"/>
  <c r="G7" i="5"/>
  <c r="F7" i="5"/>
  <c r="E7" i="5"/>
  <c r="B6" i="5"/>
  <c r="C6" i="5" s="1"/>
  <c r="E2" i="5"/>
  <c r="B11" i="5" s="1"/>
  <c r="B78" i="5" s="1"/>
  <c r="B52" i="4"/>
  <c r="B50" i="4"/>
  <c r="B49" i="4"/>
  <c r="B40" i="4"/>
  <c r="B46" i="4" s="1"/>
  <c r="D35" i="4"/>
  <c r="B34" i="4"/>
  <c r="E27" i="4"/>
  <c r="B24" i="4"/>
  <c r="B25" i="4" s="1"/>
  <c r="G7" i="4"/>
  <c r="F7" i="4"/>
  <c r="E7" i="4"/>
  <c r="B6" i="4"/>
  <c r="C6" i="4" s="1"/>
  <c r="E2" i="4"/>
  <c r="B11" i="4" s="1"/>
  <c r="B78" i="4" s="1"/>
  <c r="F7" i="2"/>
  <c r="C6" i="11" l="1"/>
  <c r="B37" i="4"/>
  <c r="B51" i="4"/>
  <c r="B80" i="4"/>
  <c r="B80" i="5"/>
  <c r="B80" i="6"/>
  <c r="B80" i="7"/>
  <c r="B80" i="8"/>
  <c r="C6" i="9"/>
  <c r="C6" i="10"/>
  <c r="B37" i="9"/>
  <c r="B37" i="8"/>
  <c r="D51" i="6"/>
  <c r="B37" i="5"/>
  <c r="D51" i="9"/>
  <c r="B54" i="9" s="1"/>
  <c r="B37" i="10"/>
  <c r="D51" i="10"/>
  <c r="B54" i="10" s="1"/>
  <c r="B27" i="10"/>
  <c r="B30" i="10"/>
  <c r="B30" i="9"/>
  <c r="D51" i="8"/>
  <c r="B54" i="8" s="1"/>
  <c r="B37" i="7"/>
  <c r="D51" i="7"/>
  <c r="B54" i="7" s="1"/>
  <c r="B27" i="7"/>
  <c r="B30" i="7" s="1"/>
  <c r="B37" i="6"/>
  <c r="B54" i="6"/>
  <c r="B37" i="11"/>
  <c r="D51" i="11"/>
  <c r="B54" i="11" s="1"/>
  <c r="B30" i="11"/>
  <c r="B25" i="6"/>
  <c r="B26" i="6" s="1"/>
  <c r="B27" i="6" s="1"/>
  <c r="B30" i="6"/>
  <c r="B30" i="5"/>
  <c r="D51" i="5"/>
  <c r="B54" i="5" s="1"/>
  <c r="B26" i="4"/>
  <c r="B27" i="4" s="1"/>
  <c r="B30" i="4"/>
  <c r="D51" i="4"/>
  <c r="B54" i="4" l="1"/>
  <c r="B56" i="4" s="1"/>
  <c r="B56" i="8"/>
  <c r="B56" i="10"/>
  <c r="B56" i="9"/>
  <c r="B56" i="7"/>
  <c r="B56" i="6"/>
  <c r="B56" i="5"/>
  <c r="B56" i="11"/>
  <c r="B79" i="11" l="1"/>
  <c r="B57" i="11"/>
  <c r="B57" i="4"/>
  <c r="B81" i="4" s="1"/>
  <c r="B79" i="4"/>
  <c r="B57" i="5"/>
  <c r="B81" i="5" s="1"/>
  <c r="B79" i="5"/>
  <c r="B57" i="6"/>
  <c r="B81" i="6" s="1"/>
  <c r="B79" i="6"/>
  <c r="B57" i="7"/>
  <c r="B81" i="7" s="1"/>
  <c r="B79" i="7"/>
  <c r="B57" i="8"/>
  <c r="B79" i="8"/>
  <c r="B57" i="9"/>
  <c r="B81" i="9" s="1"/>
  <c r="B79" i="9"/>
  <c r="B57" i="10"/>
  <c r="B81" i="10" s="1"/>
  <c r="B79" i="10"/>
  <c r="B59" i="4"/>
  <c r="D57" i="4"/>
  <c r="B81" i="11" l="1"/>
  <c r="B59" i="11"/>
  <c r="A63" i="11" s="1"/>
  <c r="D59" i="4"/>
  <c r="A63" i="4"/>
  <c r="D57" i="5"/>
  <c r="B59" i="5"/>
  <c r="D57" i="6"/>
  <c r="B59" i="6"/>
  <c r="D57" i="7"/>
  <c r="B59" i="7"/>
  <c r="D59" i="7" s="1"/>
  <c r="A63" i="7"/>
  <c r="B59" i="8"/>
  <c r="B81" i="8"/>
  <c r="D57" i="8"/>
  <c r="B59" i="9"/>
  <c r="D57" i="9"/>
  <c r="D57" i="10"/>
  <c r="B59" i="10"/>
  <c r="A63" i="10" s="1"/>
  <c r="D59" i="10"/>
  <c r="C63" i="11" l="1"/>
  <c r="A64" i="11"/>
  <c r="A64" i="4"/>
  <c r="C63" i="4"/>
  <c r="A63" i="5"/>
  <c r="D59" i="5"/>
  <c r="A63" i="6"/>
  <c r="D59" i="6"/>
  <c r="A64" i="7"/>
  <c r="C63" i="7"/>
  <c r="A63" i="8"/>
  <c r="D59" i="8"/>
  <c r="A63" i="9"/>
  <c r="D59" i="9"/>
  <c r="C63" i="10"/>
  <c r="A64" i="10"/>
  <c r="C64" i="11" l="1"/>
  <c r="A65" i="11"/>
  <c r="A65" i="4"/>
  <c r="C64" i="4"/>
  <c r="A64" i="5"/>
  <c r="C63" i="5"/>
  <c r="A64" i="6"/>
  <c r="C63" i="6"/>
  <c r="A65" i="7"/>
  <c r="C64" i="7"/>
  <c r="A64" i="8"/>
  <c r="C63" i="8"/>
  <c r="A64" i="9"/>
  <c r="C63" i="9"/>
  <c r="C64" i="10"/>
  <c r="A65" i="10"/>
  <c r="C65" i="11" l="1"/>
  <c r="A66" i="11"/>
  <c r="A66" i="4"/>
  <c r="C65" i="4"/>
  <c r="A65" i="5"/>
  <c r="C64" i="5"/>
  <c r="C64" i="6"/>
  <c r="A65" i="6"/>
  <c r="A66" i="7"/>
  <c r="C65" i="7"/>
  <c r="A65" i="8"/>
  <c r="C64" i="8"/>
  <c r="C64" i="9"/>
  <c r="A65" i="9"/>
  <c r="A66" i="10"/>
  <c r="C65" i="10"/>
  <c r="A67" i="11" l="1"/>
  <c r="C66" i="11"/>
  <c r="A67" i="4"/>
  <c r="C66" i="4"/>
  <c r="C65" i="5"/>
  <c r="A66" i="5"/>
  <c r="A66" i="6"/>
  <c r="C65" i="6"/>
  <c r="A67" i="7"/>
  <c r="C66" i="7"/>
  <c r="A66" i="8"/>
  <c r="C65" i="8"/>
  <c r="C65" i="9"/>
  <c r="A66" i="9"/>
  <c r="C66" i="10"/>
  <c r="A67" i="10"/>
  <c r="A68" i="11" l="1"/>
  <c r="C67" i="11"/>
  <c r="A68" i="4"/>
  <c r="C67" i="4"/>
  <c r="A67" i="5"/>
  <c r="C66" i="5"/>
  <c r="A67" i="6"/>
  <c r="C66" i="6"/>
  <c r="A68" i="7"/>
  <c r="C67" i="7"/>
  <c r="C66" i="8"/>
  <c r="A67" i="8"/>
  <c r="A67" i="9"/>
  <c r="C66" i="9"/>
  <c r="C67" i="10"/>
  <c r="A68" i="10"/>
  <c r="B52" i="3"/>
  <c r="B50" i="3"/>
  <c r="B49" i="3"/>
  <c r="B40" i="3"/>
  <c r="B46" i="3" s="1"/>
  <c r="D35" i="3"/>
  <c r="B34" i="3"/>
  <c r="B32" i="3"/>
  <c r="E27" i="3"/>
  <c r="B24" i="3"/>
  <c r="B25" i="3" s="1"/>
  <c r="G7" i="3"/>
  <c r="F7" i="3"/>
  <c r="E7" i="3"/>
  <c r="B6" i="3"/>
  <c r="E2" i="3"/>
  <c r="B11" i="3" s="1"/>
  <c r="B78" i="3" s="1"/>
  <c r="B32" i="2"/>
  <c r="B52" i="2"/>
  <c r="B50" i="2"/>
  <c r="B49" i="2"/>
  <c r="B40" i="2"/>
  <c r="B46" i="2" s="1"/>
  <c r="D35" i="2"/>
  <c r="B34" i="2"/>
  <c r="E27" i="2"/>
  <c r="B24" i="2" s="1"/>
  <c r="G7" i="2"/>
  <c r="E7" i="2"/>
  <c r="B6" i="2"/>
  <c r="E2" i="2"/>
  <c r="B11" i="2" s="1"/>
  <c r="B78" i="2" s="1"/>
  <c r="A69" i="11" l="1"/>
  <c r="C68" i="11"/>
  <c r="C68" i="4"/>
  <c r="A69" i="4"/>
  <c r="C67" i="5"/>
  <c r="A68" i="5"/>
  <c r="C67" i="6"/>
  <c r="A68" i="6"/>
  <c r="C6" i="2"/>
  <c r="B80" i="2"/>
  <c r="C68" i="7"/>
  <c r="A69" i="7"/>
  <c r="A68" i="8"/>
  <c r="C67" i="8"/>
  <c r="C6" i="3"/>
  <c r="B80" i="3"/>
  <c r="A68" i="9"/>
  <c r="C67" i="9"/>
  <c r="C68" i="10"/>
  <c r="A69" i="10"/>
  <c r="B33" i="3"/>
  <c r="B33" i="2"/>
  <c r="B26" i="3"/>
  <c r="B27" i="3" s="1"/>
  <c r="B30" i="3"/>
  <c r="B25" i="2"/>
  <c r="B26" i="2" s="1"/>
  <c r="B27" i="2" s="1"/>
  <c r="B30" i="2"/>
  <c r="A70" i="11" l="1"/>
  <c r="C69" i="11"/>
  <c r="A70" i="4"/>
  <c r="C69" i="4"/>
  <c r="A69" i="5"/>
  <c r="C68" i="5"/>
  <c r="C68" i="6"/>
  <c r="A69" i="6"/>
  <c r="B37" i="2"/>
  <c r="B51" i="2"/>
  <c r="A70" i="7"/>
  <c r="C69" i="7"/>
  <c r="A69" i="8"/>
  <c r="C68" i="8"/>
  <c r="B37" i="3"/>
  <c r="B51" i="3"/>
  <c r="A69" i="9"/>
  <c r="C68" i="9"/>
  <c r="A70" i="10"/>
  <c r="C69" i="10"/>
  <c r="D51" i="3"/>
  <c r="B54" i="3" s="1"/>
  <c r="B56" i="3" s="1"/>
  <c r="D51" i="2"/>
  <c r="A71" i="11" l="1"/>
  <c r="C70" i="11"/>
  <c r="A71" i="4"/>
  <c r="C70" i="4"/>
  <c r="C69" i="5"/>
  <c r="A70" i="5"/>
  <c r="A70" i="6"/>
  <c r="C69" i="6"/>
  <c r="B54" i="2"/>
  <c r="B56" i="2" s="1"/>
  <c r="B57" i="2" s="1"/>
  <c r="B81" i="2" s="1"/>
  <c r="A71" i="7"/>
  <c r="C70" i="7"/>
  <c r="A70" i="8"/>
  <c r="C69" i="8"/>
  <c r="B57" i="3"/>
  <c r="B81" i="3" s="1"/>
  <c r="B79" i="3"/>
  <c r="A70" i="9"/>
  <c r="C69" i="9"/>
  <c r="C70" i="10"/>
  <c r="A71" i="10"/>
  <c r="C71" i="11" l="1"/>
  <c r="A72" i="11"/>
  <c r="C72" i="11" s="1"/>
  <c r="A72" i="4"/>
  <c r="C72" i="4" s="1"/>
  <c r="C73" i="4" s="1"/>
  <c r="C71" i="4"/>
  <c r="A71" i="5"/>
  <c r="C70" i="5"/>
  <c r="A71" i="6"/>
  <c r="C70" i="6"/>
  <c r="B79" i="2"/>
  <c r="D57" i="2"/>
  <c r="B59" i="2"/>
  <c r="D59" i="2" s="1"/>
  <c r="A72" i="7"/>
  <c r="C72" i="7" s="1"/>
  <c r="C71" i="7"/>
  <c r="A71" i="8"/>
  <c r="C70" i="8"/>
  <c r="B59" i="3"/>
  <c r="D57" i="3"/>
  <c r="A71" i="9"/>
  <c r="C70" i="9"/>
  <c r="C71" i="10"/>
  <c r="A72" i="10"/>
  <c r="C72" i="10" s="1"/>
  <c r="C73" i="11" l="1"/>
  <c r="A72" i="5"/>
  <c r="C72" i="5" s="1"/>
  <c r="C71" i="5"/>
  <c r="A72" i="6"/>
  <c r="C72" i="6" s="1"/>
  <c r="C71" i="6"/>
  <c r="A63" i="2"/>
  <c r="A64" i="2"/>
  <c r="C63" i="2"/>
  <c r="C73" i="7"/>
  <c r="A72" i="8"/>
  <c r="C72" i="8" s="1"/>
  <c r="C71" i="8"/>
  <c r="D59" i="3"/>
  <c r="A63" i="3"/>
  <c r="A72" i="9"/>
  <c r="C72" i="9" s="1"/>
  <c r="C71" i="9"/>
  <c r="C73" i="10"/>
  <c r="I73" i="10" s="1"/>
  <c r="C73" i="5" l="1"/>
  <c r="C73" i="6"/>
  <c r="C64" i="2"/>
  <c r="A65" i="2"/>
  <c r="C73" i="8"/>
  <c r="A64" i="3"/>
  <c r="C63" i="3"/>
  <c r="C73" i="9"/>
  <c r="C65" i="2" l="1"/>
  <c r="A66" i="2"/>
  <c r="A65" i="3"/>
  <c r="C64" i="3"/>
  <c r="A67" i="2" l="1"/>
  <c r="C66" i="2"/>
  <c r="A66" i="3"/>
  <c r="C65" i="3"/>
  <c r="A68" i="2" l="1"/>
  <c r="C67" i="2"/>
  <c r="C66" i="3"/>
  <c r="A67" i="3"/>
  <c r="A69" i="2" l="1"/>
  <c r="C68" i="2"/>
  <c r="A68" i="3"/>
  <c r="C67" i="3"/>
  <c r="A70" i="2" l="1"/>
  <c r="C69" i="2"/>
  <c r="C68" i="3"/>
  <c r="A69" i="3"/>
  <c r="A71" i="2" l="1"/>
  <c r="C70" i="2"/>
  <c r="A70" i="3"/>
  <c r="C69" i="3"/>
  <c r="A72" i="2" l="1"/>
  <c r="C72" i="2" s="1"/>
  <c r="C71" i="2"/>
  <c r="C70" i="3"/>
  <c r="A71" i="3"/>
  <c r="C73" i="2" l="1"/>
  <c r="A72" i="3"/>
  <c r="C72" i="3" s="1"/>
  <c r="C71" i="3"/>
  <c r="C73" i="3" l="1"/>
</calcChain>
</file>

<file path=xl/sharedStrings.xml><?xml version="1.0" encoding="utf-8"?>
<sst xmlns="http://schemas.openxmlformats.org/spreadsheetml/2006/main" count="1268" uniqueCount="97">
  <si>
    <t>Carbon Price</t>
  </si>
  <si>
    <t>Avoided Emission</t>
  </si>
  <si>
    <t>Value</t>
  </si>
  <si>
    <t>Unit</t>
  </si>
  <si>
    <t>Production Emission/Conservation factor</t>
  </si>
  <si>
    <t>Biodiesel Production</t>
  </si>
  <si>
    <t>Environemtnal Benefit</t>
  </si>
  <si>
    <t>Price Biodiesel</t>
  </si>
  <si>
    <t>Price Cake</t>
  </si>
  <si>
    <t>Cake Production</t>
  </si>
  <si>
    <t>Economic Revenue</t>
  </si>
  <si>
    <t>Fertilizer N Amount</t>
  </si>
  <si>
    <t>Fertilizer P Amount</t>
  </si>
  <si>
    <t>Fertilizer K Amount</t>
  </si>
  <si>
    <t>Ton</t>
  </si>
  <si>
    <t>Ton CO2</t>
  </si>
  <si>
    <t>Euro/Ton</t>
  </si>
  <si>
    <t>Ton/Ha</t>
  </si>
  <si>
    <t>Yield</t>
  </si>
  <si>
    <t>Con Rate</t>
  </si>
  <si>
    <t>Fertilizer N Price</t>
  </si>
  <si>
    <t>Fertilizer P Price</t>
  </si>
  <si>
    <t>Fertilizer K Price</t>
  </si>
  <si>
    <t xml:space="preserve">Time Fertilizing </t>
  </si>
  <si>
    <t>Time Sowing</t>
  </si>
  <si>
    <t>Time Herbcide Treatment</t>
  </si>
  <si>
    <t>Time Haversting</t>
  </si>
  <si>
    <t>H/Ha</t>
  </si>
  <si>
    <t>Wage</t>
  </si>
  <si>
    <t>Euro/H</t>
  </si>
  <si>
    <t xml:space="preserve">Fuel Fertilizing </t>
  </si>
  <si>
    <t>Fuel  Sowing</t>
  </si>
  <si>
    <t>Fuel  Herbcide Treatment</t>
  </si>
  <si>
    <t>Fuel Haversting</t>
  </si>
  <si>
    <t>L/Ha</t>
  </si>
  <si>
    <t>Fuel Price</t>
  </si>
  <si>
    <t>Euro/L</t>
  </si>
  <si>
    <t>Cultivation Cost</t>
  </si>
  <si>
    <t>Distance</t>
  </si>
  <si>
    <t>km</t>
  </si>
  <si>
    <t>Price of Transportation</t>
  </si>
  <si>
    <t>Euro/km</t>
  </si>
  <si>
    <t>Transportation Cost</t>
  </si>
  <si>
    <t>Rapeseed Oil to Diesel</t>
  </si>
  <si>
    <t>Rapeseed to Rapeseed Oil</t>
  </si>
  <si>
    <t>Electricity</t>
  </si>
  <si>
    <t xml:space="preserve">Transesterification </t>
  </si>
  <si>
    <t>MWh/Ton</t>
  </si>
  <si>
    <t>Electricity Price</t>
  </si>
  <si>
    <t>Other Cost</t>
  </si>
  <si>
    <t xml:space="preserve">Oil Extraction and Transesterification </t>
  </si>
  <si>
    <t>Economic Cost</t>
  </si>
  <si>
    <t>Economic Benefit</t>
  </si>
  <si>
    <t>Total</t>
  </si>
  <si>
    <t>Distance Coef</t>
  </si>
  <si>
    <t>Ton/km</t>
  </si>
  <si>
    <t>Fuel density</t>
  </si>
  <si>
    <t>kg/L</t>
  </si>
  <si>
    <t>Total Ful</t>
  </si>
  <si>
    <t>Kg/ha</t>
  </si>
  <si>
    <t>Conversion unit</t>
  </si>
  <si>
    <t>L/ha</t>
  </si>
  <si>
    <t>40 t LKW</t>
  </si>
  <si>
    <t>40L/100km</t>
  </si>
  <si>
    <t>Total Capacity</t>
  </si>
  <si>
    <t>Total Rapseed</t>
  </si>
  <si>
    <t>Current Rapeseed</t>
  </si>
  <si>
    <t>Euro/MWh</t>
  </si>
  <si>
    <t>Equipment Cost</t>
  </si>
  <si>
    <t>Building</t>
  </si>
  <si>
    <t>Machine</t>
  </si>
  <si>
    <t>Press</t>
  </si>
  <si>
    <t>Tractor</t>
  </si>
  <si>
    <t>Ha</t>
  </si>
  <si>
    <t>Other Fix Cost</t>
  </si>
  <si>
    <t>Total Fix Cost</t>
  </si>
  <si>
    <t>NPV</t>
  </si>
  <si>
    <t>Capacity %</t>
  </si>
  <si>
    <t>Profit</t>
  </si>
  <si>
    <t>Times</t>
  </si>
  <si>
    <t>unit profit</t>
  </si>
  <si>
    <t>Distance Unit</t>
  </si>
  <si>
    <t>Production Unit</t>
  </si>
  <si>
    <t>Discount Factor</t>
  </si>
  <si>
    <t>CF</t>
  </si>
  <si>
    <t>T</t>
  </si>
  <si>
    <t>Sum</t>
  </si>
  <si>
    <t>Economic Benefit total</t>
  </si>
  <si>
    <t xml:space="preserve">Environmental Profit Unit </t>
  </si>
  <si>
    <t xml:space="preserve">Environmental Cost Unit </t>
  </si>
  <si>
    <t>Economic Profit Unit</t>
  </si>
  <si>
    <t>Economic Cost Unit</t>
  </si>
  <si>
    <t>Environmental Benefit</t>
  </si>
  <si>
    <t>Euro/Ton produced</t>
  </si>
  <si>
    <t>Optimization</t>
  </si>
  <si>
    <t>Full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</si>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</sst>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0" fontId="0" fillId="0" borderId="0" xfId="1" applyNumberFormat="1" applyFon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43" workbookViewId="0">
      <selection activeCell="D55" sqref="D55"/>
    </sheetView>
  </sheetViews>
  <sheetFormatPr defaultRowHeight="14.5" x14ac:dyDescent="0.35"/>
  <cols>
    <col min="1" max="1" width="35.453125" bestFit="1" customWidth="1"/>
    <col min="2" max="2" width="15.54296875" bestFit="1" customWidth="1"/>
    <col min="3" max="3" width="17.90625" bestFit="1" customWidth="1"/>
    <col min="4" max="4" width="18" bestFit="1" customWidth="1"/>
    <col min="5" max="5" width="15.81640625" bestFit="1" customWidth="1"/>
    <col min="6" max="6" width="14.1796875" bestFit="1" customWidth="1"/>
    <col min="7" max="7" width="19.453125" bestFit="1" customWidth="1"/>
    <col min="8" max="8" width="22.6328125" bestFit="1" customWidth="1"/>
    <col min="9" max="9" width="12.453125" bestFit="1" customWidth="1"/>
  </cols>
  <sheetData>
    <row r="1" spans="1:9" x14ac:dyDescent="0.35">
      <c r="B1" t="s">
        <v>2</v>
      </c>
      <c r="C1" t="s">
        <v>3</v>
      </c>
      <c r="D1" t="s">
        <v>5</v>
      </c>
      <c r="E1" t="s">
        <v>9</v>
      </c>
      <c r="F1" t="s">
        <v>18</v>
      </c>
      <c r="G1" t="s">
        <v>19</v>
      </c>
      <c r="H1" t="s">
        <v>19</v>
      </c>
      <c r="I1" t="s">
        <v>64</v>
      </c>
    </row>
    <row r="2" spans="1:9" x14ac:dyDescent="0.35">
      <c r="A2" t="s">
        <v>0</v>
      </c>
      <c r="B2">
        <v>24</v>
      </c>
      <c r="C2" t="s">
        <v>16</v>
      </c>
      <c r="D2">
        <v>2000</v>
      </c>
      <c r="E2">
        <f>D2*1.96</f>
        <v>3920</v>
      </c>
      <c r="F2">
        <v>3.08</v>
      </c>
      <c r="G2">
        <v>1.01</v>
      </c>
      <c r="H2">
        <v>2.9405940594059405</v>
      </c>
      <c r="I2">
        <v>2000</v>
      </c>
    </row>
    <row r="3" spans="1:9" x14ac:dyDescent="0.35">
      <c r="A3" t="s">
        <v>1</v>
      </c>
      <c r="B3">
        <v>1.7096727229038899</v>
      </c>
      <c r="C3" t="s">
        <v>15</v>
      </c>
      <c r="D3" t="s">
        <v>14</v>
      </c>
      <c r="E3" t="s">
        <v>14</v>
      </c>
      <c r="F3" t="s">
        <v>17</v>
      </c>
      <c r="G3" t="s">
        <v>43</v>
      </c>
      <c r="H3" t="s">
        <v>44</v>
      </c>
      <c r="I3" t="s">
        <v>14</v>
      </c>
    </row>
    <row r="4" spans="1:9" x14ac:dyDescent="0.35">
      <c r="A4" t="s">
        <v>4</v>
      </c>
      <c r="B4">
        <v>1.3071272770961067</v>
      </c>
      <c r="C4" t="s">
        <v>15</v>
      </c>
    </row>
    <row r="6" spans="1:9" x14ac:dyDescent="0.35">
      <c r="A6" t="s">
        <v>6</v>
      </c>
      <c r="B6">
        <f>B2*B3*D2-B2*B4*D2</f>
        <v>19322.181398773602</v>
      </c>
      <c r="C6">
        <f>B6/D2</f>
        <v>9.6610906993868007</v>
      </c>
      <c r="D6" t="s">
        <v>65</v>
      </c>
      <c r="E6" t="s">
        <v>66</v>
      </c>
      <c r="F6" t="s">
        <v>73</v>
      </c>
      <c r="G6" t="s">
        <v>77</v>
      </c>
      <c r="H6" t="s">
        <v>52</v>
      </c>
    </row>
    <row r="7" spans="1:9" x14ac:dyDescent="0.35">
      <c r="D7">
        <v>3157</v>
      </c>
      <c r="E7">
        <f>D2*G2*H2</f>
        <v>5940</v>
      </c>
      <c r="F7">
        <f>D2*G2*H2/F2</f>
        <v>1928.5714285714284</v>
      </c>
      <c r="G7" s="3">
        <f>D2/I2</f>
        <v>1</v>
      </c>
      <c r="H7">
        <v>0</v>
      </c>
    </row>
    <row r="8" spans="1:9" x14ac:dyDescent="0.35">
      <c r="A8" t="s">
        <v>7</v>
      </c>
      <c r="B8">
        <v>807</v>
      </c>
      <c r="C8" t="s">
        <v>16</v>
      </c>
      <c r="E8">
        <v>0</v>
      </c>
    </row>
    <row r="9" spans="1:9" x14ac:dyDescent="0.35">
      <c r="A9" t="s">
        <v>8</v>
      </c>
      <c r="B9">
        <v>139</v>
      </c>
      <c r="C9" t="s">
        <v>16</v>
      </c>
      <c r="D9" t="s">
        <v>81</v>
      </c>
      <c r="E9" t="s">
        <v>82</v>
      </c>
    </row>
    <row r="10" spans="1:9" x14ac:dyDescent="0.35">
      <c r="D10">
        <v>660.86682267426727</v>
      </c>
      <c r="E10">
        <v>1040</v>
      </c>
    </row>
    <row r="11" spans="1:9" x14ac:dyDescent="0.35">
      <c r="A11" t="s">
        <v>10</v>
      </c>
      <c r="B11">
        <f>B8*D2+B9*E2</f>
        <v>2158880</v>
      </c>
    </row>
    <row r="13" spans="1:9" x14ac:dyDescent="0.35">
      <c r="A13" s="1" t="s">
        <v>11</v>
      </c>
      <c r="B13">
        <v>0.14108823298652573</v>
      </c>
      <c r="C13" t="s">
        <v>17</v>
      </c>
    </row>
    <row r="14" spans="1:9" x14ac:dyDescent="0.35">
      <c r="A14" s="1" t="s">
        <v>12</v>
      </c>
      <c r="B14">
        <v>2.6909756097560977E-2</v>
      </c>
      <c r="C14" t="s">
        <v>17</v>
      </c>
    </row>
    <row r="15" spans="1:9" x14ac:dyDescent="0.35">
      <c r="A15" s="1" t="s">
        <v>13</v>
      </c>
      <c r="B15">
        <v>2.8979999999999999E-2</v>
      </c>
      <c r="C15" t="s">
        <v>17</v>
      </c>
    </row>
    <row r="16" spans="1:9" x14ac:dyDescent="0.35">
      <c r="A16" t="s">
        <v>20</v>
      </c>
      <c r="B16" s="1">
        <v>400</v>
      </c>
      <c r="C16" t="s">
        <v>16</v>
      </c>
    </row>
    <row r="17" spans="1:6" x14ac:dyDescent="0.35">
      <c r="A17" t="s">
        <v>21</v>
      </c>
      <c r="B17" s="1">
        <v>400</v>
      </c>
      <c r="C17" t="s">
        <v>16</v>
      </c>
    </row>
    <row r="18" spans="1:6" x14ac:dyDescent="0.35">
      <c r="A18" t="s">
        <v>22</v>
      </c>
      <c r="B18" s="1">
        <v>400</v>
      </c>
      <c r="C18" t="s">
        <v>16</v>
      </c>
    </row>
    <row r="19" spans="1:6" x14ac:dyDescent="0.35">
      <c r="A19" t="s">
        <v>23</v>
      </c>
      <c r="B19">
        <v>1</v>
      </c>
      <c r="C19" t="s">
        <v>27</v>
      </c>
    </row>
    <row r="20" spans="1:6" x14ac:dyDescent="0.35">
      <c r="A20" t="s">
        <v>24</v>
      </c>
      <c r="B20">
        <v>0.5</v>
      </c>
      <c r="C20" t="s">
        <v>27</v>
      </c>
    </row>
    <row r="21" spans="1:6" x14ac:dyDescent="0.35">
      <c r="A21" t="s">
        <v>25</v>
      </c>
      <c r="B21">
        <v>0.33</v>
      </c>
      <c r="C21" t="s">
        <v>27</v>
      </c>
    </row>
    <row r="22" spans="1:6" x14ac:dyDescent="0.35">
      <c r="A22" t="s">
        <v>26</v>
      </c>
      <c r="B22">
        <v>1.25</v>
      </c>
      <c r="C22" t="s">
        <v>27</v>
      </c>
    </row>
    <row r="23" spans="1:6" x14ac:dyDescent="0.35">
      <c r="A23" t="s">
        <v>28</v>
      </c>
      <c r="B23">
        <v>10.45</v>
      </c>
      <c r="C23" t="s">
        <v>29</v>
      </c>
    </row>
    <row r="24" spans="1:6" x14ac:dyDescent="0.35">
      <c r="A24" s="1" t="s">
        <v>30</v>
      </c>
      <c r="B24">
        <f>E27/4</f>
        <v>22.645036937148216</v>
      </c>
      <c r="C24" t="s">
        <v>34</v>
      </c>
    </row>
    <row r="25" spans="1:6" x14ac:dyDescent="0.35">
      <c r="A25" s="1" t="s">
        <v>31</v>
      </c>
      <c r="B25">
        <f>B24</f>
        <v>22.645036937148216</v>
      </c>
      <c r="C25" t="s">
        <v>34</v>
      </c>
      <c r="D25" t="s">
        <v>58</v>
      </c>
      <c r="E25">
        <v>75.362682926829265</v>
      </c>
      <c r="F25" t="s">
        <v>59</v>
      </c>
    </row>
    <row r="26" spans="1:6" x14ac:dyDescent="0.35">
      <c r="A26" s="1" t="s">
        <v>32</v>
      </c>
      <c r="B26">
        <f>B25</f>
        <v>22.645036937148216</v>
      </c>
      <c r="C26" t="s">
        <v>34</v>
      </c>
      <c r="D26" t="s">
        <v>56</v>
      </c>
      <c r="E26">
        <v>0.83199999999999996</v>
      </c>
      <c r="F26" t="s">
        <v>57</v>
      </c>
    </row>
    <row r="27" spans="1:6" x14ac:dyDescent="0.35">
      <c r="A27" s="1" t="s">
        <v>33</v>
      </c>
      <c r="B27">
        <f>B26</f>
        <v>22.645036937148216</v>
      </c>
      <c r="C27" t="s">
        <v>34</v>
      </c>
      <c r="D27" t="s">
        <v>60</v>
      </c>
      <c r="E27">
        <f>E25/E26</f>
        <v>90.580147748592864</v>
      </c>
      <c r="F27" t="s">
        <v>61</v>
      </c>
    </row>
    <row r="28" spans="1:6" x14ac:dyDescent="0.35">
      <c r="A28" t="s">
        <v>35</v>
      </c>
      <c r="B28">
        <v>1.26</v>
      </c>
      <c r="C28" t="s">
        <v>36</v>
      </c>
    </row>
    <row r="30" spans="1:6" x14ac:dyDescent="0.35">
      <c r="A30" s="1" t="s">
        <v>37</v>
      </c>
      <c r="B30">
        <f>(D2*G2*H2/F2)*B13*B16+(D2*G2*H2/F2)*B14*B17+(D2*G2*H2/F2)*B15*B18+(D2*G2*H2/F2)*(B19+B20+B21+B22)*B23+(D2*G2*H2/F2)*(B24+B25+B26+B27)*B28</f>
        <v>434137.20775109041</v>
      </c>
    </row>
    <row r="32" spans="1:6" x14ac:dyDescent="0.35">
      <c r="A32" t="s">
        <v>54</v>
      </c>
      <c r="B32">
        <f>D2/D10</f>
        <v>3.0263283484360572</v>
      </c>
      <c r="C32" t="s">
        <v>55</v>
      </c>
    </row>
    <row r="33" spans="1:5" x14ac:dyDescent="0.35">
      <c r="A33" t="s">
        <v>38</v>
      </c>
      <c r="B33">
        <f>IF(D2/I2&lt;=0.1,D2/B32/36,IF(AND(D2/I2&gt;0.1,D2/I2&lt;=0.2),D2/B32/9,IF(AND(D2/I2&gt;0.2,D2/I2&lt;=0.3),D2/B32/4,IF(AND(D2/I2&gt;0.3,D2/I2&lt;=0.4),D2/B32/(36/16),IF(AND(D2/I2&gt;0.4,D2/I2&lt;=0.5),D2/B32/(36/25),IF(AND(D2/I2&gt;0.5,D2/I2&lt;=0.6),D2/B32,IF(AND(D2/I2&gt;0.6,D2/I2&lt;=0.7),D2/B32/(36/49),IF(AND(D2/I2&gt;0.7,D2/I2&lt;=0.8),D2/B32/(36/64),IF(AND(D2/I2&gt;0.8,D2/I2&lt;=0.9),D2/B32/(36/81),IF(D2/I2&gt;0.9,D2/B32/(36/100),0))))))))))</f>
        <v>1835.741174095187</v>
      </c>
      <c r="C33" t="s">
        <v>39</v>
      </c>
    </row>
    <row r="34" spans="1:5" x14ac:dyDescent="0.35">
      <c r="A34" t="s">
        <v>40</v>
      </c>
      <c r="B34" s="1">
        <f>40*1.26/100</f>
        <v>0.504</v>
      </c>
      <c r="C34" t="s">
        <v>41</v>
      </c>
      <c r="D34" t="s">
        <v>62</v>
      </c>
      <c r="E34" t="s">
        <v>63</v>
      </c>
    </row>
    <row r="35" spans="1:5" x14ac:dyDescent="0.35">
      <c r="D35">
        <f>40*1.26/100</f>
        <v>0.504</v>
      </c>
      <c r="E35" t="s">
        <v>41</v>
      </c>
    </row>
    <row r="37" spans="1:5" x14ac:dyDescent="0.35">
      <c r="A37" t="s">
        <v>42</v>
      </c>
      <c r="B37">
        <f>B33*B34</f>
        <v>925.21355174397422</v>
      </c>
    </row>
    <row r="40" spans="1:5" x14ac:dyDescent="0.35">
      <c r="A40" t="s">
        <v>68</v>
      </c>
      <c r="B40">
        <f>IF(D2/I2&lt;=0.3,2.8,IF(D2/I2&gt;0.3,2.8*1.2,0))</f>
        <v>3.36</v>
      </c>
      <c r="C40" t="s">
        <v>16</v>
      </c>
    </row>
    <row r="41" spans="1:5" x14ac:dyDescent="0.35">
      <c r="A41" t="s">
        <v>45</v>
      </c>
      <c r="B41">
        <v>0.19</v>
      </c>
      <c r="C41" t="s">
        <v>47</v>
      </c>
    </row>
    <row r="42" spans="1:5" x14ac:dyDescent="0.35">
      <c r="A42" t="s">
        <v>48</v>
      </c>
      <c r="B42">
        <v>43.52</v>
      </c>
      <c r="C42" t="s">
        <v>67</v>
      </c>
    </row>
    <row r="43" spans="1:5" x14ac:dyDescent="0.35">
      <c r="A43" t="s">
        <v>49</v>
      </c>
      <c r="B43">
        <v>20</v>
      </c>
      <c r="C43" t="s">
        <v>16</v>
      </c>
    </row>
    <row r="44" spans="1:5" x14ac:dyDescent="0.35">
      <c r="A44" t="s">
        <v>46</v>
      </c>
      <c r="B44">
        <v>10</v>
      </c>
      <c r="C44" t="s">
        <v>16</v>
      </c>
    </row>
    <row r="46" spans="1:5" x14ac:dyDescent="0.35">
      <c r="A46" t="s">
        <v>50</v>
      </c>
      <c r="B46">
        <f>B40*D2+B41*B42*D2+B43*D2+B44*D2</f>
        <v>83257.600000000006</v>
      </c>
    </row>
    <row r="48" spans="1:5" x14ac:dyDescent="0.35">
      <c r="A48" t="s">
        <v>69</v>
      </c>
      <c r="B48">
        <v>15000</v>
      </c>
    </row>
    <row r="49" spans="1:8" x14ac:dyDescent="0.35">
      <c r="A49" t="s">
        <v>70</v>
      </c>
      <c r="B49">
        <f>10000*(D2/I2)</f>
        <v>10000</v>
      </c>
    </row>
    <row r="50" spans="1:8" x14ac:dyDescent="0.35">
      <c r="A50" t="s">
        <v>71</v>
      </c>
      <c r="B50">
        <f>10000*(D2/I2)</f>
        <v>10000</v>
      </c>
      <c r="D50" t="s">
        <v>79</v>
      </c>
    </row>
    <row r="51" spans="1:8" x14ac:dyDescent="0.35">
      <c r="A51" t="s">
        <v>72</v>
      </c>
      <c r="B51">
        <f>15000*3*(B33/D10)</f>
        <v>125000.00000000001</v>
      </c>
      <c r="D51" s="4">
        <f>B33/(E7/30*50000)</f>
        <v>1.8542840142375626E-4</v>
      </c>
    </row>
    <row r="52" spans="1:8" x14ac:dyDescent="0.35">
      <c r="A52" t="s">
        <v>74</v>
      </c>
      <c r="B52">
        <f>200*(D2*G2*H2/F2)</f>
        <v>385714.28571428568</v>
      </c>
    </row>
    <row r="54" spans="1:8" x14ac:dyDescent="0.35">
      <c r="A54" t="s">
        <v>75</v>
      </c>
      <c r="B54">
        <f>B52+B51+B50+B49+B48</f>
        <v>545714.28571428568</v>
      </c>
    </row>
    <row r="56" spans="1:8" x14ac:dyDescent="0.35">
      <c r="A56" t="s">
        <v>51</v>
      </c>
      <c r="B56">
        <f>B46+B37+B30+B54</f>
        <v>1064034.3070171201</v>
      </c>
    </row>
    <row r="57" spans="1:8" x14ac:dyDescent="0.35">
      <c r="A57" t="s">
        <v>87</v>
      </c>
      <c r="B57">
        <f>-B56+B11</f>
        <v>1094845.6929828799</v>
      </c>
    </row>
    <row r="59" spans="1:8" x14ac:dyDescent="0.35">
      <c r="A59" t="s">
        <v>53</v>
      </c>
      <c r="B59">
        <f>B57+B6</f>
        <v>1114167.8743816535</v>
      </c>
    </row>
    <row r="60" spans="1:8" x14ac:dyDescent="0.35">
      <c r="A60" t="s">
        <v>76</v>
      </c>
    </row>
    <row r="62" spans="1:8" x14ac:dyDescent="0.35">
      <c r="A62" t="s">
        <v>78</v>
      </c>
      <c r="B62" t="s">
        <v>83</v>
      </c>
      <c r="C62" t="s">
        <v>84</v>
      </c>
      <c r="D62" t="s">
        <v>85</v>
      </c>
      <c r="E62" t="s">
        <v>78</v>
      </c>
      <c r="F62" t="s">
        <v>83</v>
      </c>
      <c r="G62" t="s">
        <v>84</v>
      </c>
      <c r="H62" t="s">
        <v>85</v>
      </c>
    </row>
    <row r="63" spans="1:8" x14ac:dyDescent="0.35">
      <c r="A63">
        <f>B59</f>
        <v>1114167.8743816535</v>
      </c>
      <c r="B63">
        <f>(1-0.88%+1%-1.31%)</f>
        <v>0.98809999999999987</v>
      </c>
      <c r="C63">
        <f>A63/B63^D63</f>
        <v>1127586.1495614348</v>
      </c>
      <c r="D63">
        <v>1</v>
      </c>
      <c r="E63">
        <v>606725.6568933815</v>
      </c>
      <c r="F63">
        <v>0.98809999999999987</v>
      </c>
      <c r="G63">
        <v>614032.64537332417</v>
      </c>
      <c r="H63">
        <v>1</v>
      </c>
    </row>
    <row r="64" spans="1:8" x14ac:dyDescent="0.35">
      <c r="A64">
        <f>A63</f>
        <v>1114167.8743816535</v>
      </c>
      <c r="B64">
        <f t="shared" ref="B64:B72" si="0">(1-0.88%+1%-1.31%)</f>
        <v>0.98809999999999987</v>
      </c>
      <c r="C64">
        <f t="shared" ref="C64:C72" si="1">A64/B64^D64</f>
        <v>1141166.0252620534</v>
      </c>
      <c r="D64">
        <v>2</v>
      </c>
      <c r="E64">
        <v>606725.6568933815</v>
      </c>
      <c r="F64">
        <v>0.98809999999999987</v>
      </c>
      <c r="G64">
        <v>621427.63422054879</v>
      </c>
      <c r="H64">
        <v>2</v>
      </c>
    </row>
    <row r="65" spans="1:9" x14ac:dyDescent="0.35">
      <c r="A65">
        <f>A64</f>
        <v>1114167.8743816535</v>
      </c>
      <c r="B65">
        <f t="shared" si="0"/>
        <v>0.98809999999999987</v>
      </c>
      <c r="C65">
        <f t="shared" si="1"/>
        <v>1154909.4476895591</v>
      </c>
      <c r="D65">
        <v>3</v>
      </c>
      <c r="E65">
        <v>606725.6568933815</v>
      </c>
      <c r="F65">
        <v>0.98809999999999987</v>
      </c>
      <c r="G65">
        <v>628911.68325123854</v>
      </c>
      <c r="H65">
        <v>3</v>
      </c>
    </row>
    <row r="66" spans="1:9" x14ac:dyDescent="0.35">
      <c r="A66">
        <f t="shared" ref="A66:A72" si="2">A65</f>
        <v>1114167.8743816535</v>
      </c>
      <c r="B66">
        <f t="shared" si="0"/>
        <v>0.98809999999999987</v>
      </c>
      <c r="C66">
        <f t="shared" si="1"/>
        <v>1168818.3864887757</v>
      </c>
      <c r="D66">
        <v>4</v>
      </c>
      <c r="E66">
        <v>606725.6568933815</v>
      </c>
      <c r="F66">
        <v>0.98809999999999987</v>
      </c>
      <c r="G66">
        <v>636485.86504527752</v>
      </c>
      <c r="H66">
        <v>4</v>
      </c>
    </row>
    <row r="67" spans="1:9" x14ac:dyDescent="0.35">
      <c r="A67">
        <f t="shared" si="2"/>
        <v>1114167.8743816535</v>
      </c>
      <c r="B67">
        <f t="shared" si="0"/>
        <v>0.98809999999999987</v>
      </c>
      <c r="C67">
        <f t="shared" si="1"/>
        <v>1182894.8350255804</v>
      </c>
      <c r="D67">
        <v>5</v>
      </c>
      <c r="E67">
        <v>606725.6568933815</v>
      </c>
      <c r="F67">
        <v>0.98809999999999987</v>
      </c>
      <c r="G67">
        <v>644151.26509996713</v>
      </c>
      <c r="H67">
        <v>5</v>
      </c>
    </row>
    <row r="68" spans="1:9" x14ac:dyDescent="0.35">
      <c r="A68">
        <f t="shared" si="2"/>
        <v>1114167.8743816535</v>
      </c>
      <c r="B68">
        <f t="shared" si="0"/>
        <v>0.98809999999999987</v>
      </c>
      <c r="C68">
        <f t="shared" si="1"/>
        <v>1197140.8106725842</v>
      </c>
      <c r="D68">
        <v>6</v>
      </c>
      <c r="E68">
        <v>606725.6568933815</v>
      </c>
      <c r="F68">
        <v>0.98809999999999987</v>
      </c>
      <c r="G68">
        <v>651908.98198559589</v>
      </c>
      <c r="H68">
        <v>6</v>
      </c>
    </row>
    <row r="69" spans="1:9" x14ac:dyDescent="0.35">
      <c r="A69">
        <f t="shared" si="2"/>
        <v>1114167.8743816535</v>
      </c>
      <c r="B69">
        <f t="shared" si="0"/>
        <v>0.98809999999999987</v>
      </c>
      <c r="C69">
        <f t="shared" si="1"/>
        <v>1211558.3550982536</v>
      </c>
      <c r="D69">
        <v>7</v>
      </c>
      <c r="E69">
        <v>606725.6568933815</v>
      </c>
      <c r="F69">
        <v>0.98809999999999987</v>
      </c>
      <c r="G69">
        <v>659760.12750288018</v>
      </c>
      <c r="H69">
        <v>7</v>
      </c>
    </row>
    <row r="70" spans="1:9" x14ac:dyDescent="0.35">
      <c r="A70">
        <f t="shared" si="2"/>
        <v>1114167.8743816535</v>
      </c>
      <c r="B70">
        <f t="shared" si="0"/>
        <v>0.98809999999999987</v>
      </c>
      <c r="C70">
        <f t="shared" si="1"/>
        <v>1226149.534559512</v>
      </c>
      <c r="D70">
        <v>8</v>
      </c>
      <c r="E70">
        <v>606725.6568933815</v>
      </c>
      <c r="F70">
        <v>0.98809999999999987</v>
      </c>
      <c r="G70">
        <v>667705.82684230374</v>
      </c>
      <c r="H70">
        <v>8</v>
      </c>
    </row>
    <row r="71" spans="1:9" x14ac:dyDescent="0.35">
      <c r="A71">
        <f t="shared" si="2"/>
        <v>1114167.8743816535</v>
      </c>
      <c r="B71">
        <f t="shared" si="0"/>
        <v>0.98809999999999987</v>
      </c>
      <c r="C71">
        <f t="shared" si="1"/>
        <v>1240916.4401978669</v>
      </c>
      <c r="D71">
        <v>9</v>
      </c>
      <c r="E71">
        <v>606725.6568933815</v>
      </c>
      <c r="F71">
        <v>0.98809999999999987</v>
      </c>
      <c r="G71">
        <v>675747.21874537377</v>
      </c>
      <c r="H71">
        <v>9</v>
      </c>
    </row>
    <row r="72" spans="1:9" x14ac:dyDescent="0.35">
      <c r="A72">
        <f t="shared" si="2"/>
        <v>1114167.8743816535</v>
      </c>
      <c r="B72">
        <f t="shared" si="0"/>
        <v>0.98809999999999987</v>
      </c>
      <c r="C72">
        <f t="shared" si="1"/>
        <v>1255861.1883391023</v>
      </c>
      <c r="D72">
        <v>10</v>
      </c>
      <c r="E72">
        <v>606725.6568933815</v>
      </c>
      <c r="F72">
        <v>0.98809999999999987</v>
      </c>
      <c r="G72">
        <v>683885.45566782088</v>
      </c>
      <c r="H72">
        <v>10</v>
      </c>
      <c r="I72" t="s">
        <v>96</v>
      </c>
    </row>
    <row r="73" spans="1:9" x14ac:dyDescent="0.35">
      <c r="B73" t="s">
        <v>86</v>
      </c>
      <c r="C73">
        <f>SUM(C63:C72)</f>
        <v>11907001.172894724</v>
      </c>
      <c r="F73" t="s">
        <v>86</v>
      </c>
      <c r="G73">
        <v>6484016.7037343299</v>
      </c>
      <c r="I73">
        <f>C73-G73</f>
        <v>5422984.4691603938</v>
      </c>
    </row>
    <row r="76" spans="1:9" x14ac:dyDescent="0.35">
      <c r="A76" t="s">
        <v>88</v>
      </c>
      <c r="B76">
        <f>B3*B2</f>
        <v>41.032145349693359</v>
      </c>
      <c r="C76" t="s">
        <v>93</v>
      </c>
    </row>
    <row r="77" spans="1:9" x14ac:dyDescent="0.35">
      <c r="A77" t="s">
        <v>89</v>
      </c>
      <c r="B77">
        <f>B4*B2</f>
        <v>31.371054650306561</v>
      </c>
      <c r="C77" t="s">
        <v>93</v>
      </c>
    </row>
    <row r="78" spans="1:9" x14ac:dyDescent="0.35">
      <c r="A78" t="s">
        <v>90</v>
      </c>
      <c r="B78">
        <f>B11/D2</f>
        <v>1079.44</v>
      </c>
      <c r="C78" t="s">
        <v>93</v>
      </c>
    </row>
    <row r="79" spans="1:9" x14ac:dyDescent="0.35">
      <c r="A79" t="s">
        <v>91</v>
      </c>
      <c r="B79">
        <f>B56/D2</f>
        <v>532.01715350856</v>
      </c>
      <c r="C79" t="s">
        <v>93</v>
      </c>
    </row>
    <row r="80" spans="1:9" x14ac:dyDescent="0.35">
      <c r="A80" t="s">
        <v>92</v>
      </c>
      <c r="B80">
        <f>B6/D2</f>
        <v>9.6610906993868007</v>
      </c>
      <c r="C80" t="s">
        <v>93</v>
      </c>
    </row>
    <row r="81" spans="1:3" x14ac:dyDescent="0.35">
      <c r="A81" t="s">
        <v>52</v>
      </c>
      <c r="B81">
        <f>B57/D2</f>
        <v>547.42284649143994</v>
      </c>
      <c r="C8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B1" zoomScaleNormal="100" workbookViewId="0">
      <selection activeCell="I72" sqref="I72:I73"/>
    </sheetView>
  </sheetViews>
  <sheetFormatPr defaultRowHeight="14.5" x14ac:dyDescent="0.35"/>
  <cols>
    <col min="1" max="1" width="35.453125" bestFit="1" customWidth="1"/>
    <col min="2" max="2" width="15.54296875" bestFit="1" customWidth="1"/>
    <col min="3" max="3" width="17.90625" bestFit="1" customWidth="1"/>
    <col min="4" max="4" width="18" bestFit="1" customWidth="1"/>
    <col min="5" max="5" width="15.81640625" bestFit="1" customWidth="1"/>
    <col min="6" max="6" width="14.1796875" bestFit="1" customWidth="1"/>
    <col min="7" max="7" width="19.453125" bestFit="1" customWidth="1"/>
    <col min="8" max="8" width="22.6328125" bestFit="1" customWidth="1"/>
    <col min="9" max="9" width="12.453125" bestFit="1" customWidth="1"/>
  </cols>
  <sheetData>
    <row r="1" spans="1:9" x14ac:dyDescent="0.35">
      <c r="B1" t="s">
        <v>2</v>
      </c>
      <c r="C1" t="s">
        <v>3</v>
      </c>
      <c r="D1" t="s">
        <v>5</v>
      </c>
      <c r="E1" t="s">
        <v>9</v>
      </c>
      <c r="F1" t="s">
        <v>18</v>
      </c>
      <c r="G1" t="s">
        <v>19</v>
      </c>
      <c r="H1" t="s">
        <v>19</v>
      </c>
      <c r="I1" t="s">
        <v>64</v>
      </c>
    </row>
    <row r="2" spans="1:9" x14ac:dyDescent="0.35">
      <c r="A2" t="s">
        <v>0</v>
      </c>
      <c r="B2">
        <v>24</v>
      </c>
      <c r="C2" t="s">
        <v>16</v>
      </c>
      <c r="D2">
        <v>4000</v>
      </c>
      <c r="E2">
        <f>D2*1.96</f>
        <v>7840</v>
      </c>
      <c r="F2">
        <v>3.41</v>
      </c>
      <c r="G2">
        <v>1.01</v>
      </c>
      <c r="H2">
        <v>2.9405940594059405</v>
      </c>
      <c r="I2">
        <v>4000</v>
      </c>
    </row>
    <row r="3" spans="1:9" x14ac:dyDescent="0.35">
      <c r="A3" t="s">
        <v>1</v>
      </c>
      <c r="B3">
        <v>1.9404641267472722</v>
      </c>
      <c r="C3" t="s">
        <v>15</v>
      </c>
      <c r="D3" t="s">
        <v>14</v>
      </c>
      <c r="E3" t="s">
        <v>14</v>
      </c>
      <c r="F3" t="s">
        <v>17</v>
      </c>
      <c r="G3" t="s">
        <v>43</v>
      </c>
      <c r="H3" t="s">
        <v>44</v>
      </c>
      <c r="I3" t="s">
        <v>14</v>
      </c>
    </row>
    <row r="4" spans="1:9" x14ac:dyDescent="0.35">
      <c r="A4" t="s">
        <v>4</v>
      </c>
      <c r="B4">
        <v>1.0763358732527273</v>
      </c>
      <c r="C4" t="s">
        <v>15</v>
      </c>
    </row>
    <row r="6" spans="1:9" x14ac:dyDescent="0.35">
      <c r="A6" t="s">
        <v>6</v>
      </c>
      <c r="B6">
        <f>B2*B3*D2-B2*B4*D2</f>
        <v>82956.312335476279</v>
      </c>
      <c r="C6">
        <f>B6/D2</f>
        <v>20.739078083869071</v>
      </c>
      <c r="D6" t="s">
        <v>65</v>
      </c>
      <c r="E6" t="s">
        <v>66</v>
      </c>
      <c r="F6" t="s">
        <v>73</v>
      </c>
      <c r="G6" t="s">
        <v>77</v>
      </c>
      <c r="H6" t="s">
        <v>52</v>
      </c>
    </row>
    <row r="7" spans="1:9" x14ac:dyDescent="0.35">
      <c r="D7">
        <v>6190</v>
      </c>
      <c r="E7">
        <f>D2*G2*H2</f>
        <v>11880</v>
      </c>
      <c r="F7">
        <f>D2*G2*H2/F2</f>
        <v>3483.8709677419351</v>
      </c>
      <c r="G7" s="3">
        <f>D2/I2</f>
        <v>1</v>
      </c>
      <c r="H7">
        <v>0</v>
      </c>
    </row>
    <row r="8" spans="1:9" x14ac:dyDescent="0.35">
      <c r="A8" t="s">
        <v>7</v>
      </c>
      <c r="B8">
        <v>807</v>
      </c>
      <c r="C8" t="s">
        <v>16</v>
      </c>
    </row>
    <row r="9" spans="1:9" x14ac:dyDescent="0.35">
      <c r="A9" t="s">
        <v>8</v>
      </c>
      <c r="B9">
        <v>139</v>
      </c>
      <c r="C9" t="s">
        <v>16</v>
      </c>
      <c r="D9" t="s">
        <v>81</v>
      </c>
    </row>
    <row r="10" spans="1:9" x14ac:dyDescent="0.35">
      <c r="D10">
        <v>765.19965445884782</v>
      </c>
    </row>
    <row r="11" spans="1:9" x14ac:dyDescent="0.35">
      <c r="A11" t="s">
        <v>10</v>
      </c>
      <c r="B11">
        <f>B8*D2+B9*E2</f>
        <v>4317760</v>
      </c>
    </row>
    <row r="13" spans="1:9" x14ac:dyDescent="0.35">
      <c r="A13" s="1" t="s">
        <v>11</v>
      </c>
      <c r="B13">
        <v>0.13854142968142993</v>
      </c>
      <c r="C13" t="s">
        <v>17</v>
      </c>
    </row>
    <row r="14" spans="1:9" x14ac:dyDescent="0.35">
      <c r="A14" s="1" t="s">
        <v>12</v>
      </c>
      <c r="B14">
        <v>2.7800000000000002E-2</v>
      </c>
      <c r="C14" t="s">
        <v>17</v>
      </c>
    </row>
    <row r="15" spans="1:9" x14ac:dyDescent="0.35">
      <c r="A15" s="1" t="s">
        <v>13</v>
      </c>
      <c r="B15">
        <v>2.8979999999999999E-2</v>
      </c>
      <c r="C15" t="s">
        <v>17</v>
      </c>
    </row>
    <row r="16" spans="1:9" x14ac:dyDescent="0.35">
      <c r="A16" t="s">
        <v>20</v>
      </c>
      <c r="B16" s="1">
        <v>400</v>
      </c>
      <c r="C16" t="s">
        <v>16</v>
      </c>
    </row>
    <row r="17" spans="1:6" x14ac:dyDescent="0.35">
      <c r="A17" t="s">
        <v>21</v>
      </c>
      <c r="B17" s="1">
        <v>400</v>
      </c>
      <c r="C17" t="s">
        <v>16</v>
      </c>
    </row>
    <row r="18" spans="1:6" x14ac:dyDescent="0.35">
      <c r="A18" t="s">
        <v>22</v>
      </c>
      <c r="B18" s="1">
        <v>400</v>
      </c>
      <c r="C18" t="s">
        <v>16</v>
      </c>
    </row>
    <row r="19" spans="1:6" x14ac:dyDescent="0.35">
      <c r="A19" t="s">
        <v>23</v>
      </c>
      <c r="B19" s="1">
        <v>1</v>
      </c>
      <c r="C19" t="s">
        <v>27</v>
      </c>
    </row>
    <row r="20" spans="1:6" x14ac:dyDescent="0.35">
      <c r="A20" t="s">
        <v>24</v>
      </c>
      <c r="B20" s="1">
        <v>0.5</v>
      </c>
      <c r="C20" t="s">
        <v>27</v>
      </c>
    </row>
    <row r="21" spans="1:6" x14ac:dyDescent="0.35">
      <c r="A21" t="s">
        <v>25</v>
      </c>
      <c r="B21" s="1">
        <v>0.33</v>
      </c>
      <c r="C21" t="s">
        <v>27</v>
      </c>
    </row>
    <row r="22" spans="1:6" x14ac:dyDescent="0.35">
      <c r="A22" t="s">
        <v>26</v>
      </c>
      <c r="B22" s="1">
        <v>1.25</v>
      </c>
      <c r="C22" t="s">
        <v>27</v>
      </c>
    </row>
    <row r="23" spans="1:6" x14ac:dyDescent="0.35">
      <c r="A23" t="s">
        <v>28</v>
      </c>
      <c r="B23" s="1">
        <v>10.45</v>
      </c>
      <c r="C23" t="s">
        <v>29</v>
      </c>
    </row>
    <row r="24" spans="1:6" x14ac:dyDescent="0.35">
      <c r="A24" s="1" t="s">
        <v>30</v>
      </c>
      <c r="B24" s="1">
        <f>E27/4</f>
        <v>22.645036937148216</v>
      </c>
      <c r="C24" t="s">
        <v>34</v>
      </c>
    </row>
    <row r="25" spans="1:6" x14ac:dyDescent="0.35">
      <c r="A25" s="1" t="s">
        <v>31</v>
      </c>
      <c r="B25" s="1">
        <f>B24</f>
        <v>22.645036937148216</v>
      </c>
      <c r="C25" t="s">
        <v>34</v>
      </c>
      <c r="D25" t="s">
        <v>58</v>
      </c>
      <c r="E25">
        <v>75.362682926829265</v>
      </c>
      <c r="F25" t="s">
        <v>59</v>
      </c>
    </row>
    <row r="26" spans="1:6" x14ac:dyDescent="0.35">
      <c r="A26" s="1" t="s">
        <v>32</v>
      </c>
      <c r="B26" s="1">
        <f>B25</f>
        <v>22.645036937148216</v>
      </c>
      <c r="C26" t="s">
        <v>34</v>
      </c>
      <c r="D26" t="s">
        <v>56</v>
      </c>
      <c r="E26">
        <v>0.83199999999999996</v>
      </c>
      <c r="F26" t="s">
        <v>57</v>
      </c>
    </row>
    <row r="27" spans="1:6" x14ac:dyDescent="0.35">
      <c r="A27" s="1" t="s">
        <v>33</v>
      </c>
      <c r="B27" s="1">
        <f>B26</f>
        <v>22.645036937148216</v>
      </c>
      <c r="C27" t="s">
        <v>34</v>
      </c>
      <c r="D27" t="s">
        <v>60</v>
      </c>
      <c r="E27">
        <f>E25/E26</f>
        <v>90.580147748592864</v>
      </c>
      <c r="F27" t="s">
        <v>61</v>
      </c>
    </row>
    <row r="28" spans="1:6" x14ac:dyDescent="0.35">
      <c r="A28" t="s">
        <v>35</v>
      </c>
      <c r="B28" s="1">
        <v>1.26</v>
      </c>
      <c r="C28" t="s">
        <v>36</v>
      </c>
    </row>
    <row r="30" spans="1:6" x14ac:dyDescent="0.35">
      <c r="A30" s="1" t="s">
        <v>37</v>
      </c>
      <c r="B30">
        <f>(D2*G2*H2/F2)*B13*B16+(D2*G2*H2/F2)*B14*B17+(D2*G2*H2/F2)*B15*B18+(D2*G2*H2/F2)*(B19+B20+B21+B22)*B23+(D2*G2*H2/F2)*(B24+B25+B26+B27)*B28</f>
        <v>781939.36347955768</v>
      </c>
    </row>
    <row r="32" spans="1:6" x14ac:dyDescent="0.35">
      <c r="A32" t="s">
        <v>54</v>
      </c>
      <c r="B32">
        <f>D2/D10</f>
        <v>5.2273938921585312</v>
      </c>
      <c r="C32" t="s">
        <v>55</v>
      </c>
    </row>
    <row r="33" spans="1:5" x14ac:dyDescent="0.35">
      <c r="A33" t="s">
        <v>38</v>
      </c>
      <c r="B33">
        <f>IF(D2/I2&lt;=0.1,D2/B32/36,IF(AND(D2/I2&gt;0.1,D2/I2&lt;=0.2),D2/B32/9,IF(AND(D2/I2&gt;0.2,D2/I2&lt;=0.3),D2/B32/4,IF(AND(D2/I2&gt;0.3,D2/I2&lt;=0.4),D2/B32/(36/16),IF(AND(D2/I2&gt;0.4,D2/I2&lt;=0.5),D2/B32/(36/25),IF(AND(D2/I2&gt;0.5,D2/I2&lt;=0.6),D2/B32,IF(AND(D2/I2&gt;0.6,D2/I2&lt;=0.7),D2/B32/(36/49),IF(AND(D2/I2&gt;0.7,D2/I2&lt;=0.8),D2/B32/(36/64),IF(AND(D2/I2&gt;0.8,D2/I2&lt;=0.9),D2/B32/(36/81),IF(D2/I2&gt;0.9,D2/B32/(36/100),0))))))))))</f>
        <v>2125.554595719022</v>
      </c>
      <c r="C33" t="s">
        <v>39</v>
      </c>
    </row>
    <row r="34" spans="1:5" x14ac:dyDescent="0.35">
      <c r="A34" t="s">
        <v>40</v>
      </c>
      <c r="B34" s="1">
        <f>40*1.26/100</f>
        <v>0.504</v>
      </c>
      <c r="C34" t="s">
        <v>41</v>
      </c>
      <c r="D34" t="s">
        <v>62</v>
      </c>
      <c r="E34" t="s">
        <v>63</v>
      </c>
    </row>
    <row r="35" spans="1:5" x14ac:dyDescent="0.35">
      <c r="D35">
        <f>40*1.26/100</f>
        <v>0.504</v>
      </c>
      <c r="E35" t="s">
        <v>41</v>
      </c>
    </row>
    <row r="37" spans="1:5" x14ac:dyDescent="0.35">
      <c r="A37" t="s">
        <v>42</v>
      </c>
      <c r="B37">
        <f>B33*B34</f>
        <v>1071.2795162423872</v>
      </c>
    </row>
    <row r="40" spans="1:5" x14ac:dyDescent="0.35">
      <c r="A40" t="s">
        <v>68</v>
      </c>
      <c r="B40">
        <f>IF(D2/I2&lt;=0.3,2.8,IF(D2/I2&gt;0.3,2.8*1.2,0))</f>
        <v>3.36</v>
      </c>
      <c r="C40" t="s">
        <v>16</v>
      </c>
    </row>
    <row r="41" spans="1:5" x14ac:dyDescent="0.35">
      <c r="A41" t="s">
        <v>45</v>
      </c>
      <c r="B41">
        <v>0.19</v>
      </c>
      <c r="C41" t="s">
        <v>47</v>
      </c>
    </row>
    <row r="42" spans="1:5" x14ac:dyDescent="0.35">
      <c r="A42" t="s">
        <v>48</v>
      </c>
      <c r="B42">
        <v>43.52</v>
      </c>
      <c r="C42" t="s">
        <v>67</v>
      </c>
    </row>
    <row r="43" spans="1:5" x14ac:dyDescent="0.35">
      <c r="A43" t="s">
        <v>49</v>
      </c>
      <c r="B43">
        <v>20</v>
      </c>
      <c r="C43" t="s">
        <v>16</v>
      </c>
    </row>
    <row r="44" spans="1:5" x14ac:dyDescent="0.35">
      <c r="A44" t="s">
        <v>46</v>
      </c>
      <c r="B44">
        <v>10</v>
      </c>
      <c r="C44" t="s">
        <v>16</v>
      </c>
    </row>
    <row r="46" spans="1:5" x14ac:dyDescent="0.35">
      <c r="A46" t="s">
        <v>50</v>
      </c>
      <c r="B46">
        <f>B40*D2+B41*B42*D2+B43*D2+B44*D2</f>
        <v>166515.20000000001</v>
      </c>
    </row>
    <row r="48" spans="1:5" x14ac:dyDescent="0.35">
      <c r="A48" t="s">
        <v>69</v>
      </c>
      <c r="B48">
        <v>15000</v>
      </c>
    </row>
    <row r="49" spans="1:8" x14ac:dyDescent="0.35">
      <c r="A49" t="s">
        <v>70</v>
      </c>
      <c r="B49">
        <f>10000*(D2/I2)</f>
        <v>10000</v>
      </c>
    </row>
    <row r="50" spans="1:8" x14ac:dyDescent="0.35">
      <c r="A50" t="s">
        <v>71</v>
      </c>
      <c r="B50">
        <f>10000*(D2/I2)</f>
        <v>10000</v>
      </c>
      <c r="D50" t="s">
        <v>79</v>
      </c>
    </row>
    <row r="51" spans="1:8" x14ac:dyDescent="0.35">
      <c r="A51" t="s">
        <v>72</v>
      </c>
      <c r="B51">
        <f>15000*3*(B33/D10)</f>
        <v>125000.00000000001</v>
      </c>
      <c r="D51" s="4">
        <f>B33/(E7/30*50000)</f>
        <v>1.0735124220803142E-4</v>
      </c>
    </row>
    <row r="52" spans="1:8" x14ac:dyDescent="0.35">
      <c r="A52" t="s">
        <v>74</v>
      </c>
      <c r="B52">
        <f>200*(D2*G2*H2/F2)</f>
        <v>696774.19354838703</v>
      </c>
    </row>
    <row r="54" spans="1:8" x14ac:dyDescent="0.35">
      <c r="A54" t="s">
        <v>75</v>
      </c>
      <c r="B54">
        <f>B52+B51+B50+B49+B48</f>
        <v>856774.19354838703</v>
      </c>
    </row>
    <row r="56" spans="1:8" x14ac:dyDescent="0.35">
      <c r="A56" t="s">
        <v>51</v>
      </c>
      <c r="B56">
        <f>B46+B37+B30+B54</f>
        <v>1806300.036544187</v>
      </c>
    </row>
    <row r="57" spans="1:8" x14ac:dyDescent="0.35">
      <c r="A57" t="s">
        <v>52</v>
      </c>
      <c r="B57">
        <f>-B56+B11</f>
        <v>2511459.963455813</v>
      </c>
      <c r="C57" t="s">
        <v>80</v>
      </c>
      <c r="D57">
        <f>B57/D2</f>
        <v>627.86499086395327</v>
      </c>
    </row>
    <row r="59" spans="1:8" x14ac:dyDescent="0.35">
      <c r="A59" t="s">
        <v>53</v>
      </c>
      <c r="B59">
        <f>B57+B6</f>
        <v>2594416.2757912893</v>
      </c>
      <c r="D59">
        <f>B59/D2</f>
        <v>648.60406894782227</v>
      </c>
    </row>
    <row r="60" spans="1:8" x14ac:dyDescent="0.35">
      <c r="A60" t="s">
        <v>76</v>
      </c>
    </row>
    <row r="62" spans="1:8" x14ac:dyDescent="0.35">
      <c r="A62" t="s">
        <v>78</v>
      </c>
      <c r="B62" t="s">
        <v>83</v>
      </c>
      <c r="C62" t="s">
        <v>84</v>
      </c>
      <c r="D62" t="s">
        <v>85</v>
      </c>
      <c r="E62" t="s">
        <v>78</v>
      </c>
      <c r="F62" t="s">
        <v>83</v>
      </c>
      <c r="G62" t="s">
        <v>84</v>
      </c>
      <c r="H62" t="s">
        <v>85</v>
      </c>
    </row>
    <row r="63" spans="1:8" x14ac:dyDescent="0.35">
      <c r="A63">
        <f>B59</f>
        <v>2594416.2757912893</v>
      </c>
      <c r="B63">
        <f>(1-0.88%+1%-1.31%)</f>
        <v>0.98809999999999987</v>
      </c>
      <c r="C63">
        <f>A63/B63^D63</f>
        <v>2625661.6494193804</v>
      </c>
      <c r="D63">
        <v>1</v>
      </c>
      <c r="E63">
        <v>1364923.0908348951</v>
      </c>
      <c r="F63">
        <v>0.98809999999999987</v>
      </c>
      <c r="G63">
        <v>1381361.2901881342</v>
      </c>
      <c r="H63">
        <v>1</v>
      </c>
    </row>
    <row r="64" spans="1:8" x14ac:dyDescent="0.35">
      <c r="A64">
        <f>A63</f>
        <v>2594416.2757912893</v>
      </c>
      <c r="B64">
        <f t="shared" ref="B64:B72" si="0">(1-0.88%+1%-1.31%)</f>
        <v>0.98809999999999987</v>
      </c>
      <c r="C64">
        <f t="shared" ref="C64:C72" si="1">A64/B64^D64</f>
        <v>2657283.3209385495</v>
      </c>
      <c r="D64">
        <v>2</v>
      </c>
      <c r="E64">
        <v>1364923.0908348951</v>
      </c>
      <c r="F64">
        <v>0.98809999999999987</v>
      </c>
      <c r="G64">
        <v>1397997.4599616784</v>
      </c>
      <c r="H64">
        <v>2</v>
      </c>
    </row>
    <row r="65" spans="1:9" x14ac:dyDescent="0.35">
      <c r="A65">
        <f>A64</f>
        <v>2594416.2757912893</v>
      </c>
      <c r="B65">
        <f t="shared" si="0"/>
        <v>0.98809999999999987</v>
      </c>
      <c r="C65">
        <f t="shared" si="1"/>
        <v>2689285.8222230035</v>
      </c>
      <c r="D65">
        <v>3</v>
      </c>
      <c r="E65">
        <v>1364923.0908348951</v>
      </c>
      <c r="F65">
        <v>0.98809999999999987</v>
      </c>
      <c r="G65">
        <v>1414833.9843757499</v>
      </c>
      <c r="H65">
        <v>3</v>
      </c>
    </row>
    <row r="66" spans="1:9" x14ac:dyDescent="0.35">
      <c r="A66">
        <f t="shared" ref="A66:A72" si="2">A65</f>
        <v>2594416.2757912893</v>
      </c>
      <c r="B66">
        <f t="shared" si="0"/>
        <v>0.98809999999999987</v>
      </c>
      <c r="C66">
        <f t="shared" si="1"/>
        <v>2721673.7397257402</v>
      </c>
      <c r="D66">
        <v>4</v>
      </c>
      <c r="E66">
        <v>1364923.0908348951</v>
      </c>
      <c r="F66">
        <v>0.98809999999999987</v>
      </c>
      <c r="G66">
        <v>1431873.2763644876</v>
      </c>
      <c r="H66">
        <v>4</v>
      </c>
    </row>
    <row r="67" spans="1:9" x14ac:dyDescent="0.35">
      <c r="A67">
        <f t="shared" si="2"/>
        <v>2594416.2757912893</v>
      </c>
      <c r="B67">
        <f t="shared" si="0"/>
        <v>0.98809999999999987</v>
      </c>
      <c r="C67">
        <f t="shared" si="1"/>
        <v>2754451.7151358575</v>
      </c>
      <c r="D67">
        <v>5</v>
      </c>
      <c r="E67">
        <v>1364923.0908348951</v>
      </c>
      <c r="F67">
        <v>0.98809999999999987</v>
      </c>
      <c r="G67">
        <v>1449117.7779217567</v>
      </c>
      <c r="H67">
        <v>5</v>
      </c>
    </row>
    <row r="68" spans="1:9" x14ac:dyDescent="0.35">
      <c r="A68">
        <f t="shared" si="2"/>
        <v>2594416.2757912893</v>
      </c>
      <c r="B68">
        <f t="shared" si="0"/>
        <v>0.98809999999999987</v>
      </c>
      <c r="C68">
        <f t="shared" si="1"/>
        <v>2787624.4460437787</v>
      </c>
      <c r="D68">
        <v>6</v>
      </c>
      <c r="E68">
        <v>1364923.0908348951</v>
      </c>
      <c r="F68">
        <v>0.98809999999999987</v>
      </c>
      <c r="G68">
        <v>1466569.9604511252</v>
      </c>
      <c r="H68">
        <v>6</v>
      </c>
    </row>
    <row r="69" spans="1:9" x14ac:dyDescent="0.35">
      <c r="A69">
        <f t="shared" si="2"/>
        <v>2594416.2757912893</v>
      </c>
      <c r="B69">
        <f t="shared" si="0"/>
        <v>0.98809999999999987</v>
      </c>
      <c r="C69">
        <f t="shared" si="1"/>
        <v>2821196.686614491</v>
      </c>
      <c r="D69">
        <v>7</v>
      </c>
      <c r="E69">
        <v>1364923.0908348951</v>
      </c>
      <c r="F69">
        <v>0.98809999999999987</v>
      </c>
      <c r="G69">
        <v>1484232.325120054</v>
      </c>
      <c r="H69">
        <v>7</v>
      </c>
    </row>
    <row r="70" spans="1:9" x14ac:dyDescent="0.35">
      <c r="A70">
        <f t="shared" si="2"/>
        <v>2594416.2757912893</v>
      </c>
      <c r="B70">
        <f t="shared" si="0"/>
        <v>0.98809999999999987</v>
      </c>
      <c r="C70">
        <f t="shared" si="1"/>
        <v>2855173.2482688916</v>
      </c>
      <c r="D70">
        <v>8</v>
      </c>
      <c r="E70">
        <v>1364923.0908348951</v>
      </c>
      <c r="F70">
        <v>0.98809999999999987</v>
      </c>
      <c r="G70">
        <v>1502107.4032183527</v>
      </c>
      <c r="H70">
        <v>8</v>
      </c>
    </row>
    <row r="71" spans="1:9" x14ac:dyDescent="0.35">
      <c r="A71">
        <f t="shared" si="2"/>
        <v>2594416.2757912893</v>
      </c>
      <c r="B71">
        <f t="shared" si="0"/>
        <v>0.98809999999999987</v>
      </c>
      <c r="C71">
        <f t="shared" si="1"/>
        <v>2889559.0003733346</v>
      </c>
      <c r="D71">
        <v>9</v>
      </c>
      <c r="E71">
        <v>1364923.0908348951</v>
      </c>
      <c r="F71">
        <v>0.98809999999999987</v>
      </c>
      <c r="G71">
        <v>1520197.7565209523</v>
      </c>
      <c r="H71">
        <v>9</v>
      </c>
    </row>
    <row r="72" spans="1:9" x14ac:dyDescent="0.35">
      <c r="A72">
        <f t="shared" si="2"/>
        <v>2594416.2757912893</v>
      </c>
      <c r="B72">
        <f t="shared" si="0"/>
        <v>0.98809999999999987</v>
      </c>
      <c r="C72">
        <f t="shared" si="1"/>
        <v>2924358.8709374913</v>
      </c>
      <c r="D72">
        <v>10</v>
      </c>
      <c r="E72">
        <v>1364923.0908348951</v>
      </c>
      <c r="F72">
        <v>0.98809999999999987</v>
      </c>
      <c r="G72">
        <v>1538505.9776550476</v>
      </c>
      <c r="H72">
        <v>10</v>
      </c>
      <c r="I72" t="s">
        <v>96</v>
      </c>
    </row>
    <row r="73" spans="1:9" x14ac:dyDescent="0.35">
      <c r="B73" t="s">
        <v>86</v>
      </c>
      <c r="C73">
        <f>SUM(C63:C72)</f>
        <v>27726268.499680519</v>
      </c>
      <c r="F73" t="s">
        <v>86</v>
      </c>
      <c r="G73">
        <v>14586797.211777341</v>
      </c>
      <c r="I73">
        <f>C73-G73</f>
        <v>13139471.287903178</v>
      </c>
    </row>
    <row r="76" spans="1:9" x14ac:dyDescent="0.35">
      <c r="A76" t="s">
        <v>88</v>
      </c>
      <c r="B76">
        <f>B3*B2</f>
        <v>46.571139041934529</v>
      </c>
      <c r="C76" t="s">
        <v>93</v>
      </c>
    </row>
    <row r="77" spans="1:9" x14ac:dyDescent="0.35">
      <c r="A77" t="s">
        <v>89</v>
      </c>
      <c r="B77">
        <f>B4*B2</f>
        <v>25.832060958065455</v>
      </c>
      <c r="C77" t="s">
        <v>93</v>
      </c>
    </row>
    <row r="78" spans="1:9" x14ac:dyDescent="0.35">
      <c r="A78" t="s">
        <v>90</v>
      </c>
      <c r="B78">
        <f>B11/D2</f>
        <v>1079.44</v>
      </c>
      <c r="C78" t="s">
        <v>93</v>
      </c>
    </row>
    <row r="79" spans="1:9" x14ac:dyDescent="0.35">
      <c r="A79" t="s">
        <v>91</v>
      </c>
      <c r="B79">
        <f>B56/D2</f>
        <v>451.57500913604673</v>
      </c>
      <c r="C79" t="s">
        <v>93</v>
      </c>
    </row>
    <row r="80" spans="1:9" x14ac:dyDescent="0.35">
      <c r="A80" t="s">
        <v>92</v>
      </c>
      <c r="B80">
        <f>B6/D2</f>
        <v>20.739078083869071</v>
      </c>
      <c r="C80" t="s">
        <v>93</v>
      </c>
    </row>
    <row r="81" spans="1:3" x14ac:dyDescent="0.35">
      <c r="A81" t="s">
        <v>52</v>
      </c>
      <c r="B81">
        <f>B57/D2</f>
        <v>627.86499086395327</v>
      </c>
      <c r="C8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B1" workbookViewId="0">
      <selection activeCell="I72" sqref="I72:I73"/>
    </sheetView>
  </sheetViews>
  <sheetFormatPr defaultRowHeight="14.5" x14ac:dyDescent="0.35"/>
  <cols>
    <col min="1" max="1" width="35.453125" bestFit="1" customWidth="1"/>
    <col min="2" max="2" width="15.54296875" bestFit="1" customWidth="1"/>
    <col min="3" max="3" width="17.90625" bestFit="1" customWidth="1"/>
    <col min="4" max="4" width="18" bestFit="1" customWidth="1"/>
    <col min="5" max="5" width="15.81640625" bestFit="1" customWidth="1"/>
    <col min="6" max="6" width="14.1796875" bestFit="1" customWidth="1"/>
    <col min="7" max="7" width="19.453125" bestFit="1" customWidth="1"/>
    <col min="8" max="8" width="22.6328125" bestFit="1" customWidth="1"/>
    <col min="9" max="9" width="12.453125" bestFit="1" customWidth="1"/>
  </cols>
  <sheetData>
    <row r="1" spans="1:9" x14ac:dyDescent="0.35">
      <c r="B1" t="s">
        <v>2</v>
      </c>
      <c r="C1" t="s">
        <v>3</v>
      </c>
      <c r="D1" t="s">
        <v>5</v>
      </c>
      <c r="E1" t="s">
        <v>9</v>
      </c>
      <c r="F1" t="s">
        <v>18</v>
      </c>
      <c r="G1" t="s">
        <v>19</v>
      </c>
      <c r="H1" t="s">
        <v>19</v>
      </c>
      <c r="I1" t="s">
        <v>64</v>
      </c>
    </row>
    <row r="2" spans="1:9" x14ac:dyDescent="0.35">
      <c r="A2" t="s">
        <v>0</v>
      </c>
      <c r="B2">
        <v>24</v>
      </c>
      <c r="C2" t="s">
        <v>16</v>
      </c>
      <c r="D2">
        <v>4000</v>
      </c>
      <c r="E2">
        <f>D2*1.96</f>
        <v>7840</v>
      </c>
      <c r="F2">
        <v>2.9249999999999998</v>
      </c>
      <c r="G2">
        <v>1.01</v>
      </c>
      <c r="H2">
        <v>2.9405940594059405</v>
      </c>
      <c r="I2">
        <v>4000</v>
      </c>
    </row>
    <row r="3" spans="1:9" x14ac:dyDescent="0.35">
      <c r="A3" t="s">
        <v>1</v>
      </c>
      <c r="B3">
        <v>1.6859024876273749</v>
      </c>
      <c r="C3" t="s">
        <v>15</v>
      </c>
      <c r="D3" t="s">
        <v>14</v>
      </c>
      <c r="E3" t="s">
        <v>14</v>
      </c>
      <c r="F3" t="s">
        <v>17</v>
      </c>
      <c r="G3" t="s">
        <v>43</v>
      </c>
      <c r="H3" t="s">
        <v>44</v>
      </c>
      <c r="I3" t="s">
        <v>14</v>
      </c>
    </row>
    <row r="4" spans="1:9" x14ac:dyDescent="0.35">
      <c r="A4" t="s">
        <v>4</v>
      </c>
      <c r="B4">
        <v>1.3308975123726245</v>
      </c>
      <c r="C4" t="s">
        <v>15</v>
      </c>
    </row>
    <row r="6" spans="1:9" x14ac:dyDescent="0.35">
      <c r="A6" t="s">
        <v>6</v>
      </c>
      <c r="B6">
        <f>B2*B3*D2-B2*B4*D2</f>
        <v>34080.477624456034</v>
      </c>
      <c r="C6">
        <f>B6/D2</f>
        <v>8.5201194061140093</v>
      </c>
      <c r="D6" t="s">
        <v>65</v>
      </c>
      <c r="E6" t="s">
        <v>66</v>
      </c>
      <c r="F6" t="s">
        <v>73</v>
      </c>
      <c r="G6" t="s">
        <v>77</v>
      </c>
      <c r="H6" t="s">
        <v>52</v>
      </c>
    </row>
    <row r="7" spans="1:9" x14ac:dyDescent="0.35">
      <c r="D7">
        <v>6217.5</v>
      </c>
      <c r="E7">
        <f>D2*G2*H2</f>
        <v>11880</v>
      </c>
      <c r="F7">
        <f>D2*G2*H2/F2</f>
        <v>4061.5384615384619</v>
      </c>
      <c r="G7" s="3">
        <f>D2/I2</f>
        <v>1</v>
      </c>
      <c r="H7">
        <v>0</v>
      </c>
    </row>
    <row r="8" spans="1:9" x14ac:dyDescent="0.35">
      <c r="A8" t="s">
        <v>7</v>
      </c>
      <c r="B8">
        <v>807</v>
      </c>
      <c r="C8" t="s">
        <v>16</v>
      </c>
    </row>
    <row r="9" spans="1:9" x14ac:dyDescent="0.35">
      <c r="A9" t="s">
        <v>8</v>
      </c>
      <c r="B9">
        <v>139</v>
      </c>
      <c r="C9" t="s">
        <v>16</v>
      </c>
      <c r="D9" t="s">
        <v>38</v>
      </c>
    </row>
    <row r="10" spans="1:9" x14ac:dyDescent="0.35">
      <c r="D10">
        <v>1635.2914726482559</v>
      </c>
    </row>
    <row r="11" spans="1:9" x14ac:dyDescent="0.35">
      <c r="A11" t="s">
        <v>10</v>
      </c>
      <c r="B11">
        <f>B8*D2+B9*E2</f>
        <v>4317760</v>
      </c>
    </row>
    <row r="13" spans="1:9" x14ac:dyDescent="0.35">
      <c r="A13" s="1" t="s">
        <v>11</v>
      </c>
      <c r="B13">
        <v>0.13527413821472639</v>
      </c>
      <c r="C13" t="s">
        <v>17</v>
      </c>
    </row>
    <row r="14" spans="1:9" x14ac:dyDescent="0.35">
      <c r="A14" s="1" t="s">
        <v>12</v>
      </c>
      <c r="B14">
        <v>2.6874117647058823E-2</v>
      </c>
      <c r="C14" t="s">
        <v>17</v>
      </c>
    </row>
    <row r="15" spans="1:9" x14ac:dyDescent="0.35">
      <c r="A15" s="1" t="s">
        <v>13</v>
      </c>
      <c r="B15">
        <v>2.8979999999999999E-2</v>
      </c>
      <c r="C15" t="s">
        <v>17</v>
      </c>
    </row>
    <row r="16" spans="1:9" x14ac:dyDescent="0.35">
      <c r="A16" t="s">
        <v>20</v>
      </c>
      <c r="B16" s="1">
        <v>400</v>
      </c>
      <c r="C16" t="s">
        <v>16</v>
      </c>
    </row>
    <row r="17" spans="1:6" x14ac:dyDescent="0.35">
      <c r="A17" t="s">
        <v>21</v>
      </c>
      <c r="B17" s="1">
        <v>400</v>
      </c>
      <c r="C17" t="s">
        <v>16</v>
      </c>
    </row>
    <row r="18" spans="1:6" x14ac:dyDescent="0.35">
      <c r="A18" t="s">
        <v>22</v>
      </c>
      <c r="B18" s="1">
        <v>400</v>
      </c>
      <c r="C18" t="s">
        <v>16</v>
      </c>
    </row>
    <row r="19" spans="1:6" x14ac:dyDescent="0.35">
      <c r="A19" t="s">
        <v>23</v>
      </c>
      <c r="B19" s="1">
        <v>1</v>
      </c>
      <c r="C19" t="s">
        <v>27</v>
      </c>
    </row>
    <row r="20" spans="1:6" x14ac:dyDescent="0.35">
      <c r="A20" t="s">
        <v>24</v>
      </c>
      <c r="B20" s="1">
        <v>0.5</v>
      </c>
      <c r="C20" t="s">
        <v>27</v>
      </c>
    </row>
    <row r="21" spans="1:6" x14ac:dyDescent="0.35">
      <c r="A21" t="s">
        <v>25</v>
      </c>
      <c r="B21" s="1">
        <v>0.33</v>
      </c>
      <c r="C21" t="s">
        <v>27</v>
      </c>
    </row>
    <row r="22" spans="1:6" x14ac:dyDescent="0.35">
      <c r="A22" t="s">
        <v>26</v>
      </c>
      <c r="B22" s="1">
        <v>1.25</v>
      </c>
      <c r="C22" t="s">
        <v>27</v>
      </c>
    </row>
    <row r="23" spans="1:6" x14ac:dyDescent="0.35">
      <c r="A23" t="s">
        <v>28</v>
      </c>
      <c r="B23" s="1">
        <v>10.45</v>
      </c>
      <c r="C23" t="s">
        <v>29</v>
      </c>
    </row>
    <row r="24" spans="1:6" x14ac:dyDescent="0.35">
      <c r="A24" s="1" t="s">
        <v>30</v>
      </c>
      <c r="B24" s="1">
        <f>E27/4</f>
        <v>22.645036937148216</v>
      </c>
      <c r="C24" t="s">
        <v>34</v>
      </c>
    </row>
    <row r="25" spans="1:6" x14ac:dyDescent="0.35">
      <c r="A25" s="1" t="s">
        <v>31</v>
      </c>
      <c r="B25" s="1">
        <f>B24</f>
        <v>22.645036937148216</v>
      </c>
      <c r="C25" t="s">
        <v>34</v>
      </c>
      <c r="D25" t="s">
        <v>58</v>
      </c>
      <c r="E25">
        <v>75.362682926829265</v>
      </c>
      <c r="F25" t="s">
        <v>59</v>
      </c>
    </row>
    <row r="26" spans="1:6" x14ac:dyDescent="0.35">
      <c r="A26" s="1" t="s">
        <v>32</v>
      </c>
      <c r="B26" s="1">
        <f>B25</f>
        <v>22.645036937148216</v>
      </c>
      <c r="C26" t="s">
        <v>34</v>
      </c>
      <c r="D26" t="s">
        <v>56</v>
      </c>
      <c r="E26">
        <v>0.83199999999999996</v>
      </c>
      <c r="F26" t="s">
        <v>57</v>
      </c>
    </row>
    <row r="27" spans="1:6" x14ac:dyDescent="0.35">
      <c r="A27" s="1" t="s">
        <v>33</v>
      </c>
      <c r="B27" s="1">
        <f>B26</f>
        <v>22.645036937148216</v>
      </c>
      <c r="C27" t="s">
        <v>34</v>
      </c>
      <c r="D27" t="s">
        <v>60</v>
      </c>
      <c r="E27">
        <f>E25/E26</f>
        <v>90.580147748592864</v>
      </c>
      <c r="F27" t="s">
        <v>61</v>
      </c>
    </row>
    <row r="28" spans="1:6" x14ac:dyDescent="0.35">
      <c r="A28" t="s">
        <v>35</v>
      </c>
      <c r="B28" s="1">
        <v>1.26</v>
      </c>
      <c r="C28" t="s">
        <v>36</v>
      </c>
    </row>
    <row r="30" spans="1:6" x14ac:dyDescent="0.35">
      <c r="A30" s="1" t="s">
        <v>37</v>
      </c>
      <c r="B30">
        <f>(D2*G2*H2/F2)*B13*B16+(D2*G2*H2/F2)*B14*B17+(D2*G2*H2/F2)*B15*B18+(D2*G2*H2/F2)*(B19+B20+B21+B22)*B23+(D2*G2*H2/F2)*(B24+B25+B26+B27)*B28</f>
        <v>904781.97178609925</v>
      </c>
    </row>
    <row r="32" spans="1:6" x14ac:dyDescent="0.35">
      <c r="A32" t="s">
        <v>54</v>
      </c>
      <c r="B32">
        <f>D2/D10</f>
        <v>2.4460471218150741</v>
      </c>
      <c r="C32" t="s">
        <v>55</v>
      </c>
    </row>
    <row r="33" spans="1:5" x14ac:dyDescent="0.35">
      <c r="A33" t="s">
        <v>38</v>
      </c>
      <c r="B33">
        <f>IF(D2/I2&lt;=0.1,D2/B32/36,IF(AND(D2/I2&gt;0.1,D2/I2&lt;=0.2),D2/B32/9,IF(AND(D2/I2&gt;0.2,D2/I2&lt;=0.3),D2/B32/4,IF(AND(D2/I2&gt;0.3,D2/I2&lt;=0.4),D2/B32/(36/16),IF(AND(D2/I2&gt;0.4,D2/I2&lt;=0.5),D2/B32/(36/25),IF(AND(D2/I2&gt;0.5,D2/I2&lt;=0.6),D2/B32,IF(AND(D2/I2&gt;0.6,D2/I2&lt;=0.7),D2/B32/(36/49),IF(AND(D2/I2&gt;0.7,D2/I2&lt;=0.8),D2/B32/(36/64),IF(AND(D2/I2&gt;0.8,D2/I2&lt;=0.9),D2/B32/(36/81),IF(D2/I2&gt;0.9,D2/B32/(36/100),0))))))))))</f>
        <v>4542.4763129118219</v>
      </c>
      <c r="C33" t="s">
        <v>39</v>
      </c>
    </row>
    <row r="34" spans="1:5" x14ac:dyDescent="0.35">
      <c r="A34" t="s">
        <v>40</v>
      </c>
      <c r="B34" s="1">
        <f>40*1.26/100</f>
        <v>0.504</v>
      </c>
      <c r="C34" t="s">
        <v>41</v>
      </c>
      <c r="D34" t="s">
        <v>62</v>
      </c>
      <c r="E34" t="s">
        <v>63</v>
      </c>
    </row>
    <row r="35" spans="1:5" x14ac:dyDescent="0.35">
      <c r="D35">
        <f>40*1.26/100</f>
        <v>0.504</v>
      </c>
      <c r="E35" t="s">
        <v>41</v>
      </c>
    </row>
    <row r="37" spans="1:5" x14ac:dyDescent="0.35">
      <c r="A37" t="s">
        <v>42</v>
      </c>
      <c r="B37">
        <f>B33*B34</f>
        <v>2289.4080617075583</v>
      </c>
    </row>
    <row r="40" spans="1:5" x14ac:dyDescent="0.35">
      <c r="A40" t="s">
        <v>68</v>
      </c>
      <c r="B40">
        <f>IF(D2/I2&lt;=0.3,2.8,IF(D2/I2&gt;0.3,2.8*1.2,0))</f>
        <v>3.36</v>
      </c>
      <c r="C40" t="s">
        <v>16</v>
      </c>
    </row>
    <row r="41" spans="1:5" x14ac:dyDescent="0.35">
      <c r="A41" t="s">
        <v>45</v>
      </c>
      <c r="B41">
        <v>0.19</v>
      </c>
      <c r="C41" t="s">
        <v>47</v>
      </c>
    </row>
    <row r="42" spans="1:5" x14ac:dyDescent="0.35">
      <c r="A42" t="s">
        <v>48</v>
      </c>
      <c r="B42">
        <v>43.52</v>
      </c>
      <c r="C42" t="s">
        <v>67</v>
      </c>
    </row>
    <row r="43" spans="1:5" x14ac:dyDescent="0.35">
      <c r="A43" t="s">
        <v>49</v>
      </c>
      <c r="B43">
        <v>20</v>
      </c>
      <c r="C43" t="s">
        <v>16</v>
      </c>
    </row>
    <row r="44" spans="1:5" x14ac:dyDescent="0.35">
      <c r="A44" t="s">
        <v>46</v>
      </c>
      <c r="B44">
        <v>10</v>
      </c>
      <c r="C44" t="s">
        <v>16</v>
      </c>
    </row>
    <row r="46" spans="1:5" x14ac:dyDescent="0.35">
      <c r="A46" t="s">
        <v>50</v>
      </c>
      <c r="B46">
        <f>B40*D2+B41*B42*D2+B43*D2+B44*D2</f>
        <v>166515.20000000001</v>
      </c>
    </row>
    <row r="48" spans="1:5" x14ac:dyDescent="0.35">
      <c r="A48" t="s">
        <v>69</v>
      </c>
      <c r="B48">
        <v>15000</v>
      </c>
    </row>
    <row r="49" spans="1:8" x14ac:dyDescent="0.35">
      <c r="A49" t="s">
        <v>70</v>
      </c>
      <c r="B49">
        <f>10000*(D2/I2)</f>
        <v>10000</v>
      </c>
    </row>
    <row r="50" spans="1:8" x14ac:dyDescent="0.35">
      <c r="A50" t="s">
        <v>71</v>
      </c>
      <c r="B50">
        <f>10000*(D2/I2)</f>
        <v>10000</v>
      </c>
      <c r="D50" t="s">
        <v>79</v>
      </c>
    </row>
    <row r="51" spans="1:8" x14ac:dyDescent="0.35">
      <c r="A51" t="s">
        <v>72</v>
      </c>
      <c r="B51">
        <f>15000*3*(B33/D10)</f>
        <v>125000</v>
      </c>
      <c r="D51" s="4">
        <f>B33/(E7/30*50000)</f>
        <v>2.2941799560160717E-4</v>
      </c>
    </row>
    <row r="52" spans="1:8" x14ac:dyDescent="0.35">
      <c r="A52" t="s">
        <v>74</v>
      </c>
      <c r="B52">
        <f>200*(D2*G2*H2/F2)</f>
        <v>812307.69230769237</v>
      </c>
    </row>
    <row r="54" spans="1:8" x14ac:dyDescent="0.35">
      <c r="A54" t="s">
        <v>75</v>
      </c>
      <c r="B54">
        <f>B52+B51+B50+B49+B48</f>
        <v>972307.69230769237</v>
      </c>
    </row>
    <row r="56" spans="1:8" x14ac:dyDescent="0.35">
      <c r="A56" t="s">
        <v>51</v>
      </c>
      <c r="B56">
        <f>B46+B37+B30+B54</f>
        <v>2045894.2721554991</v>
      </c>
    </row>
    <row r="57" spans="1:8" x14ac:dyDescent="0.35">
      <c r="A57" t="s">
        <v>52</v>
      </c>
      <c r="B57">
        <f>-B56+B11</f>
        <v>2271865.7278445009</v>
      </c>
      <c r="C57" t="s">
        <v>80</v>
      </c>
      <c r="D57">
        <f>B57/D2</f>
        <v>567.96643196112518</v>
      </c>
    </row>
    <row r="59" spans="1:8" x14ac:dyDescent="0.35">
      <c r="A59" t="s">
        <v>53</v>
      </c>
      <c r="B59">
        <f>B57+B6</f>
        <v>2305946.2054689568</v>
      </c>
      <c r="D59">
        <f>B59/D2</f>
        <v>576.48655136723926</v>
      </c>
    </row>
    <row r="60" spans="1:8" x14ac:dyDescent="0.35">
      <c r="A60" t="s">
        <v>76</v>
      </c>
    </row>
    <row r="62" spans="1:8" x14ac:dyDescent="0.35">
      <c r="A62" t="s">
        <v>78</v>
      </c>
      <c r="B62" t="s">
        <v>83</v>
      </c>
      <c r="C62" t="s">
        <v>84</v>
      </c>
      <c r="D62" t="s">
        <v>85</v>
      </c>
      <c r="E62" t="s">
        <v>78</v>
      </c>
      <c r="F62" t="s">
        <v>83</v>
      </c>
      <c r="G62" t="s">
        <v>84</v>
      </c>
      <c r="H62" t="s">
        <v>85</v>
      </c>
    </row>
    <row r="63" spans="1:8" x14ac:dyDescent="0.35">
      <c r="A63">
        <f>B59</f>
        <v>2305946.2054689568</v>
      </c>
      <c r="B63">
        <f>(1-0.88%+1%-1.31%)</f>
        <v>0.98809999999999987</v>
      </c>
      <c r="C63">
        <f>A63/B63^D63</f>
        <v>2333717.4430411467</v>
      </c>
      <c r="D63">
        <v>1</v>
      </c>
      <c r="E63">
        <v>1220480.9416438208</v>
      </c>
      <c r="F63">
        <v>0.98809999999999987</v>
      </c>
      <c r="G63">
        <v>1235179.5786295121</v>
      </c>
      <c r="H63">
        <v>1</v>
      </c>
    </row>
    <row r="64" spans="1:8" x14ac:dyDescent="0.35">
      <c r="A64">
        <f>A63</f>
        <v>2305946.2054689568</v>
      </c>
      <c r="B64">
        <f t="shared" ref="B64:B72" si="0">(1-0.88%+1%-1.31%)</f>
        <v>0.98809999999999987</v>
      </c>
      <c r="C64">
        <f t="shared" ref="C64:C72" si="1">A64/B64^D64</f>
        <v>2361823.1383879636</v>
      </c>
      <c r="D64">
        <v>2</v>
      </c>
      <c r="E64">
        <v>1220480.9416438208</v>
      </c>
      <c r="F64">
        <v>0.98809999999999987</v>
      </c>
      <c r="G64">
        <v>1250055.2359371646</v>
      </c>
      <c r="H64">
        <v>2</v>
      </c>
    </row>
    <row r="65" spans="1:9" x14ac:dyDescent="0.35">
      <c r="A65">
        <f>A64</f>
        <v>2305946.2054689568</v>
      </c>
      <c r="B65">
        <f t="shared" si="0"/>
        <v>0.98809999999999987</v>
      </c>
      <c r="C65">
        <f t="shared" si="1"/>
        <v>2390267.319489894</v>
      </c>
      <c r="D65">
        <v>3</v>
      </c>
      <c r="E65">
        <v>1220480.9416438208</v>
      </c>
      <c r="F65">
        <v>0.98809999999999987</v>
      </c>
      <c r="G65">
        <v>1265110.0454783572</v>
      </c>
      <c r="H65">
        <v>3</v>
      </c>
    </row>
    <row r="66" spans="1:9" x14ac:dyDescent="0.35">
      <c r="A66">
        <f t="shared" ref="A66:A72" si="2">A65</f>
        <v>2305946.2054689568</v>
      </c>
      <c r="B66">
        <f t="shared" si="0"/>
        <v>0.98809999999999987</v>
      </c>
      <c r="C66">
        <f t="shared" si="1"/>
        <v>2419054.0628376626</v>
      </c>
      <c r="D66">
        <v>4</v>
      </c>
      <c r="E66">
        <v>1220480.9416438208</v>
      </c>
      <c r="F66">
        <v>0.98809999999999987</v>
      </c>
      <c r="G66">
        <v>1280346.164839953</v>
      </c>
      <c r="H66">
        <v>4</v>
      </c>
    </row>
    <row r="67" spans="1:9" x14ac:dyDescent="0.35">
      <c r="A67">
        <f t="shared" si="2"/>
        <v>2305946.2054689568</v>
      </c>
      <c r="B67">
        <f t="shared" si="0"/>
        <v>0.98809999999999987</v>
      </c>
      <c r="C67">
        <f t="shared" si="1"/>
        <v>2448187.4940164587</v>
      </c>
      <c r="D67">
        <v>5</v>
      </c>
      <c r="E67">
        <v>1220480.9416438208</v>
      </c>
      <c r="F67">
        <v>0.98809999999999987</v>
      </c>
      <c r="G67">
        <v>1295765.7775933135</v>
      </c>
      <c r="H67">
        <v>5</v>
      </c>
    </row>
    <row r="68" spans="1:9" x14ac:dyDescent="0.35">
      <c r="A68">
        <f t="shared" si="2"/>
        <v>2305946.2054689568</v>
      </c>
      <c r="B68">
        <f t="shared" si="0"/>
        <v>0.98809999999999987</v>
      </c>
      <c r="C68">
        <f t="shared" si="1"/>
        <v>2477671.7882971955</v>
      </c>
      <c r="D68">
        <v>6</v>
      </c>
      <c r="E68">
        <v>1220480.9416438208</v>
      </c>
      <c r="F68">
        <v>0.98809999999999987</v>
      </c>
      <c r="G68">
        <v>1311371.0936072399</v>
      </c>
      <c r="H68">
        <v>6</v>
      </c>
    </row>
    <row r="69" spans="1:9" x14ac:dyDescent="0.35">
      <c r="A69">
        <f t="shared" si="2"/>
        <v>2305946.2054689568</v>
      </c>
      <c r="B69">
        <f t="shared" si="0"/>
        <v>0.98809999999999987</v>
      </c>
      <c r="C69">
        <f t="shared" si="1"/>
        <v>2507511.1712348908</v>
      </c>
      <c r="D69">
        <v>7</v>
      </c>
      <c r="E69">
        <v>1220480.9416438208</v>
      </c>
      <c r="F69">
        <v>0.98809999999999987</v>
      </c>
      <c r="G69">
        <v>1327164.3493646795</v>
      </c>
      <c r="H69">
        <v>7</v>
      </c>
    </row>
    <row r="70" spans="1:9" x14ac:dyDescent="0.35">
      <c r="A70">
        <f t="shared" si="2"/>
        <v>2305946.2054689568</v>
      </c>
      <c r="B70">
        <f t="shared" si="0"/>
        <v>0.98809999999999987</v>
      </c>
      <c r="C70">
        <f t="shared" si="1"/>
        <v>2537709.9192742552</v>
      </c>
      <c r="D70">
        <v>8</v>
      </c>
      <c r="E70">
        <v>1220480.9416438208</v>
      </c>
      <c r="F70">
        <v>0.98809999999999987</v>
      </c>
      <c r="G70">
        <v>1343147.8082832505</v>
      </c>
      <c r="H70">
        <v>8</v>
      </c>
    </row>
    <row r="71" spans="1:9" x14ac:dyDescent="0.35">
      <c r="A71">
        <f t="shared" si="2"/>
        <v>2305946.2054689568</v>
      </c>
      <c r="B71">
        <f t="shared" si="0"/>
        <v>0.98809999999999987</v>
      </c>
      <c r="C71">
        <f t="shared" si="1"/>
        <v>2568272.3603625703</v>
      </c>
      <c r="D71">
        <v>9</v>
      </c>
      <c r="E71">
        <v>1220480.9416438208</v>
      </c>
      <c r="F71">
        <v>0.98809999999999987</v>
      </c>
      <c r="G71">
        <v>1359323.7610396224</v>
      </c>
      <c r="H71">
        <v>9</v>
      </c>
    </row>
    <row r="72" spans="1:9" x14ac:dyDescent="0.35">
      <c r="A72">
        <f t="shared" si="2"/>
        <v>2305946.2054689568</v>
      </c>
      <c r="B72">
        <f t="shared" si="0"/>
        <v>0.98809999999999987</v>
      </c>
      <c r="C72">
        <f t="shared" si="1"/>
        <v>2599202.874569953</v>
      </c>
      <c r="D72">
        <v>10</v>
      </c>
      <c r="E72">
        <v>1220480.9416438208</v>
      </c>
      <c r="F72">
        <v>0.98809999999999987</v>
      </c>
      <c r="G72">
        <v>1375694.5258978063</v>
      </c>
      <c r="H72">
        <v>10</v>
      </c>
      <c r="I72" t="s">
        <v>96</v>
      </c>
    </row>
    <row r="73" spans="1:9" x14ac:dyDescent="0.35">
      <c r="B73" t="s">
        <v>86</v>
      </c>
      <c r="C73">
        <f>SUM(C63:C72)</f>
        <v>24643417.571511991</v>
      </c>
      <c r="F73" t="s">
        <v>86</v>
      </c>
      <c r="G73">
        <v>13043158.340670899</v>
      </c>
      <c r="I73">
        <f>C73-G73</f>
        <v>11600259.230841093</v>
      </c>
    </row>
    <row r="76" spans="1:9" x14ac:dyDescent="0.35">
      <c r="A76" t="s">
        <v>88</v>
      </c>
      <c r="B76">
        <f>B3*B2</f>
        <v>40.461659703056995</v>
      </c>
      <c r="C76" t="s">
        <v>93</v>
      </c>
    </row>
    <row r="77" spans="1:9" x14ac:dyDescent="0.35">
      <c r="A77" t="s">
        <v>89</v>
      </c>
      <c r="B77">
        <f>B4*B2</f>
        <v>31.941540296942989</v>
      </c>
      <c r="C77" t="s">
        <v>93</v>
      </c>
    </row>
    <row r="78" spans="1:9" x14ac:dyDescent="0.35">
      <c r="A78" t="s">
        <v>90</v>
      </c>
      <c r="B78">
        <f>B11/D2</f>
        <v>1079.44</v>
      </c>
      <c r="C78" t="s">
        <v>93</v>
      </c>
    </row>
    <row r="79" spans="1:9" x14ac:dyDescent="0.35">
      <c r="A79" t="s">
        <v>91</v>
      </c>
      <c r="B79">
        <f>B56/D2</f>
        <v>511.47356803887476</v>
      </c>
      <c r="C79" t="s">
        <v>93</v>
      </c>
    </row>
    <row r="80" spans="1:9" x14ac:dyDescent="0.35">
      <c r="A80" t="s">
        <v>92</v>
      </c>
      <c r="B80">
        <f>B6/D2</f>
        <v>8.5201194061140093</v>
      </c>
      <c r="C80" t="s">
        <v>93</v>
      </c>
    </row>
    <row r="81" spans="1:3" x14ac:dyDescent="0.35">
      <c r="A81" t="s">
        <v>52</v>
      </c>
      <c r="B81">
        <f>B57/D2</f>
        <v>567.96643196112518</v>
      </c>
      <c r="C8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B1" zoomScaleNormal="100" workbookViewId="0">
      <selection activeCell="I72" sqref="I72:I73"/>
    </sheetView>
  </sheetViews>
  <sheetFormatPr defaultRowHeight="14.5" x14ac:dyDescent="0.35"/>
  <cols>
    <col min="1" max="1" width="35.453125" bestFit="1" customWidth="1"/>
    <col min="2" max="2" width="15.54296875" bestFit="1" customWidth="1"/>
    <col min="3" max="3" width="17.90625" bestFit="1" customWidth="1"/>
    <col min="4" max="4" width="18" bestFit="1" customWidth="1"/>
    <col min="5" max="5" width="15.81640625" bestFit="1" customWidth="1"/>
    <col min="6" max="6" width="14.1796875" bestFit="1" customWidth="1"/>
    <col min="7" max="7" width="19.453125" bestFit="1" customWidth="1"/>
    <col min="8" max="8" width="22.6328125" bestFit="1" customWidth="1"/>
    <col min="9" max="9" width="12.453125" bestFit="1" customWidth="1"/>
  </cols>
  <sheetData>
    <row r="1" spans="1:9" x14ac:dyDescent="0.35">
      <c r="B1" t="s">
        <v>2</v>
      </c>
      <c r="C1" t="s">
        <v>3</v>
      </c>
      <c r="D1" t="s">
        <v>5</v>
      </c>
      <c r="E1" t="s">
        <v>9</v>
      </c>
      <c r="F1" t="s">
        <v>18</v>
      </c>
      <c r="G1" t="s">
        <v>19</v>
      </c>
      <c r="H1" t="s">
        <v>19</v>
      </c>
      <c r="I1" t="s">
        <v>64</v>
      </c>
    </row>
    <row r="2" spans="1:9" x14ac:dyDescent="0.35">
      <c r="A2" t="s">
        <v>0</v>
      </c>
      <c r="B2">
        <v>24</v>
      </c>
      <c r="C2" t="s">
        <v>16</v>
      </c>
      <c r="D2">
        <v>4000</v>
      </c>
      <c r="E2">
        <f>D2*1.96</f>
        <v>7840</v>
      </c>
      <c r="F2">
        <v>2.5790000000000002</v>
      </c>
      <c r="G2">
        <v>1.01</v>
      </c>
      <c r="H2">
        <v>2.9405940594059405</v>
      </c>
      <c r="I2">
        <v>4000</v>
      </c>
    </row>
    <row r="3" spans="1:9" x14ac:dyDescent="0.35">
      <c r="A3" t="s">
        <v>1</v>
      </c>
      <c r="B3">
        <v>1.7503776207665149</v>
      </c>
      <c r="C3" t="s">
        <v>15</v>
      </c>
      <c r="D3" t="s">
        <v>14</v>
      </c>
      <c r="E3" t="s">
        <v>14</v>
      </c>
      <c r="F3" t="s">
        <v>17</v>
      </c>
      <c r="G3" t="s">
        <v>43</v>
      </c>
      <c r="H3" t="s">
        <v>44</v>
      </c>
      <c r="I3" t="s">
        <v>14</v>
      </c>
    </row>
    <row r="4" spans="1:9" x14ac:dyDescent="0.35">
      <c r="A4" t="s">
        <v>4</v>
      </c>
      <c r="B4">
        <v>1.2664223792334846</v>
      </c>
      <c r="C4" t="s">
        <v>15</v>
      </c>
    </row>
    <row r="6" spans="1:9" x14ac:dyDescent="0.35">
      <c r="A6" t="s">
        <v>6</v>
      </c>
      <c r="B6">
        <f>B2*B3*D2-B2*B4*D2</f>
        <v>46459.703187170933</v>
      </c>
      <c r="C6">
        <f>B6/D2</f>
        <v>11.614925796792733</v>
      </c>
      <c r="D6" t="s">
        <v>65</v>
      </c>
      <c r="E6" t="s">
        <v>66</v>
      </c>
      <c r="F6" t="s">
        <v>73</v>
      </c>
      <c r="G6" t="s">
        <v>77</v>
      </c>
      <c r="H6" t="s">
        <v>52</v>
      </c>
    </row>
    <row r="7" spans="1:9" x14ac:dyDescent="0.35">
      <c r="D7">
        <v>6178.75</v>
      </c>
      <c r="E7">
        <f>D2*G2*H2</f>
        <v>11880</v>
      </c>
      <c r="F7">
        <f>D2*G2*H2/F2</f>
        <v>4606.4366033346259</v>
      </c>
      <c r="G7" s="3">
        <f>D2/I2</f>
        <v>1</v>
      </c>
      <c r="H7">
        <v>0</v>
      </c>
    </row>
    <row r="8" spans="1:9" x14ac:dyDescent="0.35">
      <c r="A8" t="s">
        <v>7</v>
      </c>
      <c r="B8">
        <v>807</v>
      </c>
      <c r="C8" t="s">
        <v>16</v>
      </c>
    </row>
    <row r="9" spans="1:9" x14ac:dyDescent="0.35">
      <c r="A9" t="s">
        <v>8</v>
      </c>
      <c r="B9">
        <v>139</v>
      </c>
      <c r="C9" t="s">
        <v>16</v>
      </c>
      <c r="D9" t="s">
        <v>38</v>
      </c>
    </row>
    <row r="10" spans="1:9" x14ac:dyDescent="0.35">
      <c r="D10">
        <v>1661.1220702544838</v>
      </c>
    </row>
    <row r="11" spans="1:9" x14ac:dyDescent="0.35">
      <c r="A11" t="s">
        <v>10</v>
      </c>
      <c r="B11">
        <f>B8*D2+B9*E2</f>
        <v>4317760</v>
      </c>
    </row>
    <row r="13" spans="1:9" x14ac:dyDescent="0.35">
      <c r="A13" s="1" t="s">
        <v>11</v>
      </c>
      <c r="B13">
        <v>0.12356433198380579</v>
      </c>
      <c r="C13" t="s">
        <v>17</v>
      </c>
    </row>
    <row r="14" spans="1:9" x14ac:dyDescent="0.35">
      <c r="A14" s="1" t="s">
        <v>12</v>
      </c>
      <c r="B14">
        <v>2.6800000000000001E-2</v>
      </c>
      <c r="C14" t="s">
        <v>17</v>
      </c>
    </row>
    <row r="15" spans="1:9" x14ac:dyDescent="0.35">
      <c r="A15" s="1" t="s">
        <v>13</v>
      </c>
      <c r="B15">
        <v>2.8979999999999999E-2</v>
      </c>
      <c r="C15" t="s">
        <v>17</v>
      </c>
    </row>
    <row r="16" spans="1:9" x14ac:dyDescent="0.35">
      <c r="A16" t="s">
        <v>20</v>
      </c>
      <c r="B16" s="1">
        <v>400</v>
      </c>
      <c r="C16" t="s">
        <v>16</v>
      </c>
    </row>
    <row r="17" spans="1:6" x14ac:dyDescent="0.35">
      <c r="A17" t="s">
        <v>21</v>
      </c>
      <c r="B17" s="1">
        <v>400</v>
      </c>
      <c r="C17" t="s">
        <v>16</v>
      </c>
    </row>
    <row r="18" spans="1:6" x14ac:dyDescent="0.35">
      <c r="A18" t="s">
        <v>22</v>
      </c>
      <c r="B18" s="1">
        <v>400</v>
      </c>
      <c r="C18" t="s">
        <v>16</v>
      </c>
    </row>
    <row r="19" spans="1:6" x14ac:dyDescent="0.35">
      <c r="A19" t="s">
        <v>23</v>
      </c>
      <c r="B19" s="1">
        <v>1</v>
      </c>
      <c r="C19" t="s">
        <v>27</v>
      </c>
    </row>
    <row r="20" spans="1:6" x14ac:dyDescent="0.35">
      <c r="A20" t="s">
        <v>24</v>
      </c>
      <c r="B20" s="1">
        <v>0.5</v>
      </c>
      <c r="C20" t="s">
        <v>27</v>
      </c>
    </row>
    <row r="21" spans="1:6" x14ac:dyDescent="0.35">
      <c r="A21" t="s">
        <v>25</v>
      </c>
      <c r="B21" s="1">
        <v>0.33</v>
      </c>
      <c r="C21" t="s">
        <v>27</v>
      </c>
    </row>
    <row r="22" spans="1:6" x14ac:dyDescent="0.35">
      <c r="A22" t="s">
        <v>26</v>
      </c>
      <c r="B22" s="1">
        <v>1.25</v>
      </c>
      <c r="C22" t="s">
        <v>27</v>
      </c>
    </row>
    <row r="23" spans="1:6" x14ac:dyDescent="0.35">
      <c r="A23" t="s">
        <v>28</v>
      </c>
      <c r="B23" s="1">
        <v>10.45</v>
      </c>
      <c r="C23" t="s">
        <v>29</v>
      </c>
    </row>
    <row r="24" spans="1:6" x14ac:dyDescent="0.35">
      <c r="A24" s="1" t="s">
        <v>30</v>
      </c>
      <c r="B24" s="1">
        <f>E27/4</f>
        <v>22.645036937148216</v>
      </c>
      <c r="C24" t="s">
        <v>34</v>
      </c>
    </row>
    <row r="25" spans="1:6" x14ac:dyDescent="0.35">
      <c r="A25" s="1" t="s">
        <v>31</v>
      </c>
      <c r="B25" s="1">
        <f>B24</f>
        <v>22.645036937148216</v>
      </c>
      <c r="C25" t="s">
        <v>34</v>
      </c>
      <c r="D25" t="s">
        <v>58</v>
      </c>
      <c r="E25">
        <v>75.362682926829265</v>
      </c>
      <c r="F25" t="s">
        <v>59</v>
      </c>
    </row>
    <row r="26" spans="1:6" x14ac:dyDescent="0.35">
      <c r="A26" s="1" t="s">
        <v>32</v>
      </c>
      <c r="B26" s="1">
        <f>B25</f>
        <v>22.645036937148216</v>
      </c>
      <c r="C26" t="s">
        <v>34</v>
      </c>
      <c r="D26" t="s">
        <v>56</v>
      </c>
      <c r="E26">
        <v>0.83199999999999996</v>
      </c>
      <c r="F26" t="s">
        <v>57</v>
      </c>
    </row>
    <row r="27" spans="1:6" x14ac:dyDescent="0.35">
      <c r="A27" s="1" t="s">
        <v>33</v>
      </c>
      <c r="B27" s="1">
        <f>B26</f>
        <v>22.645036937148216</v>
      </c>
      <c r="C27" t="s">
        <v>34</v>
      </c>
      <c r="D27" t="s">
        <v>60</v>
      </c>
      <c r="E27">
        <f>E25/E26</f>
        <v>90.580147748592864</v>
      </c>
      <c r="F27" t="s">
        <v>61</v>
      </c>
    </row>
    <row r="28" spans="1:6" x14ac:dyDescent="0.35">
      <c r="A28" t="s">
        <v>35</v>
      </c>
      <c r="B28" s="1">
        <v>1.26</v>
      </c>
      <c r="C28" t="s">
        <v>36</v>
      </c>
    </row>
    <row r="30" spans="1:6" x14ac:dyDescent="0.35">
      <c r="A30" s="1" t="s">
        <v>37</v>
      </c>
      <c r="B30">
        <f>(D2*G2*H2/F2)*B13*B16+(D2*G2*H2/F2)*B14*B17+(D2*G2*H2/F2)*B15*B18+(D2*G2*H2/F2)*(B19+B20+B21+B22)*B23+(D2*G2*H2/F2)*(B24+B25+B26+B27)*B28</f>
        <v>1004455.2389322148</v>
      </c>
    </row>
    <row r="32" spans="1:6" x14ac:dyDescent="0.35">
      <c r="A32" t="s">
        <v>54</v>
      </c>
      <c r="B32">
        <f>D2/D10</f>
        <v>2.4080108690550359</v>
      </c>
      <c r="C32" t="s">
        <v>55</v>
      </c>
    </row>
    <row r="33" spans="1:5" x14ac:dyDescent="0.35">
      <c r="A33" t="s">
        <v>38</v>
      </c>
      <c r="B33">
        <f>IF(D2/I2&lt;=0.1,D2/B32/36,IF(AND(D2/I2&gt;0.1,D2/I2&lt;=0.2),D2/B32/9,IF(AND(D2/I2&gt;0.2,D2/I2&lt;=0.3),D2/B32/4,IF(AND(D2/I2&gt;0.3,D2/I2&lt;=0.4),D2/B32/(36/16),IF(AND(D2/I2&gt;0.4,D2/I2&lt;=0.5),D2/B32/(36/25),IF(AND(D2/I2&gt;0.5,D2/I2&lt;=0.6),D2/B32,IF(AND(D2/I2&gt;0.6,D2/I2&lt;=0.7),D2/B32/(36/49),IF(AND(D2/I2&gt;0.7,D2/I2&lt;=0.8),D2/B32/(36/64),IF(AND(D2/I2&gt;0.8,D2/I2&lt;=0.9),D2/B32/(36/81),IF(D2/I2&gt;0.9,D2/B32/(36/100),0))))))))))</f>
        <v>4614.2279729291222</v>
      </c>
      <c r="C33" t="s">
        <v>39</v>
      </c>
    </row>
    <row r="34" spans="1:5" x14ac:dyDescent="0.35">
      <c r="A34" t="s">
        <v>40</v>
      </c>
      <c r="B34" s="1">
        <f>40*1.26/100</f>
        <v>0.504</v>
      </c>
      <c r="C34" t="s">
        <v>41</v>
      </c>
      <c r="D34" t="s">
        <v>62</v>
      </c>
      <c r="E34" t="s">
        <v>63</v>
      </c>
    </row>
    <row r="35" spans="1:5" x14ac:dyDescent="0.35">
      <c r="D35">
        <f>40*1.26/100</f>
        <v>0.504</v>
      </c>
      <c r="E35" t="s">
        <v>41</v>
      </c>
    </row>
    <row r="37" spans="1:5" x14ac:dyDescent="0.35">
      <c r="A37" t="s">
        <v>42</v>
      </c>
      <c r="B37">
        <f>B33*B34</f>
        <v>2325.5708983562777</v>
      </c>
    </row>
    <row r="40" spans="1:5" x14ac:dyDescent="0.35">
      <c r="A40" t="s">
        <v>68</v>
      </c>
      <c r="B40">
        <f>IF(D2/I2&lt;=0.3,2.8,IF(D2/I2&gt;0.3,2.8*1.2,0))</f>
        <v>3.36</v>
      </c>
      <c r="C40" t="s">
        <v>16</v>
      </c>
    </row>
    <row r="41" spans="1:5" x14ac:dyDescent="0.35">
      <c r="A41" t="s">
        <v>45</v>
      </c>
      <c r="B41">
        <v>0.19</v>
      </c>
      <c r="C41" t="s">
        <v>47</v>
      </c>
    </row>
    <row r="42" spans="1:5" x14ac:dyDescent="0.35">
      <c r="A42" t="s">
        <v>48</v>
      </c>
      <c r="B42">
        <v>43.52</v>
      </c>
      <c r="C42" t="s">
        <v>67</v>
      </c>
    </row>
    <row r="43" spans="1:5" x14ac:dyDescent="0.35">
      <c r="A43" t="s">
        <v>49</v>
      </c>
      <c r="B43">
        <v>20</v>
      </c>
      <c r="C43" t="s">
        <v>16</v>
      </c>
    </row>
    <row r="44" spans="1:5" x14ac:dyDescent="0.35">
      <c r="A44" t="s">
        <v>46</v>
      </c>
      <c r="B44">
        <v>10</v>
      </c>
      <c r="C44" t="s">
        <v>16</v>
      </c>
    </row>
    <row r="46" spans="1:5" x14ac:dyDescent="0.35">
      <c r="A46" t="s">
        <v>50</v>
      </c>
      <c r="B46">
        <f>B40*D2+B41*B42*D2+B43*D2+B44*D2</f>
        <v>166515.20000000001</v>
      </c>
    </row>
    <row r="48" spans="1:5" x14ac:dyDescent="0.35">
      <c r="A48" t="s">
        <v>69</v>
      </c>
      <c r="B48">
        <v>15000</v>
      </c>
    </row>
    <row r="49" spans="1:8" x14ac:dyDescent="0.35">
      <c r="A49" t="s">
        <v>70</v>
      </c>
      <c r="B49">
        <f>10000*(D2/I2)</f>
        <v>10000</v>
      </c>
    </row>
    <row r="50" spans="1:8" x14ac:dyDescent="0.35">
      <c r="A50" t="s">
        <v>71</v>
      </c>
      <c r="B50">
        <f>10000*(D2/I2)</f>
        <v>10000</v>
      </c>
      <c r="D50" t="s">
        <v>79</v>
      </c>
    </row>
    <row r="51" spans="1:8" x14ac:dyDescent="0.35">
      <c r="A51" t="s">
        <v>72</v>
      </c>
      <c r="B51">
        <f>15000*3*(B33/D10)</f>
        <v>125000.00000000001</v>
      </c>
      <c r="D51" s="4">
        <f>B33/(E7/30*50000)</f>
        <v>2.3304181681460214E-4</v>
      </c>
    </row>
    <row r="52" spans="1:8" x14ac:dyDescent="0.35">
      <c r="A52" t="s">
        <v>74</v>
      </c>
      <c r="B52">
        <f>200*(D2*G2*H2/F2)</f>
        <v>921287.32066692517</v>
      </c>
    </row>
    <row r="54" spans="1:8" x14ac:dyDescent="0.35">
      <c r="A54" t="s">
        <v>75</v>
      </c>
      <c r="B54">
        <f>B52+B51+B50+B49+B48</f>
        <v>1081287.3206669251</v>
      </c>
    </row>
    <row r="56" spans="1:8" x14ac:dyDescent="0.35">
      <c r="A56" t="s">
        <v>51</v>
      </c>
      <c r="B56">
        <f>B46+B37+B30+B54</f>
        <v>2254583.3304974958</v>
      </c>
    </row>
    <row r="57" spans="1:8" x14ac:dyDescent="0.35">
      <c r="A57" t="s">
        <v>52</v>
      </c>
      <c r="B57">
        <f>-B56+B11</f>
        <v>2063176.6695025042</v>
      </c>
      <c r="C57" t="s">
        <v>80</v>
      </c>
      <c r="D57">
        <f>B57/D2</f>
        <v>515.79416737562599</v>
      </c>
    </row>
    <row r="59" spans="1:8" x14ac:dyDescent="0.35">
      <c r="A59" t="s">
        <v>53</v>
      </c>
      <c r="B59">
        <f>B57+B6</f>
        <v>2109636.3726896751</v>
      </c>
      <c r="D59">
        <f>B59/D2</f>
        <v>527.40909317241881</v>
      </c>
    </row>
    <row r="60" spans="1:8" x14ac:dyDescent="0.35">
      <c r="A60" t="s">
        <v>76</v>
      </c>
    </row>
    <row r="62" spans="1:8" x14ac:dyDescent="0.35">
      <c r="A62" t="s">
        <v>78</v>
      </c>
      <c r="B62" t="s">
        <v>83</v>
      </c>
      <c r="C62" t="s">
        <v>84</v>
      </c>
      <c r="D62" t="s">
        <v>85</v>
      </c>
      <c r="E62" t="s">
        <v>78</v>
      </c>
      <c r="F62" t="s">
        <v>83</v>
      </c>
      <c r="G62" t="s">
        <v>84</v>
      </c>
      <c r="H62" t="s">
        <v>85</v>
      </c>
    </row>
    <row r="63" spans="1:8" x14ac:dyDescent="0.35">
      <c r="A63">
        <f>B59</f>
        <v>2109636.3726896751</v>
      </c>
      <c r="B63">
        <f>(1-0.88%+1%-1.31%)</f>
        <v>0.98809999999999987</v>
      </c>
      <c r="C63">
        <f>A63/B63^D63</f>
        <v>2135043.3890190013</v>
      </c>
      <c r="D63">
        <v>1</v>
      </c>
      <c r="E63">
        <v>1110400.998091453</v>
      </c>
      <c r="F63">
        <v>0.98809999999999987</v>
      </c>
      <c r="G63">
        <v>1123773.9075917955</v>
      </c>
      <c r="H63">
        <v>1</v>
      </c>
    </row>
    <row r="64" spans="1:8" x14ac:dyDescent="0.35">
      <c r="A64">
        <f>A63</f>
        <v>2109636.3726896751</v>
      </c>
      <c r="B64">
        <f t="shared" ref="B64:B72" si="0">(1-0.88%+1%-1.31%)</f>
        <v>0.98809999999999987</v>
      </c>
      <c r="C64">
        <f t="shared" ref="C64:C72" si="1">A64/B64^D64</f>
        <v>2160756.3900607242</v>
      </c>
      <c r="D64">
        <v>2</v>
      </c>
      <c r="E64">
        <v>1110400.998091453</v>
      </c>
      <c r="F64">
        <v>0.98809999999999987</v>
      </c>
      <c r="G64">
        <v>1137307.8712597871</v>
      </c>
      <c r="H64">
        <v>2</v>
      </c>
    </row>
    <row r="65" spans="1:9" x14ac:dyDescent="0.35">
      <c r="A65">
        <f>A64</f>
        <v>2109636.3726896751</v>
      </c>
      <c r="B65">
        <f t="shared" si="0"/>
        <v>0.98809999999999987</v>
      </c>
      <c r="C65">
        <f t="shared" si="1"/>
        <v>2186779.0608852594</v>
      </c>
      <c r="D65">
        <v>3</v>
      </c>
      <c r="E65">
        <v>1110400.998091453</v>
      </c>
      <c r="F65">
        <v>0.98809999999999987</v>
      </c>
      <c r="G65">
        <v>1151004.828721574</v>
      </c>
      <c r="H65">
        <v>3</v>
      </c>
    </row>
    <row r="66" spans="1:9" x14ac:dyDescent="0.35">
      <c r="A66">
        <f t="shared" ref="A66:A72" si="2">A65</f>
        <v>2109636.3726896751</v>
      </c>
      <c r="B66">
        <f t="shared" si="0"/>
        <v>0.98809999999999987</v>
      </c>
      <c r="C66">
        <f t="shared" si="1"/>
        <v>2213115.1309434869</v>
      </c>
      <c r="D66">
        <v>4</v>
      </c>
      <c r="E66">
        <v>1110400.998091453</v>
      </c>
      <c r="F66">
        <v>0.98809999999999987</v>
      </c>
      <c r="G66">
        <v>1164866.7429628319</v>
      </c>
      <c r="H66">
        <v>4</v>
      </c>
    </row>
    <row r="67" spans="1:9" x14ac:dyDescent="0.35">
      <c r="A67">
        <f t="shared" si="2"/>
        <v>2109636.3726896751</v>
      </c>
      <c r="B67">
        <f t="shared" si="0"/>
        <v>0.98809999999999987</v>
      </c>
      <c r="C67">
        <f t="shared" si="1"/>
        <v>2239768.3746012421</v>
      </c>
      <c r="D67">
        <v>5</v>
      </c>
      <c r="E67">
        <v>1110400.998091453</v>
      </c>
      <c r="F67">
        <v>0.98809999999999987</v>
      </c>
      <c r="G67">
        <v>1178895.6006100923</v>
      </c>
      <c r="H67">
        <v>5</v>
      </c>
    </row>
    <row r="68" spans="1:9" x14ac:dyDescent="0.35">
      <c r="A68">
        <f t="shared" si="2"/>
        <v>2109636.3726896751</v>
      </c>
      <c r="B68">
        <f t="shared" si="0"/>
        <v>0.98809999999999987</v>
      </c>
      <c r="C68">
        <f t="shared" si="1"/>
        <v>2266742.6116802371</v>
      </c>
      <c r="D68">
        <v>6</v>
      </c>
      <c r="E68">
        <v>1110400.998091453</v>
      </c>
      <c r="F68">
        <v>0.98809999999999987</v>
      </c>
      <c r="G68">
        <v>1193093.4122154561</v>
      </c>
      <c r="H68">
        <v>6</v>
      </c>
    </row>
    <row r="69" spans="1:9" x14ac:dyDescent="0.35">
      <c r="A69">
        <f t="shared" si="2"/>
        <v>2109636.3726896751</v>
      </c>
      <c r="B69">
        <f t="shared" si="0"/>
        <v>0.98809999999999987</v>
      </c>
      <c r="C69">
        <f t="shared" si="1"/>
        <v>2294041.7080055028</v>
      </c>
      <c r="D69">
        <v>7</v>
      </c>
      <c r="E69">
        <v>1110400.998091453</v>
      </c>
      <c r="F69">
        <v>0.98809999999999987</v>
      </c>
      <c r="G69">
        <v>1207462.2125447388</v>
      </c>
      <c r="H69">
        <v>7</v>
      </c>
    </row>
    <row r="70" spans="1:9" x14ac:dyDescent="0.35">
      <c r="A70">
        <f t="shared" si="2"/>
        <v>2109636.3726896751</v>
      </c>
      <c r="B70">
        <f t="shared" si="0"/>
        <v>0.98809999999999987</v>
      </c>
      <c r="C70">
        <f t="shared" si="1"/>
        <v>2321669.5759594208</v>
      </c>
      <c r="D70">
        <v>8</v>
      </c>
      <c r="E70">
        <v>1110400.998091453</v>
      </c>
      <c r="F70">
        <v>0.98809999999999987</v>
      </c>
      <c r="G70">
        <v>1222004.0608690812</v>
      </c>
      <c r="H70">
        <v>8</v>
      </c>
    </row>
    <row r="71" spans="1:9" x14ac:dyDescent="0.35">
      <c r="A71">
        <f t="shared" si="2"/>
        <v>2109636.3726896751</v>
      </c>
      <c r="B71">
        <f t="shared" si="0"/>
        <v>0.98809999999999987</v>
      </c>
      <c r="C71">
        <f t="shared" si="1"/>
        <v>2349630.1750424257</v>
      </c>
      <c r="D71">
        <v>9</v>
      </c>
      <c r="E71">
        <v>1110400.998091453</v>
      </c>
      <c r="F71">
        <v>0.98809999999999987</v>
      </c>
      <c r="G71">
        <v>1236721.0412600762</v>
      </c>
      <c r="H71">
        <v>9</v>
      </c>
    </row>
    <row r="72" spans="1:9" x14ac:dyDescent="0.35">
      <c r="A72">
        <f t="shared" si="2"/>
        <v>2109636.3726896751</v>
      </c>
      <c r="B72">
        <f t="shared" si="0"/>
        <v>0.98809999999999987</v>
      </c>
      <c r="C72">
        <f t="shared" si="1"/>
        <v>2377927.5124404677</v>
      </c>
      <c r="D72">
        <v>10</v>
      </c>
      <c r="E72">
        <v>1110400.998091453</v>
      </c>
      <c r="F72">
        <v>0.98809999999999987</v>
      </c>
      <c r="G72">
        <v>1251615.2628884488</v>
      </c>
      <c r="H72">
        <v>10</v>
      </c>
      <c r="I72" t="s">
        <v>96</v>
      </c>
    </row>
    <row r="73" spans="1:9" x14ac:dyDescent="0.35">
      <c r="B73" t="s">
        <v>86</v>
      </c>
      <c r="C73">
        <f>SUM(C63:C72)</f>
        <v>22545473.928637769</v>
      </c>
      <c r="F73" t="s">
        <v>86</v>
      </c>
      <c r="G73">
        <v>11866744.940923883</v>
      </c>
      <c r="I73">
        <f>C73-G73</f>
        <v>10678728.987713886</v>
      </c>
    </row>
    <row r="76" spans="1:9" x14ac:dyDescent="0.35">
      <c r="A76" t="s">
        <v>88</v>
      </c>
      <c r="B76">
        <f>B3*B2</f>
        <v>42.009062898396358</v>
      </c>
      <c r="C76" t="s">
        <v>93</v>
      </c>
    </row>
    <row r="77" spans="1:9" x14ac:dyDescent="0.35">
      <c r="A77" t="s">
        <v>89</v>
      </c>
      <c r="B77">
        <f>B4*B2</f>
        <v>30.394137101603629</v>
      </c>
      <c r="C77" t="s">
        <v>93</v>
      </c>
    </row>
    <row r="78" spans="1:9" x14ac:dyDescent="0.35">
      <c r="A78" t="s">
        <v>90</v>
      </c>
      <c r="B78">
        <f>B11/D2</f>
        <v>1079.44</v>
      </c>
      <c r="C78" t="s">
        <v>93</v>
      </c>
    </row>
    <row r="79" spans="1:9" x14ac:dyDescent="0.35">
      <c r="A79" t="s">
        <v>91</v>
      </c>
      <c r="B79">
        <f>B56/D2</f>
        <v>563.64583262437395</v>
      </c>
      <c r="C79" t="s">
        <v>93</v>
      </c>
    </row>
    <row r="80" spans="1:9" x14ac:dyDescent="0.35">
      <c r="A80" t="s">
        <v>92</v>
      </c>
      <c r="B80">
        <f>B6/D2</f>
        <v>11.614925796792733</v>
      </c>
      <c r="C80" t="s">
        <v>93</v>
      </c>
    </row>
    <row r="81" spans="1:3" x14ac:dyDescent="0.35">
      <c r="A81" t="s">
        <v>52</v>
      </c>
      <c r="B81">
        <f>B57/D2</f>
        <v>515.79416737562599</v>
      </c>
      <c r="C8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B1" workbookViewId="0">
      <selection activeCell="I72" sqref="I72:I73"/>
    </sheetView>
  </sheetViews>
  <sheetFormatPr defaultRowHeight="14.5" x14ac:dyDescent="0.35"/>
  <cols>
    <col min="1" max="1" width="35.453125" bestFit="1" customWidth="1"/>
    <col min="2" max="2" width="15.54296875" bestFit="1" customWidth="1"/>
    <col min="3" max="3" width="17.90625" bestFit="1" customWidth="1"/>
    <col min="4" max="4" width="18" bestFit="1" customWidth="1"/>
    <col min="5" max="5" width="15.81640625" bestFit="1" customWidth="1"/>
    <col min="6" max="6" width="14.1796875" bestFit="1" customWidth="1"/>
    <col min="7" max="7" width="19.453125" bestFit="1" customWidth="1"/>
    <col min="8" max="8" width="22.6328125" bestFit="1" customWidth="1"/>
    <col min="9" max="9" width="12.453125" bestFit="1" customWidth="1"/>
  </cols>
  <sheetData>
    <row r="1" spans="1:9" x14ac:dyDescent="0.35">
      <c r="B1" t="s">
        <v>2</v>
      </c>
      <c r="C1" t="s">
        <v>3</v>
      </c>
      <c r="D1" t="s">
        <v>5</v>
      </c>
      <c r="E1" t="s">
        <v>9</v>
      </c>
      <c r="F1" t="s">
        <v>18</v>
      </c>
      <c r="G1" t="s">
        <v>19</v>
      </c>
      <c r="H1" t="s">
        <v>19</v>
      </c>
      <c r="I1" t="s">
        <v>64</v>
      </c>
    </row>
    <row r="2" spans="1:9" x14ac:dyDescent="0.35">
      <c r="A2" t="s">
        <v>0</v>
      </c>
      <c r="B2">
        <v>24</v>
      </c>
      <c r="C2" t="s">
        <v>16</v>
      </c>
      <c r="D2">
        <v>5500</v>
      </c>
      <c r="E2">
        <f>D2*1.96</f>
        <v>10780</v>
      </c>
      <c r="F2">
        <v>3.0619999999999998</v>
      </c>
      <c r="G2">
        <v>1.01</v>
      </c>
      <c r="H2">
        <v>2.9405940594059405</v>
      </c>
      <c r="I2">
        <v>5500</v>
      </c>
    </row>
    <row r="3" spans="1:9" x14ac:dyDescent="0.35">
      <c r="A3" t="s">
        <v>1</v>
      </c>
      <c r="B3">
        <v>2.1001093551375569</v>
      </c>
      <c r="C3" t="s">
        <v>15</v>
      </c>
      <c r="D3" t="s">
        <v>14</v>
      </c>
      <c r="E3" t="s">
        <v>14</v>
      </c>
      <c r="F3" t="s">
        <v>17</v>
      </c>
      <c r="G3" t="s">
        <v>43</v>
      </c>
      <c r="H3" t="s">
        <v>44</v>
      </c>
      <c r="I3" t="s">
        <v>14</v>
      </c>
    </row>
    <row r="4" spans="1:9" x14ac:dyDescent="0.35">
      <c r="A4" t="s">
        <v>4</v>
      </c>
      <c r="B4">
        <v>0.91669064486244267</v>
      </c>
      <c r="C4" t="s">
        <v>15</v>
      </c>
    </row>
    <row r="6" spans="1:9" x14ac:dyDescent="0.35">
      <c r="A6" t="s">
        <v>6</v>
      </c>
      <c r="B6">
        <f>B2*B3*D2-B2*B4*D2</f>
        <v>156211.26975631507</v>
      </c>
      <c r="C6">
        <f>B6/D2</f>
        <v>28.402049046602741</v>
      </c>
      <c r="D6" t="s">
        <v>65</v>
      </c>
      <c r="E6" t="s">
        <v>66</v>
      </c>
      <c r="F6" t="s">
        <v>73</v>
      </c>
      <c r="G6" t="s">
        <v>77</v>
      </c>
      <c r="H6" t="s">
        <v>52</v>
      </c>
    </row>
    <row r="7" spans="1:9" x14ac:dyDescent="0.35">
      <c r="D7">
        <v>8525.75</v>
      </c>
      <c r="E7">
        <f>D2*G2*H2</f>
        <v>16335</v>
      </c>
      <c r="F7">
        <f>D2*G2*H2/F2</f>
        <v>5334.748530372306</v>
      </c>
      <c r="G7" s="3">
        <f>D2/I2</f>
        <v>1</v>
      </c>
      <c r="H7">
        <v>0</v>
      </c>
    </row>
    <row r="8" spans="1:9" x14ac:dyDescent="0.35">
      <c r="A8" t="s">
        <v>7</v>
      </c>
      <c r="B8">
        <v>807</v>
      </c>
      <c r="C8" t="s">
        <v>16</v>
      </c>
    </row>
    <row r="9" spans="1:9" x14ac:dyDescent="0.35">
      <c r="A9" t="s">
        <v>8</v>
      </c>
      <c r="B9">
        <v>139</v>
      </c>
      <c r="C9" t="s">
        <v>16</v>
      </c>
      <c r="D9" t="s">
        <v>38</v>
      </c>
    </row>
    <row r="10" spans="1:9" x14ac:dyDescent="0.35">
      <c r="D10">
        <v>1365.2750412877936</v>
      </c>
    </row>
    <row r="11" spans="1:9" x14ac:dyDescent="0.35">
      <c r="A11" t="s">
        <v>10</v>
      </c>
      <c r="B11">
        <f>B8*D2+B9*E2</f>
        <v>5936920</v>
      </c>
    </row>
    <row r="13" spans="1:9" x14ac:dyDescent="0.35">
      <c r="A13" s="1" t="s">
        <v>11</v>
      </c>
      <c r="B13">
        <v>0.12293697647806735</v>
      </c>
      <c r="C13" t="s">
        <v>17</v>
      </c>
    </row>
    <row r="14" spans="1:9" x14ac:dyDescent="0.35">
      <c r="A14" s="1" t="s">
        <v>12</v>
      </c>
      <c r="B14">
        <v>2.9065454545454547E-2</v>
      </c>
      <c r="C14" t="s">
        <v>17</v>
      </c>
    </row>
    <row r="15" spans="1:9" x14ac:dyDescent="0.35">
      <c r="A15" s="1" t="s">
        <v>13</v>
      </c>
      <c r="B15">
        <v>2.8979999999999999E-2</v>
      </c>
      <c r="C15" t="s">
        <v>17</v>
      </c>
    </row>
    <row r="16" spans="1:9" x14ac:dyDescent="0.35">
      <c r="A16" t="s">
        <v>20</v>
      </c>
      <c r="B16" s="1">
        <v>400</v>
      </c>
      <c r="C16" t="s">
        <v>16</v>
      </c>
    </row>
    <row r="17" spans="1:6" x14ac:dyDescent="0.35">
      <c r="A17" t="s">
        <v>21</v>
      </c>
      <c r="B17" s="1">
        <v>400</v>
      </c>
      <c r="C17" t="s">
        <v>16</v>
      </c>
    </row>
    <row r="18" spans="1:6" x14ac:dyDescent="0.35">
      <c r="A18" t="s">
        <v>22</v>
      </c>
      <c r="B18" s="1">
        <v>400</v>
      </c>
      <c r="C18" t="s">
        <v>16</v>
      </c>
    </row>
    <row r="19" spans="1:6" x14ac:dyDescent="0.35">
      <c r="A19" t="s">
        <v>23</v>
      </c>
      <c r="B19" s="1">
        <v>1</v>
      </c>
      <c r="C19" t="s">
        <v>27</v>
      </c>
    </row>
    <row r="20" spans="1:6" x14ac:dyDescent="0.35">
      <c r="A20" t="s">
        <v>24</v>
      </c>
      <c r="B20" s="1">
        <v>0.5</v>
      </c>
      <c r="C20" t="s">
        <v>27</v>
      </c>
    </row>
    <row r="21" spans="1:6" x14ac:dyDescent="0.35">
      <c r="A21" t="s">
        <v>25</v>
      </c>
      <c r="B21" s="1">
        <v>0.33</v>
      </c>
      <c r="C21" t="s">
        <v>27</v>
      </c>
    </row>
    <row r="22" spans="1:6" x14ac:dyDescent="0.35">
      <c r="A22" t="s">
        <v>26</v>
      </c>
      <c r="B22" s="1">
        <v>1.25</v>
      </c>
      <c r="C22" t="s">
        <v>27</v>
      </c>
    </row>
    <row r="23" spans="1:6" x14ac:dyDescent="0.35">
      <c r="A23" t="s">
        <v>28</v>
      </c>
      <c r="B23" s="1">
        <v>10.45</v>
      </c>
      <c r="C23" t="s">
        <v>29</v>
      </c>
    </row>
    <row r="24" spans="1:6" x14ac:dyDescent="0.35">
      <c r="A24" s="1" t="s">
        <v>30</v>
      </c>
      <c r="B24" s="1">
        <f>E27/4</f>
        <v>22.645036937148216</v>
      </c>
      <c r="C24" t="s">
        <v>34</v>
      </c>
    </row>
    <row r="25" spans="1:6" x14ac:dyDescent="0.35">
      <c r="A25" s="1" t="s">
        <v>31</v>
      </c>
      <c r="B25" s="1">
        <f>B24</f>
        <v>22.645036937148216</v>
      </c>
      <c r="C25" t="s">
        <v>34</v>
      </c>
      <c r="D25" t="s">
        <v>58</v>
      </c>
      <c r="E25">
        <v>75.362682926829265</v>
      </c>
      <c r="F25" t="s">
        <v>59</v>
      </c>
    </row>
    <row r="26" spans="1:6" x14ac:dyDescent="0.35">
      <c r="A26" s="1" t="s">
        <v>32</v>
      </c>
      <c r="B26" s="1">
        <f>B25</f>
        <v>22.645036937148216</v>
      </c>
      <c r="C26" t="s">
        <v>34</v>
      </c>
      <c r="D26" t="s">
        <v>56</v>
      </c>
      <c r="E26">
        <v>0.83199999999999996</v>
      </c>
      <c r="F26" t="s">
        <v>57</v>
      </c>
    </row>
    <row r="27" spans="1:6" x14ac:dyDescent="0.35">
      <c r="A27" s="1" t="s">
        <v>33</v>
      </c>
      <c r="B27" s="1">
        <f>B26</f>
        <v>22.645036937148216</v>
      </c>
      <c r="C27" t="s">
        <v>34</v>
      </c>
      <c r="D27" t="s">
        <v>60</v>
      </c>
      <c r="E27">
        <f>E25/E26</f>
        <v>90.580147748592864</v>
      </c>
      <c r="F27" t="s">
        <v>61</v>
      </c>
    </row>
    <row r="28" spans="1:6" x14ac:dyDescent="0.35">
      <c r="A28" t="s">
        <v>35</v>
      </c>
      <c r="B28" s="1">
        <v>1.26</v>
      </c>
      <c r="C28" t="s">
        <v>36</v>
      </c>
    </row>
    <row r="30" spans="1:6" x14ac:dyDescent="0.35">
      <c r="A30" s="1" t="s">
        <v>37</v>
      </c>
      <c r="B30">
        <f>(D2*G2*H2/F2)*B13*B16+(D2*G2*H2/F2)*B14*B17+(D2*G2*H2/F2)*B15*B18+(D2*G2*H2/F2)*(B19+B20+B21+B22)*B23+(D2*G2*H2/F2)*(B24+B25+B26+B27)*B28</f>
        <v>1166762.6300731567</v>
      </c>
    </row>
    <row r="32" spans="1:6" x14ac:dyDescent="0.35">
      <c r="A32" t="s">
        <v>54</v>
      </c>
      <c r="B32">
        <f>D2/D10</f>
        <v>4.0284923064382205</v>
      </c>
      <c r="C32" t="s">
        <v>55</v>
      </c>
    </row>
    <row r="33" spans="1:5" x14ac:dyDescent="0.35">
      <c r="A33" t="s">
        <v>38</v>
      </c>
      <c r="B33">
        <f>IF(D2/I2&lt;=0.1,D2/B32/36,IF(AND(D2/I2&gt;0.1,D2/I2&lt;=0.2),D2/B32/9,IF(AND(D2/I2&gt;0.2,D2/I2&lt;=0.3),D2/B32/4,IF(AND(D2/I2&gt;0.3,D2/I2&lt;=0.4),D2/B32/(36/16),IF(AND(D2/I2&gt;0.4,D2/I2&lt;=0.5),D2/B32/(36/25),IF(AND(D2/I2&gt;0.5,D2/I2&lt;=0.6),D2/B32,IF(AND(D2/I2&gt;0.6,D2/I2&lt;=0.7),D2/B32/(36/49),IF(AND(D2/I2&gt;0.7,D2/I2&lt;=0.8),D2/B32/(36/64),IF(AND(D2/I2&gt;0.8,D2/I2&lt;=0.9),D2/B32/(36/81),IF(D2/I2&gt;0.9,D2/B32/(36/100),0))))))))))</f>
        <v>3792.4306702438712</v>
      </c>
      <c r="C33" t="s">
        <v>39</v>
      </c>
    </row>
    <row r="34" spans="1:5" x14ac:dyDescent="0.35">
      <c r="A34" t="s">
        <v>40</v>
      </c>
      <c r="B34" s="1">
        <f>40*1.26/100</f>
        <v>0.504</v>
      </c>
      <c r="C34" t="s">
        <v>41</v>
      </c>
      <c r="D34" t="s">
        <v>62</v>
      </c>
      <c r="E34" t="s">
        <v>63</v>
      </c>
    </row>
    <row r="35" spans="1:5" x14ac:dyDescent="0.35">
      <c r="D35">
        <f>40*1.26/100</f>
        <v>0.504</v>
      </c>
      <c r="E35" t="s">
        <v>41</v>
      </c>
    </row>
    <row r="37" spans="1:5" x14ac:dyDescent="0.35">
      <c r="A37" t="s">
        <v>42</v>
      </c>
      <c r="B37">
        <f>B33*B34</f>
        <v>1911.3850578029112</v>
      </c>
    </row>
    <row r="40" spans="1:5" x14ac:dyDescent="0.35">
      <c r="A40" t="s">
        <v>68</v>
      </c>
      <c r="B40">
        <f>IF(D2/I2&lt;=0.3,2.8,IF(D2/I2&gt;0.3,2.8*1.2,0))</f>
        <v>3.36</v>
      </c>
      <c r="C40" t="s">
        <v>16</v>
      </c>
    </row>
    <row r="41" spans="1:5" x14ac:dyDescent="0.35">
      <c r="A41" t="s">
        <v>45</v>
      </c>
      <c r="B41">
        <v>0.19</v>
      </c>
      <c r="C41" t="s">
        <v>47</v>
      </c>
    </row>
    <row r="42" spans="1:5" x14ac:dyDescent="0.35">
      <c r="A42" t="s">
        <v>48</v>
      </c>
      <c r="B42">
        <v>43.52</v>
      </c>
      <c r="C42" t="s">
        <v>67</v>
      </c>
    </row>
    <row r="43" spans="1:5" x14ac:dyDescent="0.35">
      <c r="A43" t="s">
        <v>49</v>
      </c>
      <c r="B43">
        <v>20</v>
      </c>
      <c r="C43" t="s">
        <v>16</v>
      </c>
    </row>
    <row r="44" spans="1:5" x14ac:dyDescent="0.35">
      <c r="A44" t="s">
        <v>46</v>
      </c>
      <c r="B44">
        <v>10</v>
      </c>
      <c r="C44" t="s">
        <v>16</v>
      </c>
    </row>
    <row r="46" spans="1:5" x14ac:dyDescent="0.35">
      <c r="A46" t="s">
        <v>50</v>
      </c>
      <c r="B46">
        <f>B40*D2+B41*B42*D2+B43*D2+B44*D2</f>
        <v>228958.4</v>
      </c>
    </row>
    <row r="48" spans="1:5" x14ac:dyDescent="0.35">
      <c r="A48" t="s">
        <v>69</v>
      </c>
      <c r="B48">
        <v>15000</v>
      </c>
    </row>
    <row r="49" spans="1:8" x14ac:dyDescent="0.35">
      <c r="A49" t="s">
        <v>70</v>
      </c>
      <c r="B49">
        <f>10000*(D2/I2)</f>
        <v>10000</v>
      </c>
    </row>
    <row r="50" spans="1:8" x14ac:dyDescent="0.35">
      <c r="A50" t="s">
        <v>71</v>
      </c>
      <c r="B50">
        <f>10000*(D2/I2)</f>
        <v>10000</v>
      </c>
      <c r="D50" t="s">
        <v>79</v>
      </c>
    </row>
    <row r="51" spans="1:8" x14ac:dyDescent="0.35">
      <c r="A51" t="s">
        <v>72</v>
      </c>
      <c r="B51">
        <f>15000*3*(B33/D10)</f>
        <v>125000.00000000001</v>
      </c>
      <c r="D51" s="4">
        <f>B33/(E7/30*50000)</f>
        <v>1.3929956548186853E-4</v>
      </c>
    </row>
    <row r="52" spans="1:8" x14ac:dyDescent="0.35">
      <c r="A52" t="s">
        <v>74</v>
      </c>
      <c r="B52">
        <f>200*(D2*G2*H2/F2)</f>
        <v>1066949.7060744611</v>
      </c>
    </row>
    <row r="54" spans="1:8" x14ac:dyDescent="0.35">
      <c r="A54" t="s">
        <v>75</v>
      </c>
      <c r="B54">
        <f>B52+B51+B50+B49+B48</f>
        <v>1226949.7060744611</v>
      </c>
    </row>
    <row r="56" spans="1:8" x14ac:dyDescent="0.35">
      <c r="A56" t="s">
        <v>51</v>
      </c>
      <c r="B56">
        <f>B46+B37+B30+B54</f>
        <v>2624582.1212054207</v>
      </c>
    </row>
    <row r="57" spans="1:8" x14ac:dyDescent="0.35">
      <c r="A57" t="s">
        <v>52</v>
      </c>
      <c r="B57">
        <f>-B56+B11</f>
        <v>3312337.8787945793</v>
      </c>
      <c r="C57" t="s">
        <v>80</v>
      </c>
      <c r="D57">
        <f>B57/D2</f>
        <v>602.24325068992346</v>
      </c>
    </row>
    <row r="59" spans="1:8" x14ac:dyDescent="0.35">
      <c r="A59" t="s">
        <v>53</v>
      </c>
      <c r="B59">
        <f>B57+B6</f>
        <v>3468549.1485508946</v>
      </c>
      <c r="D59">
        <f>B59/D2</f>
        <v>630.64529973652634</v>
      </c>
    </row>
    <row r="60" spans="1:8" x14ac:dyDescent="0.35">
      <c r="A60" t="s">
        <v>76</v>
      </c>
    </row>
    <row r="62" spans="1:8" x14ac:dyDescent="0.35">
      <c r="A62" t="s">
        <v>78</v>
      </c>
      <c r="B62" t="s">
        <v>83</v>
      </c>
      <c r="C62" t="s">
        <v>84</v>
      </c>
      <c r="D62" t="s">
        <v>85</v>
      </c>
      <c r="E62" t="s">
        <v>78</v>
      </c>
      <c r="F62" t="s">
        <v>83</v>
      </c>
      <c r="G62" t="s">
        <v>84</v>
      </c>
      <c r="H62" t="s">
        <v>85</v>
      </c>
    </row>
    <row r="63" spans="1:8" x14ac:dyDescent="0.35">
      <c r="A63">
        <f>B59</f>
        <v>3468549.1485508946</v>
      </c>
      <c r="B63">
        <f>(1-0.88%+1%-1.31%)</f>
        <v>0.98809999999999987</v>
      </c>
      <c r="C63">
        <f>A63/B63^D63</f>
        <v>3510321.9801142546</v>
      </c>
      <c r="D63">
        <v>1</v>
      </c>
      <c r="E63">
        <v>1823724.7507464604</v>
      </c>
      <c r="F63">
        <v>0.98809999999999987</v>
      </c>
      <c r="G63">
        <v>1845688.4432207879</v>
      </c>
      <c r="H63">
        <v>1</v>
      </c>
    </row>
    <row r="64" spans="1:8" x14ac:dyDescent="0.35">
      <c r="A64">
        <f>A63</f>
        <v>3468549.1485508946</v>
      </c>
      <c r="B64">
        <f t="shared" ref="B64:B72" si="0">(1-0.88%+1%-1.31%)</f>
        <v>0.98809999999999987</v>
      </c>
      <c r="C64">
        <f t="shared" ref="C64:C72" si="1">A64/B64^D64</f>
        <v>3552597.8950655349</v>
      </c>
      <c r="D64">
        <v>2</v>
      </c>
      <c r="E64">
        <v>1823724.7507464604</v>
      </c>
      <c r="F64">
        <v>0.98809999999999987</v>
      </c>
      <c r="G64">
        <v>1867916.6513721165</v>
      </c>
      <c r="H64">
        <v>2</v>
      </c>
    </row>
    <row r="65" spans="1:9" x14ac:dyDescent="0.35">
      <c r="A65">
        <f>A64</f>
        <v>3468549.1485508946</v>
      </c>
      <c r="B65">
        <f t="shared" si="0"/>
        <v>0.98809999999999987</v>
      </c>
      <c r="C65">
        <f t="shared" si="1"/>
        <v>3595382.9521966758</v>
      </c>
      <c r="D65">
        <v>3</v>
      </c>
      <c r="E65">
        <v>1823724.7507464604</v>
      </c>
      <c r="F65">
        <v>0.98809999999999987</v>
      </c>
      <c r="G65">
        <v>1890412.5608461862</v>
      </c>
      <c r="H65">
        <v>3</v>
      </c>
    </row>
    <row r="66" spans="1:9" x14ac:dyDescent="0.35">
      <c r="A66">
        <f t="shared" ref="A66:A72" si="2">A65</f>
        <v>3468549.1485508946</v>
      </c>
      <c r="B66">
        <f t="shared" si="0"/>
        <v>0.98809999999999987</v>
      </c>
      <c r="C66">
        <f t="shared" si="1"/>
        <v>3638683.2832675604</v>
      </c>
      <c r="D66">
        <v>4</v>
      </c>
      <c r="E66">
        <v>1823724.7507464604</v>
      </c>
      <c r="F66">
        <v>0.98809999999999987</v>
      </c>
      <c r="G66">
        <v>1913179.3956544749</v>
      </c>
      <c r="H66">
        <v>4</v>
      </c>
    </row>
    <row r="67" spans="1:9" x14ac:dyDescent="0.35">
      <c r="A67">
        <f t="shared" si="2"/>
        <v>3468549.1485508946</v>
      </c>
      <c r="B67">
        <f t="shared" si="0"/>
        <v>0.98809999999999987</v>
      </c>
      <c r="C67">
        <f t="shared" si="1"/>
        <v>3682505.0938847899</v>
      </c>
      <c r="D67">
        <v>5</v>
      </c>
      <c r="E67">
        <v>1823724.7507464604</v>
      </c>
      <c r="F67">
        <v>0.98809999999999987</v>
      </c>
      <c r="G67">
        <v>1936220.4186362466</v>
      </c>
      <c r="H67">
        <v>5</v>
      </c>
    </row>
    <row r="68" spans="1:9" x14ac:dyDescent="0.35">
      <c r="A68">
        <f t="shared" si="2"/>
        <v>3468549.1485508946</v>
      </c>
      <c r="B68">
        <f t="shared" si="0"/>
        <v>0.98809999999999987</v>
      </c>
      <c r="C68">
        <f t="shared" si="1"/>
        <v>3726854.6643910441</v>
      </c>
      <c r="D68">
        <v>6</v>
      </c>
      <c r="E68">
        <v>1823724.7507464604</v>
      </c>
      <c r="F68">
        <v>0.98809999999999987</v>
      </c>
      <c r="G68">
        <v>1959538.931926168</v>
      </c>
      <c r="H68">
        <v>6</v>
      </c>
    </row>
    <row r="69" spans="1:9" x14ac:dyDescent="0.35">
      <c r="A69">
        <f t="shared" si="2"/>
        <v>3468549.1485508946</v>
      </c>
      <c r="B69">
        <f t="shared" si="0"/>
        <v>0.98809999999999987</v>
      </c>
      <c r="C69">
        <f t="shared" si="1"/>
        <v>3771738.3507651491</v>
      </c>
      <c r="D69">
        <v>7</v>
      </c>
      <c r="E69">
        <v>1823724.7507464604</v>
      </c>
      <c r="F69">
        <v>0.98809999999999987</v>
      </c>
      <c r="G69">
        <v>1983138.2774275562</v>
      </c>
      <c r="H69">
        <v>7</v>
      </c>
    </row>
    <row r="70" spans="1:9" x14ac:dyDescent="0.35">
      <c r="A70">
        <f t="shared" si="2"/>
        <v>3468549.1485508946</v>
      </c>
      <c r="B70">
        <f t="shared" si="0"/>
        <v>0.98809999999999987</v>
      </c>
      <c r="C70">
        <f t="shared" si="1"/>
        <v>3817162.5855329931</v>
      </c>
      <c r="D70">
        <v>8</v>
      </c>
      <c r="E70">
        <v>1823724.7507464604</v>
      </c>
      <c r="F70">
        <v>0.98809999999999987</v>
      </c>
      <c r="G70">
        <v>2007021.8372913233</v>
      </c>
      <c r="H70">
        <v>8</v>
      </c>
    </row>
    <row r="71" spans="1:9" x14ac:dyDescent="0.35">
      <c r="A71">
        <f t="shared" si="2"/>
        <v>3468549.1485508946</v>
      </c>
      <c r="B71">
        <f t="shared" si="0"/>
        <v>0.98809999999999987</v>
      </c>
      <c r="C71">
        <f t="shared" si="1"/>
        <v>3863133.8786893971</v>
      </c>
      <c r="D71">
        <v>9</v>
      </c>
      <c r="E71">
        <v>1823724.7507464604</v>
      </c>
      <c r="F71">
        <v>0.98809999999999987</v>
      </c>
      <c r="G71">
        <v>2031193.034400692</v>
      </c>
      <c r="H71">
        <v>9</v>
      </c>
    </row>
    <row r="72" spans="1:9" x14ac:dyDescent="0.35">
      <c r="A72">
        <f t="shared" si="2"/>
        <v>3468549.1485508946</v>
      </c>
      <c r="B72">
        <f t="shared" si="0"/>
        <v>0.98809999999999987</v>
      </c>
      <c r="C72">
        <f t="shared" si="1"/>
        <v>3909658.8186311079</v>
      </c>
      <c r="D72">
        <v>10</v>
      </c>
      <c r="E72">
        <v>1823724.7507464604</v>
      </c>
      <c r="F72">
        <v>0.98809999999999987</v>
      </c>
      <c r="G72">
        <v>2055655.3328617469</v>
      </c>
      <c r="H72">
        <v>10</v>
      </c>
      <c r="I72" t="s">
        <v>96</v>
      </c>
    </row>
    <row r="73" spans="1:9" x14ac:dyDescent="0.35">
      <c r="B73" t="s">
        <v>86</v>
      </c>
      <c r="C73">
        <f>SUM(C63:C72)</f>
        <v>37068039.50253851</v>
      </c>
      <c r="F73" t="s">
        <v>86</v>
      </c>
      <c r="G73">
        <v>19489964.883637298</v>
      </c>
      <c r="I73">
        <f>C73-G73</f>
        <v>17578074.618901212</v>
      </c>
    </row>
    <row r="76" spans="1:9" x14ac:dyDescent="0.35">
      <c r="A76" t="s">
        <v>88</v>
      </c>
      <c r="B76">
        <f>B3*B2</f>
        <v>50.40262452330137</v>
      </c>
      <c r="C76" t="s">
        <v>93</v>
      </c>
    </row>
    <row r="77" spans="1:9" x14ac:dyDescent="0.35">
      <c r="A77" t="s">
        <v>89</v>
      </c>
      <c r="B77">
        <f>B4*B2</f>
        <v>22.000575476698625</v>
      </c>
      <c r="C77" t="s">
        <v>93</v>
      </c>
    </row>
    <row r="78" spans="1:9" x14ac:dyDescent="0.35">
      <c r="A78" t="s">
        <v>90</v>
      </c>
      <c r="B78">
        <f>B11/D2</f>
        <v>1079.44</v>
      </c>
      <c r="C78" t="s">
        <v>93</v>
      </c>
    </row>
    <row r="79" spans="1:9" x14ac:dyDescent="0.35">
      <c r="A79" t="s">
        <v>91</v>
      </c>
      <c r="B79">
        <f>B56/D2</f>
        <v>477.19674931007648</v>
      </c>
      <c r="C79" t="s">
        <v>93</v>
      </c>
    </row>
    <row r="80" spans="1:9" x14ac:dyDescent="0.35">
      <c r="A80" t="s">
        <v>92</v>
      </c>
      <c r="B80">
        <f>B6/D2</f>
        <v>28.402049046602741</v>
      </c>
      <c r="C80" t="s">
        <v>93</v>
      </c>
    </row>
    <row r="81" spans="1:3" x14ac:dyDescent="0.35">
      <c r="A81" t="s">
        <v>52</v>
      </c>
      <c r="B81">
        <f>B57/D2</f>
        <v>602.24325068992346</v>
      </c>
      <c r="C8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zoomScale="85" zoomScaleNormal="85" workbookViewId="0">
      <selection activeCell="I72" sqref="I72:I73"/>
    </sheetView>
  </sheetViews>
  <sheetFormatPr defaultRowHeight="14.5" x14ac:dyDescent="0.35"/>
  <cols>
    <col min="1" max="1" width="35.453125" bestFit="1" customWidth="1"/>
    <col min="2" max="2" width="15.54296875" bestFit="1" customWidth="1"/>
    <col min="3" max="3" width="17.90625" bestFit="1" customWidth="1"/>
    <col min="4" max="4" width="18" bestFit="1" customWidth="1"/>
    <col min="5" max="5" width="15.81640625" bestFit="1" customWidth="1"/>
    <col min="6" max="6" width="14.1796875" bestFit="1" customWidth="1"/>
    <col min="7" max="7" width="19.453125" bestFit="1" customWidth="1"/>
    <col min="8" max="8" width="22.6328125" bestFit="1" customWidth="1"/>
    <col min="9" max="9" width="12.453125" bestFit="1" customWidth="1"/>
  </cols>
  <sheetData>
    <row r="1" spans="1:9" x14ac:dyDescent="0.35">
      <c r="B1" t="s">
        <v>2</v>
      </c>
      <c r="C1" t="s">
        <v>3</v>
      </c>
      <c r="D1" t="s">
        <v>5</v>
      </c>
      <c r="E1" t="s">
        <v>9</v>
      </c>
      <c r="F1" t="s">
        <v>18</v>
      </c>
      <c r="G1" t="s">
        <v>19</v>
      </c>
      <c r="H1" t="s">
        <v>19</v>
      </c>
      <c r="I1" t="s">
        <v>64</v>
      </c>
    </row>
    <row r="2" spans="1:9" x14ac:dyDescent="0.35">
      <c r="A2" t="s">
        <v>0</v>
      </c>
      <c r="B2">
        <v>24</v>
      </c>
      <c r="C2" t="s">
        <v>16</v>
      </c>
      <c r="D2">
        <v>55000</v>
      </c>
      <c r="E2">
        <f>D2*1.96</f>
        <v>107800</v>
      </c>
      <c r="F2">
        <v>3.15</v>
      </c>
      <c r="G2">
        <v>1</v>
      </c>
      <c r="H2">
        <v>2.5</v>
      </c>
      <c r="I2">
        <v>55000</v>
      </c>
    </row>
    <row r="3" spans="1:9" x14ac:dyDescent="0.35">
      <c r="A3" t="s">
        <v>1</v>
      </c>
      <c r="B3">
        <v>2.1227095339215323</v>
      </c>
      <c r="C3" t="s">
        <v>15</v>
      </c>
      <c r="D3" t="s">
        <v>14</v>
      </c>
      <c r="E3" t="s">
        <v>14</v>
      </c>
      <c r="F3" t="s">
        <v>17</v>
      </c>
      <c r="G3" t="s">
        <v>43</v>
      </c>
      <c r="H3" t="s">
        <v>44</v>
      </c>
      <c r="I3" t="s">
        <v>14</v>
      </c>
    </row>
    <row r="4" spans="1:9" x14ac:dyDescent="0.35">
      <c r="A4" t="s">
        <v>4</v>
      </c>
      <c r="B4">
        <v>0.89409046607846709</v>
      </c>
      <c r="C4" t="s">
        <v>15</v>
      </c>
    </row>
    <row r="6" spans="1:9" x14ac:dyDescent="0.35">
      <c r="A6" t="s">
        <v>6</v>
      </c>
      <c r="B6">
        <f>B2*B3*D2-B2*B4*D2</f>
        <v>1621777.1695528459</v>
      </c>
      <c r="C6">
        <f>B6/D2</f>
        <v>29.486857628233562</v>
      </c>
      <c r="D6" t="s">
        <v>65</v>
      </c>
      <c r="E6" t="s">
        <v>66</v>
      </c>
      <c r="F6" t="s">
        <v>73</v>
      </c>
      <c r="G6" t="s">
        <v>77</v>
      </c>
      <c r="H6" t="s">
        <v>52</v>
      </c>
    </row>
    <row r="7" spans="1:9" x14ac:dyDescent="0.35">
      <c r="D7">
        <v>71536.5</v>
      </c>
      <c r="E7">
        <f>D2*G2*H2</f>
        <v>137500</v>
      </c>
      <c r="F7">
        <f>D2*G2*H2/F2</f>
        <v>43650.793650793654</v>
      </c>
      <c r="G7" s="3">
        <f>D2/I2</f>
        <v>1</v>
      </c>
      <c r="H7">
        <v>0</v>
      </c>
    </row>
    <row r="8" spans="1:9" x14ac:dyDescent="0.35">
      <c r="A8" t="s">
        <v>7</v>
      </c>
      <c r="B8">
        <v>807</v>
      </c>
      <c r="C8" t="s">
        <v>16</v>
      </c>
    </row>
    <row r="9" spans="1:9" x14ac:dyDescent="0.35">
      <c r="A9" t="s">
        <v>8</v>
      </c>
      <c r="B9">
        <v>139</v>
      </c>
      <c r="C9" t="s">
        <v>16</v>
      </c>
      <c r="D9" t="s">
        <v>38</v>
      </c>
    </row>
    <row r="10" spans="1:9" x14ac:dyDescent="0.35">
      <c r="D10">
        <v>45642.966569585842</v>
      </c>
    </row>
    <row r="11" spans="1:9" x14ac:dyDescent="0.35">
      <c r="A11" t="s">
        <v>10</v>
      </c>
      <c r="B11">
        <f>B8*D2+B9*E2</f>
        <v>59369200</v>
      </c>
    </row>
    <row r="13" spans="1:9" x14ac:dyDescent="0.35">
      <c r="A13" s="1" t="s">
        <v>11</v>
      </c>
      <c r="B13">
        <v>0.13686882011277904</v>
      </c>
      <c r="C13" t="s">
        <v>17</v>
      </c>
    </row>
    <row r="14" spans="1:9" x14ac:dyDescent="0.35">
      <c r="A14" s="1" t="s">
        <v>12</v>
      </c>
      <c r="B14">
        <v>2.7182618261826181E-2</v>
      </c>
      <c r="C14" t="s">
        <v>17</v>
      </c>
    </row>
    <row r="15" spans="1:9" x14ac:dyDescent="0.35">
      <c r="A15" s="1" t="s">
        <v>13</v>
      </c>
      <c r="B15">
        <v>2.8979999999999999E-2</v>
      </c>
      <c r="C15" t="s">
        <v>17</v>
      </c>
    </row>
    <row r="16" spans="1:9" x14ac:dyDescent="0.35">
      <c r="A16" t="s">
        <v>20</v>
      </c>
      <c r="B16" s="1">
        <v>400</v>
      </c>
      <c r="C16" t="s">
        <v>16</v>
      </c>
    </row>
    <row r="17" spans="1:6" x14ac:dyDescent="0.35">
      <c r="A17" t="s">
        <v>21</v>
      </c>
      <c r="B17" s="1">
        <v>400</v>
      </c>
      <c r="C17" t="s">
        <v>16</v>
      </c>
    </row>
    <row r="18" spans="1:6" x14ac:dyDescent="0.35">
      <c r="A18" t="s">
        <v>22</v>
      </c>
      <c r="B18" s="1">
        <v>400</v>
      </c>
      <c r="C18" t="s">
        <v>16</v>
      </c>
    </row>
    <row r="19" spans="1:6" x14ac:dyDescent="0.35">
      <c r="A19" t="s">
        <v>23</v>
      </c>
      <c r="B19" s="1">
        <v>1</v>
      </c>
      <c r="C19" t="s">
        <v>27</v>
      </c>
    </row>
    <row r="20" spans="1:6" x14ac:dyDescent="0.35">
      <c r="A20" t="s">
        <v>24</v>
      </c>
      <c r="B20" s="1">
        <v>0.5</v>
      </c>
      <c r="C20" t="s">
        <v>27</v>
      </c>
    </row>
    <row r="21" spans="1:6" x14ac:dyDescent="0.35">
      <c r="A21" t="s">
        <v>25</v>
      </c>
      <c r="B21" s="1">
        <v>0.33</v>
      </c>
      <c r="C21" t="s">
        <v>27</v>
      </c>
    </row>
    <row r="22" spans="1:6" x14ac:dyDescent="0.35">
      <c r="A22" t="s">
        <v>26</v>
      </c>
      <c r="B22" s="1">
        <v>1.25</v>
      </c>
      <c r="C22" t="s">
        <v>27</v>
      </c>
    </row>
    <row r="23" spans="1:6" x14ac:dyDescent="0.35">
      <c r="A23" t="s">
        <v>28</v>
      </c>
      <c r="B23" s="1">
        <v>10.45</v>
      </c>
      <c r="C23" t="s">
        <v>29</v>
      </c>
    </row>
    <row r="24" spans="1:6" x14ac:dyDescent="0.35">
      <c r="A24" s="1" t="s">
        <v>30</v>
      </c>
      <c r="B24" s="1">
        <f>E27/4</f>
        <v>22.645036937148216</v>
      </c>
      <c r="C24" t="s">
        <v>34</v>
      </c>
    </row>
    <row r="25" spans="1:6" x14ac:dyDescent="0.35">
      <c r="A25" s="1" t="s">
        <v>31</v>
      </c>
      <c r="B25" s="1">
        <f>B24</f>
        <v>22.645036937148216</v>
      </c>
      <c r="C25" t="s">
        <v>34</v>
      </c>
      <c r="D25" t="s">
        <v>58</v>
      </c>
      <c r="E25">
        <v>75.362682926829265</v>
      </c>
      <c r="F25" t="s">
        <v>59</v>
      </c>
    </row>
    <row r="26" spans="1:6" x14ac:dyDescent="0.35">
      <c r="A26" s="1" t="s">
        <v>32</v>
      </c>
      <c r="B26" s="1">
        <f>B25</f>
        <v>22.645036937148216</v>
      </c>
      <c r="C26" t="s">
        <v>34</v>
      </c>
      <c r="D26" t="s">
        <v>56</v>
      </c>
      <c r="E26">
        <v>0.83199999999999996</v>
      </c>
      <c r="F26" t="s">
        <v>57</v>
      </c>
    </row>
    <row r="27" spans="1:6" x14ac:dyDescent="0.35">
      <c r="A27" s="1" t="s">
        <v>33</v>
      </c>
      <c r="B27" s="1">
        <f>B26</f>
        <v>22.645036937148216</v>
      </c>
      <c r="C27" t="s">
        <v>34</v>
      </c>
      <c r="D27" t="s">
        <v>60</v>
      </c>
      <c r="E27">
        <f>E25/E26</f>
        <v>90.580147748592864</v>
      </c>
      <c r="F27" t="s">
        <v>61</v>
      </c>
    </row>
    <row r="28" spans="1:6" x14ac:dyDescent="0.35">
      <c r="A28" t="s">
        <v>35</v>
      </c>
      <c r="B28" s="1">
        <v>1.26</v>
      </c>
      <c r="C28" t="s">
        <v>36</v>
      </c>
    </row>
    <row r="30" spans="1:6" x14ac:dyDescent="0.35">
      <c r="A30" s="1" t="s">
        <v>37</v>
      </c>
      <c r="B30">
        <f>(D2*G2*H2/F2)*B13*B16+(D2*G2*H2/F2)*B14*B17+(D2*G2*H2/F2)*B15*B18+(D2*G2*H2/F2)*(B19+B20+B21+B22)*B23+(D2*G2*H2/F2)*(B24+B25+B26+B27)*B28</f>
        <v>9757242.764459366</v>
      </c>
    </row>
    <row r="32" spans="1:6" x14ac:dyDescent="0.35">
      <c r="A32" t="s">
        <v>54</v>
      </c>
      <c r="B32">
        <f>D2/D10</f>
        <v>1.2050049357801649</v>
      </c>
      <c r="C32" t="s">
        <v>55</v>
      </c>
    </row>
    <row r="33" spans="1:5" x14ac:dyDescent="0.35">
      <c r="A33" t="s">
        <v>38</v>
      </c>
      <c r="B33">
        <f>IF(D2/I2&lt;=0.1,D2/B32/36,IF(AND(D2/I2&gt;0.1,D2/I2&lt;=0.2),D2/B32/9,IF(AND(D2/I2&gt;0.2,D2/I2&lt;=0.3),D2/B32/4,IF(AND(D2/I2&gt;0.3,D2/I2&lt;=0.4),D2/B32/(36/16),IF(AND(D2/I2&gt;0.4,D2/I2&lt;=0.5),D2/B32/(36/25),IF(AND(D2/I2&gt;0.5,D2/I2&lt;=0.6),D2/B32,IF(AND(D2/I2&gt;0.6,D2/I2&lt;=0.7),D2/B32/(36/49),IF(AND(D2/I2&gt;0.7,D2/I2&lt;=0.8),D2/B32/(36/64),IF(AND(D2/I2&gt;0.8,D2/I2&lt;=0.9),D2/B32/(36/81),IF(D2/I2&gt;0.9,D2/B32/(36/100),0))))))))))</f>
        <v>126786.01824884956</v>
      </c>
      <c r="C33" t="s">
        <v>39</v>
      </c>
    </row>
    <row r="34" spans="1:5" x14ac:dyDescent="0.35">
      <c r="A34" t="s">
        <v>40</v>
      </c>
      <c r="B34" s="1">
        <f>40*1.26/100</f>
        <v>0.504</v>
      </c>
      <c r="C34" t="s">
        <v>41</v>
      </c>
      <c r="D34" t="s">
        <v>62</v>
      </c>
      <c r="E34" t="s">
        <v>63</v>
      </c>
    </row>
    <row r="35" spans="1:5" x14ac:dyDescent="0.35">
      <c r="D35">
        <f>40*1.26/100</f>
        <v>0.504</v>
      </c>
      <c r="E35" t="s">
        <v>41</v>
      </c>
    </row>
    <row r="37" spans="1:5" x14ac:dyDescent="0.35">
      <c r="A37" t="s">
        <v>42</v>
      </c>
      <c r="B37">
        <f>B33*B34</f>
        <v>63900.153197420179</v>
      </c>
    </row>
    <row r="40" spans="1:5" x14ac:dyDescent="0.35">
      <c r="A40" t="s">
        <v>68</v>
      </c>
      <c r="B40">
        <f>IF(D2/I2&lt;=0.3,2.8,IF(D2/I2&gt;0.3,2.8*1.2,0))</f>
        <v>3.36</v>
      </c>
      <c r="C40" t="s">
        <v>16</v>
      </c>
    </row>
    <row r="41" spans="1:5" x14ac:dyDescent="0.35">
      <c r="A41" t="s">
        <v>45</v>
      </c>
      <c r="B41">
        <v>0.19</v>
      </c>
      <c r="C41" t="s">
        <v>47</v>
      </c>
    </row>
    <row r="42" spans="1:5" x14ac:dyDescent="0.35">
      <c r="A42" t="s">
        <v>48</v>
      </c>
      <c r="B42">
        <v>43.52</v>
      </c>
      <c r="C42" t="s">
        <v>67</v>
      </c>
    </row>
    <row r="43" spans="1:5" x14ac:dyDescent="0.35">
      <c r="A43" t="s">
        <v>49</v>
      </c>
      <c r="B43">
        <v>20</v>
      </c>
      <c r="C43" t="s">
        <v>16</v>
      </c>
    </row>
    <row r="44" spans="1:5" x14ac:dyDescent="0.35">
      <c r="A44" t="s">
        <v>46</v>
      </c>
      <c r="B44">
        <v>10</v>
      </c>
      <c r="C44" t="s">
        <v>16</v>
      </c>
    </row>
    <row r="46" spans="1:5" x14ac:dyDescent="0.35">
      <c r="A46" t="s">
        <v>50</v>
      </c>
      <c r="B46">
        <f>B40*D2+B41*B42*D2+B43*D2+B44*D2</f>
        <v>2289584</v>
      </c>
    </row>
    <row r="48" spans="1:5" x14ac:dyDescent="0.35">
      <c r="A48" t="s">
        <v>69</v>
      </c>
      <c r="B48">
        <v>15000</v>
      </c>
    </row>
    <row r="49" spans="1:8" x14ac:dyDescent="0.35">
      <c r="A49" t="s">
        <v>70</v>
      </c>
      <c r="B49">
        <f>10000*(D2/I2)</f>
        <v>10000</v>
      </c>
    </row>
    <row r="50" spans="1:8" x14ac:dyDescent="0.35">
      <c r="A50" t="s">
        <v>71</v>
      </c>
      <c r="B50">
        <f>10000*(D2/I2)</f>
        <v>10000</v>
      </c>
      <c r="D50" t="s">
        <v>79</v>
      </c>
    </row>
    <row r="51" spans="1:8" x14ac:dyDescent="0.35">
      <c r="A51" t="s">
        <v>72</v>
      </c>
      <c r="B51">
        <f>15000*3*(B33/D10)</f>
        <v>125000</v>
      </c>
      <c r="D51" s="4">
        <f>B33/(E7/30*50000)</f>
        <v>5.5324807963134362E-4</v>
      </c>
    </row>
    <row r="52" spans="1:8" x14ac:dyDescent="0.35">
      <c r="A52" t="s">
        <v>74</v>
      </c>
      <c r="B52">
        <f>200*(D2*G2*H2/F2)</f>
        <v>8730158.7301587313</v>
      </c>
    </row>
    <row r="54" spans="1:8" x14ac:dyDescent="0.35">
      <c r="A54" t="s">
        <v>75</v>
      </c>
      <c r="B54">
        <f>B52+B51+B50+B49+B48</f>
        <v>8890158.7301587313</v>
      </c>
    </row>
    <row r="56" spans="1:8" x14ac:dyDescent="0.35">
      <c r="A56" t="s">
        <v>51</v>
      </c>
      <c r="B56">
        <f>B46+B37+B30+B54</f>
        <v>21000885.647815518</v>
      </c>
    </row>
    <row r="57" spans="1:8" x14ac:dyDescent="0.35">
      <c r="A57" t="s">
        <v>52</v>
      </c>
      <c r="B57">
        <f>-B56+B11</f>
        <v>38368314.352184482</v>
      </c>
      <c r="C57" t="s">
        <v>80</v>
      </c>
      <c r="D57">
        <f>B57/D2</f>
        <v>697.60571549426334</v>
      </c>
    </row>
    <row r="59" spans="1:8" x14ac:dyDescent="0.35">
      <c r="A59" t="s">
        <v>53</v>
      </c>
      <c r="B59">
        <f>B57+B6</f>
        <v>39990091.52173733</v>
      </c>
      <c r="D59">
        <f>B59/D2</f>
        <v>727.0925731224969</v>
      </c>
    </row>
    <row r="60" spans="1:8" x14ac:dyDescent="0.35">
      <c r="A60" t="s">
        <v>76</v>
      </c>
    </row>
    <row r="62" spans="1:8" x14ac:dyDescent="0.35">
      <c r="A62" t="s">
        <v>78</v>
      </c>
      <c r="B62" t="s">
        <v>83</v>
      </c>
      <c r="C62" t="s">
        <v>84</v>
      </c>
      <c r="D62" t="s">
        <v>85</v>
      </c>
      <c r="E62" t="s">
        <v>78</v>
      </c>
      <c r="F62" t="s">
        <v>83</v>
      </c>
      <c r="G62" t="s">
        <v>84</v>
      </c>
      <c r="H62" t="s">
        <v>85</v>
      </c>
    </row>
    <row r="63" spans="1:8" x14ac:dyDescent="0.35">
      <c r="A63">
        <f>B59</f>
        <v>39990091.52173733</v>
      </c>
      <c r="B63">
        <f>(1-0.88%+1%-1.31%)</f>
        <v>0.98809999999999987</v>
      </c>
      <c r="C63">
        <f>A63/B63^D63</f>
        <v>40471704.808964007</v>
      </c>
      <c r="D63">
        <v>1</v>
      </c>
      <c r="E63">
        <v>20828541.293605074</v>
      </c>
      <c r="F63">
        <v>0.98809999999999987</v>
      </c>
      <c r="G63">
        <v>21079385.986848574</v>
      </c>
      <c r="H63">
        <v>1</v>
      </c>
    </row>
    <row r="64" spans="1:8" x14ac:dyDescent="0.35">
      <c r="A64">
        <f>A63</f>
        <v>39990091.52173733</v>
      </c>
      <c r="B64">
        <f t="shared" ref="B64:B72" si="0">(1-0.88%+1%-1.31%)</f>
        <v>0.98809999999999987</v>
      </c>
      <c r="C64">
        <f t="shared" ref="C64:C72" si="1">A64/B64^D64</f>
        <v>40959118.316935547</v>
      </c>
      <c r="D64">
        <v>2</v>
      </c>
      <c r="E64">
        <v>20828541.293605074</v>
      </c>
      <c r="F64">
        <v>0.98809999999999987</v>
      </c>
      <c r="G64">
        <v>21333251.681862745</v>
      </c>
      <c r="H64">
        <v>2</v>
      </c>
    </row>
    <row r="65" spans="1:9" x14ac:dyDescent="0.35">
      <c r="A65">
        <f>A64</f>
        <v>39990091.52173733</v>
      </c>
      <c r="B65">
        <f t="shared" si="0"/>
        <v>0.98809999999999987</v>
      </c>
      <c r="C65">
        <f t="shared" si="1"/>
        <v>41452401.899540074</v>
      </c>
      <c r="D65">
        <v>3</v>
      </c>
      <c r="E65">
        <v>20828541.293605074</v>
      </c>
      <c r="F65">
        <v>0.98809999999999987</v>
      </c>
      <c r="G65">
        <v>21590174.761524893</v>
      </c>
      <c r="H65">
        <v>3</v>
      </c>
    </row>
    <row r="66" spans="1:9" x14ac:dyDescent="0.35">
      <c r="A66">
        <f t="shared" ref="A66:A72" si="2">A65</f>
        <v>39990091.52173733</v>
      </c>
      <c r="B66">
        <f t="shared" si="0"/>
        <v>0.98809999999999987</v>
      </c>
      <c r="C66">
        <f t="shared" si="1"/>
        <v>41951626.251938149</v>
      </c>
      <c r="D66">
        <v>4</v>
      </c>
      <c r="E66">
        <v>20828541.293605074</v>
      </c>
      <c r="F66">
        <v>0.98809999999999987</v>
      </c>
      <c r="G66">
        <v>21850192.046882801</v>
      </c>
      <c r="H66">
        <v>4</v>
      </c>
    </row>
    <row r="67" spans="1:9" x14ac:dyDescent="0.35">
      <c r="A67">
        <f t="shared" si="2"/>
        <v>39990091.52173733</v>
      </c>
      <c r="B67">
        <f t="shared" si="0"/>
        <v>0.98809999999999987</v>
      </c>
      <c r="C67">
        <f t="shared" si="1"/>
        <v>42456862.920694418</v>
      </c>
      <c r="D67">
        <v>5</v>
      </c>
      <c r="E67">
        <v>20828541.293605074</v>
      </c>
      <c r="F67">
        <v>0.98809999999999987</v>
      </c>
      <c r="G67">
        <v>22113340.802431744</v>
      </c>
      <c r="H67">
        <v>5</v>
      </c>
    </row>
    <row r="68" spans="1:9" x14ac:dyDescent="0.35">
      <c r="A68">
        <f t="shared" si="2"/>
        <v>39990091.52173733</v>
      </c>
      <c r="B68">
        <f t="shared" si="0"/>
        <v>0.98809999999999987</v>
      </c>
      <c r="C68">
        <f t="shared" si="1"/>
        <v>42968184.3140314</v>
      </c>
      <c r="D68">
        <v>6</v>
      </c>
      <c r="E68">
        <v>20828541.293605074</v>
      </c>
      <c r="F68">
        <v>0.98809999999999987</v>
      </c>
      <c r="G68">
        <v>22379658.741455063</v>
      </c>
      <c r="H68">
        <v>6</v>
      </c>
    </row>
    <row r="69" spans="1:9" x14ac:dyDescent="0.35">
      <c r="A69">
        <f t="shared" si="2"/>
        <v>39990091.52173733</v>
      </c>
      <c r="B69">
        <f t="shared" si="0"/>
        <v>0.98809999999999987</v>
      </c>
      <c r="C69">
        <f t="shared" si="1"/>
        <v>43485663.712206654</v>
      </c>
      <c r="D69">
        <v>7</v>
      </c>
      <c r="E69">
        <v>20828541.293605074</v>
      </c>
      <c r="F69">
        <v>0.98809999999999987</v>
      </c>
      <c r="G69">
        <v>22649184.031429067</v>
      </c>
      <c r="H69">
        <v>7</v>
      </c>
    </row>
    <row r="70" spans="1:9" x14ac:dyDescent="0.35">
      <c r="A70">
        <f t="shared" si="2"/>
        <v>39990091.52173733</v>
      </c>
      <c r="B70">
        <f t="shared" si="0"/>
        <v>0.98809999999999987</v>
      </c>
      <c r="C70">
        <f t="shared" si="1"/>
        <v>44009375.278015047</v>
      </c>
      <c r="D70">
        <v>8</v>
      </c>
      <c r="E70">
        <v>20828541.293605074</v>
      </c>
      <c r="F70">
        <v>0.98809999999999987</v>
      </c>
      <c r="G70">
        <v>22921955.299493041</v>
      </c>
      <c r="H70">
        <v>8</v>
      </c>
    </row>
    <row r="71" spans="1:9" x14ac:dyDescent="0.35">
      <c r="A71">
        <f t="shared" si="2"/>
        <v>39990091.52173733</v>
      </c>
      <c r="B71">
        <f t="shared" si="0"/>
        <v>0.98809999999999987</v>
      </c>
      <c r="C71">
        <f t="shared" si="1"/>
        <v>44539394.067417316</v>
      </c>
      <c r="D71">
        <v>9</v>
      </c>
      <c r="E71">
        <v>20828541.293605074</v>
      </c>
      <c r="F71">
        <v>0.98809999999999987</v>
      </c>
      <c r="G71">
        <v>23198011.637985066</v>
      </c>
      <c r="H71">
        <v>9</v>
      </c>
    </row>
    <row r="72" spans="1:9" x14ac:dyDescent="0.35">
      <c r="A72">
        <f t="shared" si="2"/>
        <v>39990091.52173733</v>
      </c>
      <c r="B72">
        <f t="shared" si="0"/>
        <v>0.98809999999999987</v>
      </c>
      <c r="C72">
        <f t="shared" si="1"/>
        <v>45075796.04029686</v>
      </c>
      <c r="D72">
        <v>10</v>
      </c>
      <c r="E72">
        <v>20828541.293605074</v>
      </c>
      <c r="F72">
        <v>0.98809999999999987</v>
      </c>
      <c r="G72">
        <v>23477392.610044599</v>
      </c>
      <c r="H72">
        <v>10</v>
      </c>
      <c r="I72" t="s">
        <v>96</v>
      </c>
    </row>
    <row r="73" spans="1:9" x14ac:dyDescent="0.35">
      <c r="B73" t="s">
        <v>86</v>
      </c>
      <c r="C73">
        <f>SUM(C63:C72)</f>
        <v>427370127.61003947</v>
      </c>
      <c r="F73" t="s">
        <v>86</v>
      </c>
      <c r="G73">
        <v>222592547.59995759</v>
      </c>
      <c r="I73">
        <f>C73-G73</f>
        <v>204777580.01008189</v>
      </c>
    </row>
    <row r="76" spans="1:9" x14ac:dyDescent="0.35">
      <c r="A76" t="s">
        <v>88</v>
      </c>
      <c r="B76">
        <f>B3*B2</f>
        <v>50.945028814116775</v>
      </c>
      <c r="C76" t="s">
        <v>93</v>
      </c>
    </row>
    <row r="77" spans="1:9" x14ac:dyDescent="0.35">
      <c r="A77" t="s">
        <v>89</v>
      </c>
      <c r="B77">
        <f>B4*B2</f>
        <v>21.458171185883209</v>
      </c>
      <c r="C77" t="s">
        <v>93</v>
      </c>
    </row>
    <row r="78" spans="1:9" x14ac:dyDescent="0.35">
      <c r="A78" t="s">
        <v>90</v>
      </c>
      <c r="B78">
        <f>B11/D2</f>
        <v>1079.44</v>
      </c>
      <c r="C78" t="s">
        <v>93</v>
      </c>
    </row>
    <row r="79" spans="1:9" x14ac:dyDescent="0.35">
      <c r="A79" t="s">
        <v>91</v>
      </c>
      <c r="B79">
        <f>B56/D2</f>
        <v>381.83428450573672</v>
      </c>
      <c r="C79" t="s">
        <v>93</v>
      </c>
    </row>
    <row r="80" spans="1:9" x14ac:dyDescent="0.35">
      <c r="A80" t="s">
        <v>92</v>
      </c>
      <c r="B80">
        <f>B6/D2</f>
        <v>29.486857628233562</v>
      </c>
      <c r="C80" t="s">
        <v>93</v>
      </c>
    </row>
    <row r="81" spans="1:3" x14ac:dyDescent="0.35">
      <c r="A81" t="s">
        <v>52</v>
      </c>
      <c r="B81">
        <f>B57/D2</f>
        <v>697.60571549426334</v>
      </c>
      <c r="C8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B1" workbookViewId="0">
      <selection activeCell="I2" sqref="I2"/>
    </sheetView>
  </sheetViews>
  <sheetFormatPr defaultRowHeight="14.5" x14ac:dyDescent="0.35"/>
  <cols>
    <col min="1" max="1" width="35.453125" bestFit="1" customWidth="1"/>
    <col min="2" max="2" width="15.54296875" bestFit="1" customWidth="1"/>
    <col min="3" max="3" width="17.90625" bestFit="1" customWidth="1"/>
    <col min="4" max="4" width="18" bestFit="1" customWidth="1"/>
    <col min="5" max="5" width="15.81640625" bestFit="1" customWidth="1"/>
    <col min="6" max="6" width="14.1796875" bestFit="1" customWidth="1"/>
    <col min="7" max="7" width="19.453125" bestFit="1" customWidth="1"/>
    <col min="8" max="8" width="22.6328125" bestFit="1" customWidth="1"/>
    <col min="9" max="9" width="12.453125" bestFit="1" customWidth="1"/>
  </cols>
  <sheetData>
    <row r="1" spans="1:9" x14ac:dyDescent="0.35">
      <c r="B1" t="s">
        <v>2</v>
      </c>
      <c r="C1" t="s">
        <v>3</v>
      </c>
      <c r="D1" t="s">
        <v>5</v>
      </c>
      <c r="E1" t="s">
        <v>9</v>
      </c>
      <c r="F1" t="s">
        <v>18</v>
      </c>
      <c r="G1" t="s">
        <v>19</v>
      </c>
      <c r="H1" t="s">
        <v>19</v>
      </c>
      <c r="I1" t="s">
        <v>64</v>
      </c>
    </row>
    <row r="2" spans="1:9" x14ac:dyDescent="0.35">
      <c r="A2" t="s">
        <v>0</v>
      </c>
      <c r="B2">
        <v>24</v>
      </c>
      <c r="C2" t="s">
        <v>16</v>
      </c>
      <c r="D2">
        <v>100000</v>
      </c>
      <c r="E2">
        <f>D2*1.96</f>
        <v>196000</v>
      </c>
      <c r="F2">
        <v>3.0840000000000001</v>
      </c>
      <c r="G2">
        <v>1</v>
      </c>
      <c r="H2">
        <v>2.5</v>
      </c>
      <c r="I2">
        <v>100000</v>
      </c>
    </row>
    <row r="3" spans="1:9" x14ac:dyDescent="0.35">
      <c r="A3" t="s">
        <v>1</v>
      </c>
      <c r="B3">
        <v>2.0302057452998117</v>
      </c>
      <c r="C3" t="s">
        <v>15</v>
      </c>
      <c r="D3" t="s">
        <v>14</v>
      </c>
      <c r="E3" t="s">
        <v>14</v>
      </c>
      <c r="F3" t="s">
        <v>17</v>
      </c>
      <c r="G3" t="s">
        <v>43</v>
      </c>
      <c r="H3" t="s">
        <v>44</v>
      </c>
      <c r="I3" t="s">
        <v>14</v>
      </c>
    </row>
    <row r="4" spans="1:9" x14ac:dyDescent="0.35">
      <c r="A4" t="s">
        <v>4</v>
      </c>
      <c r="B4">
        <v>0.98659425470018769</v>
      </c>
      <c r="C4" t="s">
        <v>15</v>
      </c>
    </row>
    <row r="6" spans="1:9" x14ac:dyDescent="0.35">
      <c r="A6" t="s">
        <v>6</v>
      </c>
      <c r="B6">
        <f>B2*B3*D2-B2*B4*D2</f>
        <v>2504667.5774390977</v>
      </c>
      <c r="C6">
        <f>B6/D2</f>
        <v>25.046675774390977</v>
      </c>
      <c r="D6" t="s">
        <v>65</v>
      </c>
      <c r="E6" t="s">
        <v>66</v>
      </c>
      <c r="F6" t="s">
        <v>73</v>
      </c>
      <c r="G6" t="s">
        <v>77</v>
      </c>
      <c r="H6" t="s">
        <v>52</v>
      </c>
    </row>
    <row r="7" spans="1:9" x14ac:dyDescent="0.35">
      <c r="D7">
        <v>130046.5</v>
      </c>
      <c r="E7">
        <f>D2*G2*H2</f>
        <v>250000</v>
      </c>
      <c r="F7">
        <f>D2*G2*H2/F2</f>
        <v>81063.553826199743</v>
      </c>
      <c r="G7" s="3">
        <f>D2/I2</f>
        <v>1</v>
      </c>
      <c r="H7">
        <v>0</v>
      </c>
    </row>
    <row r="8" spans="1:9" x14ac:dyDescent="0.35">
      <c r="A8" t="s">
        <v>7</v>
      </c>
      <c r="B8">
        <v>807</v>
      </c>
      <c r="C8" t="s">
        <v>16</v>
      </c>
    </row>
    <row r="9" spans="1:9" x14ac:dyDescent="0.35">
      <c r="A9" t="s">
        <v>8</v>
      </c>
      <c r="B9">
        <v>139</v>
      </c>
      <c r="C9" t="s">
        <v>16</v>
      </c>
      <c r="D9" t="s">
        <v>38</v>
      </c>
    </row>
    <row r="10" spans="1:9" x14ac:dyDescent="0.35">
      <c r="D10">
        <v>140032.4230864041</v>
      </c>
    </row>
    <row r="11" spans="1:9" x14ac:dyDescent="0.35">
      <c r="A11" t="s">
        <v>10</v>
      </c>
      <c r="B11">
        <f>B8*D2+B9*E2</f>
        <v>107944000</v>
      </c>
    </row>
    <row r="13" spans="1:9" x14ac:dyDescent="0.35">
      <c r="A13" s="1" t="s">
        <v>11</v>
      </c>
      <c r="B13">
        <v>0.13183010110221849</v>
      </c>
      <c r="C13" t="s">
        <v>17</v>
      </c>
    </row>
    <row r="14" spans="1:9" x14ac:dyDescent="0.35">
      <c r="A14" s="1" t="s">
        <v>12</v>
      </c>
      <c r="B14">
        <v>2.7441375222288084E-2</v>
      </c>
      <c r="C14" t="s">
        <v>17</v>
      </c>
    </row>
    <row r="15" spans="1:9" x14ac:dyDescent="0.35">
      <c r="A15" s="1" t="s">
        <v>13</v>
      </c>
      <c r="B15">
        <v>2.8979999999999999E-2</v>
      </c>
      <c r="C15" t="s">
        <v>17</v>
      </c>
    </row>
    <row r="16" spans="1:9" x14ac:dyDescent="0.35">
      <c r="A16" t="s">
        <v>20</v>
      </c>
      <c r="B16" s="1">
        <v>400</v>
      </c>
      <c r="C16" t="s">
        <v>16</v>
      </c>
    </row>
    <row r="17" spans="1:6" x14ac:dyDescent="0.35">
      <c r="A17" t="s">
        <v>21</v>
      </c>
      <c r="B17" s="1">
        <v>400</v>
      </c>
      <c r="C17" t="s">
        <v>16</v>
      </c>
    </row>
    <row r="18" spans="1:6" x14ac:dyDescent="0.35">
      <c r="A18" t="s">
        <v>22</v>
      </c>
      <c r="B18" s="1">
        <v>400</v>
      </c>
      <c r="C18" t="s">
        <v>16</v>
      </c>
    </row>
    <row r="19" spans="1:6" x14ac:dyDescent="0.35">
      <c r="A19" t="s">
        <v>23</v>
      </c>
      <c r="B19" s="1">
        <v>1</v>
      </c>
      <c r="C19" t="s">
        <v>27</v>
      </c>
    </row>
    <row r="20" spans="1:6" x14ac:dyDescent="0.35">
      <c r="A20" t="s">
        <v>24</v>
      </c>
      <c r="B20" s="1">
        <v>0.5</v>
      </c>
      <c r="C20" t="s">
        <v>27</v>
      </c>
    </row>
    <row r="21" spans="1:6" x14ac:dyDescent="0.35">
      <c r="A21" t="s">
        <v>25</v>
      </c>
      <c r="B21" s="1">
        <v>0.33</v>
      </c>
      <c r="C21" t="s">
        <v>27</v>
      </c>
    </row>
    <row r="22" spans="1:6" x14ac:dyDescent="0.35">
      <c r="A22" t="s">
        <v>26</v>
      </c>
      <c r="B22" s="1">
        <v>1.25</v>
      </c>
      <c r="C22" t="s">
        <v>27</v>
      </c>
    </row>
    <row r="23" spans="1:6" x14ac:dyDescent="0.35">
      <c r="A23" t="s">
        <v>28</v>
      </c>
      <c r="B23" s="1">
        <v>10.45</v>
      </c>
      <c r="C23" t="s">
        <v>29</v>
      </c>
    </row>
    <row r="24" spans="1:6" x14ac:dyDescent="0.35">
      <c r="A24" s="1" t="s">
        <v>30</v>
      </c>
      <c r="B24" s="1">
        <f>E27/4</f>
        <v>22.645036937148216</v>
      </c>
      <c r="C24" t="s">
        <v>34</v>
      </c>
    </row>
    <row r="25" spans="1:6" x14ac:dyDescent="0.35">
      <c r="A25" s="1" t="s">
        <v>31</v>
      </c>
      <c r="B25" s="1">
        <f>B24</f>
        <v>22.645036937148216</v>
      </c>
      <c r="C25" t="s">
        <v>34</v>
      </c>
      <c r="D25" t="s">
        <v>58</v>
      </c>
      <c r="E25">
        <v>75.362682926829265</v>
      </c>
      <c r="F25" t="s">
        <v>59</v>
      </c>
    </row>
    <row r="26" spans="1:6" x14ac:dyDescent="0.35">
      <c r="A26" s="1" t="s">
        <v>32</v>
      </c>
      <c r="B26" s="1">
        <f>B25</f>
        <v>22.645036937148216</v>
      </c>
      <c r="C26" t="s">
        <v>34</v>
      </c>
      <c r="D26" t="s">
        <v>56</v>
      </c>
      <c r="E26">
        <v>0.83199999999999996</v>
      </c>
      <c r="F26" t="s">
        <v>57</v>
      </c>
    </row>
    <row r="27" spans="1:6" x14ac:dyDescent="0.35">
      <c r="A27" s="1" t="s">
        <v>33</v>
      </c>
      <c r="B27" s="1">
        <f>B26</f>
        <v>22.645036937148216</v>
      </c>
      <c r="C27" t="s">
        <v>34</v>
      </c>
      <c r="D27" t="s">
        <v>60</v>
      </c>
      <c r="E27">
        <f>E25/E26</f>
        <v>90.580147748592864</v>
      </c>
      <c r="F27" t="s">
        <v>61</v>
      </c>
    </row>
    <row r="28" spans="1:6" x14ac:dyDescent="0.35">
      <c r="A28" t="s">
        <v>35</v>
      </c>
      <c r="B28" s="1">
        <v>1.26</v>
      </c>
      <c r="C28" t="s">
        <v>36</v>
      </c>
    </row>
    <row r="30" spans="1:6" x14ac:dyDescent="0.35">
      <c r="A30" s="1" t="s">
        <v>37</v>
      </c>
      <c r="B30">
        <f>(D2*G2*H2/F2)*B13*B16+(D2*G2*H2/F2)*B14*B17+(D2*G2*H2/F2)*B15*B18+(D2*G2*H2/F2)*(B19+B20+B21+B22)*B23+(D2*G2*H2/F2)*(B24+B25+B26+B27)*B28</f>
        <v>17965108.357087359</v>
      </c>
    </row>
    <row r="32" spans="1:6" x14ac:dyDescent="0.35">
      <c r="A32" t="s">
        <v>54</v>
      </c>
      <c r="B32">
        <f>D2/D10</f>
        <v>0.7141203286777168</v>
      </c>
      <c r="C32" t="s">
        <v>55</v>
      </c>
    </row>
    <row r="33" spans="1:5" x14ac:dyDescent="0.35">
      <c r="A33" t="s">
        <v>38</v>
      </c>
      <c r="B33">
        <f>IF(D2/I2&lt;=0.1,D2/B32/36,IF(AND(D2/I2&gt;0.1,D2/I2&lt;=0.2),D2/B32/9,IF(AND(D2/I2&gt;0.2,D2/I2&lt;=0.3),D2/B32/4,IF(AND(D2/I2&gt;0.3,D2/I2&lt;=0.4),D2/B32/(36/16),IF(AND(D2/I2&gt;0.4,D2/I2&lt;=0.5),D2/B32/(36/25),IF(AND(D2/I2&gt;0.5,D2/I2&lt;=0.6),D2/B32,IF(AND(D2/I2&gt;0.6,D2/I2&lt;=0.7),D2/B32/(36/49),IF(AND(D2/I2&gt;0.7,D2/I2&lt;=0.8),D2/B32/(36/64),IF(AND(D2/I2&gt;0.8,D2/I2&lt;=0.9),D2/B32/(36/81),IF(D2/I2&gt;0.9,D2/B32/(36/100),0))))))))))</f>
        <v>388978.95301778917</v>
      </c>
      <c r="C33" t="s">
        <v>39</v>
      </c>
    </row>
    <row r="34" spans="1:5" x14ac:dyDescent="0.35">
      <c r="A34" t="s">
        <v>40</v>
      </c>
      <c r="B34" s="1">
        <f>40*1.26/100</f>
        <v>0.504</v>
      </c>
      <c r="C34" t="s">
        <v>41</v>
      </c>
      <c r="D34" t="s">
        <v>62</v>
      </c>
      <c r="E34" t="s">
        <v>63</v>
      </c>
    </row>
    <row r="35" spans="1:5" x14ac:dyDescent="0.35">
      <c r="D35">
        <f>40*1.26/100</f>
        <v>0.504</v>
      </c>
      <c r="E35" t="s">
        <v>41</v>
      </c>
    </row>
    <row r="37" spans="1:5" x14ac:dyDescent="0.35">
      <c r="A37" t="s">
        <v>42</v>
      </c>
      <c r="B37">
        <f>B33*B34</f>
        <v>196045.39232096574</v>
      </c>
    </row>
    <row r="40" spans="1:5" x14ac:dyDescent="0.35">
      <c r="A40" t="s">
        <v>68</v>
      </c>
      <c r="B40">
        <f>IF(D2/I2&lt;=0.3,2.8,IF(D2/I2&gt;0.3,2.8*1.2,0))</f>
        <v>3.36</v>
      </c>
      <c r="C40" t="s">
        <v>16</v>
      </c>
    </row>
    <row r="41" spans="1:5" x14ac:dyDescent="0.35">
      <c r="A41" t="s">
        <v>45</v>
      </c>
      <c r="B41">
        <v>0.19</v>
      </c>
      <c r="C41" t="s">
        <v>47</v>
      </c>
    </row>
    <row r="42" spans="1:5" x14ac:dyDescent="0.35">
      <c r="A42" t="s">
        <v>48</v>
      </c>
      <c r="B42">
        <v>43.52</v>
      </c>
      <c r="C42" t="s">
        <v>67</v>
      </c>
    </row>
    <row r="43" spans="1:5" x14ac:dyDescent="0.35">
      <c r="A43" t="s">
        <v>49</v>
      </c>
      <c r="B43">
        <v>20</v>
      </c>
      <c r="C43" t="s">
        <v>16</v>
      </c>
    </row>
    <row r="44" spans="1:5" x14ac:dyDescent="0.35">
      <c r="A44" t="s">
        <v>46</v>
      </c>
      <c r="B44">
        <v>10</v>
      </c>
      <c r="C44" t="s">
        <v>16</v>
      </c>
    </row>
    <row r="46" spans="1:5" x14ac:dyDescent="0.35">
      <c r="A46" t="s">
        <v>50</v>
      </c>
      <c r="B46">
        <f>B40*D2+B41*B42*D2+B43*D2+B44*D2</f>
        <v>4162880</v>
      </c>
    </row>
    <row r="48" spans="1:5" x14ac:dyDescent="0.35">
      <c r="A48" t="s">
        <v>69</v>
      </c>
      <c r="B48">
        <v>15000</v>
      </c>
    </row>
    <row r="49" spans="1:8" x14ac:dyDescent="0.35">
      <c r="A49" t="s">
        <v>70</v>
      </c>
      <c r="B49">
        <f>10000*(D2/I2)</f>
        <v>10000</v>
      </c>
    </row>
    <row r="50" spans="1:8" x14ac:dyDescent="0.35">
      <c r="A50" t="s">
        <v>71</v>
      </c>
      <c r="B50">
        <f>10000*(D2/I2)</f>
        <v>10000</v>
      </c>
      <c r="D50" t="s">
        <v>79</v>
      </c>
    </row>
    <row r="51" spans="1:8" x14ac:dyDescent="0.35">
      <c r="A51" t="s">
        <v>72</v>
      </c>
      <c r="B51">
        <f>15000*3*(B33/D10)</f>
        <v>125000</v>
      </c>
      <c r="D51" s="4">
        <f>B33/(E7/30*50000)</f>
        <v>9.3354948724269399E-4</v>
      </c>
    </row>
    <row r="52" spans="1:8" x14ac:dyDescent="0.35">
      <c r="A52" t="s">
        <v>74</v>
      </c>
      <c r="B52">
        <f>200*(D2*G2*H2/F2)</f>
        <v>16212710.765239948</v>
      </c>
    </row>
    <row r="54" spans="1:8" x14ac:dyDescent="0.35">
      <c r="A54" t="s">
        <v>75</v>
      </c>
      <c r="B54">
        <f>B52+B51+B50+B49+B48</f>
        <v>16372710.765239948</v>
      </c>
    </row>
    <row r="56" spans="1:8" x14ac:dyDescent="0.35">
      <c r="A56" t="s">
        <v>51</v>
      </c>
      <c r="B56">
        <f>B46+B37+B30+B54</f>
        <v>38696744.514648274</v>
      </c>
    </row>
    <row r="57" spans="1:8" x14ac:dyDescent="0.35">
      <c r="A57" t="s">
        <v>52</v>
      </c>
      <c r="B57">
        <f>-B56+B11</f>
        <v>69247255.485351726</v>
      </c>
      <c r="C57" t="s">
        <v>80</v>
      </c>
      <c r="D57">
        <f>B57/D2</f>
        <v>692.47255485351729</v>
      </c>
    </row>
    <row r="59" spans="1:8" x14ac:dyDescent="0.35">
      <c r="A59" t="s">
        <v>53</v>
      </c>
      <c r="B59">
        <f>B57+B6</f>
        <v>71751923.062790826</v>
      </c>
      <c r="D59">
        <f>B59/D2</f>
        <v>717.51923062790831</v>
      </c>
    </row>
    <row r="60" spans="1:8" x14ac:dyDescent="0.35">
      <c r="A60" t="s">
        <v>76</v>
      </c>
    </row>
    <row r="62" spans="1:8" x14ac:dyDescent="0.35">
      <c r="A62" t="s">
        <v>78</v>
      </c>
      <c r="B62" t="s">
        <v>83</v>
      </c>
      <c r="C62" t="s">
        <v>84</v>
      </c>
      <c r="D62" t="s">
        <v>85</v>
      </c>
      <c r="E62" t="s">
        <v>78</v>
      </c>
      <c r="F62" t="s">
        <v>83</v>
      </c>
      <c r="G62" t="s">
        <v>84</v>
      </c>
      <c r="H62" t="s">
        <v>85</v>
      </c>
    </row>
    <row r="63" spans="1:8" x14ac:dyDescent="0.35">
      <c r="A63">
        <f>B59</f>
        <v>71751923.062790826</v>
      </c>
      <c r="B63">
        <f>(1-0.88%+1%-1.31%)</f>
        <v>0.98809999999999987</v>
      </c>
      <c r="C63">
        <f>A63/B63^D63</f>
        <v>72616054.106660098</v>
      </c>
      <c r="D63">
        <v>1</v>
      </c>
      <c r="E63">
        <v>37368575.617555231</v>
      </c>
      <c r="F63">
        <v>0.98809999999999987</v>
      </c>
      <c r="G63">
        <v>37818617.161780424</v>
      </c>
      <c r="H63">
        <v>1</v>
      </c>
    </row>
    <row r="64" spans="1:8" x14ac:dyDescent="0.35">
      <c r="A64">
        <f>A63</f>
        <v>71751923.062790826</v>
      </c>
      <c r="B64">
        <f t="shared" ref="B64:B72" si="0">(1-0.88%+1%-1.31%)</f>
        <v>0.98809999999999987</v>
      </c>
      <c r="C64">
        <f t="shared" ref="C64:C72" si="1">A64/B64^D64</f>
        <v>73490592.153284177</v>
      </c>
      <c r="D64">
        <v>2</v>
      </c>
      <c r="E64">
        <v>37368575.617555231</v>
      </c>
      <c r="F64">
        <v>0.98809999999999987</v>
      </c>
      <c r="G64">
        <v>38274078.69829008</v>
      </c>
      <c r="H64">
        <v>2</v>
      </c>
    </row>
    <row r="65" spans="1:9" x14ac:dyDescent="0.35">
      <c r="A65">
        <f>A64</f>
        <v>71751923.062790826</v>
      </c>
      <c r="B65">
        <f t="shared" si="0"/>
        <v>0.98809999999999987</v>
      </c>
      <c r="C65">
        <f t="shared" si="1"/>
        <v>74375662.537480205</v>
      </c>
      <c r="D65">
        <v>3</v>
      </c>
      <c r="E65">
        <v>37368575.617555231</v>
      </c>
      <c r="F65">
        <v>0.98809999999999987</v>
      </c>
      <c r="G65">
        <v>38735025.501761042</v>
      </c>
      <c r="H65">
        <v>3</v>
      </c>
    </row>
    <row r="66" spans="1:9" x14ac:dyDescent="0.35">
      <c r="A66">
        <f t="shared" ref="A66:A72" si="2">A65</f>
        <v>71751923.062790826</v>
      </c>
      <c r="B66">
        <f t="shared" si="0"/>
        <v>0.98809999999999987</v>
      </c>
      <c r="C66">
        <f t="shared" si="1"/>
        <v>75271392.103512004</v>
      </c>
      <c r="D66">
        <v>4</v>
      </c>
      <c r="E66">
        <v>37368575.617555231</v>
      </c>
      <c r="F66">
        <v>0.98809999999999987</v>
      </c>
      <c r="G66">
        <v>39201523.632993668</v>
      </c>
      <c r="H66">
        <v>4</v>
      </c>
    </row>
    <row r="67" spans="1:9" x14ac:dyDescent="0.35">
      <c r="A67">
        <f t="shared" si="2"/>
        <v>71751923.062790826</v>
      </c>
      <c r="B67">
        <f t="shared" si="0"/>
        <v>0.98809999999999987</v>
      </c>
      <c r="C67">
        <f t="shared" si="1"/>
        <v>76177909.223268926</v>
      </c>
      <c r="D67">
        <v>5</v>
      </c>
      <c r="E67">
        <v>37368575.617555231</v>
      </c>
      <c r="F67">
        <v>0.98809999999999987</v>
      </c>
      <c r="G67">
        <v>39673639.94837939</v>
      </c>
      <c r="H67">
        <v>5</v>
      </c>
    </row>
    <row r="68" spans="1:9" x14ac:dyDescent="0.35">
      <c r="A68">
        <f t="shared" si="2"/>
        <v>71751923.062790826</v>
      </c>
      <c r="B68">
        <f t="shared" si="0"/>
        <v>0.98809999999999987</v>
      </c>
      <c r="C68">
        <f t="shared" si="1"/>
        <v>77095343.814663425</v>
      </c>
      <c r="D68">
        <v>6</v>
      </c>
      <c r="E68">
        <v>37368575.617555231</v>
      </c>
      <c r="F68">
        <v>0.98809999999999987</v>
      </c>
      <c r="G68">
        <v>40151442.109482236</v>
      </c>
      <c r="H68">
        <v>6</v>
      </c>
    </row>
    <row r="69" spans="1:9" x14ac:dyDescent="0.35">
      <c r="A69">
        <f t="shared" si="2"/>
        <v>71751923.062790826</v>
      </c>
      <c r="B69">
        <f t="shared" si="0"/>
        <v>0.98809999999999987</v>
      </c>
      <c r="C69">
        <f t="shared" si="1"/>
        <v>78023827.360250413</v>
      </c>
      <c r="D69">
        <v>7</v>
      </c>
      <c r="E69">
        <v>37368575.617555231</v>
      </c>
      <c r="F69">
        <v>0.98809999999999987</v>
      </c>
      <c r="G69">
        <v>40634998.592735797</v>
      </c>
      <c r="H69">
        <v>7</v>
      </c>
    </row>
    <row r="70" spans="1:9" x14ac:dyDescent="0.35">
      <c r="A70">
        <f t="shared" si="2"/>
        <v>71751923.062790826</v>
      </c>
      <c r="B70">
        <f t="shared" si="0"/>
        <v>0.98809999999999987</v>
      </c>
      <c r="C70">
        <f t="shared" si="1"/>
        <v>78963492.926070675</v>
      </c>
      <c r="D70">
        <v>8</v>
      </c>
      <c r="E70">
        <v>37368575.617555231</v>
      </c>
      <c r="F70">
        <v>0.98809999999999987</v>
      </c>
      <c r="G70">
        <v>41124378.699256964</v>
      </c>
      <c r="H70">
        <v>8</v>
      </c>
    </row>
    <row r="71" spans="1:9" x14ac:dyDescent="0.35">
      <c r="A71">
        <f t="shared" si="2"/>
        <v>71751923.062790826</v>
      </c>
      <c r="B71">
        <f t="shared" si="0"/>
        <v>0.98809999999999987</v>
      </c>
      <c r="C71">
        <f t="shared" si="1"/>
        <v>79914475.180721268</v>
      </c>
      <c r="D71">
        <v>9</v>
      </c>
      <c r="E71">
        <v>37368575.617555231</v>
      </c>
      <c r="F71">
        <v>0.98809999999999987</v>
      </c>
      <c r="G71">
        <v>41619652.564777821</v>
      </c>
      <c r="H71">
        <v>9</v>
      </c>
    </row>
    <row r="72" spans="1:9" x14ac:dyDescent="0.35">
      <c r="A72">
        <f t="shared" si="2"/>
        <v>71751923.062790826</v>
      </c>
      <c r="B72">
        <f t="shared" si="0"/>
        <v>0.98809999999999987</v>
      </c>
      <c r="C72">
        <f t="shared" si="1"/>
        <v>80876910.414655671</v>
      </c>
      <c r="D72">
        <v>10</v>
      </c>
      <c r="E72">
        <v>37368575.617555231</v>
      </c>
      <c r="F72">
        <v>0.98809999999999987</v>
      </c>
      <c r="G72">
        <v>42120891.169697225</v>
      </c>
      <c r="H72">
        <v>10</v>
      </c>
      <c r="I72" t="s">
        <v>96</v>
      </c>
    </row>
    <row r="73" spans="1:9" x14ac:dyDescent="0.35">
      <c r="B73" t="s">
        <v>86</v>
      </c>
      <c r="C73">
        <f>SUM(C63:C72)</f>
        <v>766805659.82056689</v>
      </c>
      <c r="F73" t="s">
        <v>86</v>
      </c>
      <c r="G73">
        <v>399354248.07915467</v>
      </c>
      <c r="I73">
        <f>C73-G73</f>
        <v>367451411.74141222</v>
      </c>
    </row>
    <row r="76" spans="1:9" x14ac:dyDescent="0.35">
      <c r="A76" t="s">
        <v>88</v>
      </c>
      <c r="B76">
        <f>B3*B2</f>
        <v>48.72493788719548</v>
      </c>
      <c r="C76" t="s">
        <v>93</v>
      </c>
    </row>
    <row r="77" spans="1:9" x14ac:dyDescent="0.35">
      <c r="A77" t="s">
        <v>89</v>
      </c>
      <c r="B77">
        <f>B4*B2</f>
        <v>23.678262112804504</v>
      </c>
      <c r="C77" t="s">
        <v>93</v>
      </c>
    </row>
    <row r="78" spans="1:9" x14ac:dyDescent="0.35">
      <c r="A78" t="s">
        <v>90</v>
      </c>
      <c r="B78">
        <f>B11/D2</f>
        <v>1079.44</v>
      </c>
      <c r="C78" t="s">
        <v>93</v>
      </c>
    </row>
    <row r="79" spans="1:9" x14ac:dyDescent="0.35">
      <c r="A79" t="s">
        <v>91</v>
      </c>
      <c r="B79">
        <f>B56/D2</f>
        <v>386.96744514648276</v>
      </c>
      <c r="C79" t="s">
        <v>93</v>
      </c>
    </row>
    <row r="80" spans="1:9" x14ac:dyDescent="0.35">
      <c r="A80" t="s">
        <v>92</v>
      </c>
      <c r="B80">
        <f>B6/D2</f>
        <v>25.046675774390977</v>
      </c>
      <c r="C80" t="s">
        <v>93</v>
      </c>
    </row>
    <row r="81" spans="1:3" x14ac:dyDescent="0.35">
      <c r="A81" t="s">
        <v>52</v>
      </c>
      <c r="B81">
        <f>B57/D2</f>
        <v>692.47255485351729</v>
      </c>
      <c r="C8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B1" workbookViewId="0">
      <selection activeCell="I2" sqref="I2"/>
    </sheetView>
  </sheetViews>
  <sheetFormatPr defaultRowHeight="14.5" x14ac:dyDescent="0.35"/>
  <cols>
    <col min="1" max="1" width="35.453125" bestFit="1" customWidth="1"/>
    <col min="2" max="2" width="15.54296875" bestFit="1" customWidth="1"/>
    <col min="3" max="3" width="17.90625" bestFit="1" customWidth="1"/>
    <col min="4" max="4" width="18" bestFit="1" customWidth="1"/>
    <col min="5" max="5" width="15.81640625" bestFit="1" customWidth="1"/>
    <col min="6" max="6" width="14.1796875" bestFit="1" customWidth="1"/>
    <col min="7" max="7" width="19.453125" bestFit="1" customWidth="1"/>
    <col min="8" max="8" width="22.6328125" bestFit="1" customWidth="1"/>
    <col min="9" max="9" width="12.453125" bestFit="1" customWidth="1"/>
  </cols>
  <sheetData>
    <row r="1" spans="1:9" x14ac:dyDescent="0.35">
      <c r="B1" t="s">
        <v>2</v>
      </c>
      <c r="C1" t="s">
        <v>3</v>
      </c>
      <c r="D1" t="s">
        <v>5</v>
      </c>
      <c r="E1" t="s">
        <v>9</v>
      </c>
      <c r="F1" t="s">
        <v>18</v>
      </c>
      <c r="G1" t="s">
        <v>19</v>
      </c>
      <c r="H1" t="s">
        <v>19</v>
      </c>
      <c r="I1" t="s">
        <v>64</v>
      </c>
    </row>
    <row r="2" spans="1:9" x14ac:dyDescent="0.35">
      <c r="A2" t="s">
        <v>0</v>
      </c>
      <c r="B2">
        <v>24</v>
      </c>
      <c r="C2" t="s">
        <v>16</v>
      </c>
      <c r="D2">
        <v>200000.00000000003</v>
      </c>
      <c r="E2">
        <f>D2*1.96</f>
        <v>392000.00000000006</v>
      </c>
      <c r="F2">
        <v>2.4358</v>
      </c>
      <c r="G2">
        <v>1</v>
      </c>
      <c r="H2">
        <v>2.4300000000000002</v>
      </c>
      <c r="I2">
        <v>200000</v>
      </c>
    </row>
    <row r="3" spans="1:9" x14ac:dyDescent="0.35">
      <c r="A3" t="s">
        <v>1</v>
      </c>
      <c r="B3">
        <v>1.9815258617011557</v>
      </c>
      <c r="C3" t="s">
        <v>15</v>
      </c>
      <c r="D3" t="s">
        <v>14</v>
      </c>
      <c r="E3" t="s">
        <v>14</v>
      </c>
      <c r="F3" t="s">
        <v>17</v>
      </c>
      <c r="G3" t="s">
        <v>43</v>
      </c>
      <c r="H3" t="s">
        <v>44</v>
      </c>
      <c r="I3" t="s">
        <v>14</v>
      </c>
    </row>
    <row r="4" spans="1:9" x14ac:dyDescent="0.35">
      <c r="A4" t="s">
        <v>4</v>
      </c>
      <c r="B4">
        <v>1.0352741382988437</v>
      </c>
      <c r="C4" t="s">
        <v>15</v>
      </c>
    </row>
    <row r="6" spans="1:9" x14ac:dyDescent="0.35">
      <c r="A6" t="s">
        <v>6</v>
      </c>
      <c r="B6">
        <f>B2*B3*D2-B2*B4*D2</f>
        <v>4542008.2723310972</v>
      </c>
      <c r="C6">
        <f>B6/D2</f>
        <v>22.710041361655481</v>
      </c>
      <c r="D6" t="s">
        <v>65</v>
      </c>
      <c r="E6" t="s">
        <v>66</v>
      </c>
      <c r="F6" t="s">
        <v>73</v>
      </c>
      <c r="G6" t="s">
        <v>77</v>
      </c>
      <c r="H6" t="s">
        <v>52</v>
      </c>
    </row>
    <row r="7" spans="1:9" x14ac:dyDescent="0.35">
      <c r="D7">
        <v>23351.25</v>
      </c>
      <c r="E7">
        <f>D2*G2*H2</f>
        <v>486000.00000000012</v>
      </c>
      <c r="F7">
        <f>D2*G2*H2/F2</f>
        <v>199523.77042450124</v>
      </c>
      <c r="G7" s="3">
        <f>D2/I2</f>
        <v>1.0000000000000002</v>
      </c>
      <c r="H7">
        <v>0</v>
      </c>
    </row>
    <row r="8" spans="1:9" x14ac:dyDescent="0.35">
      <c r="A8" t="s">
        <v>7</v>
      </c>
      <c r="B8">
        <v>1000</v>
      </c>
      <c r="C8" t="s">
        <v>16</v>
      </c>
    </row>
    <row r="9" spans="1:9" x14ac:dyDescent="0.35">
      <c r="A9" t="s">
        <v>8</v>
      </c>
      <c r="B9">
        <v>139</v>
      </c>
      <c r="C9" t="s">
        <v>16</v>
      </c>
      <c r="D9" t="s">
        <v>38</v>
      </c>
    </row>
    <row r="10" spans="1:9" x14ac:dyDescent="0.35">
      <c r="D10">
        <v>15777.603715416857</v>
      </c>
    </row>
    <row r="11" spans="1:9" x14ac:dyDescent="0.35">
      <c r="A11" t="s">
        <v>10</v>
      </c>
      <c r="B11">
        <f>B8*D2+B9*E2</f>
        <v>254488000.00000003</v>
      </c>
    </row>
    <row r="13" spans="1:9" x14ac:dyDescent="0.35">
      <c r="A13" s="1" t="s">
        <v>11</v>
      </c>
      <c r="B13">
        <v>0.11235548951048906</v>
      </c>
      <c r="C13" t="s">
        <v>17</v>
      </c>
    </row>
    <row r="14" spans="1:9" x14ac:dyDescent="0.35">
      <c r="A14" s="1" t="s">
        <v>12</v>
      </c>
      <c r="B14">
        <v>2.6199999999999998E-2</v>
      </c>
      <c r="C14" t="s">
        <v>17</v>
      </c>
    </row>
    <row r="15" spans="1:9" x14ac:dyDescent="0.35">
      <c r="A15" s="1" t="s">
        <v>13</v>
      </c>
      <c r="B15">
        <v>2.8979999999999999E-2</v>
      </c>
      <c r="C15" t="s">
        <v>17</v>
      </c>
    </row>
    <row r="16" spans="1:9" x14ac:dyDescent="0.35">
      <c r="A16" t="s">
        <v>20</v>
      </c>
      <c r="B16" s="1">
        <v>400</v>
      </c>
      <c r="C16" t="s">
        <v>16</v>
      </c>
    </row>
    <row r="17" spans="1:6" x14ac:dyDescent="0.35">
      <c r="A17" t="s">
        <v>21</v>
      </c>
      <c r="B17" s="1">
        <v>400</v>
      </c>
      <c r="C17" t="s">
        <v>16</v>
      </c>
    </row>
    <row r="18" spans="1:6" x14ac:dyDescent="0.35">
      <c r="A18" t="s">
        <v>22</v>
      </c>
      <c r="B18" s="1">
        <v>400</v>
      </c>
      <c r="C18" t="s">
        <v>16</v>
      </c>
    </row>
    <row r="19" spans="1:6" x14ac:dyDescent="0.35">
      <c r="A19" t="s">
        <v>23</v>
      </c>
      <c r="B19" s="1">
        <v>1</v>
      </c>
      <c r="C19" t="s">
        <v>27</v>
      </c>
    </row>
    <row r="20" spans="1:6" x14ac:dyDescent="0.35">
      <c r="A20" t="s">
        <v>24</v>
      </c>
      <c r="B20" s="1">
        <v>0.5</v>
      </c>
      <c r="C20" t="s">
        <v>27</v>
      </c>
    </row>
    <row r="21" spans="1:6" x14ac:dyDescent="0.35">
      <c r="A21" t="s">
        <v>25</v>
      </c>
      <c r="B21" s="1">
        <v>0.33</v>
      </c>
      <c r="C21" t="s">
        <v>27</v>
      </c>
    </row>
    <row r="22" spans="1:6" x14ac:dyDescent="0.35">
      <c r="A22" t="s">
        <v>26</v>
      </c>
      <c r="B22" s="1">
        <v>1.25</v>
      </c>
      <c r="C22" t="s">
        <v>27</v>
      </c>
    </row>
    <row r="23" spans="1:6" x14ac:dyDescent="0.35">
      <c r="A23" t="s">
        <v>28</v>
      </c>
      <c r="B23" s="1">
        <v>10.45</v>
      </c>
      <c r="C23" t="s">
        <v>29</v>
      </c>
    </row>
    <row r="24" spans="1:6" x14ac:dyDescent="0.35">
      <c r="A24" s="1" t="s">
        <v>30</v>
      </c>
      <c r="B24" s="1">
        <f>E27/4</f>
        <v>22.645036937148216</v>
      </c>
      <c r="C24" t="s">
        <v>34</v>
      </c>
    </row>
    <row r="25" spans="1:6" x14ac:dyDescent="0.35">
      <c r="A25" s="1" t="s">
        <v>31</v>
      </c>
      <c r="B25" s="1">
        <f>B24</f>
        <v>22.645036937148216</v>
      </c>
      <c r="C25" t="s">
        <v>34</v>
      </c>
      <c r="D25" t="s">
        <v>58</v>
      </c>
      <c r="E25">
        <v>75.362682926829265</v>
      </c>
      <c r="F25" t="s">
        <v>59</v>
      </c>
    </row>
    <row r="26" spans="1:6" x14ac:dyDescent="0.35">
      <c r="A26" s="1" t="s">
        <v>32</v>
      </c>
      <c r="B26" s="1">
        <f>B25</f>
        <v>22.645036937148216</v>
      </c>
      <c r="C26" t="s">
        <v>34</v>
      </c>
      <c r="D26" t="s">
        <v>56</v>
      </c>
      <c r="E26">
        <v>0.83199999999999996</v>
      </c>
      <c r="F26" t="s">
        <v>57</v>
      </c>
    </row>
    <row r="27" spans="1:6" x14ac:dyDescent="0.35">
      <c r="A27" s="1" t="s">
        <v>33</v>
      </c>
      <c r="B27" s="1">
        <f>B26</f>
        <v>22.645036937148216</v>
      </c>
      <c r="C27" t="s">
        <v>34</v>
      </c>
      <c r="D27" t="s">
        <v>60</v>
      </c>
      <c r="E27">
        <f>E25/E26</f>
        <v>90.580147748592864</v>
      </c>
      <c r="F27" t="s">
        <v>61</v>
      </c>
    </row>
    <row r="28" spans="1:6" x14ac:dyDescent="0.35">
      <c r="A28" t="s">
        <v>35</v>
      </c>
      <c r="B28" s="1">
        <v>1.26</v>
      </c>
      <c r="C28" t="s">
        <v>36</v>
      </c>
    </row>
    <row r="30" spans="1:6" x14ac:dyDescent="0.35">
      <c r="A30" s="1" t="s">
        <v>37</v>
      </c>
      <c r="B30">
        <f>(D2*G2*H2/F2)*B13*B16+(D2*G2*H2/F2)*B14*B17+(D2*G2*H2/F2)*B15*B18+(D2*G2*H2/F2)*(B19+B20+B21+B22)*B23+(D2*G2*H2/F2)*(B24+B25+B26+B27)*B28</f>
        <v>42564641.775255531</v>
      </c>
    </row>
    <row r="32" spans="1:6" x14ac:dyDescent="0.35">
      <c r="A32" t="s">
        <v>54</v>
      </c>
      <c r="B32">
        <f>D2/D10</f>
        <v>12.676196183364203</v>
      </c>
      <c r="C32" t="s">
        <v>55</v>
      </c>
    </row>
    <row r="33" spans="1:5" x14ac:dyDescent="0.35">
      <c r="A33" t="s">
        <v>38</v>
      </c>
      <c r="B33">
        <f>IF(D2/I2&lt;=0.1,D2/B32/36,IF(AND(D2/I2&gt;0.1,D2/I2&lt;=0.2),D2/B32/9,IF(AND(D2/I2&gt;0.2,D2/I2&lt;=0.3),D2/B32/4,IF(AND(D2/I2&gt;0.3,D2/I2&lt;=0.4),D2/B32/(36/16),IF(AND(D2/I2&gt;0.4,D2/I2&lt;=0.5),D2/B32/(36/25),IF(AND(D2/I2&gt;0.5,D2/I2&lt;=0.6),D2/B32,IF(AND(D2/I2&gt;0.6,D2/I2&lt;=0.7),D2/B32/(36/49),IF(AND(D2/I2&gt;0.7,D2/I2&lt;=0.8),D2/B32/(36/64),IF(AND(D2/I2&gt;0.8,D2/I2&lt;=0.9),D2/B32/(36/81),IF(D2/I2&gt;0.9,D2/B32/(36/100),0))))))))))</f>
        <v>43826.676987269049</v>
      </c>
      <c r="C33" t="s">
        <v>39</v>
      </c>
    </row>
    <row r="34" spans="1:5" x14ac:dyDescent="0.35">
      <c r="A34" t="s">
        <v>40</v>
      </c>
      <c r="B34" s="1">
        <f>40*1.26/100</f>
        <v>0.504</v>
      </c>
      <c r="C34" t="s">
        <v>41</v>
      </c>
      <c r="D34" t="s">
        <v>62</v>
      </c>
      <c r="E34" t="s">
        <v>63</v>
      </c>
    </row>
    <row r="35" spans="1:5" x14ac:dyDescent="0.35">
      <c r="D35">
        <f>40*1.26/100</f>
        <v>0.504</v>
      </c>
      <c r="E35" t="s">
        <v>41</v>
      </c>
    </row>
    <row r="37" spans="1:5" x14ac:dyDescent="0.35">
      <c r="A37" t="s">
        <v>42</v>
      </c>
      <c r="B37">
        <f>B33*B34</f>
        <v>22088.6452015836</v>
      </c>
    </row>
    <row r="40" spans="1:5" x14ac:dyDescent="0.35">
      <c r="A40" t="s">
        <v>68</v>
      </c>
      <c r="B40">
        <f>IF(D2/I2&lt;=0.3,2.8,IF(D2/I2&gt;0.3,2.8*1.2,0))</f>
        <v>3.36</v>
      </c>
      <c r="C40" t="s">
        <v>16</v>
      </c>
    </row>
    <row r="41" spans="1:5" x14ac:dyDescent="0.35">
      <c r="A41" t="s">
        <v>45</v>
      </c>
      <c r="B41">
        <v>0.19</v>
      </c>
      <c r="C41" t="s">
        <v>47</v>
      </c>
    </row>
    <row r="42" spans="1:5" x14ac:dyDescent="0.35">
      <c r="A42" t="s">
        <v>48</v>
      </c>
      <c r="B42">
        <v>43.52</v>
      </c>
      <c r="C42" t="s">
        <v>67</v>
      </c>
    </row>
    <row r="43" spans="1:5" x14ac:dyDescent="0.35">
      <c r="A43" t="s">
        <v>49</v>
      </c>
      <c r="B43">
        <v>20</v>
      </c>
      <c r="C43" t="s">
        <v>16</v>
      </c>
    </row>
    <row r="44" spans="1:5" x14ac:dyDescent="0.35">
      <c r="A44" t="s">
        <v>46</v>
      </c>
      <c r="B44" s="2">
        <v>10</v>
      </c>
      <c r="C44" t="s">
        <v>16</v>
      </c>
    </row>
    <row r="46" spans="1:5" x14ac:dyDescent="0.35">
      <c r="A46" t="s">
        <v>50</v>
      </c>
      <c r="B46">
        <f>B40*D2+B41*B42*D2+B43*D2+B44*D2</f>
        <v>8325760.0000000009</v>
      </c>
    </row>
    <row r="48" spans="1:5" x14ac:dyDescent="0.35">
      <c r="A48" t="s">
        <v>69</v>
      </c>
      <c r="B48">
        <v>15000</v>
      </c>
    </row>
    <row r="49" spans="1:4" x14ac:dyDescent="0.35">
      <c r="A49" t="s">
        <v>70</v>
      </c>
      <c r="B49">
        <f>10000*(D2/I2)</f>
        <v>10000.000000000002</v>
      </c>
    </row>
    <row r="50" spans="1:4" x14ac:dyDescent="0.35">
      <c r="A50" t="s">
        <v>71</v>
      </c>
      <c r="B50">
        <f>10000*(D2/I2)</f>
        <v>10000.000000000002</v>
      </c>
      <c r="D50" t="s">
        <v>79</v>
      </c>
    </row>
    <row r="51" spans="1:4" x14ac:dyDescent="0.35">
      <c r="A51" t="s">
        <v>72</v>
      </c>
      <c r="B51">
        <f>15000*3*(B33/D10)</f>
        <v>125000</v>
      </c>
      <c r="D51" s="4">
        <f>B33/(E7/30*50000)</f>
        <v>5.4107008626258069E-5</v>
      </c>
    </row>
    <row r="52" spans="1:4" x14ac:dyDescent="0.35">
      <c r="A52" t="s">
        <v>74</v>
      </c>
      <c r="B52">
        <f>200*(D2*G2*H2/F2)</f>
        <v>39904754.084900245</v>
      </c>
    </row>
    <row r="54" spans="1:4" x14ac:dyDescent="0.35">
      <c r="A54" t="s">
        <v>75</v>
      </c>
      <c r="B54">
        <f>B52+B51+B50+B49+B48</f>
        <v>40064754.084900245</v>
      </c>
    </row>
    <row r="56" spans="1:4" x14ac:dyDescent="0.35">
      <c r="A56" t="s">
        <v>51</v>
      </c>
      <c r="B56">
        <f>B46+B37+B30+B54</f>
        <v>90977244.505357355</v>
      </c>
    </row>
    <row r="57" spans="1:4" x14ac:dyDescent="0.35">
      <c r="A57" t="s">
        <v>52</v>
      </c>
      <c r="B57">
        <f>-B56+B11</f>
        <v>163510755.49464267</v>
      </c>
      <c r="C57" t="s">
        <v>80</v>
      </c>
      <c r="D57">
        <f>B57/D2</f>
        <v>817.55377747321324</v>
      </c>
    </row>
    <row r="59" spans="1:4" x14ac:dyDescent="0.35">
      <c r="A59" t="s">
        <v>53</v>
      </c>
      <c r="B59">
        <f>B57+B6</f>
        <v>168052763.76697376</v>
      </c>
      <c r="D59">
        <f>B59/D2</f>
        <v>840.26381883486874</v>
      </c>
    </row>
    <row r="60" spans="1:4" x14ac:dyDescent="0.35">
      <c r="A60" t="s">
        <v>76</v>
      </c>
    </row>
    <row r="62" spans="1:4" x14ac:dyDescent="0.35">
      <c r="A62" t="s">
        <v>78</v>
      </c>
      <c r="B62" t="s">
        <v>83</v>
      </c>
      <c r="C62" t="s">
        <v>84</v>
      </c>
      <c r="D62" t="s">
        <v>85</v>
      </c>
    </row>
    <row r="63" spans="1:4" x14ac:dyDescent="0.35">
      <c r="A63">
        <f>B59</f>
        <v>168052763.76697376</v>
      </c>
      <c r="B63">
        <f>(1-0.88%+1%-1.31%)</f>
        <v>0.98809999999999987</v>
      </c>
      <c r="C63">
        <f>A63/B63^D63</f>
        <v>170076676.21391943</v>
      </c>
      <c r="D63">
        <v>1</v>
      </c>
    </row>
    <row r="64" spans="1:4" x14ac:dyDescent="0.35">
      <c r="A64">
        <f>A63</f>
        <v>168052763.76697376</v>
      </c>
      <c r="B64">
        <f t="shared" ref="B64:B72" si="0">(1-0.88%+1%-1.31%)</f>
        <v>0.98809999999999987</v>
      </c>
      <c r="C64">
        <f t="shared" ref="C64:C72" si="1">A64/B64^D64</f>
        <v>172124963.27691475</v>
      </c>
      <c r="D64">
        <v>2</v>
      </c>
    </row>
    <row r="65" spans="1:4" x14ac:dyDescent="0.35">
      <c r="A65">
        <f>A64</f>
        <v>168052763.76697376</v>
      </c>
      <c r="B65">
        <f t="shared" si="0"/>
        <v>0.98809999999999987</v>
      </c>
      <c r="C65">
        <f t="shared" si="1"/>
        <v>174197918.50714985</v>
      </c>
      <c r="D65">
        <v>3</v>
      </c>
    </row>
    <row r="66" spans="1:4" x14ac:dyDescent="0.35">
      <c r="A66">
        <f t="shared" ref="A66:A72" si="2">A65</f>
        <v>168052763.76697376</v>
      </c>
      <c r="B66">
        <f t="shared" si="0"/>
        <v>0.98809999999999987</v>
      </c>
      <c r="C66">
        <f t="shared" si="1"/>
        <v>176295838.99114448</v>
      </c>
      <c r="D66">
        <v>4</v>
      </c>
    </row>
    <row r="67" spans="1:4" x14ac:dyDescent="0.35">
      <c r="A67">
        <f t="shared" si="2"/>
        <v>168052763.76697376</v>
      </c>
      <c r="B67">
        <f t="shared" si="0"/>
        <v>0.98809999999999987</v>
      </c>
      <c r="C67">
        <f t="shared" si="1"/>
        <v>178419025.39332509</v>
      </c>
      <c r="D67">
        <v>5</v>
      </c>
    </row>
    <row r="68" spans="1:4" x14ac:dyDescent="0.35">
      <c r="A68">
        <f t="shared" si="2"/>
        <v>168052763.76697376</v>
      </c>
      <c r="B68">
        <f t="shared" si="0"/>
        <v>0.98809999999999987</v>
      </c>
      <c r="C68">
        <f t="shared" si="1"/>
        <v>180567781.99911457</v>
      </c>
      <c r="D68">
        <v>6</v>
      </c>
    </row>
    <row r="69" spans="1:4" x14ac:dyDescent="0.35">
      <c r="A69">
        <f t="shared" si="2"/>
        <v>168052763.76697376</v>
      </c>
      <c r="B69">
        <f t="shared" si="0"/>
        <v>0.98809999999999987</v>
      </c>
      <c r="C69">
        <f t="shared" si="1"/>
        <v>182742416.75854123</v>
      </c>
      <c r="D69">
        <v>7</v>
      </c>
    </row>
    <row r="70" spans="1:4" x14ac:dyDescent="0.35">
      <c r="A70">
        <f t="shared" si="2"/>
        <v>168052763.76697376</v>
      </c>
      <c r="B70">
        <f t="shared" si="0"/>
        <v>0.98809999999999987</v>
      </c>
      <c r="C70">
        <f t="shared" si="1"/>
        <v>184943241.33037269</v>
      </c>
      <c r="D70">
        <v>8</v>
      </c>
    </row>
    <row r="71" spans="1:4" x14ac:dyDescent="0.35">
      <c r="A71">
        <f t="shared" si="2"/>
        <v>168052763.76697376</v>
      </c>
      <c r="B71">
        <f t="shared" si="0"/>
        <v>0.98809999999999987</v>
      </c>
      <c r="C71">
        <f t="shared" si="1"/>
        <v>187170571.12678143</v>
      </c>
      <c r="D71">
        <v>9</v>
      </c>
    </row>
    <row r="72" spans="1:4" x14ac:dyDescent="0.35">
      <c r="A72">
        <f t="shared" si="2"/>
        <v>168052763.76697376</v>
      </c>
      <c r="B72">
        <f t="shared" si="0"/>
        <v>0.98809999999999987</v>
      </c>
      <c r="C72">
        <f t="shared" si="1"/>
        <v>189424725.35854816</v>
      </c>
      <c r="D72">
        <v>10</v>
      </c>
    </row>
    <row r="73" spans="1:4" x14ac:dyDescent="0.35">
      <c r="B73" t="s">
        <v>86</v>
      </c>
      <c r="C73">
        <f>SUM(C63:C72)</f>
        <v>1795963158.955812</v>
      </c>
    </row>
    <row r="76" spans="1:4" x14ac:dyDescent="0.35">
      <c r="A76" t="s">
        <v>88</v>
      </c>
      <c r="B76">
        <f>B3*B2</f>
        <v>47.556620680827734</v>
      </c>
      <c r="C76" t="s">
        <v>93</v>
      </c>
    </row>
    <row r="77" spans="1:4" x14ac:dyDescent="0.35">
      <c r="A77" t="s">
        <v>89</v>
      </c>
      <c r="B77">
        <f>B4*B2</f>
        <v>24.84657931917225</v>
      </c>
      <c r="C77" t="s">
        <v>93</v>
      </c>
    </row>
    <row r="78" spans="1:4" x14ac:dyDescent="0.35">
      <c r="A78" t="s">
        <v>90</v>
      </c>
      <c r="B78">
        <f>B11/D2</f>
        <v>1272.44</v>
      </c>
      <c r="C78" t="s">
        <v>93</v>
      </c>
    </row>
    <row r="79" spans="1:4" x14ac:dyDescent="0.35">
      <c r="A79" t="s">
        <v>91</v>
      </c>
      <c r="B79">
        <f>B56/D2</f>
        <v>454.8862225267867</v>
      </c>
      <c r="C79" t="s">
        <v>93</v>
      </c>
    </row>
    <row r="80" spans="1:4" x14ac:dyDescent="0.35">
      <c r="A80" t="s">
        <v>92</v>
      </c>
      <c r="B80">
        <f>B6/D2</f>
        <v>22.710041361655481</v>
      </c>
      <c r="C80" t="s">
        <v>93</v>
      </c>
    </row>
    <row r="81" spans="1:3" x14ac:dyDescent="0.35">
      <c r="A81" t="s">
        <v>52</v>
      </c>
      <c r="B81">
        <f>B57/D2</f>
        <v>817.55377747321324</v>
      </c>
      <c r="C8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I2" sqref="I2"/>
    </sheetView>
  </sheetViews>
  <sheetFormatPr defaultRowHeight="14.5" x14ac:dyDescent="0.35"/>
  <cols>
    <col min="1" max="1" width="35.453125" bestFit="1" customWidth="1"/>
    <col min="2" max="2" width="15.54296875" bestFit="1" customWidth="1"/>
    <col min="3" max="3" width="17.90625" bestFit="1" customWidth="1"/>
    <col min="4" max="4" width="18" bestFit="1" customWidth="1"/>
    <col min="5" max="5" width="15.81640625" bestFit="1" customWidth="1"/>
    <col min="6" max="6" width="14.1796875" bestFit="1" customWidth="1"/>
    <col min="7" max="7" width="19.453125" bestFit="1" customWidth="1"/>
    <col min="8" max="8" width="22.6328125" bestFit="1" customWidth="1"/>
    <col min="9" max="9" width="12.453125" bestFit="1" customWidth="1"/>
  </cols>
  <sheetData>
    <row r="1" spans="1:9" x14ac:dyDescent="0.35">
      <c r="B1" t="s">
        <v>2</v>
      </c>
      <c r="C1" t="s">
        <v>3</v>
      </c>
      <c r="D1" t="s">
        <v>5</v>
      </c>
      <c r="E1" t="s">
        <v>9</v>
      </c>
      <c r="F1" t="s">
        <v>18</v>
      </c>
      <c r="G1" t="s">
        <v>19</v>
      </c>
      <c r="H1" t="s">
        <v>19</v>
      </c>
      <c r="I1" t="s">
        <v>64</v>
      </c>
    </row>
    <row r="2" spans="1:9" x14ac:dyDescent="0.35">
      <c r="A2" t="s">
        <v>0</v>
      </c>
      <c r="B2">
        <v>24</v>
      </c>
      <c r="C2" t="s">
        <v>16</v>
      </c>
      <c r="D2">
        <v>200000</v>
      </c>
      <c r="E2">
        <f>D2*1.96</f>
        <v>392000</v>
      </c>
      <c r="F2">
        <v>2.831</v>
      </c>
      <c r="G2">
        <v>1</v>
      </c>
      <c r="H2">
        <v>2.4300000000000002</v>
      </c>
      <c r="I2">
        <v>200000</v>
      </c>
    </row>
    <row r="3" spans="1:9" x14ac:dyDescent="0.35">
      <c r="A3" t="s">
        <v>1</v>
      </c>
      <c r="B3">
        <v>2.0150775974835367</v>
      </c>
      <c r="C3" t="s">
        <v>15</v>
      </c>
      <c r="D3" t="s">
        <v>14</v>
      </c>
      <c r="E3" t="s">
        <v>14</v>
      </c>
      <c r="F3" t="s">
        <v>17</v>
      </c>
      <c r="G3" t="s">
        <v>43</v>
      </c>
      <c r="H3" t="s">
        <v>44</v>
      </c>
      <c r="I3" t="s">
        <v>14</v>
      </c>
    </row>
    <row r="4" spans="1:9" x14ac:dyDescent="0.35">
      <c r="A4" t="s">
        <v>4</v>
      </c>
      <c r="B4">
        <v>1.0017224025164628</v>
      </c>
      <c r="C4" t="s">
        <v>15</v>
      </c>
    </row>
    <row r="6" spans="1:9" x14ac:dyDescent="0.35">
      <c r="A6" t="s">
        <v>6</v>
      </c>
      <c r="B6">
        <f>B2*B3*D2-B2*B4*D2</f>
        <v>4864104.9358419543</v>
      </c>
      <c r="C6">
        <f>B6/D2</f>
        <v>24.320524679209772</v>
      </c>
      <c r="D6" t="s">
        <v>65</v>
      </c>
      <c r="E6" t="s">
        <v>66</v>
      </c>
      <c r="F6" t="s">
        <v>73</v>
      </c>
      <c r="G6" t="s">
        <v>77</v>
      </c>
      <c r="H6" t="s">
        <v>52</v>
      </c>
    </row>
    <row r="7" spans="1:9" x14ac:dyDescent="0.35">
      <c r="D7">
        <v>252728.75</v>
      </c>
      <c r="E7">
        <f>D2*G2*H2</f>
        <v>486000.00000000006</v>
      </c>
      <c r="F7">
        <f>D2*G2*H2/F2</f>
        <v>171670.78770752388</v>
      </c>
      <c r="G7" s="3">
        <f>D2/I2</f>
        <v>1</v>
      </c>
      <c r="H7">
        <v>0</v>
      </c>
    </row>
    <row r="8" spans="1:9" x14ac:dyDescent="0.35">
      <c r="A8" t="s">
        <v>7</v>
      </c>
      <c r="B8">
        <v>1000</v>
      </c>
      <c r="C8" t="s">
        <v>16</v>
      </c>
    </row>
    <row r="9" spans="1:9" x14ac:dyDescent="0.35">
      <c r="A9" t="s">
        <v>8</v>
      </c>
      <c r="B9">
        <v>139</v>
      </c>
      <c r="C9" t="s">
        <v>16</v>
      </c>
      <c r="D9" t="s">
        <v>38</v>
      </c>
    </row>
    <row r="10" spans="1:9" x14ac:dyDescent="0.35">
      <c r="D10">
        <v>358316.64277856104</v>
      </c>
    </row>
    <row r="11" spans="1:9" x14ac:dyDescent="0.35">
      <c r="A11" t="s">
        <v>10</v>
      </c>
      <c r="B11">
        <f>B8*D2+B9*E2</f>
        <v>254488000</v>
      </c>
    </row>
    <row r="13" spans="1:9" x14ac:dyDescent="0.35">
      <c r="A13" s="1" t="s">
        <v>11</v>
      </c>
      <c r="B13">
        <v>0.11501865432607242</v>
      </c>
      <c r="C13" t="s">
        <v>17</v>
      </c>
    </row>
    <row r="14" spans="1:9" x14ac:dyDescent="0.35">
      <c r="A14" s="1" t="s">
        <v>12</v>
      </c>
      <c r="B14">
        <v>2.888829131652661E-2</v>
      </c>
      <c r="C14" t="s">
        <v>17</v>
      </c>
    </row>
    <row r="15" spans="1:9" x14ac:dyDescent="0.35">
      <c r="A15" s="1" t="s">
        <v>13</v>
      </c>
      <c r="B15">
        <v>2.8915058823529412E-2</v>
      </c>
      <c r="C15" t="s">
        <v>17</v>
      </c>
    </row>
    <row r="16" spans="1:9" x14ac:dyDescent="0.35">
      <c r="A16" t="s">
        <v>20</v>
      </c>
      <c r="B16" s="1">
        <v>400</v>
      </c>
      <c r="C16" t="s">
        <v>16</v>
      </c>
    </row>
    <row r="17" spans="1:6" x14ac:dyDescent="0.35">
      <c r="A17" t="s">
        <v>21</v>
      </c>
      <c r="B17" s="1">
        <v>400</v>
      </c>
      <c r="C17" t="s">
        <v>16</v>
      </c>
    </row>
    <row r="18" spans="1:6" x14ac:dyDescent="0.35">
      <c r="A18" t="s">
        <v>22</v>
      </c>
      <c r="B18" s="1">
        <v>400</v>
      </c>
      <c r="C18" t="s">
        <v>16</v>
      </c>
    </row>
    <row r="19" spans="1:6" x14ac:dyDescent="0.35">
      <c r="A19" t="s">
        <v>23</v>
      </c>
      <c r="B19" s="1">
        <v>1</v>
      </c>
      <c r="C19" t="s">
        <v>27</v>
      </c>
    </row>
    <row r="20" spans="1:6" x14ac:dyDescent="0.35">
      <c r="A20" t="s">
        <v>24</v>
      </c>
      <c r="B20" s="1">
        <v>0.5</v>
      </c>
      <c r="C20" t="s">
        <v>27</v>
      </c>
    </row>
    <row r="21" spans="1:6" x14ac:dyDescent="0.35">
      <c r="A21" t="s">
        <v>25</v>
      </c>
      <c r="B21" s="1">
        <v>0.33</v>
      </c>
      <c r="C21" t="s">
        <v>27</v>
      </c>
    </row>
    <row r="22" spans="1:6" x14ac:dyDescent="0.35">
      <c r="A22" t="s">
        <v>26</v>
      </c>
      <c r="B22" s="1">
        <v>1.25</v>
      </c>
      <c r="C22" t="s">
        <v>27</v>
      </c>
    </row>
    <row r="23" spans="1:6" x14ac:dyDescent="0.35">
      <c r="A23" t="s">
        <v>28</v>
      </c>
      <c r="B23" s="1">
        <v>10.45</v>
      </c>
      <c r="C23" t="s">
        <v>29</v>
      </c>
    </row>
    <row r="24" spans="1:6" x14ac:dyDescent="0.35">
      <c r="A24" s="1" t="s">
        <v>30</v>
      </c>
      <c r="B24" s="1">
        <f>E27/4</f>
        <v>22.645036937148216</v>
      </c>
      <c r="C24" t="s">
        <v>34</v>
      </c>
    </row>
    <row r="25" spans="1:6" x14ac:dyDescent="0.35">
      <c r="A25" s="1" t="s">
        <v>31</v>
      </c>
      <c r="B25" s="1">
        <f>B24</f>
        <v>22.645036937148216</v>
      </c>
      <c r="C25" t="s">
        <v>34</v>
      </c>
      <c r="D25" t="s">
        <v>58</v>
      </c>
      <c r="E25">
        <v>75.362682926829265</v>
      </c>
      <c r="F25" t="s">
        <v>59</v>
      </c>
    </row>
    <row r="26" spans="1:6" x14ac:dyDescent="0.35">
      <c r="A26" s="1" t="s">
        <v>32</v>
      </c>
      <c r="B26" s="1">
        <f>B25</f>
        <v>22.645036937148216</v>
      </c>
      <c r="C26" t="s">
        <v>34</v>
      </c>
      <c r="D26" t="s">
        <v>56</v>
      </c>
      <c r="E26">
        <v>0.83199999999999996</v>
      </c>
      <c r="F26" t="s">
        <v>57</v>
      </c>
    </row>
    <row r="27" spans="1:6" x14ac:dyDescent="0.35">
      <c r="A27" s="1" t="s">
        <v>33</v>
      </c>
      <c r="B27" s="1">
        <f>B26</f>
        <v>22.645036937148216</v>
      </c>
      <c r="C27" t="s">
        <v>34</v>
      </c>
      <c r="D27" t="s">
        <v>60</v>
      </c>
      <c r="E27">
        <f>E25/E26</f>
        <v>90.580147748592864</v>
      </c>
      <c r="F27" t="s">
        <v>61</v>
      </c>
    </row>
    <row r="28" spans="1:6" x14ac:dyDescent="0.35">
      <c r="A28" t="s">
        <v>35</v>
      </c>
      <c r="B28" s="1">
        <v>1.26</v>
      </c>
      <c r="C28" t="s">
        <v>36</v>
      </c>
    </row>
    <row r="30" spans="1:6" x14ac:dyDescent="0.35">
      <c r="A30" s="1" t="s">
        <v>37</v>
      </c>
      <c r="B30">
        <f>(D2*G2*H2/F2)*B13*B16+(D2*G2*H2/F2)*B14*B17+(D2*G2*H2/F2)*B15*B18+(D2*G2*H2/F2)*(B19+B20+B21+B22)*B23+(D2*G2*H2/F2)*(B24+B25+B26+B27)*B28</f>
        <v>36985748.125589445</v>
      </c>
    </row>
    <row r="32" spans="1:6" x14ac:dyDescent="0.35">
      <c r="A32" t="s">
        <v>54</v>
      </c>
      <c r="B32">
        <f>D2/D10</f>
        <v>0.55816553328113083</v>
      </c>
      <c r="C32" t="s">
        <v>55</v>
      </c>
    </row>
    <row r="33" spans="1:5" x14ac:dyDescent="0.35">
      <c r="A33" t="s">
        <v>38</v>
      </c>
      <c r="B33">
        <f>IF(D2/I2&lt;=0.1,D2/B32/36,IF(AND(D2/I2&gt;0.1,D2/I2&lt;=0.2),D2/B32/9,IF(AND(D2/I2&gt;0.2,D2/I2&lt;=0.3),D2/B32/4,IF(AND(D2/I2&gt;0.3,D2/I2&lt;=0.4),D2/B32/(36/16),IF(AND(D2/I2&gt;0.4,D2/I2&lt;=0.5),D2/B32/(36/25),IF(AND(D2/I2&gt;0.5,D2/I2&lt;=0.6),D2/B32,IF(AND(D2/I2&gt;0.6,D2/I2&lt;=0.7),D2/B32/(36/49),IF(AND(D2/I2&gt;0.7,D2/I2&lt;=0.8),D2/B32/(36/64),IF(AND(D2/I2&gt;0.8,D2/I2&lt;=0.9),D2/B32/(36/81),IF(D2/I2&gt;0.9,D2/B32/(36/100),0))))))))))</f>
        <v>995324.00771822536</v>
      </c>
      <c r="C33" t="s">
        <v>39</v>
      </c>
    </row>
    <row r="34" spans="1:5" x14ac:dyDescent="0.35">
      <c r="A34" t="s">
        <v>40</v>
      </c>
      <c r="B34" s="1">
        <f>40*1.26/100</f>
        <v>0.504</v>
      </c>
      <c r="C34" t="s">
        <v>41</v>
      </c>
      <c r="D34" t="s">
        <v>62</v>
      </c>
      <c r="E34" t="s">
        <v>63</v>
      </c>
    </row>
    <row r="35" spans="1:5" x14ac:dyDescent="0.35">
      <c r="D35">
        <f>40*1.26/100</f>
        <v>0.504</v>
      </c>
      <c r="E35" t="s">
        <v>41</v>
      </c>
    </row>
    <row r="37" spans="1:5" x14ac:dyDescent="0.35">
      <c r="A37" t="s">
        <v>42</v>
      </c>
      <c r="B37">
        <f>B33*B34</f>
        <v>501643.29988998559</v>
      </c>
    </row>
    <row r="40" spans="1:5" x14ac:dyDescent="0.35">
      <c r="A40" t="s">
        <v>68</v>
      </c>
      <c r="B40">
        <f>IF(D2/I2&lt;=0.3,2.8,IF(D2/I2&gt;0.3,2.8*1.2,0))</f>
        <v>3.36</v>
      </c>
      <c r="C40" t="s">
        <v>16</v>
      </c>
    </row>
    <row r="41" spans="1:5" x14ac:dyDescent="0.35">
      <c r="A41" t="s">
        <v>45</v>
      </c>
      <c r="B41">
        <v>0.19</v>
      </c>
      <c r="C41" t="s">
        <v>47</v>
      </c>
    </row>
    <row r="42" spans="1:5" x14ac:dyDescent="0.35">
      <c r="A42" t="s">
        <v>48</v>
      </c>
      <c r="B42">
        <v>43.52</v>
      </c>
      <c r="C42" t="s">
        <v>67</v>
      </c>
    </row>
    <row r="43" spans="1:5" x14ac:dyDescent="0.35">
      <c r="A43" t="s">
        <v>49</v>
      </c>
      <c r="B43">
        <v>20</v>
      </c>
      <c r="C43" t="s">
        <v>16</v>
      </c>
    </row>
    <row r="44" spans="1:5" x14ac:dyDescent="0.35">
      <c r="A44" t="s">
        <v>46</v>
      </c>
      <c r="B44">
        <v>10</v>
      </c>
      <c r="C44" t="s">
        <v>16</v>
      </c>
    </row>
    <row r="46" spans="1:5" x14ac:dyDescent="0.35">
      <c r="A46" t="s">
        <v>50</v>
      </c>
      <c r="B46">
        <f>B40*D2+B41*B42*D2+B43*D2+B44*D2</f>
        <v>8325760</v>
      </c>
    </row>
    <row r="48" spans="1:5" x14ac:dyDescent="0.35">
      <c r="A48" t="s">
        <v>69</v>
      </c>
      <c r="B48">
        <v>15000</v>
      </c>
    </row>
    <row r="49" spans="1:8" x14ac:dyDescent="0.35">
      <c r="A49" t="s">
        <v>70</v>
      </c>
      <c r="B49">
        <f>10000*(D2/I2)</f>
        <v>10000</v>
      </c>
    </row>
    <row r="50" spans="1:8" x14ac:dyDescent="0.35">
      <c r="A50" t="s">
        <v>71</v>
      </c>
      <c r="B50">
        <f>10000*(D2/I2)</f>
        <v>10000</v>
      </c>
      <c r="D50" t="s">
        <v>79</v>
      </c>
    </row>
    <row r="51" spans="1:8" x14ac:dyDescent="0.35">
      <c r="A51" t="s">
        <v>72</v>
      </c>
      <c r="B51">
        <f>15000*3*(B33/D10)</f>
        <v>125000.00000000003</v>
      </c>
      <c r="D51" s="4">
        <f>B33/(E7/30*50000)</f>
        <v>1.2287950712570681E-3</v>
      </c>
    </row>
    <row r="52" spans="1:8" x14ac:dyDescent="0.35">
      <c r="A52" t="s">
        <v>74</v>
      </c>
      <c r="B52">
        <f>200*(D2*G2*H2/F2)</f>
        <v>34334157.541504778</v>
      </c>
    </row>
    <row r="54" spans="1:8" x14ac:dyDescent="0.35">
      <c r="A54" t="s">
        <v>75</v>
      </c>
      <c r="B54">
        <f>B52+B51+B50+B49+B48</f>
        <v>34494157.541504778</v>
      </c>
    </row>
    <row r="56" spans="1:8" x14ac:dyDescent="0.35">
      <c r="A56" t="s">
        <v>51</v>
      </c>
      <c r="B56">
        <f>B46+B37+B30+B54</f>
        <v>80307308.966984212</v>
      </c>
    </row>
    <row r="57" spans="1:8" x14ac:dyDescent="0.35">
      <c r="A57" t="s">
        <v>52</v>
      </c>
      <c r="B57">
        <f>-B56+B11</f>
        <v>174180691.03301579</v>
      </c>
      <c r="C57" t="s">
        <v>80</v>
      </c>
      <c r="D57">
        <f>B57/D2</f>
        <v>870.90345516507898</v>
      </c>
    </row>
    <row r="59" spans="1:8" x14ac:dyDescent="0.35">
      <c r="A59" t="s">
        <v>53</v>
      </c>
      <c r="B59">
        <f>B57+B6</f>
        <v>179044795.96885774</v>
      </c>
      <c r="D59">
        <f>B59/D2</f>
        <v>895.22397984428869</v>
      </c>
    </row>
    <row r="60" spans="1:8" x14ac:dyDescent="0.35">
      <c r="A60" t="s">
        <v>76</v>
      </c>
    </row>
    <row r="61" spans="1:8" x14ac:dyDescent="0.35">
      <c r="A61" t="s">
        <v>95</v>
      </c>
      <c r="E61" t="s">
        <v>94</v>
      </c>
    </row>
    <row r="62" spans="1:8" x14ac:dyDescent="0.35">
      <c r="A62" t="s">
        <v>78</v>
      </c>
      <c r="B62" t="s">
        <v>83</v>
      </c>
      <c r="C62" t="s">
        <v>84</v>
      </c>
      <c r="D62" t="s">
        <v>85</v>
      </c>
      <c r="E62" t="s">
        <v>78</v>
      </c>
      <c r="F62" t="s">
        <v>83</v>
      </c>
      <c r="G62" t="s">
        <v>84</v>
      </c>
      <c r="H62" t="s">
        <v>85</v>
      </c>
    </row>
    <row r="63" spans="1:8" x14ac:dyDescent="0.35">
      <c r="A63">
        <f>B59</f>
        <v>179044795.96885774</v>
      </c>
      <c r="B63">
        <f>(1-0.88%+1%-1.31%)</f>
        <v>0.98809999999999987</v>
      </c>
      <c r="C63">
        <f>A63/B63^D63</f>
        <v>181201088.92709014</v>
      </c>
      <c r="D63">
        <v>1</v>
      </c>
      <c r="E63">
        <v>93199591.927145615</v>
      </c>
      <c r="F63">
        <v>0.98809999999999987</v>
      </c>
      <c r="G63">
        <v>94322024.012899131</v>
      </c>
      <c r="H63">
        <v>1</v>
      </c>
    </row>
    <row r="64" spans="1:8" x14ac:dyDescent="0.35">
      <c r="A64">
        <f>A63</f>
        <v>179044795.96885774</v>
      </c>
      <c r="B64">
        <f t="shared" ref="B64:B72" si="0">(1-0.88%+1%-1.31%)</f>
        <v>0.98809999999999987</v>
      </c>
      <c r="C64">
        <f t="shared" ref="C64:C72" si="1">A64/B64^D64</f>
        <v>183383350.80162954</v>
      </c>
      <c r="D64">
        <v>2</v>
      </c>
      <c r="E64">
        <v>93199591.927145615</v>
      </c>
      <c r="F64">
        <v>0.98809999999999987</v>
      </c>
      <c r="G64">
        <v>95457973.902336955</v>
      </c>
      <c r="H64">
        <v>2</v>
      </c>
    </row>
    <row r="65" spans="1:9" x14ac:dyDescent="0.35">
      <c r="A65">
        <f>A64</f>
        <v>179044795.96885774</v>
      </c>
      <c r="B65">
        <f t="shared" si="0"/>
        <v>0.98809999999999987</v>
      </c>
      <c r="C65">
        <f t="shared" si="1"/>
        <v>185591894.34432706</v>
      </c>
      <c r="D65">
        <v>3</v>
      </c>
      <c r="E65">
        <v>93199591.927145615</v>
      </c>
      <c r="F65">
        <v>0.98809999999999987</v>
      </c>
      <c r="G65">
        <v>96607604.394633099</v>
      </c>
      <c r="H65">
        <v>3</v>
      </c>
    </row>
    <row r="66" spans="1:9" x14ac:dyDescent="0.35">
      <c r="A66">
        <f t="shared" ref="A66:A72" si="2">A65</f>
        <v>179044795.96885774</v>
      </c>
      <c r="B66">
        <f t="shared" si="0"/>
        <v>0.98809999999999987</v>
      </c>
      <c r="C66">
        <f t="shared" si="1"/>
        <v>187827036.07360297</v>
      </c>
      <c r="D66">
        <v>4</v>
      </c>
      <c r="E66">
        <v>93199591.927145615</v>
      </c>
      <c r="F66">
        <v>0.98809999999999987</v>
      </c>
      <c r="G66">
        <v>97771080.249603391</v>
      </c>
      <c r="H66">
        <v>4</v>
      </c>
    </row>
    <row r="67" spans="1:9" x14ac:dyDescent="0.35">
      <c r="A67">
        <f t="shared" si="2"/>
        <v>179044795.96885774</v>
      </c>
      <c r="B67">
        <f t="shared" si="0"/>
        <v>0.98809999999999987</v>
      </c>
      <c r="C67">
        <f t="shared" si="1"/>
        <v>190089096.31980872</v>
      </c>
      <c r="D67">
        <v>5</v>
      </c>
      <c r="E67">
        <v>93199591.927145615</v>
      </c>
      <c r="F67">
        <v>0.98809999999999987</v>
      </c>
      <c r="G67">
        <v>98948568.211318091</v>
      </c>
      <c r="H67">
        <v>5</v>
      </c>
    </row>
    <row r="68" spans="1:9" x14ac:dyDescent="0.35">
      <c r="A68">
        <f t="shared" si="2"/>
        <v>179044795.96885774</v>
      </c>
      <c r="B68">
        <f t="shared" si="0"/>
        <v>0.98809999999999987</v>
      </c>
      <c r="C68">
        <f t="shared" si="1"/>
        <v>192378399.27113527</v>
      </c>
      <c r="D68">
        <v>6</v>
      </c>
      <c r="E68">
        <v>93199591.927145615</v>
      </c>
      <c r="F68">
        <v>0.98809999999999987</v>
      </c>
      <c r="G68">
        <v>100140237.03199889</v>
      </c>
      <c r="H68">
        <v>6</v>
      </c>
    </row>
    <row r="69" spans="1:9" x14ac:dyDescent="0.35">
      <c r="A69">
        <f t="shared" si="2"/>
        <v>179044795.96885774</v>
      </c>
      <c r="B69">
        <f t="shared" si="0"/>
        <v>0.98809999999999987</v>
      </c>
      <c r="C69">
        <f t="shared" si="1"/>
        <v>194695273.02007416</v>
      </c>
      <c r="D69">
        <v>7</v>
      </c>
      <c r="E69">
        <v>93199591.927145615</v>
      </c>
      <c r="F69">
        <v>0.98809999999999987</v>
      </c>
      <c r="G69">
        <v>101346257.49620372</v>
      </c>
      <c r="H69">
        <v>7</v>
      </c>
    </row>
    <row r="70" spans="1:9" x14ac:dyDescent="0.35">
      <c r="A70">
        <f t="shared" si="2"/>
        <v>179044795.96885774</v>
      </c>
      <c r="B70">
        <f t="shared" si="0"/>
        <v>0.98809999999999987</v>
      </c>
      <c r="C70">
        <f t="shared" si="1"/>
        <v>197040049.61043841</v>
      </c>
      <c r="D70">
        <v>8</v>
      </c>
      <c r="E70">
        <v>93199591.927145615</v>
      </c>
      <c r="F70">
        <v>0.98809999999999987</v>
      </c>
      <c r="G70">
        <v>102566802.44530284</v>
      </c>
      <c r="H70">
        <v>8</v>
      </c>
    </row>
    <row r="71" spans="1:9" x14ac:dyDescent="0.35">
      <c r="A71">
        <f t="shared" si="2"/>
        <v>179044795.96885774</v>
      </c>
      <c r="B71">
        <f t="shared" si="0"/>
        <v>0.98809999999999987</v>
      </c>
      <c r="C71">
        <f t="shared" si="1"/>
        <v>199413065.08494934</v>
      </c>
      <c r="D71">
        <v>9</v>
      </c>
      <c r="E71">
        <v>93199591.927145615</v>
      </c>
      <c r="F71">
        <v>0.98809999999999987</v>
      </c>
      <c r="G71">
        <v>103802046.80224964</v>
      </c>
      <c r="H71">
        <v>9</v>
      </c>
    </row>
    <row r="72" spans="1:9" x14ac:dyDescent="0.35">
      <c r="A72">
        <f t="shared" si="2"/>
        <v>179044795.96885774</v>
      </c>
      <c r="B72">
        <f t="shared" si="0"/>
        <v>0.98809999999999987</v>
      </c>
      <c r="C72">
        <f t="shared" si="1"/>
        <v>201814659.53339678</v>
      </c>
      <c r="D72">
        <v>10</v>
      </c>
      <c r="E72">
        <v>93199591.927145615</v>
      </c>
      <c r="F72">
        <v>0.98809999999999987</v>
      </c>
      <c r="G72">
        <v>105052167.59664978</v>
      </c>
      <c r="H72">
        <v>10</v>
      </c>
      <c r="I72" t="s">
        <v>96</v>
      </c>
    </row>
    <row r="73" spans="1:9" x14ac:dyDescent="0.35">
      <c r="B73" t="s">
        <v>86</v>
      </c>
      <c r="C73">
        <f>SUM(C63:C72)</f>
        <v>1913433912.9864523</v>
      </c>
      <c r="F73" t="s">
        <v>86</v>
      </c>
      <c r="G73">
        <v>996014762.14319563</v>
      </c>
      <c r="I73">
        <f>C73-G73</f>
        <v>917419150.84325671</v>
      </c>
    </row>
    <row r="76" spans="1:9" x14ac:dyDescent="0.35">
      <c r="A76" t="s">
        <v>88</v>
      </c>
      <c r="B76">
        <f>B3*B2</f>
        <v>48.361862339604883</v>
      </c>
      <c r="C76" t="s">
        <v>93</v>
      </c>
    </row>
    <row r="77" spans="1:9" x14ac:dyDescent="0.35">
      <c r="A77" t="s">
        <v>89</v>
      </c>
      <c r="B77">
        <f>B4*B2</f>
        <v>24.041337660395108</v>
      </c>
      <c r="C77" t="s">
        <v>93</v>
      </c>
    </row>
    <row r="78" spans="1:9" x14ac:dyDescent="0.35">
      <c r="A78" t="s">
        <v>90</v>
      </c>
      <c r="B78">
        <f>B11/D2</f>
        <v>1272.44</v>
      </c>
      <c r="C78" t="s">
        <v>93</v>
      </c>
    </row>
    <row r="79" spans="1:9" x14ac:dyDescent="0.35">
      <c r="A79" t="s">
        <v>91</v>
      </c>
      <c r="B79">
        <f>B56/D2</f>
        <v>401.53654483492107</v>
      </c>
      <c r="C79" t="s">
        <v>93</v>
      </c>
    </row>
    <row r="80" spans="1:9" x14ac:dyDescent="0.35">
      <c r="A80" t="s">
        <v>92</v>
      </c>
      <c r="B80">
        <f>B6/D2</f>
        <v>24.320524679209772</v>
      </c>
      <c r="C80" t="s">
        <v>93</v>
      </c>
    </row>
    <row r="81" spans="1:3" x14ac:dyDescent="0.35">
      <c r="A81" t="s">
        <v>52</v>
      </c>
      <c r="B81">
        <f>B57/D2</f>
        <v>870.90345516507898</v>
      </c>
      <c r="C8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I2" sqref="I2"/>
    </sheetView>
  </sheetViews>
  <sheetFormatPr defaultRowHeight="14.5" x14ac:dyDescent="0.35"/>
  <cols>
    <col min="1" max="1" width="35.453125" bestFit="1" customWidth="1"/>
    <col min="2" max="2" width="15.54296875" bestFit="1" customWidth="1"/>
    <col min="3" max="3" width="17.90625" bestFit="1" customWidth="1"/>
    <col min="4" max="4" width="18" bestFit="1" customWidth="1"/>
    <col min="5" max="5" width="15.81640625" bestFit="1" customWidth="1"/>
    <col min="6" max="6" width="14.1796875" bestFit="1" customWidth="1"/>
    <col min="7" max="7" width="19.453125" bestFit="1" customWidth="1"/>
    <col min="8" max="8" width="22.6328125" bestFit="1" customWidth="1"/>
    <col min="9" max="9" width="12.453125" bestFit="1" customWidth="1"/>
  </cols>
  <sheetData>
    <row r="1" spans="1:9" x14ac:dyDescent="0.35">
      <c r="B1" t="s">
        <v>2</v>
      </c>
      <c r="C1" t="s">
        <v>3</v>
      </c>
      <c r="D1" t="s">
        <v>5</v>
      </c>
      <c r="E1" t="s">
        <v>9</v>
      </c>
      <c r="F1" t="s">
        <v>18</v>
      </c>
      <c r="G1" t="s">
        <v>19</v>
      </c>
      <c r="H1" t="s">
        <v>19</v>
      </c>
      <c r="I1" t="s">
        <v>64</v>
      </c>
    </row>
    <row r="2" spans="1:9" x14ac:dyDescent="0.35">
      <c r="A2" t="s">
        <v>0</v>
      </c>
      <c r="B2">
        <v>24</v>
      </c>
      <c r="C2" t="s">
        <v>16</v>
      </c>
      <c r="D2">
        <v>255000</v>
      </c>
      <c r="E2">
        <f>D2*1.96</f>
        <v>499800</v>
      </c>
      <c r="F2">
        <v>2.7949999999999999</v>
      </c>
      <c r="G2">
        <v>1</v>
      </c>
      <c r="H2">
        <v>2.4300000000000002</v>
      </c>
      <c r="I2">
        <v>255000</v>
      </c>
    </row>
    <row r="3" spans="1:9" x14ac:dyDescent="0.35">
      <c r="A3" t="s">
        <v>1</v>
      </c>
      <c r="B3">
        <v>2.0668529596813068</v>
      </c>
      <c r="C3" t="s">
        <v>15</v>
      </c>
      <c r="D3" t="s">
        <v>14</v>
      </c>
      <c r="E3" t="s">
        <v>14</v>
      </c>
      <c r="F3" t="s">
        <v>17</v>
      </c>
      <c r="G3" t="s">
        <v>43</v>
      </c>
      <c r="H3" t="s">
        <v>44</v>
      </c>
      <c r="I3" t="s">
        <v>14</v>
      </c>
    </row>
    <row r="4" spans="1:9" x14ac:dyDescent="0.35">
      <c r="A4" t="s">
        <v>4</v>
      </c>
      <c r="B4">
        <v>0.94994704031869248</v>
      </c>
      <c r="C4" t="s">
        <v>15</v>
      </c>
    </row>
    <row r="6" spans="1:9" x14ac:dyDescent="0.35">
      <c r="A6" t="s">
        <v>6</v>
      </c>
      <c r="B6">
        <f>B2*B3*D2-B2*B4*D2</f>
        <v>6835464.2264991999</v>
      </c>
      <c r="C6">
        <f>B6/D2</f>
        <v>26.805742064702745</v>
      </c>
      <c r="D6" t="s">
        <v>65</v>
      </c>
      <c r="E6" t="s">
        <v>66</v>
      </c>
      <c r="F6" t="s">
        <v>73</v>
      </c>
      <c r="G6" t="s">
        <v>77</v>
      </c>
      <c r="H6" t="s">
        <v>52</v>
      </c>
    </row>
    <row r="7" spans="1:9" x14ac:dyDescent="0.35">
      <c r="D7">
        <v>317971.5</v>
      </c>
      <c r="E7">
        <f>D2*G2*H2</f>
        <v>619650</v>
      </c>
      <c r="F7">
        <f>D2*G2*H2/F2</f>
        <v>221699.46332737032</v>
      </c>
      <c r="G7" s="3">
        <f>D2/I2</f>
        <v>1</v>
      </c>
      <c r="H7">
        <v>0</v>
      </c>
    </row>
    <row r="8" spans="1:9" x14ac:dyDescent="0.35">
      <c r="A8" t="s">
        <v>7</v>
      </c>
      <c r="B8">
        <v>1000</v>
      </c>
      <c r="C8" t="s">
        <v>16</v>
      </c>
    </row>
    <row r="9" spans="1:9" x14ac:dyDescent="0.35">
      <c r="A9" t="s">
        <v>8</v>
      </c>
      <c r="B9">
        <v>139</v>
      </c>
      <c r="C9" t="s">
        <v>16</v>
      </c>
      <c r="D9" t="s">
        <v>38</v>
      </c>
    </row>
    <row r="10" spans="1:9" x14ac:dyDescent="0.35">
      <c r="D10">
        <v>533206.82189927006</v>
      </c>
    </row>
    <row r="11" spans="1:9" x14ac:dyDescent="0.35">
      <c r="A11" t="s">
        <v>10</v>
      </c>
      <c r="B11">
        <f>B8*D2+B9*E2</f>
        <v>324472200</v>
      </c>
    </row>
    <row r="13" spans="1:9" x14ac:dyDescent="0.35">
      <c r="A13" s="1" t="s">
        <v>11</v>
      </c>
      <c r="B13">
        <v>0.1213236696813428</v>
      </c>
      <c r="C13" t="s">
        <v>17</v>
      </c>
    </row>
    <row r="14" spans="1:9" x14ac:dyDescent="0.35">
      <c r="A14" s="1" t="s">
        <v>12</v>
      </c>
      <c r="B14">
        <v>2.7817518248175185E-2</v>
      </c>
      <c r="C14" t="s">
        <v>17</v>
      </c>
    </row>
    <row r="15" spans="1:9" x14ac:dyDescent="0.35">
      <c r="A15" s="1" t="s">
        <v>13</v>
      </c>
      <c r="B15">
        <v>2.9172302587923023E-2</v>
      </c>
      <c r="C15" t="s">
        <v>17</v>
      </c>
    </row>
    <row r="16" spans="1:9" x14ac:dyDescent="0.35">
      <c r="A16" t="s">
        <v>20</v>
      </c>
      <c r="B16" s="1">
        <v>400</v>
      </c>
      <c r="C16" t="s">
        <v>16</v>
      </c>
    </row>
    <row r="17" spans="1:6" x14ac:dyDescent="0.35">
      <c r="A17" t="s">
        <v>21</v>
      </c>
      <c r="B17" s="1">
        <v>400</v>
      </c>
      <c r="C17" t="s">
        <v>16</v>
      </c>
    </row>
    <row r="18" spans="1:6" x14ac:dyDescent="0.35">
      <c r="A18" t="s">
        <v>22</v>
      </c>
      <c r="B18" s="1">
        <v>400</v>
      </c>
      <c r="C18" t="s">
        <v>16</v>
      </c>
    </row>
    <row r="19" spans="1:6" x14ac:dyDescent="0.35">
      <c r="A19" t="s">
        <v>23</v>
      </c>
      <c r="B19" s="1">
        <v>1</v>
      </c>
      <c r="C19" t="s">
        <v>27</v>
      </c>
    </row>
    <row r="20" spans="1:6" x14ac:dyDescent="0.35">
      <c r="A20" t="s">
        <v>24</v>
      </c>
      <c r="B20" s="1">
        <v>0.5</v>
      </c>
      <c r="C20" t="s">
        <v>27</v>
      </c>
    </row>
    <row r="21" spans="1:6" x14ac:dyDescent="0.35">
      <c r="A21" t="s">
        <v>25</v>
      </c>
      <c r="B21" s="1">
        <v>0.33</v>
      </c>
      <c r="C21" t="s">
        <v>27</v>
      </c>
    </row>
    <row r="22" spans="1:6" x14ac:dyDescent="0.35">
      <c r="A22" t="s">
        <v>26</v>
      </c>
      <c r="B22" s="1">
        <v>1.25</v>
      </c>
      <c r="C22" t="s">
        <v>27</v>
      </c>
    </row>
    <row r="23" spans="1:6" x14ac:dyDescent="0.35">
      <c r="A23" t="s">
        <v>28</v>
      </c>
      <c r="B23" s="1">
        <v>10.45</v>
      </c>
      <c r="C23" t="s">
        <v>29</v>
      </c>
    </row>
    <row r="24" spans="1:6" x14ac:dyDescent="0.35">
      <c r="A24" s="1" t="s">
        <v>30</v>
      </c>
      <c r="B24" s="1">
        <f>E27/4</f>
        <v>22.645036937148216</v>
      </c>
      <c r="C24" t="s">
        <v>34</v>
      </c>
    </row>
    <row r="25" spans="1:6" x14ac:dyDescent="0.35">
      <c r="A25" s="1" t="s">
        <v>31</v>
      </c>
      <c r="B25" s="1">
        <f>B24</f>
        <v>22.645036937148216</v>
      </c>
      <c r="C25" t="s">
        <v>34</v>
      </c>
      <c r="D25" t="s">
        <v>58</v>
      </c>
      <c r="E25">
        <v>75.362682926829265</v>
      </c>
      <c r="F25" t="s">
        <v>59</v>
      </c>
    </row>
    <row r="26" spans="1:6" x14ac:dyDescent="0.35">
      <c r="A26" s="1" t="s">
        <v>32</v>
      </c>
      <c r="B26" s="1">
        <f>B25</f>
        <v>22.645036937148216</v>
      </c>
      <c r="C26" t="s">
        <v>34</v>
      </c>
      <c r="D26" t="s">
        <v>56</v>
      </c>
      <c r="E26">
        <v>0.83199999999999996</v>
      </c>
      <c r="F26" t="s">
        <v>57</v>
      </c>
    </row>
    <row r="27" spans="1:6" x14ac:dyDescent="0.35">
      <c r="A27" s="1" t="s">
        <v>33</v>
      </c>
      <c r="B27" s="1">
        <f>B26</f>
        <v>22.645036937148216</v>
      </c>
      <c r="C27" t="s">
        <v>34</v>
      </c>
      <c r="D27" t="s">
        <v>60</v>
      </c>
      <c r="E27">
        <f>E25/E26</f>
        <v>90.580147748592864</v>
      </c>
      <c r="F27" t="s">
        <v>61</v>
      </c>
    </row>
    <row r="28" spans="1:6" x14ac:dyDescent="0.35">
      <c r="A28" t="s">
        <v>35</v>
      </c>
      <c r="B28" s="1">
        <v>1.26</v>
      </c>
      <c r="C28" t="s">
        <v>36</v>
      </c>
    </row>
    <row r="30" spans="1:6" x14ac:dyDescent="0.35">
      <c r="A30" s="1" t="s">
        <v>37</v>
      </c>
      <c r="B30">
        <f>(D2*G2*H2/F2)*B13*B16+(D2*G2*H2/F2)*B14*B17+(D2*G2*H2/F2)*B15*B18+(D2*G2*H2/F2)*(B19+B20+B21+B22)*B23+(D2*G2*H2/F2)*(B24+B25+B26+B27)*B28</f>
        <v>48251199.368764415</v>
      </c>
    </row>
    <row r="32" spans="1:6" x14ac:dyDescent="0.35">
      <c r="A32" t="s">
        <v>54</v>
      </c>
      <c r="B32">
        <f>D2/D10</f>
        <v>0.47823844243345581</v>
      </c>
      <c r="C32" t="s">
        <v>55</v>
      </c>
    </row>
    <row r="33" spans="1:5" x14ac:dyDescent="0.35">
      <c r="A33" t="s">
        <v>38</v>
      </c>
      <c r="B33">
        <f>IF(D2/I2&lt;=0.1,D2/B32/36,IF(AND(D2/I2&gt;0.1,D2/I2&lt;=0.2),D2/B32/9,IF(AND(D2/I2&gt;0.2,D2/I2&lt;=0.3),D2/B32/4,IF(AND(D2/I2&gt;0.3,D2/I2&lt;=0.4),D2/B32/(36/16),IF(AND(D2/I2&gt;0.4,D2/I2&lt;=0.5),D2/B32/(36/25),IF(AND(D2/I2&gt;0.5,D2/I2&lt;=0.6),D2/B32,IF(AND(D2/I2&gt;0.6,D2/I2&lt;=0.7),D2/B32/(36/49),IF(AND(D2/I2&gt;0.7,D2/I2&lt;=0.8),D2/B32/(36/64),IF(AND(D2/I2&gt;0.8,D2/I2&lt;=0.9),D2/B32/(36/81),IF(D2/I2&gt;0.9,D2/B32/(36/100),0))))))))))</f>
        <v>1481130.0608313058</v>
      </c>
      <c r="C33" t="s">
        <v>39</v>
      </c>
    </row>
    <row r="34" spans="1:5" x14ac:dyDescent="0.35">
      <c r="A34" t="s">
        <v>40</v>
      </c>
      <c r="B34" s="1">
        <f>40*1.26/100</f>
        <v>0.504</v>
      </c>
      <c r="C34" t="s">
        <v>41</v>
      </c>
      <c r="D34" t="s">
        <v>62</v>
      </c>
      <c r="E34" t="s">
        <v>63</v>
      </c>
    </row>
    <row r="35" spans="1:5" x14ac:dyDescent="0.35">
      <c r="D35">
        <f>40*1.26/100</f>
        <v>0.504</v>
      </c>
      <c r="E35" t="s">
        <v>41</v>
      </c>
    </row>
    <row r="37" spans="1:5" x14ac:dyDescent="0.35">
      <c r="A37" t="s">
        <v>42</v>
      </c>
      <c r="B37">
        <f>B33*B34</f>
        <v>746489.55065897817</v>
      </c>
    </row>
    <row r="40" spans="1:5" x14ac:dyDescent="0.35">
      <c r="A40" t="s">
        <v>68</v>
      </c>
      <c r="B40">
        <f>IF(D2/I2&lt;=0.3,2.8,IF(D2/I2&gt;0.3,2.8*1.2,0))</f>
        <v>3.36</v>
      </c>
      <c r="C40" t="s">
        <v>16</v>
      </c>
    </row>
    <row r="41" spans="1:5" x14ac:dyDescent="0.35">
      <c r="A41" t="s">
        <v>45</v>
      </c>
      <c r="B41">
        <v>0.19</v>
      </c>
      <c r="C41" t="s">
        <v>47</v>
      </c>
    </row>
    <row r="42" spans="1:5" x14ac:dyDescent="0.35">
      <c r="A42" t="s">
        <v>48</v>
      </c>
      <c r="B42">
        <v>43.52</v>
      </c>
      <c r="C42" t="s">
        <v>67</v>
      </c>
    </row>
    <row r="43" spans="1:5" x14ac:dyDescent="0.35">
      <c r="A43" t="s">
        <v>49</v>
      </c>
      <c r="B43">
        <v>20</v>
      </c>
      <c r="C43" t="s">
        <v>16</v>
      </c>
    </row>
    <row r="44" spans="1:5" x14ac:dyDescent="0.35">
      <c r="A44" t="s">
        <v>46</v>
      </c>
      <c r="B44">
        <v>10</v>
      </c>
      <c r="C44" t="s">
        <v>16</v>
      </c>
    </row>
    <row r="46" spans="1:5" x14ac:dyDescent="0.35">
      <c r="A46" t="s">
        <v>50</v>
      </c>
      <c r="B46">
        <f>B40*D2+B41*B42*D2+B43*D2+B44*D2</f>
        <v>10615344</v>
      </c>
    </row>
    <row r="48" spans="1:5" x14ac:dyDescent="0.35">
      <c r="A48" t="s">
        <v>69</v>
      </c>
      <c r="B48">
        <v>15000</v>
      </c>
    </row>
    <row r="49" spans="1:8" x14ac:dyDescent="0.35">
      <c r="A49" t="s">
        <v>70</v>
      </c>
      <c r="B49">
        <f>10000*(D2/I2)</f>
        <v>10000</v>
      </c>
    </row>
    <row r="50" spans="1:8" x14ac:dyDescent="0.35">
      <c r="A50" t="s">
        <v>71</v>
      </c>
      <c r="B50">
        <f>10000*(D2/I2)</f>
        <v>10000</v>
      </c>
      <c r="D50" t="s">
        <v>79</v>
      </c>
    </row>
    <row r="51" spans="1:8" x14ac:dyDescent="0.35">
      <c r="A51" t="s">
        <v>72</v>
      </c>
      <c r="B51">
        <f>15000*3*(B33/D10)</f>
        <v>125000.00000000001</v>
      </c>
      <c r="D51" s="4">
        <f>B33/(E7/30*50000)</f>
        <v>1.43416127894583E-3</v>
      </c>
    </row>
    <row r="52" spans="1:8" x14ac:dyDescent="0.35">
      <c r="A52" t="s">
        <v>74</v>
      </c>
      <c r="B52">
        <f>200*(D2*G2*H2/F2)</f>
        <v>44339892.665474065</v>
      </c>
    </row>
    <row r="54" spans="1:8" x14ac:dyDescent="0.35">
      <c r="A54" t="s">
        <v>75</v>
      </c>
      <c r="B54">
        <f>B52+B51+B50+B49+B48</f>
        <v>44499892.665474065</v>
      </c>
    </row>
    <row r="56" spans="1:8" x14ac:dyDescent="0.35">
      <c r="A56" t="s">
        <v>51</v>
      </c>
      <c r="B56">
        <f>B46+B37+B30+B54</f>
        <v>104112925.58489746</v>
      </c>
    </row>
    <row r="57" spans="1:8" x14ac:dyDescent="0.35">
      <c r="A57" t="s">
        <v>52</v>
      </c>
      <c r="B57">
        <f>-B56+B11</f>
        <v>220359274.41510254</v>
      </c>
      <c r="C57" t="s">
        <v>80</v>
      </c>
      <c r="D57">
        <f>B57/D2</f>
        <v>864.1540173141276</v>
      </c>
    </row>
    <row r="59" spans="1:8" x14ac:dyDescent="0.35">
      <c r="A59" t="s">
        <v>53</v>
      </c>
      <c r="B59">
        <f>B57+B6</f>
        <v>227194738.64160174</v>
      </c>
      <c r="D59">
        <f>B59/D2</f>
        <v>890.95975937883031</v>
      </c>
    </row>
    <row r="60" spans="1:8" x14ac:dyDescent="0.35">
      <c r="A60" t="s">
        <v>76</v>
      </c>
    </row>
    <row r="61" spans="1:8" x14ac:dyDescent="0.35">
      <c r="A61" t="s">
        <v>95</v>
      </c>
      <c r="E61" t="s">
        <v>94</v>
      </c>
    </row>
    <row r="62" spans="1:8" x14ac:dyDescent="0.35">
      <c r="A62" t="s">
        <v>78</v>
      </c>
      <c r="B62" t="s">
        <v>83</v>
      </c>
      <c r="C62" t="s">
        <v>84</v>
      </c>
      <c r="D62" t="s">
        <v>85</v>
      </c>
      <c r="E62" t="s">
        <v>78</v>
      </c>
      <c r="F62" t="s">
        <v>83</v>
      </c>
      <c r="G62" t="s">
        <v>84</v>
      </c>
      <c r="H62" t="s">
        <v>85</v>
      </c>
    </row>
    <row r="63" spans="1:8" x14ac:dyDescent="0.35">
      <c r="A63">
        <f>B59</f>
        <v>227194738.64160174</v>
      </c>
      <c r="B63">
        <f>(1-0.88%+1%-1.31%)</f>
        <v>0.98809999999999987</v>
      </c>
      <c r="C63">
        <f>A63/B63^D63</f>
        <v>229930916.54852927</v>
      </c>
      <c r="D63">
        <v>1</v>
      </c>
      <c r="E63">
        <v>116710447.57542437</v>
      </c>
      <c r="F63">
        <v>0.98809999999999987</v>
      </c>
      <c r="G63">
        <v>118116028.31234124</v>
      </c>
      <c r="H63">
        <v>1</v>
      </c>
    </row>
    <row r="64" spans="1:8" x14ac:dyDescent="0.35">
      <c r="A64">
        <f>A63</f>
        <v>227194738.64160174</v>
      </c>
      <c r="B64">
        <f t="shared" ref="B64:B72" si="0">(1-0.88%+1%-1.31%)</f>
        <v>0.98809999999999987</v>
      </c>
      <c r="C64">
        <f t="shared" ref="C64:C72" si="1">A64/B64^D64</f>
        <v>232700047.10912791</v>
      </c>
      <c r="D64">
        <v>2</v>
      </c>
      <c r="E64">
        <v>116710447.57542437</v>
      </c>
      <c r="F64">
        <v>0.98809999999999987</v>
      </c>
      <c r="G64">
        <v>119538536.90146874</v>
      </c>
      <c r="H64">
        <v>2</v>
      </c>
    </row>
    <row r="65" spans="1:9" x14ac:dyDescent="0.35">
      <c r="A65">
        <f>A64</f>
        <v>227194738.64160174</v>
      </c>
      <c r="B65">
        <f t="shared" si="0"/>
        <v>0.98809999999999987</v>
      </c>
      <c r="C65">
        <f t="shared" si="1"/>
        <v>235502527.18260089</v>
      </c>
      <c r="D65">
        <v>3</v>
      </c>
      <c r="E65">
        <v>116710447.57542437</v>
      </c>
      <c r="F65">
        <v>0.98809999999999987</v>
      </c>
      <c r="G65">
        <v>120978177.21027099</v>
      </c>
      <c r="H65">
        <v>3</v>
      </c>
    </row>
    <row r="66" spans="1:9" x14ac:dyDescent="0.35">
      <c r="A66">
        <f t="shared" ref="A66:A72" si="2">A65</f>
        <v>227194738.64160174</v>
      </c>
      <c r="B66">
        <f t="shared" si="0"/>
        <v>0.98809999999999987</v>
      </c>
      <c r="C66">
        <f t="shared" si="1"/>
        <v>238338758.40765199</v>
      </c>
      <c r="D66">
        <v>4</v>
      </c>
      <c r="E66">
        <v>116710447.57542437</v>
      </c>
      <c r="F66">
        <v>0.98809999999999987</v>
      </c>
      <c r="G66">
        <v>122435155.56145228</v>
      </c>
      <c r="H66">
        <v>4</v>
      </c>
    </row>
    <row r="67" spans="1:9" x14ac:dyDescent="0.35">
      <c r="A67">
        <f t="shared" si="2"/>
        <v>227194738.64160174</v>
      </c>
      <c r="B67">
        <f t="shared" si="0"/>
        <v>0.98809999999999987</v>
      </c>
      <c r="C67">
        <f t="shared" si="1"/>
        <v>241209147.2600466</v>
      </c>
      <c r="D67">
        <v>5</v>
      </c>
      <c r="E67">
        <v>116710447.57542437</v>
      </c>
      <c r="F67">
        <v>0.98809999999999987</v>
      </c>
      <c r="G67">
        <v>123909680.76252636</v>
      </c>
      <c r="H67">
        <v>5</v>
      </c>
    </row>
    <row r="68" spans="1:9" x14ac:dyDescent="0.35">
      <c r="A68">
        <f t="shared" si="2"/>
        <v>227194738.64160174</v>
      </c>
      <c r="B68">
        <f t="shared" si="0"/>
        <v>0.98809999999999987</v>
      </c>
      <c r="C68">
        <f t="shared" si="1"/>
        <v>244114105.11086592</v>
      </c>
      <c r="D68">
        <v>6</v>
      </c>
      <c r="E68">
        <v>116710447.57542437</v>
      </c>
      <c r="F68">
        <v>0.98809999999999987</v>
      </c>
      <c r="G68">
        <v>125401964.13574171</v>
      </c>
      <c r="H68">
        <v>6</v>
      </c>
    </row>
    <row r="69" spans="1:9" x14ac:dyDescent="0.35">
      <c r="A69">
        <f t="shared" si="2"/>
        <v>227194738.64160174</v>
      </c>
      <c r="B69">
        <f t="shared" si="0"/>
        <v>0.98809999999999987</v>
      </c>
      <c r="C69">
        <f t="shared" si="1"/>
        <v>247054048.28546295</v>
      </c>
      <c r="D69">
        <v>7</v>
      </c>
      <c r="E69">
        <v>116710447.57542437</v>
      </c>
      <c r="F69">
        <v>0.98809999999999987</v>
      </c>
      <c r="G69">
        <v>126912219.54836729</v>
      </c>
      <c r="H69">
        <v>7</v>
      </c>
    </row>
    <row r="70" spans="1:9" x14ac:dyDescent="0.35">
      <c r="A70">
        <f t="shared" si="2"/>
        <v>227194738.64160174</v>
      </c>
      <c r="B70">
        <f t="shared" si="0"/>
        <v>0.98809999999999987</v>
      </c>
      <c r="C70">
        <f t="shared" si="1"/>
        <v>250029398.12312824</v>
      </c>
      <c r="D70">
        <v>8</v>
      </c>
      <c r="E70">
        <v>116710447.57542437</v>
      </c>
      <c r="F70">
        <v>0.98809999999999987</v>
      </c>
      <c r="G70">
        <v>128440663.4433431</v>
      </c>
      <c r="H70">
        <v>8</v>
      </c>
    </row>
    <row r="71" spans="1:9" x14ac:dyDescent="0.35">
      <c r="A71">
        <f t="shared" si="2"/>
        <v>227194738.64160174</v>
      </c>
      <c r="B71">
        <f t="shared" si="0"/>
        <v>0.98809999999999987</v>
      </c>
      <c r="C71">
        <f t="shared" si="1"/>
        <v>253040581.03747422</v>
      </c>
      <c r="D71">
        <v>9</v>
      </c>
      <c r="E71">
        <v>116710447.57542437</v>
      </c>
      <c r="F71">
        <v>0.98809999999999987</v>
      </c>
      <c r="G71">
        <v>129987514.87029968</v>
      </c>
      <c r="H71">
        <v>9</v>
      </c>
    </row>
    <row r="72" spans="1:9" x14ac:dyDescent="0.35">
      <c r="A72">
        <f t="shared" si="2"/>
        <v>227194738.64160174</v>
      </c>
      <c r="B72">
        <f t="shared" si="0"/>
        <v>0.98809999999999987</v>
      </c>
      <c r="C72">
        <f t="shared" si="1"/>
        <v>256088028.57754704</v>
      </c>
      <c r="D72">
        <v>10</v>
      </c>
      <c r="E72">
        <v>116710447.57542437</v>
      </c>
      <c r="F72">
        <v>0.98809999999999987</v>
      </c>
      <c r="G72">
        <v>131552995.51695143</v>
      </c>
      <c r="H72">
        <v>10</v>
      </c>
      <c r="I72" t="s">
        <v>96</v>
      </c>
    </row>
    <row r="73" spans="1:9" x14ac:dyDescent="0.35">
      <c r="B73" t="s">
        <v>86</v>
      </c>
      <c r="C73">
        <f>SUM(C63:C72)</f>
        <v>2428007557.6424346</v>
      </c>
      <c r="F73" t="s">
        <v>86</v>
      </c>
      <c r="G73">
        <v>1247272936.2627625</v>
      </c>
      <c r="I73">
        <f>C73-G73</f>
        <v>1180734621.3796721</v>
      </c>
    </row>
    <row r="76" spans="1:9" x14ac:dyDescent="0.35">
      <c r="A76" t="s">
        <v>88</v>
      </c>
      <c r="B76">
        <f>B3*B2</f>
        <v>49.604471032351363</v>
      </c>
      <c r="C76" t="s">
        <v>93</v>
      </c>
    </row>
    <row r="77" spans="1:9" x14ac:dyDescent="0.35">
      <c r="A77" t="s">
        <v>89</v>
      </c>
      <c r="B77">
        <f>B4*B2</f>
        <v>22.798728967648621</v>
      </c>
      <c r="C77" t="s">
        <v>93</v>
      </c>
    </row>
    <row r="78" spans="1:9" x14ac:dyDescent="0.35">
      <c r="A78" t="s">
        <v>90</v>
      </c>
      <c r="B78">
        <f>B11/D2</f>
        <v>1272.44</v>
      </c>
      <c r="C78" t="s">
        <v>93</v>
      </c>
    </row>
    <row r="79" spans="1:9" x14ac:dyDescent="0.35">
      <c r="A79" t="s">
        <v>91</v>
      </c>
      <c r="B79">
        <f>B56/D2</f>
        <v>408.2859826858724</v>
      </c>
      <c r="C79" t="s">
        <v>93</v>
      </c>
    </row>
    <row r="80" spans="1:9" x14ac:dyDescent="0.35">
      <c r="A80" t="s">
        <v>92</v>
      </c>
      <c r="B80">
        <f>B6/D2</f>
        <v>26.805742064702745</v>
      </c>
      <c r="C80" t="s">
        <v>93</v>
      </c>
    </row>
    <row r="81" spans="1:3" x14ac:dyDescent="0.35">
      <c r="A81" t="s">
        <v>52</v>
      </c>
      <c r="B81">
        <f>B57/D2</f>
        <v>864.1540173141276</v>
      </c>
      <c r="C8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Plant1</vt:lpstr>
      <vt:lpstr>Plant 2</vt:lpstr>
      <vt:lpstr>Plant 3</vt:lpstr>
      <vt:lpstr>Plant 4</vt:lpstr>
      <vt:lpstr>Plant 5</vt:lpstr>
      <vt:lpstr>Plant 6</vt:lpstr>
      <vt:lpstr>Plant 7</vt:lpstr>
      <vt:lpstr>Plant 8</vt:lpstr>
      <vt:lpstr>Plant 9</vt:lpstr>
      <vt:lpstr>Plant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2021-02-14T19:44:31Z</dcterms:modified>
</cp:coreProperties>
</file>