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nchej\Documents\Julie\ELISA_IgA\data\raw-data\"/>
    </mc:Choice>
  </mc:AlternateContent>
  <bookViews>
    <workbookView xWindow="0" yWindow="0" windowWidth="13140" windowHeight="7965" activeTab="1"/>
  </bookViews>
  <sheets>
    <sheet name="absorbances" sheetId="1" r:id="rId1"/>
    <sheet name="courbe_etalon" sheetId="3" r:id="rId2"/>
    <sheet name="poids" sheetId="4" r:id="rId3"/>
    <sheet name="quantification" sheetId="2" r:id="rId4"/>
  </sheets>
  <definedNames>
    <definedName name="solver_adj" localSheetId="1" hidden="1">courbe_etalon!$A$17:$D$17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courbe_etalon!$D$12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F5" i="3"/>
  <c r="C11" i="3"/>
  <c r="D11" i="3"/>
  <c r="C10" i="3"/>
  <c r="D10" i="3"/>
  <c r="C9" i="3"/>
  <c r="D9" i="3"/>
  <c r="C8" i="3"/>
  <c r="D8" i="3"/>
  <c r="C7" i="3"/>
  <c r="D7" i="3"/>
  <c r="C6" i="3"/>
  <c r="D6" i="3"/>
  <c r="C5" i="3"/>
  <c r="D5" i="3"/>
  <c r="C4" i="3"/>
  <c r="D4" i="3"/>
  <c r="C3" i="3"/>
  <c r="D3" i="3"/>
  <c r="C2" i="3"/>
  <c r="D2" i="3"/>
  <c r="D12" i="3"/>
  <c r="B71" i="1"/>
  <c r="L71" i="1"/>
  <c r="L65" i="1"/>
  <c r="L66" i="1"/>
  <c r="L67" i="1"/>
  <c r="L68" i="1"/>
  <c r="L69" i="1"/>
  <c r="L70" i="1"/>
  <c r="L64" i="1"/>
  <c r="H65" i="1"/>
  <c r="H66" i="1"/>
  <c r="H67" i="1"/>
  <c r="H68" i="1"/>
  <c r="H69" i="1"/>
  <c r="H70" i="1"/>
  <c r="H71" i="1"/>
  <c r="H64" i="1"/>
  <c r="E65" i="1"/>
  <c r="E66" i="1"/>
  <c r="E67" i="1"/>
  <c r="E68" i="1"/>
  <c r="E69" i="1"/>
  <c r="E70" i="1"/>
  <c r="E71" i="1"/>
  <c r="E64" i="1"/>
  <c r="B65" i="1"/>
  <c r="B66" i="1"/>
  <c r="B67" i="1"/>
  <c r="B68" i="1"/>
  <c r="B69" i="1"/>
  <c r="B70" i="1"/>
  <c r="B64" i="1"/>
  <c r="B11" i="3"/>
  <c r="B10" i="3"/>
  <c r="A11" i="3"/>
  <c r="A10" i="3"/>
  <c r="C19" i="2"/>
  <c r="E19" i="2"/>
  <c r="F19" i="2"/>
  <c r="C20" i="2"/>
  <c r="E20" i="2"/>
  <c r="F20" i="2"/>
  <c r="C21" i="2"/>
  <c r="E21" i="2"/>
  <c r="F21" i="2"/>
  <c r="G21" i="2"/>
  <c r="C22" i="2"/>
  <c r="E22" i="2"/>
  <c r="F22" i="2"/>
  <c r="C23" i="2"/>
  <c r="E23" i="2"/>
  <c r="F23" i="2"/>
  <c r="C24" i="2"/>
  <c r="E24" i="2"/>
  <c r="F24" i="2"/>
  <c r="C25" i="2"/>
  <c r="E25" i="2"/>
  <c r="F25" i="2"/>
  <c r="C18" i="2"/>
  <c r="E18" i="2"/>
  <c r="F18" i="2"/>
  <c r="C11" i="2"/>
  <c r="E11" i="2"/>
  <c r="F11" i="2"/>
  <c r="C12" i="2"/>
  <c r="E12" i="2"/>
  <c r="F12" i="2"/>
  <c r="C13" i="2"/>
  <c r="E13" i="2"/>
  <c r="F13" i="2"/>
  <c r="C14" i="2"/>
  <c r="E14" i="2"/>
  <c r="F14" i="2"/>
  <c r="C15" i="2"/>
  <c r="E15" i="2"/>
  <c r="F15" i="2"/>
  <c r="C16" i="2"/>
  <c r="E16" i="2"/>
  <c r="F16" i="2"/>
  <c r="C17" i="2"/>
  <c r="E17" i="2"/>
  <c r="F17" i="2"/>
  <c r="C10" i="2"/>
  <c r="E10" i="2"/>
  <c r="F10" i="2"/>
  <c r="A3" i="3"/>
  <c r="A4" i="3"/>
  <c r="A5" i="3"/>
  <c r="A6" i="3"/>
  <c r="A7" i="3"/>
  <c r="A8" i="3"/>
  <c r="A9" i="3"/>
  <c r="A2" i="3"/>
  <c r="C3" i="2"/>
  <c r="E3" i="2"/>
  <c r="F3" i="2"/>
  <c r="C4" i="2"/>
  <c r="E4" i="2"/>
  <c r="F4" i="2"/>
  <c r="C5" i="2"/>
  <c r="E5" i="2"/>
  <c r="F5" i="2"/>
  <c r="C6" i="2"/>
  <c r="E6" i="2"/>
  <c r="F6" i="2"/>
  <c r="C7" i="2"/>
  <c r="E7" i="2"/>
  <c r="F7" i="2"/>
  <c r="C8" i="2"/>
  <c r="E8" i="2"/>
  <c r="F8" i="2"/>
  <c r="C9" i="2"/>
  <c r="E9" i="2"/>
  <c r="F9" i="2"/>
  <c r="C2" i="2"/>
  <c r="E2" i="2"/>
  <c r="F2" i="2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K52" i="1"/>
  <c r="L52" i="1"/>
  <c r="M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D52" i="1"/>
  <c r="E52" i="1"/>
  <c r="F52" i="1"/>
  <c r="G52" i="1"/>
  <c r="H52" i="1"/>
  <c r="I52" i="1"/>
  <c r="J52" i="1"/>
  <c r="C52" i="1"/>
  <c r="B52" i="1"/>
  <c r="G18" i="2"/>
  <c r="I18" i="2"/>
  <c r="J18" i="2"/>
  <c r="I21" i="2"/>
  <c r="J21" i="2"/>
  <c r="G22" i="2"/>
  <c r="I22" i="2"/>
  <c r="J22" i="2"/>
  <c r="G23" i="2"/>
  <c r="I23" i="2"/>
  <c r="J23" i="2"/>
  <c r="G24" i="2"/>
  <c r="I24" i="2"/>
  <c r="J24" i="2"/>
  <c r="G25" i="2"/>
  <c r="I25" i="2"/>
  <c r="J25" i="2"/>
  <c r="G19" i="2"/>
  <c r="I19" i="2"/>
  <c r="J19" i="2"/>
  <c r="G20" i="2"/>
  <c r="I20" i="2"/>
  <c r="J20" i="2"/>
  <c r="G11" i="2"/>
  <c r="I11" i="2"/>
  <c r="J11" i="2"/>
  <c r="G12" i="2"/>
  <c r="I12" i="2"/>
  <c r="J12" i="2"/>
  <c r="G13" i="2"/>
  <c r="I13" i="2"/>
  <c r="J13" i="2"/>
  <c r="G14" i="2"/>
  <c r="I14" i="2"/>
  <c r="J14" i="2"/>
  <c r="G15" i="2"/>
  <c r="I15" i="2"/>
  <c r="J15" i="2"/>
  <c r="G16" i="2"/>
  <c r="I16" i="2"/>
  <c r="J16" i="2"/>
  <c r="G17" i="2"/>
  <c r="I17" i="2"/>
  <c r="J17" i="2"/>
  <c r="G10" i="2"/>
  <c r="I10" i="2"/>
  <c r="J10" i="2"/>
  <c r="B12" i="2"/>
  <c r="B13" i="2"/>
  <c r="B14" i="2"/>
  <c r="B15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18" i="2"/>
  <c r="B18" i="2"/>
  <c r="A9" i="2"/>
  <c r="B9" i="2"/>
  <c r="A11" i="2"/>
  <c r="B11" i="2"/>
  <c r="A12" i="2"/>
  <c r="A13" i="2"/>
  <c r="A14" i="2"/>
  <c r="A15" i="2"/>
  <c r="A16" i="2"/>
  <c r="B16" i="2"/>
  <c r="A17" i="2"/>
  <c r="B17" i="2"/>
  <c r="G9" i="2"/>
  <c r="I9" i="2"/>
  <c r="B19" i="4"/>
  <c r="B20" i="4"/>
  <c r="B21" i="4"/>
  <c r="B22" i="4"/>
  <c r="B23" i="4"/>
  <c r="B24" i="4"/>
  <c r="B25" i="4"/>
  <c r="B18" i="4"/>
  <c r="B11" i="4"/>
  <c r="B12" i="4"/>
  <c r="B13" i="4"/>
  <c r="B14" i="4"/>
  <c r="B15" i="4"/>
  <c r="B16" i="4"/>
  <c r="B17" i="4"/>
  <c r="B10" i="4"/>
  <c r="B3" i="4"/>
  <c r="B4" i="4"/>
  <c r="B5" i="4"/>
  <c r="B6" i="4"/>
  <c r="B7" i="4"/>
  <c r="B8" i="4"/>
  <c r="B9" i="4"/>
  <c r="B2" i="4"/>
  <c r="D43" i="1"/>
  <c r="C39" i="1"/>
  <c r="B39" i="1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E2" i="4"/>
  <c r="J9" i="2"/>
  <c r="A10" i="2"/>
  <c r="B10" i="2"/>
  <c r="A3" i="2"/>
  <c r="B3" i="2"/>
  <c r="A4" i="2"/>
  <c r="B4" i="2"/>
  <c r="A5" i="2"/>
  <c r="B5" i="2"/>
  <c r="A6" i="2"/>
  <c r="B6" i="2"/>
  <c r="A7" i="2"/>
  <c r="B7" i="2"/>
  <c r="A8" i="2"/>
  <c r="B8" i="2"/>
  <c r="A2" i="2"/>
  <c r="B2" i="2"/>
  <c r="D39" i="1"/>
  <c r="E39" i="1"/>
  <c r="F39" i="1"/>
  <c r="G39" i="1"/>
  <c r="H39" i="1"/>
  <c r="I39" i="1"/>
  <c r="J39" i="1"/>
  <c r="K39" i="1"/>
  <c r="L39" i="1"/>
  <c r="M39" i="1"/>
  <c r="C40" i="1"/>
  <c r="D40" i="1"/>
  <c r="E40" i="1"/>
  <c r="F40" i="1"/>
  <c r="G40" i="1"/>
  <c r="H40" i="1"/>
  <c r="I40" i="1"/>
  <c r="J40" i="1"/>
  <c r="K40" i="1"/>
  <c r="L40" i="1"/>
  <c r="M40" i="1"/>
  <c r="C41" i="1"/>
  <c r="D41" i="1"/>
  <c r="E41" i="1"/>
  <c r="F41" i="1"/>
  <c r="G41" i="1"/>
  <c r="H41" i="1"/>
  <c r="I41" i="1"/>
  <c r="J41" i="1"/>
  <c r="K41" i="1"/>
  <c r="L41" i="1"/>
  <c r="M41" i="1"/>
  <c r="C42" i="1"/>
  <c r="D42" i="1"/>
  <c r="E42" i="1"/>
  <c r="F42" i="1"/>
  <c r="G42" i="1"/>
  <c r="H42" i="1"/>
  <c r="I42" i="1"/>
  <c r="J42" i="1"/>
  <c r="K42" i="1"/>
  <c r="L42" i="1"/>
  <c r="M42" i="1"/>
  <c r="C43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B40" i="1"/>
  <c r="B41" i="1"/>
  <c r="B42" i="1"/>
  <c r="B43" i="1"/>
  <c r="B44" i="1"/>
  <c r="B45" i="1"/>
  <c r="B46" i="1"/>
  <c r="G2" i="2"/>
  <c r="G7" i="2"/>
  <c r="I7" i="2"/>
  <c r="J7" i="2"/>
  <c r="G4" i="2"/>
  <c r="I4" i="2"/>
  <c r="J4" i="2"/>
  <c r="G6" i="2"/>
  <c r="I6" i="2"/>
  <c r="J6" i="2"/>
  <c r="G5" i="2"/>
  <c r="I5" i="2"/>
  <c r="J5" i="2"/>
  <c r="G3" i="2"/>
  <c r="I3" i="2"/>
  <c r="J3" i="2"/>
  <c r="G8" i="2"/>
  <c r="I8" i="2"/>
  <c r="J8" i="2"/>
  <c r="J2" i="2"/>
  <c r="A13" i="1"/>
</calcChain>
</file>

<file path=xl/sharedStrings.xml><?xml version="1.0" encoding="utf-8"?>
<sst xmlns="http://schemas.openxmlformats.org/spreadsheetml/2006/main" count="175" uniqueCount="66">
  <si>
    <t>A</t>
  </si>
  <si>
    <t>B</t>
  </si>
  <si>
    <t>C</t>
  </si>
  <si>
    <t>D</t>
  </si>
  <si>
    <t>E</t>
  </si>
  <si>
    <t>F</t>
  </si>
  <si>
    <t>G</t>
  </si>
  <si>
    <t>H</t>
  </si>
  <si>
    <t>ABSORBANCE 450nm</t>
  </si>
  <si>
    <t>ABSORBANCE 620nm</t>
  </si>
  <si>
    <t>ABSORBANCE CORRIGEE</t>
  </si>
  <si>
    <t>PLAN DE PLAQUE</t>
  </si>
  <si>
    <t>numero_centre</t>
  </si>
  <si>
    <t>abs_moyenne</t>
  </si>
  <si>
    <t>absorbance_moyenne</t>
  </si>
  <si>
    <t>equation</t>
  </si>
  <si>
    <t>quantif_ng.mL-1</t>
  </si>
  <si>
    <t>facteur de dilution</t>
  </si>
  <si>
    <t>NCHA100165_FA-2</t>
  </si>
  <si>
    <t>NCHA100171_FA-2</t>
  </si>
  <si>
    <t>NCHA100172_FA-2</t>
  </si>
  <si>
    <t>NCHA100174_FA-2</t>
  </si>
  <si>
    <t>NCHA100179_FA-2</t>
  </si>
  <si>
    <t>NCHA100183_FA-2</t>
  </si>
  <si>
    <t>NCHA100189_FA-2</t>
  </si>
  <si>
    <t>NCHA100191_FA-2</t>
  </si>
  <si>
    <t>quantif_corr_ng.mL-1</t>
  </si>
  <si>
    <t>ng.µL</t>
  </si>
  <si>
    <t>tube</t>
  </si>
  <si>
    <t>poids_tube_(g)</t>
  </si>
  <si>
    <t>poids_tube_et_crotte_(g)</t>
  </si>
  <si>
    <t>poids_réel_crotte_(g)</t>
  </si>
  <si>
    <t>µg</t>
  </si>
  <si>
    <t>corrigpoids_µg.g</t>
  </si>
  <si>
    <t>code_echantillon</t>
  </si>
  <si>
    <t>PLAQUE TEST1</t>
  </si>
  <si>
    <t>concentration_ng.mL-1</t>
  </si>
  <si>
    <t>NEG ECH</t>
  </si>
  <si>
    <t>NEG ELISA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</si>
  <si>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</si>
  <si>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</si>
  <si>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</si>
  <si>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</si>
  <si>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</si>
  <si>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</si>
  <si>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</si>
  <si>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</si>
  <si>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</si>
  <si>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</si>
  <si>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</si>
  <si>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</si>
  <si>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</si>
  <si>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</si>
  <si>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 bis</t>
  </si>
  <si>
    <t>S2 bis</t>
  </si>
  <si>
    <t>S3 bis</t>
  </si>
  <si>
    <t>S4 bis</t>
  </si>
  <si>
    <t>S5 bis</t>
  </si>
  <si>
    <t>S6 bis</t>
  </si>
  <si>
    <t>S7 bis</t>
  </si>
  <si>
    <t>S8 bis</t>
  </si>
  <si>
    <t>ABSORBANCE CORRIGEE AVEC LE NEGATIF</t>
  </si>
  <si>
    <t>ECART TYPE</t>
  </si>
  <si>
    <t>SSE</t>
  </si>
  <si>
    <t>Absorbances théoriques avec coeff solveur</t>
  </si>
  <si>
    <t>Test si ça marche avec regression logistique à 4 paramètres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</si>
</sst>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Fill="1" applyBorder="1" applyAlignment="1">
      <alignment horizontal="center"/>
    </xf>
    <xf numFmtId="0" fontId="3" fillId="0" borderId="0" xfId="0" applyFont="1"/>
    <xf numFmtId="0" fontId="2" fillId="3" borderId="0" xfId="0" applyFont="1" applyFill="1" applyAlignment="1">
      <alignment horizontal="left"/>
    </xf>
    <xf numFmtId="0" fontId="0" fillId="0" borderId="0" xfId="0" applyFill="1"/>
    <xf numFmtId="0" fontId="0" fillId="9" borderId="0" xfId="0" applyFill="1"/>
    <xf numFmtId="165" fontId="0" fillId="9" borderId="0" xfId="0" applyNumberFormat="1" applyFill="1"/>
    <xf numFmtId="164" fontId="0" fillId="4" borderId="1" xfId="0" applyNumberFormat="1" applyFill="1" applyBorder="1"/>
    <xf numFmtId="164" fontId="0" fillId="3" borderId="1" xfId="0" applyNumberFormat="1" applyFill="1" applyBorder="1"/>
    <xf numFmtId="164" fontId="0" fillId="2" borderId="1" xfId="0" applyNumberFormat="1" applyFill="1" applyBorder="1"/>
    <xf numFmtId="164" fontId="0" fillId="10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/>
    <xf numFmtId="164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" borderId="1" xfId="0" applyFill="1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0" xfId="0" applyFont="1" applyFill="1" applyAlignment="1">
      <alignment horizontal="left"/>
    </xf>
    <xf numFmtId="165" fontId="0" fillId="0" borderId="0" xfId="0" applyNumberFormat="1" applyFill="1"/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4" zoomScale="90" zoomScaleNormal="90" workbookViewId="0">
      <selection activeCell="D73" sqref="D73"/>
    </sheetView>
  </sheetViews>
  <sheetFormatPr baseColWidth="10" defaultRowHeight="15" x14ac:dyDescent="0.25"/>
  <cols>
    <col min="1" max="17" width="16.7109375" customWidth="1"/>
    <col min="18" max="25" width="14.7109375" customWidth="1"/>
  </cols>
  <sheetData>
    <row r="1" spans="1:13" x14ac:dyDescent="0.25">
      <c r="A1" s="31" t="s">
        <v>35</v>
      </c>
    </row>
    <row r="3" spans="1:13" x14ac:dyDescent="0.25">
      <c r="A3" s="24" t="s">
        <v>11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12"/>
      <c r="B4" s="13">
        <v>1</v>
      </c>
      <c r="C4" s="13">
        <v>2</v>
      </c>
      <c r="D4" s="13">
        <v>3</v>
      </c>
      <c r="E4" s="14">
        <v>4</v>
      </c>
      <c r="F4" s="14">
        <v>5</v>
      </c>
      <c r="G4" s="14">
        <v>6</v>
      </c>
      <c r="H4" s="13">
        <v>7</v>
      </c>
      <c r="I4" s="13">
        <v>8</v>
      </c>
      <c r="J4" s="13">
        <v>9</v>
      </c>
      <c r="K4" s="15">
        <v>10</v>
      </c>
      <c r="L4" s="15">
        <v>11</v>
      </c>
      <c r="M4" s="15">
        <v>12</v>
      </c>
    </row>
    <row r="5" spans="1:13" x14ac:dyDescent="0.25">
      <c r="A5" s="12" t="s">
        <v>0</v>
      </c>
      <c r="B5" s="13" t="s">
        <v>18</v>
      </c>
      <c r="C5" s="13" t="s">
        <v>18</v>
      </c>
      <c r="D5" s="13" t="s">
        <v>18</v>
      </c>
      <c r="E5" s="21" t="s">
        <v>18</v>
      </c>
      <c r="F5" s="21" t="s">
        <v>18</v>
      </c>
      <c r="G5" s="21" t="s">
        <v>18</v>
      </c>
      <c r="H5" s="13" t="s">
        <v>18</v>
      </c>
      <c r="I5" s="13" t="s">
        <v>18</v>
      </c>
      <c r="J5" s="13" t="s">
        <v>18</v>
      </c>
      <c r="K5" s="15" t="s">
        <v>47</v>
      </c>
      <c r="L5" s="15" t="s">
        <v>39</v>
      </c>
      <c r="M5" s="15" t="s">
        <v>53</v>
      </c>
    </row>
    <row r="6" spans="1:13" x14ac:dyDescent="0.25">
      <c r="A6" s="12" t="s">
        <v>1</v>
      </c>
      <c r="B6" s="13" t="s">
        <v>19</v>
      </c>
      <c r="C6" s="13" t="s">
        <v>19</v>
      </c>
      <c r="D6" s="13" t="s">
        <v>19</v>
      </c>
      <c r="E6" s="21" t="s">
        <v>19</v>
      </c>
      <c r="F6" s="21" t="s">
        <v>19</v>
      </c>
      <c r="G6" s="21" t="s">
        <v>19</v>
      </c>
      <c r="H6" s="13" t="s">
        <v>19</v>
      </c>
      <c r="I6" s="13" t="s">
        <v>19</v>
      </c>
      <c r="J6" s="13" t="s">
        <v>19</v>
      </c>
      <c r="K6" s="15" t="s">
        <v>48</v>
      </c>
      <c r="L6" s="15" t="s">
        <v>40</v>
      </c>
      <c r="M6" s="15" t="s">
        <v>54</v>
      </c>
    </row>
    <row r="7" spans="1:13" x14ac:dyDescent="0.25">
      <c r="A7" s="12" t="s">
        <v>2</v>
      </c>
      <c r="B7" s="13" t="s">
        <v>20</v>
      </c>
      <c r="C7" s="13" t="s">
        <v>20</v>
      </c>
      <c r="D7" s="13" t="s">
        <v>20</v>
      </c>
      <c r="E7" s="21" t="s">
        <v>20</v>
      </c>
      <c r="F7" s="21" t="s">
        <v>20</v>
      </c>
      <c r="G7" s="21" t="s">
        <v>20</v>
      </c>
      <c r="H7" s="13" t="s">
        <v>20</v>
      </c>
      <c r="I7" s="13" t="s">
        <v>20</v>
      </c>
      <c r="J7" s="13" t="s">
        <v>20</v>
      </c>
      <c r="K7" s="15" t="s">
        <v>49</v>
      </c>
      <c r="L7" s="15" t="s">
        <v>41</v>
      </c>
      <c r="M7" s="15" t="s">
        <v>55</v>
      </c>
    </row>
    <row r="8" spans="1:13" x14ac:dyDescent="0.25">
      <c r="A8" s="12" t="s">
        <v>3</v>
      </c>
      <c r="B8" s="13" t="s">
        <v>21</v>
      </c>
      <c r="C8" s="13" t="s">
        <v>21</v>
      </c>
      <c r="D8" s="13" t="s">
        <v>21</v>
      </c>
      <c r="E8" s="21" t="s">
        <v>21</v>
      </c>
      <c r="F8" s="21" t="s">
        <v>21</v>
      </c>
      <c r="G8" s="21" t="s">
        <v>21</v>
      </c>
      <c r="H8" s="13" t="s">
        <v>21</v>
      </c>
      <c r="I8" s="13" t="s">
        <v>21</v>
      </c>
      <c r="J8" s="13" t="s">
        <v>21</v>
      </c>
      <c r="K8" s="15" t="s">
        <v>50</v>
      </c>
      <c r="L8" s="15" t="s">
        <v>42</v>
      </c>
      <c r="M8" s="15" t="s">
        <v>56</v>
      </c>
    </row>
    <row r="9" spans="1:13" x14ac:dyDescent="0.25">
      <c r="A9" s="12" t="s">
        <v>4</v>
      </c>
      <c r="B9" s="13" t="s">
        <v>22</v>
      </c>
      <c r="C9" s="13" t="s">
        <v>22</v>
      </c>
      <c r="D9" s="13" t="s">
        <v>22</v>
      </c>
      <c r="E9" s="21" t="s">
        <v>22</v>
      </c>
      <c r="F9" s="21" t="s">
        <v>22</v>
      </c>
      <c r="G9" s="21" t="s">
        <v>22</v>
      </c>
      <c r="H9" s="13" t="s">
        <v>22</v>
      </c>
      <c r="I9" s="13" t="s">
        <v>22</v>
      </c>
      <c r="J9" s="13" t="s">
        <v>22</v>
      </c>
      <c r="K9" s="15" t="s">
        <v>51</v>
      </c>
      <c r="L9" s="15" t="s">
        <v>43</v>
      </c>
      <c r="M9" s="15" t="s">
        <v>57</v>
      </c>
    </row>
    <row r="10" spans="1:13" x14ac:dyDescent="0.25">
      <c r="A10" s="12" t="s">
        <v>5</v>
      </c>
      <c r="B10" s="13" t="s">
        <v>23</v>
      </c>
      <c r="C10" s="13" t="s">
        <v>23</v>
      </c>
      <c r="D10" s="13" t="s">
        <v>23</v>
      </c>
      <c r="E10" s="21" t="s">
        <v>23</v>
      </c>
      <c r="F10" s="21" t="s">
        <v>23</v>
      </c>
      <c r="G10" s="21" t="s">
        <v>23</v>
      </c>
      <c r="H10" s="13" t="s">
        <v>23</v>
      </c>
      <c r="I10" s="13" t="s">
        <v>23</v>
      </c>
      <c r="J10" s="13" t="s">
        <v>23</v>
      </c>
      <c r="K10" s="15" t="s">
        <v>52</v>
      </c>
      <c r="L10" s="15" t="s">
        <v>44</v>
      </c>
      <c r="M10" s="15" t="s">
        <v>58</v>
      </c>
    </row>
    <row r="11" spans="1:13" x14ac:dyDescent="0.25">
      <c r="A11" s="12" t="s">
        <v>6</v>
      </c>
      <c r="B11" s="13" t="s">
        <v>24</v>
      </c>
      <c r="C11" s="13" t="s">
        <v>24</v>
      </c>
      <c r="D11" s="13" t="s">
        <v>24</v>
      </c>
      <c r="E11" s="21" t="s">
        <v>24</v>
      </c>
      <c r="F11" s="21" t="s">
        <v>24</v>
      </c>
      <c r="G11" s="21" t="s">
        <v>24</v>
      </c>
      <c r="H11" s="13" t="s">
        <v>24</v>
      </c>
      <c r="I11" s="13" t="s">
        <v>24</v>
      </c>
      <c r="J11" s="13" t="s">
        <v>24</v>
      </c>
      <c r="K11" s="42" t="s">
        <v>37</v>
      </c>
      <c r="L11" s="15" t="s">
        <v>45</v>
      </c>
      <c r="M11" s="15" t="s">
        <v>59</v>
      </c>
    </row>
    <row r="12" spans="1:13" x14ac:dyDescent="0.25">
      <c r="A12" s="12" t="s">
        <v>7</v>
      </c>
      <c r="B12" s="13" t="s">
        <v>25</v>
      </c>
      <c r="C12" s="13" t="s">
        <v>25</v>
      </c>
      <c r="D12" s="13" t="s">
        <v>25</v>
      </c>
      <c r="E12" s="21" t="s">
        <v>25</v>
      </c>
      <c r="F12" s="21" t="s">
        <v>25</v>
      </c>
      <c r="G12" s="21" t="s">
        <v>25</v>
      </c>
      <c r="H12" s="13" t="s">
        <v>25</v>
      </c>
      <c r="I12" s="13" t="s">
        <v>25</v>
      </c>
      <c r="J12" s="13" t="s">
        <v>25</v>
      </c>
      <c r="K12" s="42" t="s">
        <v>38</v>
      </c>
      <c r="L12" s="15" t="s">
        <v>46</v>
      </c>
      <c r="M12" s="15" t="s">
        <v>60</v>
      </c>
    </row>
    <row r="13" spans="1:13" x14ac:dyDescent="0.25">
      <c r="A13" s="1">
        <f ca="1">absorbances!A16:M24+absorbances!A13</f>
        <v>0</v>
      </c>
    </row>
    <row r="14" spans="1:13" x14ac:dyDescent="0.25">
      <c r="A14" s="1"/>
    </row>
    <row r="15" spans="1:13" x14ac:dyDescent="0.25">
      <c r="A15" s="22" t="s">
        <v>8</v>
      </c>
      <c r="B15" s="3"/>
      <c r="C15" s="3"/>
      <c r="D15" s="3"/>
      <c r="E15" s="12"/>
      <c r="F15" s="12"/>
      <c r="G15" s="12"/>
      <c r="H15" s="12"/>
      <c r="I15" s="12"/>
      <c r="J15" s="12"/>
      <c r="K15" s="12"/>
      <c r="L15" s="12"/>
      <c r="M15" s="12"/>
    </row>
    <row r="16" spans="1:13" x14ac:dyDescent="0.25">
      <c r="A16" s="12"/>
      <c r="B16" s="13">
        <v>1</v>
      </c>
      <c r="C16" s="13">
        <v>2</v>
      </c>
      <c r="D16" s="13">
        <v>3</v>
      </c>
      <c r="E16" s="14">
        <v>4</v>
      </c>
      <c r="F16" s="14">
        <v>5</v>
      </c>
      <c r="G16" s="14">
        <v>6</v>
      </c>
      <c r="H16" s="13">
        <v>7</v>
      </c>
      <c r="I16" s="13">
        <v>8</v>
      </c>
      <c r="J16" s="13">
        <v>9</v>
      </c>
      <c r="K16" s="15">
        <v>10</v>
      </c>
      <c r="L16" s="15">
        <v>11</v>
      </c>
      <c r="M16" s="15">
        <v>12</v>
      </c>
    </row>
    <row r="17" spans="1:13" x14ac:dyDescent="0.25">
      <c r="A17" s="12" t="s">
        <v>0</v>
      </c>
      <c r="B17" s="13">
        <v>0.14899999999999999</v>
      </c>
      <c r="C17" s="13">
        <v>0.21299999999999999</v>
      </c>
      <c r="D17" s="13">
        <v>0.16800000000000001</v>
      </c>
      <c r="E17" s="14">
        <v>0.35899999999999999</v>
      </c>
      <c r="F17" s="14">
        <v>0.35199999999999998</v>
      </c>
      <c r="G17" s="14">
        <v>0.36699999999999999</v>
      </c>
      <c r="H17" s="13">
        <v>0.35299999999999998</v>
      </c>
      <c r="I17" s="13">
        <v>0.37</v>
      </c>
      <c r="J17" s="13">
        <v>0.35199999999999998</v>
      </c>
      <c r="K17" s="15">
        <v>5.6000000000000001E-2</v>
      </c>
      <c r="L17" s="15">
        <v>0.71499999999999997</v>
      </c>
      <c r="M17" s="15">
        <v>0.73</v>
      </c>
    </row>
    <row r="18" spans="1:13" x14ac:dyDescent="0.25">
      <c r="A18" s="12" t="s">
        <v>1</v>
      </c>
      <c r="B18" s="13">
        <v>0.33600000000000002</v>
      </c>
      <c r="C18" s="13">
        <v>0.318</v>
      </c>
      <c r="D18" s="13">
        <v>0.32800000000000001</v>
      </c>
      <c r="E18" s="14">
        <v>0.44400000000000001</v>
      </c>
      <c r="F18" s="14">
        <v>0.377</v>
      </c>
      <c r="G18" s="14">
        <v>0.41399999999999998</v>
      </c>
      <c r="H18" s="13">
        <v>0.39</v>
      </c>
      <c r="I18" s="13">
        <v>0.39</v>
      </c>
      <c r="J18" s="13">
        <v>0.39</v>
      </c>
      <c r="K18" s="15">
        <v>4.9000000000000002E-2</v>
      </c>
      <c r="L18" s="15">
        <v>0.63100000000000001</v>
      </c>
      <c r="M18" s="15">
        <v>0.68</v>
      </c>
    </row>
    <row r="19" spans="1:13" x14ac:dyDescent="0.25">
      <c r="A19" s="12" t="s">
        <v>2</v>
      </c>
      <c r="B19" s="13">
        <v>0.27</v>
      </c>
      <c r="C19" s="13">
        <v>0.27300000000000002</v>
      </c>
      <c r="D19" s="13">
        <v>0.251</v>
      </c>
      <c r="E19" s="14">
        <v>0.158</v>
      </c>
      <c r="F19" s="14">
        <v>0.157</v>
      </c>
      <c r="G19" s="14">
        <v>0.13300000000000001</v>
      </c>
      <c r="H19" s="13">
        <v>0.19400000000000001</v>
      </c>
      <c r="I19" s="13">
        <v>0.2</v>
      </c>
      <c r="J19" s="13">
        <v>0.21</v>
      </c>
      <c r="K19" s="15">
        <v>4.3999999999999997E-2</v>
      </c>
      <c r="L19" s="15">
        <v>0.52600000000000002</v>
      </c>
      <c r="M19" s="15">
        <v>0.57099999999999995</v>
      </c>
    </row>
    <row r="20" spans="1:13" x14ac:dyDescent="0.25">
      <c r="A20" s="12" t="s">
        <v>3</v>
      </c>
      <c r="B20" s="13">
        <v>0.32</v>
      </c>
      <c r="C20" s="13">
        <v>0.30199999999999999</v>
      </c>
      <c r="D20" s="13">
        <v>0.41399999999999998</v>
      </c>
      <c r="E20" s="14">
        <v>0.40300000000000002</v>
      </c>
      <c r="F20" s="14">
        <v>0.35299999999999998</v>
      </c>
      <c r="G20" s="14">
        <v>0.38400000000000001</v>
      </c>
      <c r="H20" s="13">
        <v>0.35</v>
      </c>
      <c r="I20" s="13">
        <v>0.29299999999999998</v>
      </c>
      <c r="J20" s="13">
        <v>0.45300000000000001</v>
      </c>
      <c r="K20" s="15">
        <v>4.1000000000000002E-2</v>
      </c>
      <c r="L20" s="15">
        <v>0.38200000000000001</v>
      </c>
      <c r="M20" s="15">
        <v>0.43099999999999999</v>
      </c>
    </row>
    <row r="21" spans="1:13" x14ac:dyDescent="0.25">
      <c r="A21" s="12" t="s">
        <v>4</v>
      </c>
      <c r="B21" s="13">
        <v>0.17799999999999999</v>
      </c>
      <c r="C21" s="13">
        <v>0.19500000000000001</v>
      </c>
      <c r="D21" s="13">
        <v>0.128</v>
      </c>
      <c r="E21" s="14">
        <v>0.42699999999999999</v>
      </c>
      <c r="F21" s="14">
        <v>0.39300000000000002</v>
      </c>
      <c r="G21" s="14">
        <v>0.34499999999999997</v>
      </c>
      <c r="H21" s="13">
        <v>0.30399999999999999</v>
      </c>
      <c r="I21" s="13">
        <v>0.33700000000000002</v>
      </c>
      <c r="J21" s="13">
        <v>0.33600000000000002</v>
      </c>
      <c r="K21" s="15">
        <v>0.04</v>
      </c>
      <c r="L21" s="15">
        <v>0.24299999999999999</v>
      </c>
      <c r="M21" s="15">
        <v>0.27900000000000003</v>
      </c>
    </row>
    <row r="22" spans="1:13" x14ac:dyDescent="0.25">
      <c r="A22" s="12" t="s">
        <v>5</v>
      </c>
      <c r="B22" s="13">
        <v>0.28499999999999998</v>
      </c>
      <c r="C22" s="13">
        <v>0.28699999999999998</v>
      </c>
      <c r="D22" s="13">
        <v>0.29199999999999998</v>
      </c>
      <c r="E22" s="14">
        <v>0.55100000000000005</v>
      </c>
      <c r="F22" s="14">
        <v>0.40300000000000002</v>
      </c>
      <c r="G22" s="14">
        <v>0.39100000000000001</v>
      </c>
      <c r="H22" s="13">
        <v>0.29399999999999998</v>
      </c>
      <c r="I22" s="13">
        <v>0.314</v>
      </c>
      <c r="J22" s="13">
        <v>0.41099999999999998</v>
      </c>
      <c r="K22" s="15">
        <v>4.1000000000000002E-2</v>
      </c>
      <c r="L22" s="15">
        <v>0.154</v>
      </c>
      <c r="M22" s="15">
        <v>0.17399999999999999</v>
      </c>
    </row>
    <row r="23" spans="1:13" x14ac:dyDescent="0.25">
      <c r="A23" s="12" t="s">
        <v>6</v>
      </c>
      <c r="B23" s="13">
        <v>9.7000000000000003E-2</v>
      </c>
      <c r="C23" s="13">
        <v>9.8000000000000004E-2</v>
      </c>
      <c r="D23" s="13">
        <v>0.10100000000000001</v>
      </c>
      <c r="E23" s="14">
        <v>0.39400000000000002</v>
      </c>
      <c r="F23" s="14">
        <v>0.34899999999999998</v>
      </c>
      <c r="G23" s="14">
        <v>0.317</v>
      </c>
      <c r="H23" s="13">
        <v>0.29099999999999998</v>
      </c>
      <c r="I23" s="13">
        <v>0.32600000000000001</v>
      </c>
      <c r="J23" s="13">
        <v>0.30599999999999999</v>
      </c>
      <c r="K23" s="42">
        <v>0.04</v>
      </c>
      <c r="L23" s="15">
        <v>9.2999999999999999E-2</v>
      </c>
      <c r="M23" s="15">
        <v>0.13200000000000001</v>
      </c>
    </row>
    <row r="24" spans="1:13" x14ac:dyDescent="0.25">
      <c r="A24" s="12" t="s">
        <v>7</v>
      </c>
      <c r="B24" s="13">
        <v>4.3999999999999997E-2</v>
      </c>
      <c r="C24" s="13">
        <v>4.2999999999999997E-2</v>
      </c>
      <c r="D24" s="13">
        <v>4.5999999999999999E-2</v>
      </c>
      <c r="E24" s="14">
        <v>4.7E-2</v>
      </c>
      <c r="F24" s="14">
        <v>4.3999999999999997E-2</v>
      </c>
      <c r="G24" s="14">
        <v>4.2999999999999997E-2</v>
      </c>
      <c r="H24" s="13">
        <v>5.0999999999999997E-2</v>
      </c>
      <c r="I24" s="13">
        <v>5.1999999999999998E-2</v>
      </c>
      <c r="J24" s="13">
        <v>0.05</v>
      </c>
      <c r="K24" s="42">
        <v>4.1000000000000002E-2</v>
      </c>
      <c r="L24" s="15">
        <v>7.2999999999999995E-2</v>
      </c>
      <c r="M24" s="15">
        <v>7.5999999999999998E-2</v>
      </c>
    </row>
    <row r="25" spans="1:13" x14ac:dyDescent="0.25">
      <c r="A25" s="16"/>
      <c r="B25" s="4"/>
      <c r="C25" s="5"/>
      <c r="D25" s="5"/>
      <c r="E25" s="17"/>
      <c r="F25" s="17"/>
      <c r="G25" s="17"/>
      <c r="H25" s="17"/>
      <c r="I25" s="17"/>
      <c r="J25" s="17"/>
      <c r="K25" s="17"/>
      <c r="L25" s="17"/>
      <c r="M25" s="17"/>
    </row>
    <row r="26" spans="1:13" x14ac:dyDescent="0.25">
      <c r="A26" s="23" t="s">
        <v>9</v>
      </c>
      <c r="B26" s="6"/>
      <c r="C26" s="6"/>
      <c r="D26" s="6"/>
      <c r="E26" s="7"/>
      <c r="F26" s="7"/>
      <c r="G26" s="7"/>
      <c r="H26" s="7"/>
      <c r="I26" s="7"/>
      <c r="J26" s="7"/>
      <c r="K26" s="7"/>
      <c r="L26" s="7"/>
      <c r="M26" s="7"/>
    </row>
    <row r="27" spans="1:13" x14ac:dyDescent="0.25">
      <c r="A27" s="12"/>
      <c r="B27" s="13">
        <v>1</v>
      </c>
      <c r="C27" s="13">
        <v>2</v>
      </c>
      <c r="D27" s="13">
        <v>3</v>
      </c>
      <c r="E27" s="14">
        <v>4</v>
      </c>
      <c r="F27" s="14">
        <v>5</v>
      </c>
      <c r="G27" s="14">
        <v>6</v>
      </c>
      <c r="H27" s="13">
        <v>7</v>
      </c>
      <c r="I27" s="13">
        <v>8</v>
      </c>
      <c r="J27" s="13">
        <v>9</v>
      </c>
      <c r="K27" s="15">
        <v>10</v>
      </c>
      <c r="L27" s="15">
        <v>11</v>
      </c>
      <c r="M27" s="15">
        <v>12</v>
      </c>
    </row>
    <row r="28" spans="1:13" x14ac:dyDescent="0.25">
      <c r="A28" s="12" t="s">
        <v>0</v>
      </c>
      <c r="B28" s="13">
        <v>3.7999999999999999E-2</v>
      </c>
      <c r="C28" s="13">
        <v>3.9E-2</v>
      </c>
      <c r="D28" s="13">
        <v>3.6999999999999998E-2</v>
      </c>
      <c r="E28" s="14">
        <v>0.04</v>
      </c>
      <c r="F28" s="14">
        <v>0.04</v>
      </c>
      <c r="G28" s="14">
        <v>0.04</v>
      </c>
      <c r="H28" s="13">
        <v>3.6999999999999998E-2</v>
      </c>
      <c r="I28" s="13">
        <v>3.6999999999999998E-2</v>
      </c>
      <c r="J28" s="13">
        <v>3.7999999999999999E-2</v>
      </c>
      <c r="K28" s="15">
        <v>3.5999999999999997E-2</v>
      </c>
      <c r="L28" s="15">
        <v>3.7999999999999999E-2</v>
      </c>
      <c r="M28" s="15">
        <v>3.7999999999999999E-2</v>
      </c>
    </row>
    <row r="29" spans="1:13" x14ac:dyDescent="0.25">
      <c r="A29" s="12" t="s">
        <v>1</v>
      </c>
      <c r="B29" s="13">
        <v>3.7999999999999999E-2</v>
      </c>
      <c r="C29" s="13">
        <v>3.6999999999999998E-2</v>
      </c>
      <c r="D29" s="13">
        <v>3.7999999999999999E-2</v>
      </c>
      <c r="E29" s="14">
        <v>3.6999999999999998E-2</v>
      </c>
      <c r="F29" s="14">
        <v>3.9E-2</v>
      </c>
      <c r="G29" s="14">
        <v>3.6999999999999998E-2</v>
      </c>
      <c r="H29" s="13">
        <v>3.6999999999999998E-2</v>
      </c>
      <c r="I29" s="13">
        <v>3.7999999999999999E-2</v>
      </c>
      <c r="J29" s="13">
        <v>3.7999999999999999E-2</v>
      </c>
      <c r="K29" s="15">
        <v>3.7999999999999999E-2</v>
      </c>
      <c r="L29" s="15">
        <v>3.6999999999999998E-2</v>
      </c>
      <c r="M29" s="15">
        <v>3.6999999999999998E-2</v>
      </c>
    </row>
    <row r="30" spans="1:13" x14ac:dyDescent="0.25">
      <c r="A30" s="12" t="s">
        <v>2</v>
      </c>
      <c r="B30" s="13">
        <v>3.7999999999999999E-2</v>
      </c>
      <c r="C30" s="13">
        <v>3.9E-2</v>
      </c>
      <c r="D30" s="13">
        <v>3.7999999999999999E-2</v>
      </c>
      <c r="E30" s="14">
        <v>3.6999999999999998E-2</v>
      </c>
      <c r="F30" s="14">
        <v>3.6999999999999998E-2</v>
      </c>
      <c r="G30" s="14">
        <v>3.9E-2</v>
      </c>
      <c r="H30" s="13">
        <v>0.04</v>
      </c>
      <c r="I30" s="13">
        <v>4.5999999999999999E-2</v>
      </c>
      <c r="J30" s="13">
        <v>3.7999999999999999E-2</v>
      </c>
      <c r="K30" s="15">
        <v>3.6999999999999998E-2</v>
      </c>
      <c r="L30" s="15">
        <v>3.9E-2</v>
      </c>
      <c r="M30" s="15">
        <v>3.6999999999999998E-2</v>
      </c>
    </row>
    <row r="31" spans="1:13" x14ac:dyDescent="0.25">
      <c r="A31" s="12" t="s">
        <v>3</v>
      </c>
      <c r="B31" s="13">
        <v>3.7999999999999999E-2</v>
      </c>
      <c r="C31" s="13">
        <v>3.6999999999999998E-2</v>
      </c>
      <c r="D31" s="13">
        <v>3.7999999999999999E-2</v>
      </c>
      <c r="E31" s="14">
        <v>3.6999999999999998E-2</v>
      </c>
      <c r="F31" s="14">
        <v>3.9E-2</v>
      </c>
      <c r="G31" s="14">
        <v>4.5999999999999999E-2</v>
      </c>
      <c r="H31" s="13">
        <v>4.2000000000000003E-2</v>
      </c>
      <c r="I31" s="13">
        <v>4.3999999999999997E-2</v>
      </c>
      <c r="J31" s="13">
        <v>0.04</v>
      </c>
      <c r="K31" s="15">
        <v>3.5999999999999997E-2</v>
      </c>
      <c r="L31" s="15">
        <v>4.4999999999999998E-2</v>
      </c>
      <c r="M31" s="15">
        <v>3.6999999999999998E-2</v>
      </c>
    </row>
    <row r="32" spans="1:13" x14ac:dyDescent="0.25">
      <c r="A32" s="12" t="s">
        <v>4</v>
      </c>
      <c r="B32" s="13">
        <v>3.7999999999999999E-2</v>
      </c>
      <c r="C32" s="13">
        <v>0.04</v>
      </c>
      <c r="D32" s="13">
        <v>3.5999999999999997E-2</v>
      </c>
      <c r="E32" s="14">
        <v>3.7999999999999999E-2</v>
      </c>
      <c r="F32" s="14">
        <v>3.7999999999999999E-2</v>
      </c>
      <c r="G32" s="14">
        <v>4.8000000000000001E-2</v>
      </c>
      <c r="H32" s="13">
        <v>5.8999999999999997E-2</v>
      </c>
      <c r="I32" s="13">
        <v>4.7E-2</v>
      </c>
      <c r="J32" s="13">
        <v>4.5999999999999999E-2</v>
      </c>
      <c r="K32" s="15">
        <v>3.6999999999999998E-2</v>
      </c>
      <c r="L32" s="15">
        <v>4.4999999999999998E-2</v>
      </c>
      <c r="M32" s="15">
        <v>3.7999999999999999E-2</v>
      </c>
    </row>
    <row r="33" spans="1:13" x14ac:dyDescent="0.25">
      <c r="A33" s="12" t="s">
        <v>5</v>
      </c>
      <c r="B33" s="13">
        <v>3.7999999999999999E-2</v>
      </c>
      <c r="C33" s="13">
        <v>4.2999999999999997E-2</v>
      </c>
      <c r="D33" s="13">
        <v>3.6999999999999998E-2</v>
      </c>
      <c r="E33" s="14">
        <v>4.2000000000000003E-2</v>
      </c>
      <c r="F33" s="14">
        <v>3.9E-2</v>
      </c>
      <c r="G33" s="14">
        <v>5.8000000000000003E-2</v>
      </c>
      <c r="H33" s="13">
        <v>5.3999999999999999E-2</v>
      </c>
      <c r="I33" s="13">
        <v>5.3999999999999999E-2</v>
      </c>
      <c r="J33" s="13">
        <v>5.3999999999999999E-2</v>
      </c>
      <c r="K33" s="15">
        <v>3.7999999999999999E-2</v>
      </c>
      <c r="L33" s="15">
        <v>4.2000000000000003E-2</v>
      </c>
      <c r="M33" s="15">
        <v>3.7999999999999999E-2</v>
      </c>
    </row>
    <row r="34" spans="1:13" x14ac:dyDescent="0.25">
      <c r="A34" s="12" t="s">
        <v>6</v>
      </c>
      <c r="B34" s="13">
        <v>3.6999999999999998E-2</v>
      </c>
      <c r="C34" s="13">
        <v>3.7999999999999999E-2</v>
      </c>
      <c r="D34" s="13">
        <v>3.6999999999999998E-2</v>
      </c>
      <c r="E34" s="14">
        <v>0.04</v>
      </c>
      <c r="F34" s="14">
        <v>0.05</v>
      </c>
      <c r="G34" s="14">
        <v>5.5E-2</v>
      </c>
      <c r="H34" s="13">
        <v>6.3E-2</v>
      </c>
      <c r="I34" s="13">
        <v>5.2999999999999999E-2</v>
      </c>
      <c r="J34" s="13">
        <v>5.5E-2</v>
      </c>
      <c r="K34" s="42">
        <v>3.6999999999999998E-2</v>
      </c>
      <c r="L34" s="15">
        <v>0.04</v>
      </c>
      <c r="M34" s="15">
        <v>6.0999999999999999E-2</v>
      </c>
    </row>
    <row r="35" spans="1:13" x14ac:dyDescent="0.25">
      <c r="A35" s="12" t="s">
        <v>7</v>
      </c>
      <c r="B35" s="13">
        <v>3.7999999999999999E-2</v>
      </c>
      <c r="C35" s="13">
        <v>3.6999999999999998E-2</v>
      </c>
      <c r="D35" s="13">
        <v>3.9E-2</v>
      </c>
      <c r="E35" s="14">
        <v>3.7999999999999999E-2</v>
      </c>
      <c r="F35" s="14">
        <v>3.6999999999999998E-2</v>
      </c>
      <c r="G35" s="14">
        <v>3.6999999999999998E-2</v>
      </c>
      <c r="H35" s="13">
        <v>3.9E-2</v>
      </c>
      <c r="I35" s="13">
        <v>3.7999999999999999E-2</v>
      </c>
      <c r="J35" s="13">
        <v>3.9E-2</v>
      </c>
      <c r="K35" s="42">
        <v>3.6999999999999998E-2</v>
      </c>
      <c r="L35" s="15">
        <v>0.04</v>
      </c>
      <c r="M35" s="15">
        <v>3.7999999999999999E-2</v>
      </c>
    </row>
    <row r="36" spans="1:13" x14ac:dyDescent="0.25">
      <c r="A36" s="18"/>
      <c r="B36" s="4"/>
      <c r="C36" s="5"/>
      <c r="D36" s="5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25">
      <c r="A37" s="22" t="s">
        <v>10</v>
      </c>
      <c r="B37" s="7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11"/>
      <c r="B38" s="13">
        <v>1</v>
      </c>
      <c r="C38" s="13">
        <v>2</v>
      </c>
      <c r="D38" s="13">
        <v>3</v>
      </c>
      <c r="E38" s="14">
        <v>4</v>
      </c>
      <c r="F38" s="14">
        <v>5</v>
      </c>
      <c r="G38" s="14">
        <v>6</v>
      </c>
      <c r="H38" s="13">
        <v>7</v>
      </c>
      <c r="I38" s="13">
        <v>8</v>
      </c>
      <c r="J38" s="13">
        <v>9</v>
      </c>
      <c r="K38" s="15">
        <v>10</v>
      </c>
      <c r="L38" s="15">
        <v>11</v>
      </c>
      <c r="M38" s="15">
        <v>12</v>
      </c>
    </row>
    <row r="39" spans="1:13" x14ac:dyDescent="0.25">
      <c r="A39" s="12" t="s">
        <v>0</v>
      </c>
      <c r="B39" s="8">
        <f>B17-B28</f>
        <v>0.11099999999999999</v>
      </c>
      <c r="C39" s="8">
        <f>C17-C28</f>
        <v>0.17399999999999999</v>
      </c>
      <c r="D39" s="8">
        <f t="shared" ref="D39:M39" si="0">D17-D28</f>
        <v>0.13100000000000001</v>
      </c>
      <c r="E39" s="9">
        <f t="shared" si="0"/>
        <v>0.31900000000000001</v>
      </c>
      <c r="F39" s="9">
        <f t="shared" si="0"/>
        <v>0.312</v>
      </c>
      <c r="G39" s="9">
        <f t="shared" si="0"/>
        <v>0.32700000000000001</v>
      </c>
      <c r="H39" s="8">
        <f t="shared" si="0"/>
        <v>0.316</v>
      </c>
      <c r="I39" s="8">
        <f t="shared" si="0"/>
        <v>0.33300000000000002</v>
      </c>
      <c r="J39" s="8">
        <f t="shared" si="0"/>
        <v>0.314</v>
      </c>
      <c r="K39" s="10">
        <f t="shared" si="0"/>
        <v>2.0000000000000004E-2</v>
      </c>
      <c r="L39" s="10">
        <f t="shared" si="0"/>
        <v>0.67699999999999994</v>
      </c>
      <c r="M39" s="10">
        <f t="shared" si="0"/>
        <v>0.69199999999999995</v>
      </c>
    </row>
    <row r="40" spans="1:13" x14ac:dyDescent="0.25">
      <c r="A40" s="12" t="s">
        <v>1</v>
      </c>
      <c r="B40" s="8">
        <f t="shared" ref="B40:M46" si="1">B18-B29</f>
        <v>0.29800000000000004</v>
      </c>
      <c r="C40" s="8">
        <f t="shared" si="1"/>
        <v>0.28100000000000003</v>
      </c>
      <c r="D40" s="8">
        <f t="shared" si="1"/>
        <v>0.29000000000000004</v>
      </c>
      <c r="E40" s="9">
        <f t="shared" si="1"/>
        <v>0.40700000000000003</v>
      </c>
      <c r="F40" s="9">
        <f t="shared" si="1"/>
        <v>0.33800000000000002</v>
      </c>
      <c r="G40" s="9">
        <f t="shared" si="1"/>
        <v>0.377</v>
      </c>
      <c r="H40" s="8">
        <f t="shared" si="1"/>
        <v>0.35300000000000004</v>
      </c>
      <c r="I40" s="8">
        <f t="shared" si="1"/>
        <v>0.35200000000000004</v>
      </c>
      <c r="J40" s="8">
        <f t="shared" si="1"/>
        <v>0.35200000000000004</v>
      </c>
      <c r="K40" s="10">
        <f t="shared" si="1"/>
        <v>1.1000000000000003E-2</v>
      </c>
      <c r="L40" s="10">
        <f t="shared" si="1"/>
        <v>0.59399999999999997</v>
      </c>
      <c r="M40" s="10">
        <f t="shared" si="1"/>
        <v>0.64300000000000002</v>
      </c>
    </row>
    <row r="41" spans="1:13" x14ac:dyDescent="0.25">
      <c r="A41" s="12" t="s">
        <v>2</v>
      </c>
      <c r="B41" s="8">
        <f t="shared" si="1"/>
        <v>0.23200000000000001</v>
      </c>
      <c r="C41" s="8">
        <f t="shared" si="1"/>
        <v>0.23400000000000001</v>
      </c>
      <c r="D41" s="8">
        <f t="shared" si="1"/>
        <v>0.21299999999999999</v>
      </c>
      <c r="E41" s="9">
        <f t="shared" si="1"/>
        <v>0.121</v>
      </c>
      <c r="F41" s="9">
        <f t="shared" si="1"/>
        <v>0.12</v>
      </c>
      <c r="G41" s="9">
        <f t="shared" si="1"/>
        <v>9.4E-2</v>
      </c>
      <c r="H41" s="8">
        <f t="shared" si="1"/>
        <v>0.154</v>
      </c>
      <c r="I41" s="8">
        <f t="shared" si="1"/>
        <v>0.15400000000000003</v>
      </c>
      <c r="J41" s="8">
        <f t="shared" si="1"/>
        <v>0.17199999999999999</v>
      </c>
      <c r="K41" s="10">
        <f t="shared" si="1"/>
        <v>6.9999999999999993E-3</v>
      </c>
      <c r="L41" s="10">
        <f t="shared" si="1"/>
        <v>0.48700000000000004</v>
      </c>
      <c r="M41" s="10">
        <f t="shared" si="1"/>
        <v>0.53399999999999992</v>
      </c>
    </row>
    <row r="42" spans="1:13" x14ac:dyDescent="0.25">
      <c r="A42" s="12" t="s">
        <v>3</v>
      </c>
      <c r="B42" s="8">
        <f t="shared" si="1"/>
        <v>0.28200000000000003</v>
      </c>
      <c r="C42" s="8">
        <f t="shared" si="1"/>
        <v>0.26500000000000001</v>
      </c>
      <c r="D42" s="39">
        <f t="shared" si="1"/>
        <v>0.376</v>
      </c>
      <c r="E42" s="9">
        <f t="shared" si="1"/>
        <v>0.36600000000000005</v>
      </c>
      <c r="F42" s="9">
        <f t="shared" si="1"/>
        <v>0.314</v>
      </c>
      <c r="G42" s="9">
        <f t="shared" si="1"/>
        <v>0.33800000000000002</v>
      </c>
      <c r="H42" s="8">
        <f t="shared" si="1"/>
        <v>0.308</v>
      </c>
      <c r="I42" s="8">
        <f t="shared" si="1"/>
        <v>0.249</v>
      </c>
      <c r="J42" s="8">
        <f t="shared" si="1"/>
        <v>0.41300000000000003</v>
      </c>
      <c r="K42" s="10">
        <f t="shared" si="1"/>
        <v>5.0000000000000044E-3</v>
      </c>
      <c r="L42" s="10">
        <f t="shared" si="1"/>
        <v>0.33700000000000002</v>
      </c>
      <c r="M42" s="10">
        <f t="shared" si="1"/>
        <v>0.39400000000000002</v>
      </c>
    </row>
    <row r="43" spans="1:13" x14ac:dyDescent="0.25">
      <c r="A43" s="12" t="s">
        <v>4</v>
      </c>
      <c r="B43" s="8">
        <f t="shared" si="1"/>
        <v>0.13999999999999999</v>
      </c>
      <c r="C43" s="8">
        <f t="shared" si="1"/>
        <v>0.155</v>
      </c>
      <c r="D43" s="39">
        <f>D21-D32</f>
        <v>9.1999999999999998E-2</v>
      </c>
      <c r="E43" s="9">
        <f t="shared" si="1"/>
        <v>0.38900000000000001</v>
      </c>
      <c r="F43" s="9">
        <f t="shared" si="1"/>
        <v>0.35500000000000004</v>
      </c>
      <c r="G43" s="39">
        <f t="shared" si="1"/>
        <v>0.29699999999999999</v>
      </c>
      <c r="H43" s="8">
        <f t="shared" si="1"/>
        <v>0.245</v>
      </c>
      <c r="I43" s="8">
        <f t="shared" si="1"/>
        <v>0.29000000000000004</v>
      </c>
      <c r="J43" s="8">
        <f t="shared" si="1"/>
        <v>0.29000000000000004</v>
      </c>
      <c r="K43" s="10">
        <f t="shared" si="1"/>
        <v>3.0000000000000027E-3</v>
      </c>
      <c r="L43" s="10">
        <f t="shared" si="1"/>
        <v>0.19800000000000001</v>
      </c>
      <c r="M43" s="10">
        <f t="shared" si="1"/>
        <v>0.24100000000000002</v>
      </c>
    </row>
    <row r="44" spans="1:13" x14ac:dyDescent="0.25">
      <c r="A44" s="12" t="s">
        <v>5</v>
      </c>
      <c r="B44" s="8">
        <f t="shared" si="1"/>
        <v>0.24699999999999997</v>
      </c>
      <c r="C44" s="8">
        <f t="shared" si="1"/>
        <v>0.24399999999999999</v>
      </c>
      <c r="D44" s="8">
        <f t="shared" si="1"/>
        <v>0.255</v>
      </c>
      <c r="E44" s="39">
        <f t="shared" si="1"/>
        <v>0.50900000000000001</v>
      </c>
      <c r="F44" s="9">
        <f t="shared" si="1"/>
        <v>0.36400000000000005</v>
      </c>
      <c r="G44" s="9">
        <f t="shared" si="1"/>
        <v>0.33300000000000002</v>
      </c>
      <c r="H44" s="8">
        <f t="shared" si="1"/>
        <v>0.24</v>
      </c>
      <c r="I44" s="8">
        <f t="shared" si="1"/>
        <v>0.26</v>
      </c>
      <c r="J44" s="8">
        <f t="shared" si="1"/>
        <v>0.35699999999999998</v>
      </c>
      <c r="K44" s="10">
        <f t="shared" si="1"/>
        <v>3.0000000000000027E-3</v>
      </c>
      <c r="L44" s="10">
        <f t="shared" si="1"/>
        <v>0.11199999999999999</v>
      </c>
      <c r="M44" s="10">
        <f t="shared" si="1"/>
        <v>0.13599999999999998</v>
      </c>
    </row>
    <row r="45" spans="1:13" x14ac:dyDescent="0.25">
      <c r="A45" s="12" t="s">
        <v>6</v>
      </c>
      <c r="B45" s="8">
        <f t="shared" si="1"/>
        <v>6.0000000000000005E-2</v>
      </c>
      <c r="C45" s="8">
        <f t="shared" si="1"/>
        <v>6.0000000000000005E-2</v>
      </c>
      <c r="D45" s="8">
        <f t="shared" si="1"/>
        <v>6.4000000000000001E-2</v>
      </c>
      <c r="E45" s="9">
        <f t="shared" si="1"/>
        <v>0.35400000000000004</v>
      </c>
      <c r="F45" s="9">
        <f t="shared" si="1"/>
        <v>0.29899999999999999</v>
      </c>
      <c r="G45" s="9">
        <f t="shared" si="1"/>
        <v>0.26200000000000001</v>
      </c>
      <c r="H45" s="8">
        <f t="shared" si="1"/>
        <v>0.22799999999999998</v>
      </c>
      <c r="I45" s="8">
        <f t="shared" si="1"/>
        <v>0.27300000000000002</v>
      </c>
      <c r="J45" s="8">
        <f t="shared" si="1"/>
        <v>0.251</v>
      </c>
      <c r="K45" s="41">
        <f t="shared" si="1"/>
        <v>3.0000000000000027E-3</v>
      </c>
      <c r="L45" s="10">
        <f t="shared" si="1"/>
        <v>5.2999999999999999E-2</v>
      </c>
      <c r="M45" s="10">
        <f t="shared" si="1"/>
        <v>7.1000000000000008E-2</v>
      </c>
    </row>
    <row r="46" spans="1:13" x14ac:dyDescent="0.25">
      <c r="A46" s="12" t="s">
        <v>7</v>
      </c>
      <c r="B46" s="8">
        <f t="shared" si="1"/>
        <v>5.9999999999999984E-3</v>
      </c>
      <c r="C46" s="8">
        <f t="shared" si="1"/>
        <v>5.9999999999999984E-3</v>
      </c>
      <c r="D46" s="8">
        <f t="shared" si="1"/>
        <v>6.9999999999999993E-3</v>
      </c>
      <c r="E46" s="9">
        <f t="shared" si="1"/>
        <v>9.0000000000000011E-3</v>
      </c>
      <c r="F46" s="9">
        <f t="shared" si="1"/>
        <v>6.9999999999999993E-3</v>
      </c>
      <c r="G46" s="9">
        <f t="shared" si="1"/>
        <v>5.9999999999999984E-3</v>
      </c>
      <c r="H46" s="8">
        <f t="shared" si="1"/>
        <v>1.1999999999999997E-2</v>
      </c>
      <c r="I46" s="8">
        <f t="shared" si="1"/>
        <v>1.3999999999999999E-2</v>
      </c>
      <c r="J46" s="8">
        <f t="shared" si="1"/>
        <v>1.1000000000000003E-2</v>
      </c>
      <c r="K46" s="41">
        <f t="shared" si="1"/>
        <v>4.0000000000000036E-3</v>
      </c>
      <c r="L46" s="10">
        <f t="shared" si="1"/>
        <v>3.2999999999999995E-2</v>
      </c>
      <c r="M46" s="10">
        <f t="shared" si="1"/>
        <v>3.7999999999999999E-2</v>
      </c>
    </row>
    <row r="50" spans="1:15" x14ac:dyDescent="0.25">
      <c r="A50" s="45" t="s">
        <v>61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5" x14ac:dyDescent="0.25">
      <c r="A51" s="11"/>
      <c r="B51" s="13">
        <v>1</v>
      </c>
      <c r="C51" s="13">
        <v>2</v>
      </c>
      <c r="D51" s="13">
        <v>3</v>
      </c>
      <c r="E51" s="14">
        <v>4</v>
      </c>
      <c r="F51" s="14">
        <v>5</v>
      </c>
      <c r="G51" s="14">
        <v>6</v>
      </c>
      <c r="H51" s="13">
        <v>7</v>
      </c>
      <c r="I51" s="13">
        <v>8</v>
      </c>
      <c r="J51" s="13">
        <v>9</v>
      </c>
      <c r="K51" s="15">
        <v>10</v>
      </c>
      <c r="L51" s="15">
        <v>11</v>
      </c>
      <c r="M51" s="15">
        <v>12</v>
      </c>
      <c r="O51" s="43"/>
    </row>
    <row r="52" spans="1:15" x14ac:dyDescent="0.25">
      <c r="A52" s="12" t="s">
        <v>0</v>
      </c>
      <c r="B52" s="36">
        <f>B39-$K$46</f>
        <v>0.10699999999999998</v>
      </c>
      <c r="C52" s="36">
        <f>C39-$K$46</f>
        <v>0.16999999999999998</v>
      </c>
      <c r="D52" s="36">
        <f t="shared" ref="D52:M52" si="2">D39-$K$46</f>
        <v>0.127</v>
      </c>
      <c r="E52" s="38">
        <f t="shared" si="2"/>
        <v>0.315</v>
      </c>
      <c r="F52" s="38">
        <f t="shared" si="2"/>
        <v>0.308</v>
      </c>
      <c r="G52" s="38">
        <f t="shared" si="2"/>
        <v>0.32300000000000001</v>
      </c>
      <c r="H52" s="36">
        <f t="shared" si="2"/>
        <v>0.312</v>
      </c>
      <c r="I52" s="36">
        <f t="shared" si="2"/>
        <v>0.32900000000000001</v>
      </c>
      <c r="J52" s="36">
        <f t="shared" si="2"/>
        <v>0.31</v>
      </c>
      <c r="K52" s="37">
        <f t="shared" si="2"/>
        <v>1.6E-2</v>
      </c>
      <c r="L52" s="37">
        <f t="shared" si="2"/>
        <v>0.67299999999999993</v>
      </c>
      <c r="M52" s="37">
        <f t="shared" si="2"/>
        <v>0.68799999999999994</v>
      </c>
    </row>
    <row r="53" spans="1:15" x14ac:dyDescent="0.25">
      <c r="A53" s="12" t="s">
        <v>1</v>
      </c>
      <c r="B53" s="36">
        <f t="shared" ref="B53:M53" si="3">B40-$K$46</f>
        <v>0.29400000000000004</v>
      </c>
      <c r="C53" s="36">
        <f t="shared" si="3"/>
        <v>0.27700000000000002</v>
      </c>
      <c r="D53" s="36">
        <f t="shared" si="3"/>
        <v>0.28600000000000003</v>
      </c>
      <c r="E53" s="38">
        <f t="shared" si="3"/>
        <v>0.40300000000000002</v>
      </c>
      <c r="F53" s="38">
        <f t="shared" si="3"/>
        <v>0.33400000000000002</v>
      </c>
      <c r="G53" s="38">
        <f t="shared" si="3"/>
        <v>0.373</v>
      </c>
      <c r="H53" s="36">
        <f t="shared" si="3"/>
        <v>0.34900000000000003</v>
      </c>
      <c r="I53" s="36">
        <f t="shared" si="3"/>
        <v>0.34800000000000003</v>
      </c>
      <c r="J53" s="36">
        <f t="shared" si="3"/>
        <v>0.34800000000000003</v>
      </c>
      <c r="K53" s="37">
        <f t="shared" si="3"/>
        <v>6.9999999999999993E-3</v>
      </c>
      <c r="L53" s="37">
        <f t="shared" si="3"/>
        <v>0.59</v>
      </c>
      <c r="M53" s="37">
        <f t="shared" si="3"/>
        <v>0.63900000000000001</v>
      </c>
    </row>
    <row r="54" spans="1:15" x14ac:dyDescent="0.25">
      <c r="A54" s="12" t="s">
        <v>2</v>
      </c>
      <c r="B54" s="36">
        <f t="shared" ref="B54:M54" si="4">B41-$K$46</f>
        <v>0.22800000000000001</v>
      </c>
      <c r="C54" s="36">
        <f t="shared" si="4"/>
        <v>0.23</v>
      </c>
      <c r="D54" s="36">
        <f t="shared" si="4"/>
        <v>0.20899999999999999</v>
      </c>
      <c r="E54" s="38">
        <f t="shared" si="4"/>
        <v>0.11699999999999999</v>
      </c>
      <c r="F54" s="38">
        <f t="shared" si="4"/>
        <v>0.11599999999999999</v>
      </c>
      <c r="G54" s="38">
        <f t="shared" si="4"/>
        <v>0.09</v>
      </c>
      <c r="H54" s="36">
        <f t="shared" si="4"/>
        <v>0.15</v>
      </c>
      <c r="I54" s="36">
        <f t="shared" si="4"/>
        <v>0.15000000000000002</v>
      </c>
      <c r="J54" s="36">
        <f t="shared" si="4"/>
        <v>0.16799999999999998</v>
      </c>
      <c r="K54" s="37">
        <f t="shared" si="4"/>
        <v>2.9999999999999957E-3</v>
      </c>
      <c r="L54" s="37">
        <f t="shared" si="4"/>
        <v>0.48300000000000004</v>
      </c>
      <c r="M54" s="37">
        <f t="shared" si="4"/>
        <v>0.52999999999999992</v>
      </c>
    </row>
    <row r="55" spans="1:15" x14ac:dyDescent="0.25">
      <c r="A55" s="12" t="s">
        <v>3</v>
      </c>
      <c r="B55" s="36">
        <f t="shared" ref="B55:M55" si="5">B42-$K$46</f>
        <v>0.27800000000000002</v>
      </c>
      <c r="C55" s="36">
        <f t="shared" si="5"/>
        <v>0.26100000000000001</v>
      </c>
      <c r="D55" s="36">
        <f t="shared" si="5"/>
        <v>0.372</v>
      </c>
      <c r="E55" s="38">
        <f t="shared" si="5"/>
        <v>0.36200000000000004</v>
      </c>
      <c r="F55" s="38">
        <f t="shared" si="5"/>
        <v>0.31</v>
      </c>
      <c r="G55" s="38">
        <f t="shared" si="5"/>
        <v>0.33400000000000002</v>
      </c>
      <c r="H55" s="36">
        <f t="shared" si="5"/>
        <v>0.30399999999999999</v>
      </c>
      <c r="I55" s="36">
        <f t="shared" si="5"/>
        <v>0.245</v>
      </c>
      <c r="J55" s="36">
        <f t="shared" si="5"/>
        <v>0.40900000000000003</v>
      </c>
      <c r="K55" s="37">
        <f t="shared" si="5"/>
        <v>1.0000000000000009E-3</v>
      </c>
      <c r="L55" s="37">
        <f t="shared" si="5"/>
        <v>0.33300000000000002</v>
      </c>
      <c r="M55" s="37">
        <f t="shared" si="5"/>
        <v>0.39</v>
      </c>
    </row>
    <row r="56" spans="1:15" x14ac:dyDescent="0.25">
      <c r="A56" s="12" t="s">
        <v>4</v>
      </c>
      <c r="B56" s="36">
        <f t="shared" ref="B56:M56" si="6">B43-$K$46</f>
        <v>0.13599999999999998</v>
      </c>
      <c r="C56" s="36">
        <f t="shared" si="6"/>
        <v>0.151</v>
      </c>
      <c r="D56" s="36">
        <f t="shared" si="6"/>
        <v>8.7999999999999995E-2</v>
      </c>
      <c r="E56" s="38">
        <f t="shared" si="6"/>
        <v>0.38500000000000001</v>
      </c>
      <c r="F56" s="38">
        <f t="shared" si="6"/>
        <v>0.35100000000000003</v>
      </c>
      <c r="G56" s="38">
        <f t="shared" si="6"/>
        <v>0.29299999999999998</v>
      </c>
      <c r="H56" s="36">
        <f t="shared" si="6"/>
        <v>0.24099999999999999</v>
      </c>
      <c r="I56" s="36">
        <f t="shared" si="6"/>
        <v>0.28600000000000003</v>
      </c>
      <c r="J56" s="36">
        <f t="shared" si="6"/>
        <v>0.28600000000000003</v>
      </c>
      <c r="K56" s="37">
        <f t="shared" si="6"/>
        <v>-1.0000000000000009E-3</v>
      </c>
      <c r="L56" s="37">
        <f t="shared" si="6"/>
        <v>0.19400000000000001</v>
      </c>
      <c r="M56" s="37">
        <f t="shared" si="6"/>
        <v>0.23700000000000002</v>
      </c>
    </row>
    <row r="57" spans="1:15" x14ac:dyDescent="0.25">
      <c r="A57" s="12" t="s">
        <v>5</v>
      </c>
      <c r="B57" s="36">
        <f t="shared" ref="B57:M57" si="7">B44-$K$46</f>
        <v>0.24299999999999997</v>
      </c>
      <c r="C57" s="36">
        <f t="shared" si="7"/>
        <v>0.24</v>
      </c>
      <c r="D57" s="36">
        <f t="shared" si="7"/>
        <v>0.251</v>
      </c>
      <c r="E57" s="38">
        <f t="shared" si="7"/>
        <v>0.505</v>
      </c>
      <c r="F57" s="38">
        <f t="shared" si="7"/>
        <v>0.36000000000000004</v>
      </c>
      <c r="G57" s="38">
        <f t="shared" si="7"/>
        <v>0.32900000000000001</v>
      </c>
      <c r="H57" s="36">
        <f t="shared" si="7"/>
        <v>0.23599999999999999</v>
      </c>
      <c r="I57" s="36">
        <f t="shared" si="7"/>
        <v>0.25600000000000001</v>
      </c>
      <c r="J57" s="36">
        <f t="shared" si="7"/>
        <v>0.35299999999999998</v>
      </c>
      <c r="K57" s="37">
        <f t="shared" si="7"/>
        <v>-1.0000000000000009E-3</v>
      </c>
      <c r="L57" s="37">
        <f t="shared" si="7"/>
        <v>0.10799999999999998</v>
      </c>
      <c r="M57" s="37">
        <f t="shared" si="7"/>
        <v>0.13199999999999998</v>
      </c>
    </row>
    <row r="58" spans="1:15" x14ac:dyDescent="0.25">
      <c r="A58" s="12" t="s">
        <v>6</v>
      </c>
      <c r="B58" s="36">
        <f t="shared" ref="B58:M58" si="8">B45-$K$46</f>
        <v>5.6000000000000001E-2</v>
      </c>
      <c r="C58" s="36">
        <f t="shared" si="8"/>
        <v>5.6000000000000001E-2</v>
      </c>
      <c r="D58" s="36">
        <f t="shared" si="8"/>
        <v>0.06</v>
      </c>
      <c r="E58" s="38">
        <f t="shared" si="8"/>
        <v>0.35000000000000003</v>
      </c>
      <c r="F58" s="38">
        <f t="shared" si="8"/>
        <v>0.29499999999999998</v>
      </c>
      <c r="G58" s="38">
        <f t="shared" si="8"/>
        <v>0.25800000000000001</v>
      </c>
      <c r="H58" s="36">
        <f t="shared" si="8"/>
        <v>0.22399999999999998</v>
      </c>
      <c r="I58" s="36">
        <f t="shared" si="8"/>
        <v>0.26900000000000002</v>
      </c>
      <c r="J58" s="36">
        <f t="shared" si="8"/>
        <v>0.247</v>
      </c>
      <c r="K58" s="40">
        <f t="shared" si="8"/>
        <v>-1.0000000000000009E-3</v>
      </c>
      <c r="L58" s="37">
        <f t="shared" si="8"/>
        <v>4.8999999999999995E-2</v>
      </c>
      <c r="M58" s="37">
        <f t="shared" si="8"/>
        <v>6.7000000000000004E-2</v>
      </c>
    </row>
    <row r="59" spans="1:15" x14ac:dyDescent="0.25">
      <c r="A59" s="12" t="s">
        <v>7</v>
      </c>
      <c r="B59" s="36">
        <f t="shared" ref="B59:M59" si="9">B46-$K$46</f>
        <v>1.9999999999999948E-3</v>
      </c>
      <c r="C59" s="36">
        <f t="shared" si="9"/>
        <v>1.9999999999999948E-3</v>
      </c>
      <c r="D59" s="36">
        <f t="shared" si="9"/>
        <v>2.9999999999999957E-3</v>
      </c>
      <c r="E59" s="38">
        <f t="shared" si="9"/>
        <v>4.9999999999999975E-3</v>
      </c>
      <c r="F59" s="38">
        <f t="shared" si="9"/>
        <v>2.9999999999999957E-3</v>
      </c>
      <c r="G59" s="38">
        <f t="shared" si="9"/>
        <v>1.9999999999999948E-3</v>
      </c>
      <c r="H59" s="36">
        <f t="shared" si="9"/>
        <v>7.9999999999999932E-3</v>
      </c>
      <c r="I59" s="36">
        <f t="shared" si="9"/>
        <v>9.999999999999995E-3</v>
      </c>
      <c r="J59" s="36">
        <f t="shared" si="9"/>
        <v>6.9999999999999993E-3</v>
      </c>
      <c r="K59" s="40">
        <f t="shared" si="9"/>
        <v>0</v>
      </c>
      <c r="L59" s="37">
        <f t="shared" si="9"/>
        <v>2.8999999999999991E-2</v>
      </c>
      <c r="M59" s="37">
        <f t="shared" si="9"/>
        <v>3.3999999999999996E-2</v>
      </c>
    </row>
    <row r="62" spans="1:15" x14ac:dyDescent="0.25">
      <c r="A62" s="46" t="s">
        <v>62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5" x14ac:dyDescent="0.25">
      <c r="A63" s="11"/>
      <c r="B63" s="13">
        <v>1</v>
      </c>
      <c r="C63" s="13">
        <v>2</v>
      </c>
      <c r="D63" s="13">
        <v>3</v>
      </c>
      <c r="E63" s="14">
        <v>4</v>
      </c>
      <c r="F63" s="14">
        <v>5</v>
      </c>
      <c r="G63" s="14">
        <v>6</v>
      </c>
      <c r="H63" s="13">
        <v>7</v>
      </c>
      <c r="I63" s="13">
        <v>8</v>
      </c>
      <c r="J63" s="13">
        <v>9</v>
      </c>
      <c r="K63" s="15">
        <v>10</v>
      </c>
      <c r="L63" s="15">
        <v>11</v>
      </c>
      <c r="M63" s="15">
        <v>12</v>
      </c>
    </row>
    <row r="64" spans="1:15" x14ac:dyDescent="0.25">
      <c r="A64" s="12" t="s">
        <v>0</v>
      </c>
      <c r="B64" s="56">
        <f>_xlfn.STDEV.S(B52:D52)</f>
        <v>3.2192131543800219E-2</v>
      </c>
      <c r="C64" s="56"/>
      <c r="D64" s="56"/>
      <c r="E64" s="52">
        <f>_xlfn.STDEV.S(E52:G52)</f>
        <v>7.5055534994651419E-3</v>
      </c>
      <c r="F64" s="52"/>
      <c r="G64" s="52"/>
      <c r="H64" s="53">
        <f>_xlfn.STDEV.S(H52:J52)</f>
        <v>1.0440306508910559E-2</v>
      </c>
      <c r="I64" s="54"/>
      <c r="J64" s="55"/>
      <c r="K64" s="44"/>
      <c r="L64" s="50">
        <f>_xlfn.STDEV.S(L52:M52)</f>
        <v>1.0606601717798222E-2</v>
      </c>
      <c r="M64" s="51"/>
    </row>
    <row r="65" spans="1:13" x14ac:dyDescent="0.25">
      <c r="A65" s="12" t="s">
        <v>1</v>
      </c>
      <c r="B65" s="56">
        <f t="shared" ref="B65:B70" si="10">_xlfn.STDEV.S(B53:D53)</f>
        <v>8.5049005481153909E-3</v>
      </c>
      <c r="C65" s="56"/>
      <c r="D65" s="56"/>
      <c r="E65" s="52">
        <f t="shared" ref="E65:E71" si="11">_xlfn.STDEV.S(E53:G53)</f>
        <v>3.4597687784012392E-2</v>
      </c>
      <c r="F65" s="52"/>
      <c r="G65" s="52"/>
      <c r="H65" s="53">
        <f t="shared" ref="H65:H71" si="12">_xlfn.STDEV.S(H53:J53)</f>
        <v>5.7735026918962634E-4</v>
      </c>
      <c r="I65" s="54"/>
      <c r="J65" s="55"/>
      <c r="K65" s="44"/>
      <c r="L65" s="50">
        <f t="shared" ref="L65:L70" si="13">_xlfn.STDEV.S(L53:M53)</f>
        <v>3.4648232278140859E-2</v>
      </c>
      <c r="M65" s="51"/>
    </row>
    <row r="66" spans="1:13" x14ac:dyDescent="0.25">
      <c r="A66" s="12" t="s">
        <v>2</v>
      </c>
      <c r="B66" s="56">
        <f t="shared" si="10"/>
        <v>1.1590225767142484E-2</v>
      </c>
      <c r="C66" s="56"/>
      <c r="D66" s="56"/>
      <c r="E66" s="52">
        <f t="shared" si="11"/>
        <v>1.5307950004273593E-2</v>
      </c>
      <c r="F66" s="52"/>
      <c r="G66" s="52"/>
      <c r="H66" s="53">
        <f t="shared" si="12"/>
        <v>1.039230484541325E-2</v>
      </c>
      <c r="I66" s="54"/>
      <c r="J66" s="55"/>
      <c r="K66" s="44"/>
      <c r="L66" s="50">
        <f t="shared" si="13"/>
        <v>3.3234018715767644E-2</v>
      </c>
      <c r="M66" s="51"/>
    </row>
    <row r="67" spans="1:13" x14ac:dyDescent="0.25">
      <c r="A67" s="12" t="s">
        <v>3</v>
      </c>
      <c r="B67" s="56">
        <f t="shared" si="10"/>
        <v>5.9785728508845205E-2</v>
      </c>
      <c r="C67" s="56"/>
      <c r="D67" s="56"/>
      <c r="E67" s="52">
        <f t="shared" si="11"/>
        <v>2.6025628394590869E-2</v>
      </c>
      <c r="F67" s="52"/>
      <c r="G67" s="52"/>
      <c r="H67" s="53">
        <f t="shared" si="12"/>
        <v>8.306824503583389E-2</v>
      </c>
      <c r="I67" s="54"/>
      <c r="J67" s="55"/>
      <c r="K67" s="44"/>
      <c r="L67" s="50">
        <f t="shared" si="13"/>
        <v>4.0305086527633205E-2</v>
      </c>
      <c r="M67" s="51"/>
    </row>
    <row r="68" spans="1:13" x14ac:dyDescent="0.25">
      <c r="A68" s="12" t="s">
        <v>4</v>
      </c>
      <c r="B68" s="56">
        <f t="shared" si="10"/>
        <v>3.2908965343808626E-2</v>
      </c>
      <c r="C68" s="56"/>
      <c r="D68" s="56"/>
      <c r="E68" s="52">
        <f t="shared" si="11"/>
        <v>4.6518813398452319E-2</v>
      </c>
      <c r="F68" s="52"/>
      <c r="G68" s="52"/>
      <c r="H68" s="53">
        <f t="shared" si="12"/>
        <v>2.5980762113533184E-2</v>
      </c>
      <c r="I68" s="54"/>
      <c r="J68" s="55"/>
      <c r="K68" s="44"/>
      <c r="L68" s="50">
        <f t="shared" si="13"/>
        <v>3.040559159102155E-2</v>
      </c>
      <c r="M68" s="51"/>
    </row>
    <row r="69" spans="1:13" x14ac:dyDescent="0.25">
      <c r="A69" s="12" t="s">
        <v>5</v>
      </c>
      <c r="B69" s="56">
        <f t="shared" si="10"/>
        <v>5.6862407030773363E-3</v>
      </c>
      <c r="C69" s="56"/>
      <c r="D69" s="56"/>
      <c r="E69" s="52">
        <f t="shared" si="11"/>
        <v>9.395211546314447E-2</v>
      </c>
      <c r="F69" s="52"/>
      <c r="G69" s="52"/>
      <c r="H69" s="53">
        <f t="shared" si="12"/>
        <v>6.2580614676857729E-2</v>
      </c>
      <c r="I69" s="54"/>
      <c r="J69" s="55"/>
      <c r="K69" s="44"/>
      <c r="L69" s="50">
        <f t="shared" si="13"/>
        <v>1.6970562748477136E-2</v>
      </c>
      <c r="M69" s="51"/>
    </row>
    <row r="70" spans="1:13" x14ac:dyDescent="0.25">
      <c r="A70" s="12" t="s">
        <v>6</v>
      </c>
      <c r="B70" s="56">
        <f t="shared" si="10"/>
        <v>2.309401076758501E-3</v>
      </c>
      <c r="C70" s="56"/>
      <c r="D70" s="56"/>
      <c r="E70" s="52">
        <f t="shared" si="11"/>
        <v>4.6292547996410888E-2</v>
      </c>
      <c r="F70" s="52"/>
      <c r="G70" s="52"/>
      <c r="H70" s="53">
        <f t="shared" si="12"/>
        <v>2.2501851775650249E-2</v>
      </c>
      <c r="I70" s="54"/>
      <c r="J70" s="55"/>
      <c r="K70" s="2"/>
      <c r="L70" s="50">
        <f t="shared" si="13"/>
        <v>1.2727922061357916E-2</v>
      </c>
      <c r="M70" s="51"/>
    </row>
    <row r="71" spans="1:13" x14ac:dyDescent="0.25">
      <c r="A71" s="12" t="s">
        <v>7</v>
      </c>
      <c r="B71" s="56">
        <f>_xlfn.STDEV.S(B59:D59)</f>
        <v>5.7735026918962634E-4</v>
      </c>
      <c r="C71" s="56"/>
      <c r="D71" s="56"/>
      <c r="E71" s="52">
        <f t="shared" si="11"/>
        <v>1.5275252316519479E-3</v>
      </c>
      <c r="F71" s="52"/>
      <c r="G71" s="52"/>
      <c r="H71" s="53">
        <f t="shared" si="12"/>
        <v>1.5275252316519451E-3</v>
      </c>
      <c r="I71" s="54"/>
      <c r="J71" s="55"/>
      <c r="K71" s="2"/>
      <c r="L71" s="50">
        <f>_xlfn.STDEV.S(L59:M59)</f>
        <v>3.5355339059327407E-3</v>
      </c>
      <c r="M71" s="51"/>
    </row>
  </sheetData>
  <mergeCells count="32">
    <mergeCell ref="B69:D69"/>
    <mergeCell ref="B70:D70"/>
    <mergeCell ref="B71:D71"/>
    <mergeCell ref="B64:D64"/>
    <mergeCell ref="B65:D65"/>
    <mergeCell ref="B66:D66"/>
    <mergeCell ref="B67:D67"/>
    <mergeCell ref="B68:D68"/>
    <mergeCell ref="E70:G70"/>
    <mergeCell ref="E71:G71"/>
    <mergeCell ref="H64:J64"/>
    <mergeCell ref="H65:J65"/>
    <mergeCell ref="H66:J66"/>
    <mergeCell ref="H67:J67"/>
    <mergeCell ref="H68:J68"/>
    <mergeCell ref="H69:J69"/>
    <mergeCell ref="H70:J70"/>
    <mergeCell ref="H71:J71"/>
    <mergeCell ref="E64:G64"/>
    <mergeCell ref="E65:G65"/>
    <mergeCell ref="E66:G66"/>
    <mergeCell ref="E67:G67"/>
    <mergeCell ref="E68:G68"/>
    <mergeCell ref="E69:G69"/>
    <mergeCell ref="L70:M70"/>
    <mergeCell ref="L71:M71"/>
    <mergeCell ref="L64:M64"/>
    <mergeCell ref="L65:M65"/>
    <mergeCell ref="L66:M66"/>
    <mergeCell ref="L67:M67"/>
    <mergeCell ref="L68:M68"/>
    <mergeCell ref="L69:M6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Normal="100" workbookViewId="0">
      <selection activeCell="F5" sqref="F5"/>
    </sheetView>
  </sheetViews>
  <sheetFormatPr baseColWidth="10" defaultRowHeight="15" x14ac:dyDescent="0.25"/>
  <cols>
    <col min="1" max="1" width="21.42578125" customWidth="1"/>
    <col min="2" max="2" width="22.28515625" customWidth="1"/>
    <col min="3" max="3" width="40.5703125" customWidth="1"/>
  </cols>
  <sheetData>
    <row r="1" spans="1:9" x14ac:dyDescent="0.25">
      <c r="A1" s="20" t="s">
        <v>14</v>
      </c>
      <c r="B1" s="20" t="s">
        <v>36</v>
      </c>
      <c r="C1" s="20" t="s">
        <v>64</v>
      </c>
      <c r="D1" s="20" t="s">
        <v>63</v>
      </c>
      <c r="F1" s="19" t="s">
        <v>15</v>
      </c>
    </row>
    <row r="2" spans="1:9" x14ac:dyDescent="0.25">
      <c r="A2">
        <f>AVERAGE(absorbances!L52:M52)</f>
        <v>0.68049999999999988</v>
      </c>
      <c r="B2">
        <v>25</v>
      </c>
      <c r="C2">
        <f>(A17-D17)/(1+(B2/C17)^B17)+D17</f>
        <v>0.68259500001514206</v>
      </c>
      <c r="D2">
        <f>(C2-A2)^2</f>
        <v>4.3890250634457297E-6</v>
      </c>
      <c r="F2" s="33">
        <v>0.14680000000000001</v>
      </c>
      <c r="G2" s="33">
        <v>7.7267000000000001</v>
      </c>
      <c r="I2" t="s">
        <v>65</v>
      </c>
    </row>
    <row r="3" spans="1:9" x14ac:dyDescent="0.25">
      <c r="A3">
        <f>AVERAGE(absorbances!L53:M53)</f>
        <v>0.61450000000000005</v>
      </c>
      <c r="B3">
        <v>12.5</v>
      </c>
      <c r="C3">
        <f>(A17-D17)/(1+(B3/C17)^B17)+D17</f>
        <v>0.614353441925787</v>
      </c>
      <c r="D3">
        <f t="shared" ref="D3:D11" si="0">(C3-A3)^2</f>
        <v>2.1479269117035952E-8</v>
      </c>
    </row>
    <row r="4" spans="1:9" x14ac:dyDescent="0.25">
      <c r="A4">
        <f>AVERAGE(absorbances!L54:M54)</f>
        <v>0.50649999999999995</v>
      </c>
      <c r="B4">
        <v>6.25</v>
      </c>
      <c r="C4">
        <f>(A17-D17)/(1+(B4/C17)^B17)+D17</f>
        <v>0.50348942963839516</v>
      </c>
      <c r="D4">
        <f t="shared" si="0"/>
        <v>9.0635339021732073E-6</v>
      </c>
      <c r="F4" s="19" t="s">
        <v>17</v>
      </c>
    </row>
    <row r="5" spans="1:9" x14ac:dyDescent="0.25">
      <c r="A5">
        <f>AVERAGE(absorbances!L55:M55)</f>
        <v>0.36150000000000004</v>
      </c>
      <c r="B5">
        <v>3.125</v>
      </c>
      <c r="C5">
        <f>(A17-D17)/(1+(B5/C17)^B17)+D17</f>
        <v>0.36034486240310298</v>
      </c>
      <c r="D5">
        <f t="shared" si="0"/>
        <v>1.334342867765115E-6</v>
      </c>
      <c r="F5">
        <f>2*(275/15)</f>
        <v>36.666666666666664</v>
      </c>
    </row>
    <row r="6" spans="1:9" x14ac:dyDescent="0.25">
      <c r="A6">
        <f>AVERAGE(absorbances!L56:M56)</f>
        <v>0.21550000000000002</v>
      </c>
      <c r="B6">
        <v>1.56</v>
      </c>
      <c r="C6">
        <f>(A17-D17)/(1+(B6/C17)^B17)+D17</f>
        <v>0.22145004510406685</v>
      </c>
      <c r="D6">
        <f t="shared" si="0"/>
        <v>3.54030367404296E-5</v>
      </c>
    </row>
    <row r="7" spans="1:9" x14ac:dyDescent="0.25">
      <c r="A7">
        <f>AVERAGE(absorbances!L57:M57)</f>
        <v>0.11999999999999998</v>
      </c>
      <c r="B7">
        <v>0.78</v>
      </c>
      <c r="C7">
        <f>(A17-D17)/(1+(B7/C17)^B17)+D17</f>
        <v>0.12008868714191923</v>
      </c>
      <c r="D7">
        <f t="shared" si="0"/>
        <v>7.8654091418041623E-9</v>
      </c>
    </row>
    <row r="8" spans="1:9" x14ac:dyDescent="0.25">
      <c r="A8">
        <f>AVERAGE(absorbances!L58:M58)</f>
        <v>5.7999999999999996E-2</v>
      </c>
      <c r="B8">
        <v>0.39</v>
      </c>
      <c r="C8">
        <f>(A17-D17)/(1+(B8/C17)^B17)+D17</f>
        <v>6.0098517828097942E-2</v>
      </c>
      <c r="D8">
        <f t="shared" si="0"/>
        <v>4.4037770748449185E-6</v>
      </c>
    </row>
    <row r="9" spans="1:9" x14ac:dyDescent="0.25">
      <c r="A9">
        <f>AVERAGE(absorbances!L59:M59)</f>
        <v>3.1499999999999993E-2</v>
      </c>
      <c r="B9">
        <v>0.19500000000000001</v>
      </c>
      <c r="C9">
        <f>(A17-D17)/(1+(B9/C17)^B17)+D17</f>
        <v>2.8946472884632257E-2</v>
      </c>
      <c r="D9">
        <f t="shared" si="0"/>
        <v>6.5205007289182716E-6</v>
      </c>
    </row>
    <row r="10" spans="1:9" x14ac:dyDescent="0.25">
      <c r="A10" s="29">
        <f>absorbances!K52</f>
        <v>1.6E-2</v>
      </c>
      <c r="B10">
        <f>B9/2</f>
        <v>9.7500000000000003E-2</v>
      </c>
      <c r="C10">
        <f>(A17-D17)/(1+(B10/C17)^B17)+D17</f>
        <v>1.386402101209927E-2</v>
      </c>
      <c r="D10">
        <f t="shared" si="0"/>
        <v>4.5624062367534272E-6</v>
      </c>
    </row>
    <row r="11" spans="1:9" x14ac:dyDescent="0.25">
      <c r="A11" s="29">
        <f>absorbances!K53</f>
        <v>6.9999999999999993E-3</v>
      </c>
      <c r="B11">
        <f t="shared" ref="B11" si="1">B10/2</f>
        <v>4.8750000000000002E-2</v>
      </c>
      <c r="C11">
        <f>(A17-D17)/(1+(B11/C17)^B17)+D17</f>
        <v>6.809581024086353E-3</v>
      </c>
      <c r="D11">
        <f t="shared" si="0"/>
        <v>3.6259386388001796E-8</v>
      </c>
    </row>
    <row r="12" spans="1:9" x14ac:dyDescent="0.25">
      <c r="A12" s="29"/>
      <c r="D12">
        <f>SUM(D2:D11)</f>
        <v>6.5742226678977111E-5</v>
      </c>
    </row>
    <row r="13" spans="1:9" x14ac:dyDescent="0.25">
      <c r="A13" s="29"/>
    </row>
    <row r="16" spans="1:9" x14ac:dyDescent="0.25">
      <c r="A16" s="47" t="s">
        <v>0</v>
      </c>
      <c r="B16" s="47" t="s">
        <v>1</v>
      </c>
      <c r="C16" s="47" t="s">
        <v>2</v>
      </c>
      <c r="D16" s="47" t="s">
        <v>3</v>
      </c>
    </row>
    <row r="17" spans="1:4" x14ac:dyDescent="0.25">
      <c r="A17">
        <v>8.4440824851721966E-4</v>
      </c>
      <c r="B17">
        <v>1.1397727843643706</v>
      </c>
      <c r="C17">
        <v>3.369108247968069</v>
      </c>
      <c r="D17">
        <v>0.7520236543519454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12" sqref="D12"/>
    </sheetView>
  </sheetViews>
  <sheetFormatPr baseColWidth="10" defaultRowHeight="15" x14ac:dyDescent="0.25"/>
  <cols>
    <col min="1" max="3" width="20.85546875" customWidth="1"/>
    <col min="4" max="4" width="29.28515625" customWidth="1"/>
    <col min="5" max="5" width="29" customWidth="1"/>
  </cols>
  <sheetData>
    <row r="1" spans="1:5" x14ac:dyDescent="0.25">
      <c r="A1" s="25" t="s">
        <v>28</v>
      </c>
      <c r="B1" s="25" t="s">
        <v>34</v>
      </c>
      <c r="C1" s="25" t="s">
        <v>29</v>
      </c>
      <c r="D1" s="25" t="s">
        <v>30</v>
      </c>
      <c r="E1" s="26" t="s">
        <v>31</v>
      </c>
    </row>
    <row r="2" spans="1:5" x14ac:dyDescent="0.25">
      <c r="A2" s="27">
        <v>1</v>
      </c>
      <c r="B2" s="27" t="str">
        <f>absorbances!B5</f>
        <v>NCHA100165_FA-2</v>
      </c>
      <c r="C2" s="28">
        <v>1.2050000000000001</v>
      </c>
      <c r="D2" s="28">
        <v>1.2151000000000001</v>
      </c>
      <c r="E2" s="29">
        <f>D2-C2</f>
        <v>1.0099999999999998E-2</v>
      </c>
    </row>
    <row r="3" spans="1:5" x14ac:dyDescent="0.25">
      <c r="A3" s="27">
        <f>A2+1</f>
        <v>2</v>
      </c>
      <c r="B3" s="27" t="str">
        <f>absorbances!B6</f>
        <v>NCHA100171_FA-2</v>
      </c>
      <c r="C3" s="28">
        <v>1.1982999999999999</v>
      </c>
      <c r="D3" s="28">
        <v>1.2052</v>
      </c>
      <c r="E3" s="29">
        <f t="shared" ref="E3:E25" si="0">D3-C3</f>
        <v>6.9000000000001283E-3</v>
      </c>
    </row>
    <row r="4" spans="1:5" x14ac:dyDescent="0.25">
      <c r="A4" s="27">
        <f t="shared" ref="A4:A25" si="1">A3+1</f>
        <v>3</v>
      </c>
      <c r="B4" s="27" t="str">
        <f>absorbances!B7</f>
        <v>NCHA100172_FA-2</v>
      </c>
      <c r="C4" s="28">
        <v>1.1890000000000001</v>
      </c>
      <c r="D4" s="28">
        <v>1.1919999999999999</v>
      </c>
      <c r="E4" s="29">
        <f t="shared" si="0"/>
        <v>2.9999999999998916E-3</v>
      </c>
    </row>
    <row r="5" spans="1:5" x14ac:dyDescent="0.25">
      <c r="A5" s="27">
        <f t="shared" si="1"/>
        <v>4</v>
      </c>
      <c r="B5" s="27" t="str">
        <f>absorbances!B8</f>
        <v>NCHA100174_FA-2</v>
      </c>
      <c r="C5" s="30">
        <v>1.1932</v>
      </c>
      <c r="D5" s="28">
        <v>1.2096</v>
      </c>
      <c r="E5" s="29">
        <f t="shared" si="0"/>
        <v>1.639999999999997E-2</v>
      </c>
    </row>
    <row r="6" spans="1:5" x14ac:dyDescent="0.25">
      <c r="A6" s="27">
        <f t="shared" si="1"/>
        <v>5</v>
      </c>
      <c r="B6" s="27" t="str">
        <f>absorbances!B9</f>
        <v>NCHA100179_FA-2</v>
      </c>
      <c r="C6" s="30">
        <v>1.204</v>
      </c>
      <c r="D6" s="28">
        <v>1.2074</v>
      </c>
      <c r="E6" s="29">
        <f t="shared" si="0"/>
        <v>3.4000000000000696E-3</v>
      </c>
    </row>
    <row r="7" spans="1:5" x14ac:dyDescent="0.25">
      <c r="A7" s="27">
        <f t="shared" si="1"/>
        <v>6</v>
      </c>
      <c r="B7" s="27" t="str">
        <f>absorbances!B10</f>
        <v>NCHA100183_FA-2</v>
      </c>
      <c r="C7" s="30">
        <v>1.1928000000000001</v>
      </c>
      <c r="D7" s="28">
        <v>1.1957</v>
      </c>
      <c r="E7" s="29">
        <f t="shared" si="0"/>
        <v>2.8999999999999027E-3</v>
      </c>
    </row>
    <row r="8" spans="1:5" x14ac:dyDescent="0.25">
      <c r="A8" s="27">
        <f t="shared" si="1"/>
        <v>7</v>
      </c>
      <c r="B8" s="27" t="str">
        <f>absorbances!B11</f>
        <v>NCHA100189_FA-2</v>
      </c>
      <c r="C8" s="30">
        <v>1.1908000000000001</v>
      </c>
      <c r="D8" s="28">
        <v>1.1939</v>
      </c>
      <c r="E8" s="29">
        <f t="shared" si="0"/>
        <v>3.0999999999998806E-3</v>
      </c>
    </row>
    <row r="9" spans="1:5" x14ac:dyDescent="0.25">
      <c r="A9" s="27">
        <f t="shared" si="1"/>
        <v>8</v>
      </c>
      <c r="B9" s="27" t="str">
        <f>absorbances!B12</f>
        <v>NCHA100191_FA-2</v>
      </c>
      <c r="C9" s="30">
        <v>1.2027000000000001</v>
      </c>
      <c r="D9" s="28">
        <v>1.2049000000000001</v>
      </c>
      <c r="E9" s="29">
        <f t="shared" si="0"/>
        <v>2.1999999999999797E-3</v>
      </c>
    </row>
    <row r="10" spans="1:5" x14ac:dyDescent="0.25">
      <c r="A10" s="27">
        <f t="shared" si="1"/>
        <v>9</v>
      </c>
      <c r="B10" s="27" t="str">
        <f>absorbances!E5</f>
        <v>NCHA100165_FA-2</v>
      </c>
      <c r="C10" s="30">
        <v>1.2024999999999999</v>
      </c>
      <c r="D10" s="28">
        <v>1.2081</v>
      </c>
      <c r="E10" s="29">
        <f t="shared" si="0"/>
        <v>5.6000000000000494E-3</v>
      </c>
    </row>
    <row r="11" spans="1:5" x14ac:dyDescent="0.25">
      <c r="A11" s="27">
        <f t="shared" si="1"/>
        <v>10</v>
      </c>
      <c r="B11" s="27" t="str">
        <f>absorbances!E6</f>
        <v>NCHA100171_FA-2</v>
      </c>
      <c r="C11" s="30">
        <v>1.1901999999999999</v>
      </c>
      <c r="D11" s="28">
        <v>1.1951000000000001</v>
      </c>
      <c r="E11" s="29">
        <f t="shared" si="0"/>
        <v>4.9000000000001265E-3</v>
      </c>
    </row>
    <row r="12" spans="1:5" x14ac:dyDescent="0.25">
      <c r="A12" s="27">
        <f t="shared" si="1"/>
        <v>11</v>
      </c>
      <c r="B12" s="27" t="str">
        <f>absorbances!E7</f>
        <v>NCHA100172_FA-2</v>
      </c>
      <c r="C12" s="30">
        <v>1.2032</v>
      </c>
      <c r="D12" s="28">
        <v>1.2121999999999999</v>
      </c>
      <c r="E12" s="29">
        <f t="shared" si="0"/>
        <v>8.999999999999897E-3</v>
      </c>
    </row>
    <row r="13" spans="1:5" x14ac:dyDescent="0.25">
      <c r="A13" s="27">
        <f t="shared" si="1"/>
        <v>12</v>
      </c>
      <c r="B13" s="27" t="str">
        <f>absorbances!E8</f>
        <v>NCHA100174_FA-2</v>
      </c>
      <c r="C13" s="30">
        <v>1.1879</v>
      </c>
      <c r="D13" s="28">
        <v>1.202</v>
      </c>
      <c r="E13" s="29">
        <f t="shared" si="0"/>
        <v>1.4100000000000001E-2</v>
      </c>
    </row>
    <row r="14" spans="1:5" x14ac:dyDescent="0.25">
      <c r="A14" s="27">
        <f t="shared" si="1"/>
        <v>13</v>
      </c>
      <c r="B14" s="27" t="str">
        <f>absorbances!E9</f>
        <v>NCHA100179_FA-2</v>
      </c>
      <c r="C14" s="30">
        <v>1.2201</v>
      </c>
      <c r="D14" s="28">
        <v>1.2241</v>
      </c>
      <c r="E14" s="29">
        <f t="shared" si="0"/>
        <v>4.0000000000000036E-3</v>
      </c>
    </row>
    <row r="15" spans="1:5" x14ac:dyDescent="0.25">
      <c r="A15" s="27">
        <f t="shared" si="1"/>
        <v>14</v>
      </c>
      <c r="B15" s="27" t="str">
        <f>absorbances!E10</f>
        <v>NCHA100183_FA-2</v>
      </c>
      <c r="C15" s="30">
        <v>1.2027000000000001</v>
      </c>
      <c r="D15" s="28">
        <v>1.2044999999999999</v>
      </c>
      <c r="E15" s="29">
        <f t="shared" si="0"/>
        <v>1.7999999999998018E-3</v>
      </c>
    </row>
    <row r="16" spans="1:5" x14ac:dyDescent="0.25">
      <c r="A16" s="27">
        <f t="shared" si="1"/>
        <v>15</v>
      </c>
      <c r="B16" s="27" t="str">
        <f>absorbances!E11</f>
        <v>NCHA100189_FA-2</v>
      </c>
      <c r="C16" s="30">
        <v>1.2037</v>
      </c>
      <c r="D16" s="28">
        <v>1.2088000000000001</v>
      </c>
      <c r="E16" s="29">
        <f t="shared" si="0"/>
        <v>5.1000000000001044E-3</v>
      </c>
    </row>
    <row r="17" spans="1:5" x14ac:dyDescent="0.25">
      <c r="A17" s="27">
        <f t="shared" si="1"/>
        <v>16</v>
      </c>
      <c r="B17" s="27" t="str">
        <f>absorbances!E12</f>
        <v>NCHA100191_FA-2</v>
      </c>
      <c r="C17" s="30">
        <v>1.2038</v>
      </c>
      <c r="D17" s="28">
        <v>1.2078</v>
      </c>
      <c r="E17" s="29">
        <f t="shared" si="0"/>
        <v>4.0000000000000036E-3</v>
      </c>
    </row>
    <row r="18" spans="1:5" x14ac:dyDescent="0.25">
      <c r="A18" s="27">
        <f t="shared" si="1"/>
        <v>17</v>
      </c>
      <c r="B18" s="27" t="str">
        <f>absorbances!H5</f>
        <v>NCHA100165_FA-2</v>
      </c>
      <c r="C18" s="30">
        <v>1.1926000000000001</v>
      </c>
      <c r="D18" s="28">
        <v>1.1972</v>
      </c>
      <c r="E18" s="29">
        <f t="shared" si="0"/>
        <v>4.5999999999999375E-3</v>
      </c>
    </row>
    <row r="19" spans="1:5" x14ac:dyDescent="0.25">
      <c r="A19" s="27">
        <f t="shared" si="1"/>
        <v>18</v>
      </c>
      <c r="B19" s="27" t="str">
        <f>absorbances!H6</f>
        <v>NCHA100171_FA-2</v>
      </c>
      <c r="C19" s="30">
        <v>1.2038</v>
      </c>
      <c r="D19" s="28">
        <v>1.2110000000000001</v>
      </c>
      <c r="E19" s="29">
        <f t="shared" si="0"/>
        <v>7.2000000000000952E-3</v>
      </c>
    </row>
    <row r="20" spans="1:5" x14ac:dyDescent="0.25">
      <c r="A20" s="27">
        <f t="shared" si="1"/>
        <v>19</v>
      </c>
      <c r="B20" s="27" t="str">
        <f>absorbances!H7</f>
        <v>NCHA100172_FA-2</v>
      </c>
      <c r="C20" s="30">
        <v>1.1879</v>
      </c>
      <c r="D20" s="28">
        <v>1.1894</v>
      </c>
      <c r="E20" s="29">
        <f t="shared" si="0"/>
        <v>1.5000000000000568E-3</v>
      </c>
    </row>
    <row r="21" spans="1:5" x14ac:dyDescent="0.25">
      <c r="A21" s="27">
        <f t="shared" si="1"/>
        <v>20</v>
      </c>
      <c r="B21" s="27" t="str">
        <f>absorbances!H8</f>
        <v>NCHA100174_FA-2</v>
      </c>
      <c r="C21" s="30">
        <v>1.2028000000000001</v>
      </c>
      <c r="D21" s="28">
        <v>1.2113</v>
      </c>
      <c r="E21" s="29">
        <f t="shared" si="0"/>
        <v>8.499999999999952E-3</v>
      </c>
    </row>
    <row r="22" spans="1:5" x14ac:dyDescent="0.25">
      <c r="A22" s="27">
        <f t="shared" si="1"/>
        <v>21</v>
      </c>
      <c r="B22" s="27" t="str">
        <f>absorbances!H9</f>
        <v>NCHA100179_FA-2</v>
      </c>
      <c r="C22" s="30">
        <v>1.2018</v>
      </c>
      <c r="D22" s="28">
        <v>1.2081999999999999</v>
      </c>
      <c r="E22" s="29">
        <f t="shared" si="0"/>
        <v>6.3999999999999613E-3</v>
      </c>
    </row>
    <row r="23" spans="1:5" x14ac:dyDescent="0.25">
      <c r="A23" s="27">
        <f t="shared" si="1"/>
        <v>22</v>
      </c>
      <c r="B23" s="27" t="str">
        <f>absorbances!H10</f>
        <v>NCHA100183_FA-2</v>
      </c>
      <c r="C23" s="30">
        <v>1.1967000000000001</v>
      </c>
      <c r="D23" s="28">
        <v>1.1994</v>
      </c>
      <c r="E23" s="29">
        <f t="shared" si="0"/>
        <v>2.6999999999999247E-3</v>
      </c>
    </row>
    <row r="24" spans="1:5" x14ac:dyDescent="0.25">
      <c r="A24" s="27">
        <f t="shared" si="1"/>
        <v>23</v>
      </c>
      <c r="B24" s="27" t="str">
        <f>absorbances!H11</f>
        <v>NCHA100189_FA-2</v>
      </c>
      <c r="C24" s="30">
        <v>1.2201</v>
      </c>
      <c r="D24" s="28">
        <v>1.2254</v>
      </c>
      <c r="E24" s="29">
        <f t="shared" si="0"/>
        <v>5.3000000000000824E-3</v>
      </c>
    </row>
    <row r="25" spans="1:5" x14ac:dyDescent="0.25">
      <c r="A25" s="27">
        <f t="shared" si="1"/>
        <v>24</v>
      </c>
      <c r="B25" s="27" t="str">
        <f>absorbances!H12</f>
        <v>NCHA100191_FA-2</v>
      </c>
      <c r="C25" s="30">
        <v>1.2042999999999999</v>
      </c>
      <c r="D25" s="28">
        <v>1.2067000000000001</v>
      </c>
      <c r="E25" s="29">
        <f t="shared" si="0"/>
        <v>2.4000000000001798E-3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J23" sqref="J23:J25"/>
    </sheetView>
  </sheetViews>
  <sheetFormatPr baseColWidth="10" defaultColWidth="16.7109375" defaultRowHeight="15" x14ac:dyDescent="0.25"/>
  <cols>
    <col min="6" max="6" width="25.28515625" customWidth="1"/>
    <col min="8" max="8" width="16.7109375" style="33"/>
  </cols>
  <sheetData>
    <row r="1" spans="1:10" x14ac:dyDescent="0.25">
      <c r="A1" s="32" t="s">
        <v>34</v>
      </c>
      <c r="B1" s="32" t="s">
        <v>12</v>
      </c>
      <c r="C1" s="32" t="s">
        <v>13</v>
      </c>
      <c r="D1" s="32"/>
      <c r="E1" s="32" t="s">
        <v>16</v>
      </c>
      <c r="F1" s="32" t="s">
        <v>26</v>
      </c>
      <c r="G1" s="32" t="s">
        <v>27</v>
      </c>
      <c r="H1" s="48"/>
      <c r="I1" s="32" t="s">
        <v>32</v>
      </c>
      <c r="J1" s="32" t="s">
        <v>33</v>
      </c>
    </row>
    <row r="2" spans="1:10" s="34" customFormat="1" x14ac:dyDescent="0.25">
      <c r="A2" s="34" t="str">
        <f>absorbances!B5</f>
        <v>NCHA100165_FA-2</v>
      </c>
      <c r="B2" s="34" t="str">
        <f>LEFT(A2,FIND("_",A2)-1)</f>
        <v>NCHA100165</v>
      </c>
      <c r="C2" s="34">
        <f>AVERAGE(absorbances!B52:D52)</f>
        <v>0.13466666666666666</v>
      </c>
      <c r="E2" s="35">
        <f>courbe_etalon!$C$17*(((courbe_etalon!$A$17-courbe_etalon!$D$17)/(quantification!C2-courbe_etalon!$D$17)-1)^(1/courbe_etalon!$B$17))</f>
        <v>0.8809183979788503</v>
      </c>
      <c r="F2" s="34">
        <f>E2*courbe_etalon!$F$5</f>
        <v>32.30034125922451</v>
      </c>
      <c r="G2" s="34">
        <f>F2/1000</f>
        <v>3.2300341259224513E-2</v>
      </c>
      <c r="H2" s="33"/>
      <c r="I2" s="34">
        <f>G2*15/1000</f>
        <v>4.8450511888836767E-4</v>
      </c>
      <c r="J2" s="34">
        <f>I2/poids!E2</f>
        <v>4.7970803850333442E-2</v>
      </c>
    </row>
    <row r="3" spans="1:10" x14ac:dyDescent="0.25">
      <c r="A3" t="str">
        <f>absorbances!B6</f>
        <v>NCHA100171_FA-2</v>
      </c>
      <c r="B3" t="str">
        <f t="shared" ref="B3:B25" si="0">LEFT(A3,FIND("_",A3)-1)</f>
        <v>NCHA100171</v>
      </c>
      <c r="C3" s="33">
        <f>AVERAGE(absorbances!B53:D53)</f>
        <v>0.28566666666666668</v>
      </c>
      <c r="E3" s="49">
        <f>courbe_etalon!$C$17*(((courbe_etalon!$A$17-courbe_etalon!$D$17)/(quantification!C3-courbe_etalon!$D$17)-1)^(1/courbe_etalon!$B$17))</f>
        <v>2.1859056360007671</v>
      </c>
      <c r="F3">
        <f>E3*courbe_etalon!$F$5</f>
        <v>80.149873320028121</v>
      </c>
      <c r="G3">
        <f t="shared" ref="G3:G25" si="1">F3/1000</f>
        <v>8.0149873320028125E-2</v>
      </c>
      <c r="I3">
        <f t="shared" ref="I3:I5" si="2">G3*15/1000</f>
        <v>1.202248099800422E-3</v>
      </c>
      <c r="J3">
        <f>I3/poids!E3</f>
        <v>0.17423885504353617</v>
      </c>
    </row>
    <row r="4" spans="1:10" x14ac:dyDescent="0.25">
      <c r="A4" t="str">
        <f>absorbances!B7</f>
        <v>NCHA100172_FA-2</v>
      </c>
      <c r="B4" t="str">
        <f t="shared" si="0"/>
        <v>NCHA100172</v>
      </c>
      <c r="C4" s="33">
        <f>AVERAGE(absorbances!B54:D54)</f>
        <v>0.22233333333333336</v>
      </c>
      <c r="E4" s="49">
        <f>courbe_etalon!$C$17*(((courbe_etalon!$A$17-courbe_etalon!$D$17)/(quantification!C4-courbe_etalon!$D$17)-1)^(1/courbe_etalon!$B$17))</f>
        <v>1.5677689582230729</v>
      </c>
      <c r="F4">
        <f>E4*courbe_etalon!$F$5</f>
        <v>57.484861801512672</v>
      </c>
      <c r="G4">
        <f t="shared" si="1"/>
        <v>5.7484861801512674E-2</v>
      </c>
      <c r="I4">
        <f>G4*15/1000</f>
        <v>8.6227292702269014E-4</v>
      </c>
      <c r="J4">
        <f>I4/poids!E4</f>
        <v>0.28742430900757376</v>
      </c>
    </row>
    <row r="5" spans="1:10" x14ac:dyDescent="0.25">
      <c r="A5" t="str">
        <f>absorbances!B8</f>
        <v>NCHA100174_FA-2</v>
      </c>
      <c r="B5" t="str">
        <f t="shared" si="0"/>
        <v>NCHA100174</v>
      </c>
      <c r="C5" s="33">
        <f>AVERAGE(absorbances!B55:D55)</f>
        <v>0.3036666666666667</v>
      </c>
      <c r="E5" s="49">
        <f>courbe_etalon!$C$17*(((courbe_etalon!$A$17-courbe_etalon!$D$17)/(quantification!C5-courbe_etalon!$D$17)-1)^(1/courbe_etalon!$B$17))</f>
        <v>2.3877000428871238</v>
      </c>
      <c r="F5">
        <f>E5*courbe_etalon!$F$5</f>
        <v>87.549001572527871</v>
      </c>
      <c r="G5">
        <f t="shared" si="1"/>
        <v>8.7549001572527874E-2</v>
      </c>
      <c r="I5">
        <f t="shared" si="2"/>
        <v>1.3132350235879179E-3</v>
      </c>
      <c r="J5">
        <f>I5/poids!E5</f>
        <v>8.0075306316336609E-2</v>
      </c>
    </row>
    <row r="6" spans="1:10" x14ac:dyDescent="0.25">
      <c r="A6" t="str">
        <f>absorbances!B9</f>
        <v>NCHA100179_FA-2</v>
      </c>
      <c r="B6" t="str">
        <f t="shared" si="0"/>
        <v>NCHA100179</v>
      </c>
      <c r="C6" s="33">
        <f>AVERAGE(absorbances!B56:D56)</f>
        <v>0.125</v>
      </c>
      <c r="E6" s="49">
        <f>courbe_etalon!$C$17*(((courbe_etalon!$A$17-courbe_etalon!$D$17)/(quantification!C6-courbe_etalon!$D$17)-1)^(1/courbe_etalon!$B$17))</f>
        <v>0.81366695203886652</v>
      </c>
      <c r="F6">
        <f>E6*courbe_etalon!$F$5</f>
        <v>29.834454908091772</v>
      </c>
      <c r="G6">
        <f t="shared" si="1"/>
        <v>2.9834454908091772E-2</v>
      </c>
      <c r="I6">
        <f>G6*15/1000</f>
        <v>4.4751682362137657E-4</v>
      </c>
      <c r="J6">
        <f>I6/poids!E6</f>
        <v>0.13162259518275513</v>
      </c>
    </row>
    <row r="7" spans="1:10" x14ac:dyDescent="0.25">
      <c r="A7" t="str">
        <f>absorbances!B10</f>
        <v>NCHA100183_FA-2</v>
      </c>
      <c r="B7" t="str">
        <f t="shared" si="0"/>
        <v>NCHA100183</v>
      </c>
      <c r="C7" s="33">
        <f>AVERAGE(absorbances!B57:D57)</f>
        <v>0.24466666666666667</v>
      </c>
      <c r="E7" s="49">
        <f>courbe_etalon!$C$17*(((courbe_etalon!$A$17-courbe_etalon!$D$17)/(quantification!C7-courbe_etalon!$D$17)-1)^(1/courbe_etalon!$B$17))</f>
        <v>1.7713368574175832</v>
      </c>
      <c r="F7">
        <f>E7*courbe_etalon!$F$5</f>
        <v>64.949018105311382</v>
      </c>
      <c r="G7">
        <f t="shared" si="1"/>
        <v>6.4949018105311382E-2</v>
      </c>
      <c r="I7">
        <f t="shared" ref="I7:I25" si="3">G7*15/1000</f>
        <v>9.742352715796707E-4</v>
      </c>
      <c r="J7">
        <f>I7/poids!E7</f>
        <v>0.33594319709644943</v>
      </c>
    </row>
    <row r="8" spans="1:10" x14ac:dyDescent="0.25">
      <c r="A8" t="str">
        <f>absorbances!B11</f>
        <v>NCHA100189_FA-2</v>
      </c>
      <c r="B8" t="str">
        <f t="shared" si="0"/>
        <v>NCHA100189</v>
      </c>
      <c r="C8" s="33">
        <f>AVERAGE(absorbances!B58:D58)</f>
        <v>5.7333333333333326E-2</v>
      </c>
      <c r="E8" s="49">
        <f>courbe_etalon!$C$17*(((courbe_etalon!$A$17-courbe_etalon!$D$17)/(quantification!C8-courbe_etalon!$D$17)-1)^(1/courbe_etalon!$B$17))</f>
        <v>0.3726790400339004</v>
      </c>
      <c r="F8">
        <f>E8*courbe_etalon!$F$5</f>
        <v>13.664898134576347</v>
      </c>
      <c r="G8">
        <f t="shared" si="1"/>
        <v>1.3664898134576347E-2</v>
      </c>
      <c r="I8">
        <f t="shared" si="3"/>
        <v>2.0497347201864518E-4</v>
      </c>
      <c r="J8">
        <f>I8/poids!E8</f>
        <v>6.6120474844726801E-2</v>
      </c>
    </row>
    <row r="9" spans="1:10" x14ac:dyDescent="0.25">
      <c r="A9" t="str">
        <f>absorbances!B12</f>
        <v>NCHA100191_FA-2</v>
      </c>
      <c r="B9" t="str">
        <f t="shared" si="0"/>
        <v>NCHA100191</v>
      </c>
      <c r="C9" s="33">
        <f>AVERAGE(absorbances!B59:D59)</f>
        <v>2.3333333333333283E-3</v>
      </c>
      <c r="E9" s="49">
        <f>courbe_etalon!$C$17*(((courbe_etalon!$A$17-courbe_etalon!$D$17)/(quantification!C9-courbe_etalon!$D$17)-1)^(1/courbe_etalon!$B$17))</f>
        <v>1.4350237256223993E-2</v>
      </c>
      <c r="F9">
        <f>E9*courbe_etalon!$F$5</f>
        <v>0.52617536606154636</v>
      </c>
      <c r="G9">
        <f t="shared" si="1"/>
        <v>5.2617536606154635E-4</v>
      </c>
      <c r="I9">
        <f t="shared" si="3"/>
        <v>7.8926304909231963E-6</v>
      </c>
      <c r="J9">
        <f>I9/poids!E9</f>
        <v>3.5875593140560313E-3</v>
      </c>
    </row>
    <row r="10" spans="1:10" s="34" customFormat="1" x14ac:dyDescent="0.25">
      <c r="A10" s="34" t="str">
        <f>absorbances!E5</f>
        <v>NCHA100165_FA-2</v>
      </c>
      <c r="B10" s="34" t="str">
        <f t="shared" si="0"/>
        <v>NCHA100165</v>
      </c>
      <c r="C10" s="34">
        <f>AVERAGE(absorbances!E52:G52)</f>
        <v>0.3153333333333333</v>
      </c>
      <c r="E10" s="35">
        <f>courbe_etalon!$C$17*(((courbe_etalon!$A$17-courbe_etalon!$D$17)/(quantification!C10-courbe_etalon!$D$17)-1)^(1/courbe_etalon!$B$17))</f>
        <v>2.5259817043396393</v>
      </c>
      <c r="F10" s="34">
        <f>E10*courbe_etalon!$F$5</f>
        <v>92.619329159120099</v>
      </c>
      <c r="G10" s="34">
        <f t="shared" si="1"/>
        <v>9.2619329159120092E-2</v>
      </c>
      <c r="H10" s="33"/>
      <c r="I10" s="34">
        <f t="shared" si="3"/>
        <v>1.3892899373868014E-3</v>
      </c>
      <c r="J10" s="34">
        <f>I10/poids!E10</f>
        <v>0.24808748881906947</v>
      </c>
    </row>
    <row r="11" spans="1:10" x14ac:dyDescent="0.25">
      <c r="A11" t="str">
        <f>absorbances!E6</f>
        <v>NCHA100171_FA-2</v>
      </c>
      <c r="B11" t="str">
        <f t="shared" si="0"/>
        <v>NCHA100171</v>
      </c>
      <c r="C11" s="33">
        <f>AVERAGE(absorbances!E53:G53)</f>
        <v>0.37000000000000005</v>
      </c>
      <c r="E11" s="49">
        <f>courbe_etalon!$C$17*(((courbe_etalon!$A$17-courbe_etalon!$D$17)/(quantification!C11-courbe_etalon!$D$17)-1)^(1/courbe_etalon!$B$17))</f>
        <v>3.2693320079254096</v>
      </c>
      <c r="F11">
        <f>E11*courbe_etalon!$F$5</f>
        <v>119.875506957265</v>
      </c>
      <c r="G11">
        <f t="shared" si="1"/>
        <v>0.119875506957265</v>
      </c>
      <c r="I11">
        <f t="shared" si="3"/>
        <v>1.798132604358975E-3</v>
      </c>
      <c r="J11">
        <f>I11/poids!E11</f>
        <v>0.36696583762427115</v>
      </c>
    </row>
    <row r="12" spans="1:10" x14ac:dyDescent="0.25">
      <c r="A12" t="str">
        <f>absorbances!E7</f>
        <v>NCHA100172_FA-2</v>
      </c>
      <c r="B12" t="str">
        <f t="shared" si="0"/>
        <v>NCHA100172</v>
      </c>
      <c r="C12" s="33">
        <f>AVERAGE(absorbances!E54:G54)</f>
        <v>0.10766666666666665</v>
      </c>
      <c r="E12" s="49">
        <f>courbe_etalon!$C$17*(((courbe_etalon!$A$17-courbe_etalon!$D$17)/(quantification!C12-courbe_etalon!$D$17)-1)^(1/courbe_etalon!$B$17))</f>
        <v>0.69624205256047833</v>
      </c>
      <c r="F12">
        <f>E12*courbe_etalon!$F$5</f>
        <v>25.528875260550869</v>
      </c>
      <c r="G12">
        <f t="shared" si="1"/>
        <v>2.5528875260550869E-2</v>
      </c>
      <c r="I12">
        <f t="shared" si="3"/>
        <v>3.8293312890826304E-4</v>
      </c>
      <c r="J12">
        <f>I12/poids!E12</f>
        <v>4.2548125434251939E-2</v>
      </c>
    </row>
    <row r="13" spans="1:10" x14ac:dyDescent="0.25">
      <c r="A13" t="str">
        <f>absorbances!E8</f>
        <v>NCHA100174_FA-2</v>
      </c>
      <c r="B13" t="str">
        <f t="shared" si="0"/>
        <v>NCHA100174</v>
      </c>
      <c r="C13" s="33">
        <f>AVERAGE(absorbances!E55:G55)</f>
        <v>0.33533333333333332</v>
      </c>
      <c r="E13" s="49">
        <f>courbe_etalon!$C$17*(((courbe_etalon!$A$17-courbe_etalon!$D$17)/(quantification!C13-courbe_etalon!$D$17)-1)^(1/courbe_etalon!$B$17))</f>
        <v>2.7783457203077879</v>
      </c>
      <c r="F13">
        <f>E13*courbe_etalon!$F$5</f>
        <v>101.87267641128555</v>
      </c>
      <c r="G13">
        <f t="shared" si="1"/>
        <v>0.10187267641128556</v>
      </c>
      <c r="I13">
        <f t="shared" si="3"/>
        <v>1.5280901461692832E-3</v>
      </c>
      <c r="J13">
        <f>I13/poids!E13</f>
        <v>0.10837518767158036</v>
      </c>
    </row>
    <row r="14" spans="1:10" x14ac:dyDescent="0.25">
      <c r="A14" t="str">
        <f>absorbances!E9</f>
        <v>NCHA100179_FA-2</v>
      </c>
      <c r="B14" t="str">
        <f t="shared" si="0"/>
        <v>NCHA100179</v>
      </c>
      <c r="C14" s="33">
        <f>AVERAGE(absorbances!E56:G56)</f>
        <v>0.34299999999999997</v>
      </c>
      <c r="E14" s="49">
        <f>courbe_etalon!$C$17*(((courbe_etalon!$A$17-courbe_etalon!$D$17)/(quantification!C14-courbe_etalon!$D$17)-1)^(1/courbe_etalon!$B$17))</f>
        <v>2.8806945627062515</v>
      </c>
      <c r="F14">
        <f>E14*courbe_etalon!$F$5</f>
        <v>105.62546729922921</v>
      </c>
      <c r="G14">
        <f t="shared" si="1"/>
        <v>0.10562546729922921</v>
      </c>
      <c r="I14">
        <f t="shared" si="3"/>
        <v>1.5843820094884383E-3</v>
      </c>
      <c r="J14">
        <f>I14/poids!E14</f>
        <v>0.39609550237210922</v>
      </c>
    </row>
    <row r="15" spans="1:10" x14ac:dyDescent="0.25">
      <c r="A15" t="str">
        <f>absorbances!E10</f>
        <v>NCHA100183_FA-2</v>
      </c>
      <c r="B15" t="str">
        <f t="shared" si="0"/>
        <v>NCHA100183</v>
      </c>
      <c r="C15" s="33">
        <f>AVERAGE(absorbances!E57:G57)</f>
        <v>0.39799999999999996</v>
      </c>
      <c r="E15" s="49">
        <f>courbe_etalon!$C$17*(((courbe_etalon!$A$17-courbe_etalon!$D$17)/(quantification!C15-courbe_etalon!$D$17)-1)^(1/courbe_etalon!$B$17))</f>
        <v>3.7266665801118388</v>
      </c>
      <c r="F15">
        <f>E15*courbe_etalon!$F$5</f>
        <v>136.6444412707674</v>
      </c>
      <c r="G15">
        <f t="shared" si="1"/>
        <v>0.13664444127076741</v>
      </c>
      <c r="I15">
        <f t="shared" si="3"/>
        <v>2.0496666190615112E-3</v>
      </c>
      <c r="J15">
        <f>I15/poids!E15</f>
        <v>1.1387036772565204</v>
      </c>
    </row>
    <row r="16" spans="1:10" x14ac:dyDescent="0.25">
      <c r="A16" t="str">
        <f>absorbances!E11</f>
        <v>NCHA100189_FA-2</v>
      </c>
      <c r="B16" t="str">
        <f t="shared" si="0"/>
        <v>NCHA100189</v>
      </c>
      <c r="C16" s="33">
        <f>AVERAGE(absorbances!E58:G58)</f>
        <v>0.30099999999999999</v>
      </c>
      <c r="E16" s="49">
        <f>courbe_etalon!$C$17*(((courbe_etalon!$A$17-courbe_etalon!$D$17)/(quantification!C16-courbe_etalon!$D$17)-1)^(1/courbe_etalon!$B$17))</f>
        <v>2.3569476281339021</v>
      </c>
      <c r="F16">
        <f>E16*courbe_etalon!$F$5</f>
        <v>86.421413031576407</v>
      </c>
      <c r="G16">
        <f t="shared" si="1"/>
        <v>8.6421413031576411E-2</v>
      </c>
      <c r="I16">
        <f t="shared" si="3"/>
        <v>1.2963211954736462E-3</v>
      </c>
      <c r="J16">
        <f>I16/poids!E16</f>
        <v>0.2541806265634548</v>
      </c>
    </row>
    <row r="17" spans="1:10" x14ac:dyDescent="0.25">
      <c r="A17" t="str">
        <f>absorbances!E12</f>
        <v>NCHA100191_FA-2</v>
      </c>
      <c r="B17" t="str">
        <f t="shared" si="0"/>
        <v>NCHA100191</v>
      </c>
      <c r="C17" s="33">
        <f>AVERAGE(absorbances!E59:G59)</f>
        <v>3.3333333333333292E-3</v>
      </c>
      <c r="E17" s="49">
        <f>courbe_etalon!$C$17*(((courbe_etalon!$A$17-courbe_etalon!$D$17)/(quantification!C17-courbe_etalon!$D$17)-1)^(1/courbe_etalon!$B$17))</f>
        <v>2.2549797411224617E-2</v>
      </c>
      <c r="F17">
        <f>E17*courbe_etalon!$F$5</f>
        <v>0.82682590507823595</v>
      </c>
      <c r="G17">
        <f t="shared" si="1"/>
        <v>8.2682590507823599E-4</v>
      </c>
      <c r="I17">
        <f t="shared" si="3"/>
        <v>1.2402388576173539E-5</v>
      </c>
      <c r="J17">
        <f>I17/poids!E17</f>
        <v>3.1005971440433819E-3</v>
      </c>
    </row>
    <row r="18" spans="1:10" s="34" customFormat="1" x14ac:dyDescent="0.25">
      <c r="A18" s="34" t="str">
        <f>absorbances!H5</f>
        <v>NCHA100165_FA-2</v>
      </c>
      <c r="B18" s="34" t="str">
        <f t="shared" si="0"/>
        <v>NCHA100165</v>
      </c>
      <c r="C18" s="34">
        <f>AVERAGE(absorbances!H52:J52)</f>
        <v>0.317</v>
      </c>
      <c r="E18" s="35">
        <f>courbe_etalon!$C$17*(((courbe_etalon!$A$17-courbe_etalon!$D$17)/(quantification!C18-courbe_etalon!$D$17)-1)^(1/courbe_etalon!$B$17))</f>
        <v>2.5462512071059415</v>
      </c>
      <c r="F18" s="34">
        <f>E18*courbe_etalon!$F$5</f>
        <v>93.362544260551189</v>
      </c>
      <c r="G18" s="34">
        <f t="shared" si="1"/>
        <v>9.3362544260551183E-2</v>
      </c>
      <c r="H18" s="33"/>
      <c r="I18" s="34">
        <f t="shared" si="3"/>
        <v>1.4004381639082678E-3</v>
      </c>
      <c r="J18" s="34">
        <f>I18/poids!E18</f>
        <v>0.30444307911049712</v>
      </c>
    </row>
    <row r="19" spans="1:10" x14ac:dyDescent="0.25">
      <c r="A19" t="str">
        <f>absorbances!H6</f>
        <v>NCHA100171_FA-2</v>
      </c>
      <c r="B19" t="str">
        <f t="shared" si="0"/>
        <v>NCHA100171</v>
      </c>
      <c r="C19" s="33">
        <f>AVERAGE(absorbances!H53:J53)</f>
        <v>0.34833333333333338</v>
      </c>
      <c r="E19" s="49">
        <f>courbe_etalon!$C$17*(((courbe_etalon!$A$17-courbe_etalon!$D$17)/(quantification!C19-courbe_etalon!$D$17)-1)^(1/courbe_etalon!$B$17))</f>
        <v>2.953873225153163</v>
      </c>
      <c r="F19">
        <f>E19*courbe_etalon!$F$5</f>
        <v>108.30868492228264</v>
      </c>
      <c r="G19">
        <f t="shared" si="1"/>
        <v>0.10830868492228264</v>
      </c>
      <c r="I19">
        <f t="shared" si="3"/>
        <v>1.6246302738342395E-3</v>
      </c>
      <c r="J19">
        <f>I19/poids!E19</f>
        <v>0.22564309358808585</v>
      </c>
    </row>
    <row r="20" spans="1:10" x14ac:dyDescent="0.25">
      <c r="A20" t="str">
        <f>absorbances!H7</f>
        <v>NCHA100172_FA-2</v>
      </c>
      <c r="B20" t="str">
        <f t="shared" si="0"/>
        <v>NCHA100172</v>
      </c>
      <c r="C20" s="33">
        <f>AVERAGE(absorbances!H54:J54)</f>
        <v>0.156</v>
      </c>
      <c r="E20" s="49">
        <f>courbe_etalon!$C$17*(((courbe_etalon!$A$17-courbe_etalon!$D$17)/(quantification!C20-courbe_etalon!$D$17)-1)^(1/courbe_etalon!$B$17))</f>
        <v>1.0344199995035113</v>
      </c>
      <c r="F20">
        <f>E20*courbe_etalon!$F$5</f>
        <v>37.928733315128746</v>
      </c>
      <c r="G20">
        <f t="shared" si="1"/>
        <v>3.7928733315128749E-2</v>
      </c>
      <c r="I20">
        <f t="shared" si="3"/>
        <v>5.6893099972693117E-4</v>
      </c>
      <c r="J20">
        <f>I20/poids!E20</f>
        <v>0.37928733315127305</v>
      </c>
    </row>
    <row r="21" spans="1:10" x14ac:dyDescent="0.25">
      <c r="A21" t="str">
        <f>absorbances!H8</f>
        <v>NCHA100174_FA-2</v>
      </c>
      <c r="B21" t="str">
        <f t="shared" si="0"/>
        <v>NCHA100174</v>
      </c>
      <c r="C21" s="33">
        <f>AVERAGE(absorbances!H55:J55)</f>
        <v>0.3193333333333333</v>
      </c>
      <c r="E21" s="49">
        <f>courbe_etalon!$C$17*(((courbe_etalon!$A$17-courbe_etalon!$D$17)/(quantification!C21-courbe_etalon!$D$17)-1)^(1/courbe_etalon!$B$17))</f>
        <v>2.5748524944787765</v>
      </c>
      <c r="F21">
        <f>E21*courbe_etalon!$F$5</f>
        <v>94.41125813088847</v>
      </c>
      <c r="G21">
        <f>F21/1000</f>
        <v>9.4411258130888465E-2</v>
      </c>
      <c r="I21">
        <f t="shared" si="3"/>
        <v>1.416168871963327E-3</v>
      </c>
      <c r="J21">
        <f>I21/poids!E21</f>
        <v>0.16660810258392178</v>
      </c>
    </row>
    <row r="22" spans="1:10" x14ac:dyDescent="0.25">
      <c r="A22" t="str">
        <f>absorbances!H9</f>
        <v>NCHA100179_FA-2</v>
      </c>
      <c r="B22" t="str">
        <f t="shared" si="0"/>
        <v>NCHA100179</v>
      </c>
      <c r="C22" s="33">
        <f>AVERAGE(absorbances!H56:J56)</f>
        <v>0.27100000000000002</v>
      </c>
      <c r="E22" s="49">
        <f>courbe_etalon!$C$17*(((courbe_etalon!$A$17-courbe_etalon!$D$17)/(quantification!C22-courbe_etalon!$D$17)-1)^(1/courbe_etalon!$B$17))</f>
        <v>2.0308987880561418</v>
      </c>
      <c r="F22">
        <f>E22*courbe_etalon!$F$5</f>
        <v>74.466288895391855</v>
      </c>
      <c r="G22">
        <f t="shared" si="1"/>
        <v>7.4466288895391849E-2</v>
      </c>
      <c r="I22">
        <f t="shared" si="3"/>
        <v>1.1169943334308778E-3</v>
      </c>
      <c r="J22">
        <f>I22/poids!E22</f>
        <v>0.17453036459857571</v>
      </c>
    </row>
    <row r="23" spans="1:10" x14ac:dyDescent="0.25">
      <c r="A23" t="str">
        <f>absorbances!H10</f>
        <v>NCHA100183_FA-2</v>
      </c>
      <c r="B23" t="str">
        <f t="shared" si="0"/>
        <v>NCHA100183</v>
      </c>
      <c r="C23" s="33">
        <f>AVERAGE(absorbances!H57:J57)</f>
        <v>0.28166666666666668</v>
      </c>
      <c r="E23" s="49">
        <f>courbe_etalon!$C$17*(((courbe_etalon!$A$17-courbe_etalon!$D$17)/(quantification!C23-courbe_etalon!$D$17)-1)^(1/courbe_etalon!$B$17))</f>
        <v>2.1428314493877232</v>
      </c>
      <c r="F23">
        <f>E23*courbe_etalon!$F$5</f>
        <v>78.570486477549849</v>
      </c>
      <c r="G23">
        <f t="shared" si="1"/>
        <v>7.8570486477549856E-2</v>
      </c>
      <c r="I23">
        <f t="shared" si="3"/>
        <v>1.1785572971632478E-3</v>
      </c>
      <c r="J23">
        <f>I23/poids!E23</f>
        <v>0.4365027026530669</v>
      </c>
    </row>
    <row r="24" spans="1:10" x14ac:dyDescent="0.25">
      <c r="A24" t="str">
        <f>absorbances!H11</f>
        <v>NCHA100189_FA-2</v>
      </c>
      <c r="B24" t="str">
        <f t="shared" si="0"/>
        <v>NCHA100189</v>
      </c>
      <c r="C24" s="33">
        <f>AVERAGE(absorbances!H58:J58)</f>
        <v>0.24666666666666667</v>
      </c>
      <c r="E24" s="49">
        <f>courbe_etalon!$C$17*(((courbe_etalon!$A$17-courbe_etalon!$D$17)/(quantification!C24-courbe_etalon!$D$17)-1)^(1/courbe_etalon!$B$17))</f>
        <v>1.7902716911526939</v>
      </c>
      <c r="F24">
        <f>E24*courbe_etalon!$F$5</f>
        <v>65.643295342265432</v>
      </c>
      <c r="G24">
        <f t="shared" si="1"/>
        <v>6.5643295342265429E-2</v>
      </c>
      <c r="I24">
        <f t="shared" si="3"/>
        <v>9.8464943013398137E-4</v>
      </c>
      <c r="J24">
        <f>I24/poids!E24</f>
        <v>0.18578291134603134</v>
      </c>
    </row>
    <row r="25" spans="1:10" x14ac:dyDescent="0.25">
      <c r="A25" t="str">
        <f>absorbances!H12</f>
        <v>NCHA100191_FA-2</v>
      </c>
      <c r="B25" t="str">
        <f t="shared" si="0"/>
        <v>NCHA100191</v>
      </c>
      <c r="C25" s="33">
        <f>AVERAGE(absorbances!H59:J59)</f>
        <v>8.3333333333333297E-3</v>
      </c>
      <c r="E25" s="49">
        <f>courbe_etalon!$C$17*(((courbe_etalon!$A$17-courbe_etalon!$D$17)/(quantification!C25-courbe_etalon!$D$17)-1)^(1/courbe_etalon!$B$17))</f>
        <v>5.9625957443237801E-2</v>
      </c>
      <c r="F25">
        <f>E25*courbe_etalon!$F$5</f>
        <v>2.1862851062520527</v>
      </c>
      <c r="G25">
        <f t="shared" si="1"/>
        <v>2.1862851062520528E-3</v>
      </c>
      <c r="I25">
        <f t="shared" si="3"/>
        <v>3.2794276593780795E-5</v>
      </c>
      <c r="J25">
        <f>I25/poids!E25</f>
        <v>1.3664281914074308E-2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absorbances</vt:lpstr>
      <vt:lpstr>courbe_etalon</vt:lpstr>
      <vt:lpstr>poids</vt:lpstr>
      <vt:lpstr>quantification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BLANCHET</dc:creator>
  <cp:lastModifiedBy>Julie BLANCHET</cp:lastModifiedBy>
  <dcterms:created xsi:type="dcterms:W3CDTF">2025-03-10T13:14:35Z</dcterms:created>
  <dcterms:modified xsi:type="dcterms:W3CDTF">2025-03-26T12:15:42Z</dcterms:modified>
</cp:coreProperties>
</file>